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CGAS" sheetId="2" state="visible" r:id="rId4"/>
    <sheet name="Ces Retail" sheetId="3" state="visible" r:id="rId5"/>
    <sheet name="Local Prod" sheetId="4" state="visible" r:id="rId6"/>
    <sheet name="TxGas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Purchases are for Storage withdrawals.  Price = 2.7300 (CGAS FOM IF)
 + .0075 (Index preimum) - .0153 (Withdrawal Cost)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44</xdr:row>
                <xdr:rowOff>7</xdr:rowOff>
              </xdr:from>
              <xdr:to>
                <xdr:col>14</xdr:col>
                <xdr:colOff>3</xdr:colOff>
                <xdr:row>49</xdr:row>
                <xdr:rowOff>10</xdr:rowOff>
              </xdr:to>
            </anchor>
          </commentPr>
        </mc:Choice>
        <mc:Fallback/>
      </mc:AlternateContent>
    </comment>
    <comment ref="P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Withdrawal goal for March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37</xdr:row>
                <xdr:rowOff>8</xdr:rowOff>
              </xdr:from>
              <xdr:to>
                <xdr:col>18</xdr:col>
                <xdr:colOff>42</xdr:colOff>
                <xdr:row>41</xdr:row>
                <xdr:rowOff>8</xdr:rowOff>
              </xdr:to>
            </anchor>
          </commentPr>
        </mc:Choice>
        <mc:Fallback/>
      </mc:AlternateContent>
    </comment>
    <comment ref="AG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Booked out with deal 209122 and included in the FOM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38</xdr:colOff>
                <xdr:row>3</xdr:row>
                <xdr:rowOff>7</xdr:rowOff>
              </xdr:from>
              <xdr:to>
                <xdr:col>35</xdr:col>
                <xdr:colOff>39</xdr:colOff>
                <xdr:row>6</xdr:row>
                <xdr:rowOff>9</xdr:rowOff>
              </xdr:to>
            </anchor>
          </commentPr>
        </mc:Choice>
        <mc:Fallback/>
      </mc:AlternateContent>
    </comment>
    <comment ref="AH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Booked out with deal 209005
 and included in the FOM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38</xdr:colOff>
                <xdr:row>3</xdr:row>
                <xdr:rowOff>7</xdr:rowOff>
              </xdr:from>
              <xdr:to>
                <xdr:col>36</xdr:col>
                <xdr:colOff>39</xdr:colOff>
                <xdr:row>6</xdr:row>
                <xdr:rowOff>9</xdr:rowOff>
              </xdr:to>
            </anchor>
          </commentPr>
        </mc:Choice>
        <mc:Fallback/>
      </mc:AlternateContent>
    </comment>
    <comment ref="AJ5" authorId="0">
      <text>
        <r>
          <rPr>
            <b val="true"/>
            <sz val="8"/>
            <color rgb="FF000000"/>
            <rFont val="Tahoma"/>
            <family val="0"/>
          </rPr>
          <t xml:space="preserve">cgerman: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38</xdr:colOff>
                <xdr:row>3</xdr:row>
                <xdr:rowOff>7</xdr:rowOff>
              </xdr:from>
              <xdr:to>
                <xdr:col>38</xdr:col>
                <xdr:colOff>35</xdr:colOff>
                <xdr:row>12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<sst xmlns="http://schemas.openxmlformats.org/spreadsheetml/2006/main" count="1685" uniqueCount="511">
  <si>
    <t xml:space="preserve">Algonquin</t>
  </si>
  <si>
    <t xml:space="preserve">Index</t>
  </si>
  <si>
    <t xml:space="preserve">M3</t>
  </si>
  <si>
    <t xml:space="preserve">Prior to March, ENA would purchase the gas from CES at Mendon.  This portion</t>
  </si>
  <si>
    <t xml:space="preserve">Index Prem</t>
  </si>
  <si>
    <t xml:space="preserve">of the deal went away effective 3/1/2000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</si>
  <si>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</si>
  <si>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</si>
  <si>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</si>
  <si>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</si>
  <si>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</si>
  <si>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204694  CES has 69 dt of capacity at this rate</t>
  </si>
  <si>
    <t xml:space="preserve">Algo Comm</t>
  </si>
  <si>
    <t xml:space="preserve">Algo Transport</t>
  </si>
  <si>
    <t xml:space="preserve">Deal 204701</t>
  </si>
  <si>
    <t xml:space="preserve">CES has 908 dth of Algonquin capacity.  69 dth is priced under deal 204694.</t>
  </si>
  <si>
    <t xml:space="preserve">839 dth on deal 204701 will be priced at $3.0138,  all volume greater than 839 dth/day</t>
  </si>
  <si>
    <t xml:space="preserve">will be priced at $3.1500</t>
  </si>
  <si>
    <t xml:space="preserve">CGAS</t>
  </si>
  <si>
    <t xml:space="preserve">FTS</t>
  </si>
  <si>
    <t xml:space="preserve">ENA Transport</t>
  </si>
  <si>
    <t xml:space="preserve">Transport</t>
  </si>
  <si>
    <t xml:space="preserve">Demand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</si>
  <si>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</si>
  <si>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</si>
  <si>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</si>
  <si>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</si>
  <si>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Total Volume Deal 145638</t>
  </si>
  <si>
    <t xml:space="preserve">Comment:  CES has 1,167 dt/day of South to North Space.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</si>
  <si>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</si>
  <si>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</si>
  <si>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Ignore the following CES deals</t>
  </si>
  <si>
    <t xml:space="preserve">Deal</t>
  </si>
  <si>
    <t xml:space="preserve">Comment</t>
  </si>
  <si>
    <t xml:space="preserve">Appalachian production, wholesale activity.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</si>
  <si>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</si>
  <si>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</si>
  <si>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</si>
  <si>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</si>
  <si>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</si>
  <si>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206398</t>
  </si>
  <si>
    <t xml:space="preserve">Equitrans</t>
  </si>
  <si>
    <t xml:space="preserve">IT</t>
  </si>
  <si>
    <t xml:space="preserve">Deal 203277  CES has 1,000 dth of FTS, price 1,000 day at the FTS rate, balance at the IT rate.</t>
  </si>
  <si>
    <t xml:space="preserve">Tenn Z1 - Z5</t>
  </si>
  <si>
    <t xml:space="preserve">Z1</t>
  </si>
  <si>
    <t xml:space="preserve">Deal 204427</t>
  </si>
  <si>
    <t xml:space="preserve">Texas Eastern M3</t>
  </si>
  <si>
    <t xml:space="preserve">Ela</t>
  </si>
  <si>
    <t xml:space="preserve">Deal 204678 ENA will bill CES 825 dth/day at Ela + $.01 + transport</t>
  </si>
  <si>
    <t xml:space="preserve">The balance of the volumes on this deal will be billed Tetco M3 IF + $.025</t>
  </si>
  <si>
    <t xml:space="preserve">Deal 205887 is IF M3 + $.025</t>
  </si>
  <si>
    <t xml:space="preserve">Deal 205914 priced at Ela $.01 (UGI)</t>
  </si>
  <si>
    <t xml:space="preserve">CES has 825 dt of Access to M3 space.</t>
  </si>
  <si>
    <t xml:space="preserve">Transco</t>
  </si>
  <si>
    <t xml:space="preserve">FT Z3-Z6</t>
  </si>
  <si>
    <t xml:space="preserve">St 65</t>
  </si>
  <si>
    <t xml:space="preserve">Deal 206483</t>
  </si>
  <si>
    <t xml:space="preserve">FT Z3-Z4</t>
  </si>
  <si>
    <t xml:space="preserve">Deal 206316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</si>
  <si>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</si>
  <si>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</si>
  <si>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</si>
  <si>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</si>
  <si>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206321</t>
  </si>
  <si>
    <t xml:space="preserve">Deal 206266</t>
  </si>
  <si>
    <t xml:space="preserve">FT Z4-Z5 PSNC Volumetric Release</t>
  </si>
  <si>
    <t xml:space="preserve">Deal 206069.  PSNC sends ENA an invoice for this gas.  ENA will forward this to PSNC each month.</t>
  </si>
  <si>
    <t xml:space="preserve">Volumetric Demand</t>
  </si>
  <si>
    <t xml:space="preserve">Deal 206465.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</si>
  <si>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</si>
  <si>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</si>
  <si>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Texas Gas</t>
  </si>
  <si>
    <t xml:space="preserve">SL</t>
  </si>
  <si>
    <t xml:space="preserve">Deal 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</si>
  <si>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</si>
  <si>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</si>
  <si>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</si>
  <si>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</si>
  <si>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</si>
  <si>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</si>
  <si>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</si>
  <si>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</si>
  <si>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</si>
  <si>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</si>
  <si>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</si>
  <si>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</si>
  <si>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</si>
  <si>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</si>
  <si>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</si>
  <si>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</si>
  <si>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</si>
  <si>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</si>
  <si>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</si>
  <si>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</si>
  <si>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</si>
  <si>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</si>
  <si>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</si>
  <si>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</si>
  <si>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</si>
  <si>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</si>
  <si>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</si>
  <si>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Undertakes</t>
  </si>
  <si>
    <t xml:space="preserve">Transport Fixed Price Deals</t>
  </si>
  <si>
    <t xml:space="preserve">Total 1st of</t>
  </si>
  <si>
    <t xml:space="preserve">Incremental Transported Spot Deals</t>
  </si>
  <si>
    <t xml:space="preserve">Total</t>
  </si>
  <si>
    <t xml:space="preserve">Supplied with delivered gas</t>
  </si>
  <si>
    <t xml:space="preserve">Local Production</t>
  </si>
  <si>
    <t xml:space="preserve">CES Retail</t>
  </si>
  <si>
    <t xml:space="preserve">Calp</t>
  </si>
  <si>
    <t xml:space="preserve">Dayton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</si>
  <si>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</si>
  <si>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</si>
  <si>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</si>
  <si>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</si>
  <si>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</si>
  <si>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</si>
  <si>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</si>
  <si>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</si>
  <si>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GD - $.01</t>
  </si>
  <si>
    <t xml:space="preserve">Month Fixed Price</t>
  </si>
  <si>
    <t xml:space="preserve">Incremental</t>
  </si>
  <si>
    <t xml:space="preserve">n/a</t>
  </si>
  <si>
    <t xml:space="preserve"> &lt;== Total Undertakes</t>
  </si>
  <si>
    <t xml:space="preserve">  Average Rate Deal 244691</t>
  </si>
  <si>
    <t xml:space="preserve">Comment:  Baseload fixed price deals will be included in the</t>
  </si>
  <si>
    <t xml:space="preserve">first of the month volume for pricing purposes.</t>
  </si>
  <si>
    <t xml:space="preserve">Notes:  CES had transport to meet their daily citygate needs for the month of March.</t>
  </si>
  <si>
    <t xml:space="preserve">FOM CGAS IF + $.0075  Deal 244689</t>
  </si>
  <si>
    <t xml:space="preserve">Volume</t>
  </si>
  <si>
    <t xml:space="preserve">Price</t>
  </si>
  <si>
    <t xml:space="preserve">Total Sales</t>
  </si>
  <si>
    <t xml:space="preserve">FOM pricing using CES transport</t>
  </si>
  <si>
    <t xml:space="preserve">Purchases</t>
  </si>
  <si>
    <t xml:space="preserve">CGAS IF + .0075 - .0153</t>
  </si>
  <si>
    <t xml:space="preserve">CES East Desk Transportation Capacity for Mar,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</si>
  <si>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</si>
  <si>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</si>
  <si>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</si>
  <si>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</si>
  <si>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</si>
  <si>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</si>
  <si>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</si>
  <si>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</si>
  <si>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</si>
  <si>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</si>
  <si>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</si>
  <si>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</si>
  <si>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</si>
  <si>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</si>
  <si>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</si>
  <si>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</si>
  <si>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</si>
  <si>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</si>
  <si>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</si>
  <si>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</si>
  <si>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</si>
  <si>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</si>
  <si>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</si>
  <si>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Old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</si>
  <si>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</si>
  <si>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</si>
  <si>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</si>
  <si>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</si>
  <si>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</si>
  <si>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Old 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</si>
  <si>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</si>
  <si>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</si>
  <si>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</si>
  <si>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</si>
  <si>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</si>
  <si>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</si>
  <si>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#3550; BGC k#9B100, seasional volumes  104 peak, 69 fall &amp; spring, 0 summer</t>
  </si>
  <si>
    <t xml:space="preserve">00210 Norwood</t>
  </si>
  <si>
    <t xml:space="preserve">AFT-13</t>
  </si>
  <si>
    <t xml:space="preserve">#3540; BGC k#93302C, static MDQ</t>
  </si>
  <si>
    <t xml:space="preserve">00205 Mendon</t>
  </si>
  <si>
    <t xml:space="preserve">AFT-1 FT-2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</si>
  <si>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</si>
  <si>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</si>
  <si>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</si>
  <si>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</si>
  <si>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</si>
  <si>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</si>
  <si>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</si>
  <si>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</si>
  <si>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ENA</t>
  </si>
  <si>
    <t xml:space="preserve">NIMO</t>
  </si>
  <si>
    <t xml:space="preserve">40208 Oakford</t>
  </si>
  <si>
    <t xml:space="preserve">20500 NIMO-E</t>
  </si>
  <si>
    <t xml:space="preserve">FTNN</t>
  </si>
  <si>
    <t xml:space="preserve">5A2383</t>
  </si>
  <si>
    <t xml:space="preserve">5A2291</t>
  </si>
  <si>
    <t xml:space="preserve">#13172, Nimo East;  Nimo released this capacity to CES offer #13126, we re-released it to ENA</t>
  </si>
  <si>
    <t xml:space="preserve">CEM Base 5A2288</t>
  </si>
  <si>
    <t xml:space="preserve">20500 NIMO-W</t>
  </si>
  <si>
    <t xml:space="preserve">5A2382</t>
  </si>
  <si>
    <t xml:space="preserve">5A2292</t>
  </si>
  <si>
    <t xml:space="preserve">#13171, Nimo West;  Nimo released this capacity to CES offer #13125, we re-released it to ENA</t>
  </si>
  <si>
    <t xml:space="preserve">CEM Base 5A2289</t>
  </si>
  <si>
    <t xml:space="preserve">60003 Cornwell</t>
  </si>
  <si>
    <t xml:space="preserve">60002 Leidy</t>
  </si>
  <si>
    <t xml:space="preserve">5A2308</t>
  </si>
  <si>
    <t xml:space="preserve">5a1015</t>
  </si>
  <si>
    <t xml:space="preserve">#13011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</si>
  <si>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</si>
  <si>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</si>
  <si>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</si>
  <si>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</si>
  <si>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</si>
  <si>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20700 NYSEG</t>
  </si>
  <si>
    <t xml:space="preserve">5A2276</t>
  </si>
  <si>
    <t xml:space="preserve">5A1982</t>
  </si>
  <si>
    <t xml:space="preserve">#12954</t>
  </si>
  <si>
    <t xml:space="preserve">5A2275</t>
  </si>
  <si>
    <t xml:space="preserve">5A2083</t>
  </si>
  <si>
    <t xml:space="preserve">#012962</t>
  </si>
  <si>
    <t xml:space="preserve">Atlanta</t>
  </si>
  <si>
    <t xml:space="preserve">#012891,Meter 40105 - Cornwell is a primary eeceipt and delivery point. 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</si>
  <si>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</si>
  <si>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</si>
  <si>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</si>
  <si>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</si>
  <si>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</si>
  <si>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</si>
  <si>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</si>
  <si>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</si>
  <si>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</si>
  <si>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</si>
  <si>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</si>
  <si>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</si>
  <si>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</si>
  <si>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</si>
  <si>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</si>
  <si>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</si>
  <si>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</si>
  <si>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</si>
  <si>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</si>
  <si>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</si>
  <si>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</si>
  <si>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</si>
  <si>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</si>
  <si>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#23652</t>
  </si>
  <si>
    <t xml:space="preserve">Just added to march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</si>
  <si>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</si>
  <si>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</si>
  <si>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</si>
  <si>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</si>
  <si>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Is this date correct?</t>
  </si>
  <si>
    <t xml:space="preserve">McClelland Aggregate</t>
  </si>
  <si>
    <t xml:space="preserve">CPA</t>
  </si>
  <si>
    <t xml:space="preserve">#24563;  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</si>
  <si>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</si>
  <si>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</si>
  <si>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</si>
  <si>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</si>
  <si>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</si>
  <si>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</si>
  <si>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</si>
  <si>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</si>
  <si>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</si>
  <si>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</si>
  <si>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</si>
  <si>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</si>
  <si>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</si>
  <si>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</si>
  <si>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</si>
  <si>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</si>
  <si>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</si>
  <si>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</si>
  <si>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</si>
  <si>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</si>
  <si>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</si>
  <si>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</si>
  <si>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</si>
  <si>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</si>
  <si>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</si>
  <si>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</si>
  <si>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</si>
  <si>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</si>
  <si>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</si>
  <si>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</si>
  <si>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</si>
  <si>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</si>
  <si>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8 Mansfield COH 7-8</t>
  </si>
  <si>
    <t xml:space="preserve">#26694;  Primary receipt Toledo agg., ROFR, total MDQ is 20,000 day, contract will be split between retail and wholesale with 15,000/day going to Retail-Mass Markets.  Old contract was 62039.</t>
  </si>
  <si>
    <t xml:space="preserve">#26714</t>
  </si>
  <si>
    <t xml:space="preserve">149346/ change to 214854 on 4/1/2000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</si>
  <si>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</si>
  <si>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</si>
  <si>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</si>
  <si>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</si>
  <si>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</si>
  <si>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</si>
  <si>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#27098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</si>
  <si>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</si>
  <si>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</si>
  <si>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</si>
  <si>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</si>
  <si>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</si>
  <si>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#28160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</si>
  <si>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</si>
  <si>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</si>
  <si>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</si>
  <si>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</si>
  <si>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</si>
  <si>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O&amp;R</t>
  </si>
  <si>
    <t xml:space="preserve">#28092</t>
  </si>
  <si>
    <t xml:space="preserve">#28093</t>
  </si>
  <si>
    <t xml:space="preserve">Col Gulf</t>
  </si>
  <si>
    <t xml:space="preserve">Rayne</t>
  </si>
  <si>
    <t xml:space="preserve">Leach</t>
  </si>
  <si>
    <t xml:space="preserve">FTS-1</t>
  </si>
  <si>
    <t xml:space="preserve">Expired?</t>
  </si>
  <si>
    <t xml:space="preserve">CVA</t>
  </si>
  <si>
    <t xml:space="preserve">Leah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</si>
  <si>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</si>
  <si>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</si>
  <si>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</si>
  <si>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</si>
  <si>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</si>
  <si>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from CES K#66617</t>
  </si>
  <si>
    <t xml:space="preserve">from CES K#66616</t>
  </si>
  <si>
    <t xml:space="preserve">From CES #66615</t>
  </si>
  <si>
    <t xml:space="preserve">Equit</t>
  </si>
  <si>
    <t xml:space="preserve">???</t>
  </si>
  <si>
    <t xml:space="preserve">11089</t>
  </si>
  <si>
    <t xml:space="preserve">TEPE 0144</t>
  </si>
  <si>
    <t xml:space="preserve">SNAT</t>
  </si>
  <si>
    <t xml:space="preserve">AGL</t>
  </si>
  <si>
    <t xml:space="preserve">CSS</t>
  </si>
  <si>
    <t xml:space="preserve">SSNG45</t>
  </si>
  <si>
    <t xml:space="preserve">Rel 394 and 398</t>
  </si>
  <si>
    <t xml:space="preserve">FT</t>
  </si>
  <si>
    <t xml:space="preserve">FSNG11</t>
  </si>
  <si>
    <t xml:space="preserve">REL 387</t>
  </si>
  <si>
    <t xml:space="preserve">REL 390</t>
  </si>
  <si>
    <t xml:space="preserve">SGA</t>
  </si>
  <si>
    <t xml:space="preserve">FSGA</t>
  </si>
  <si>
    <t xml:space="preserve">REL 428</t>
  </si>
  <si>
    <t xml:space="preserve">Goodell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</si>
  <si>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</si>
  <si>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</si>
  <si>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</si>
  <si>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</si>
  <si>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</si>
  <si>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</si>
  <si>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</si>
  <si>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</si>
  <si>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</si>
  <si>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</si>
  <si>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</si>
  <si>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</si>
  <si>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East Tenn</t>
  </si>
  <si>
    <t xml:space="preserve">Lobelville</t>
  </si>
  <si>
    <t xml:space="preserve">Midwestern</t>
  </si>
  <si>
    <t xml:space="preserve">Nipsco</t>
  </si>
  <si>
    <t xml:space="preserve">Portland</t>
  </si>
  <si>
    <t xml:space="preserve">Nipcso</t>
  </si>
  <si>
    <t xml:space="preserve">Bear Creek</t>
  </si>
  <si>
    <t xml:space="preserve">Stor</t>
  </si>
  <si>
    <t xml:space="preserve">TEnn</t>
  </si>
  <si>
    <t xml:space="preserve">Portland Storage</t>
  </si>
  <si>
    <t xml:space="preserve">FS-MA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</si>
  <si>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</si>
  <si>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</si>
  <si>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</si>
  <si>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</si>
  <si>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</si>
  <si>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</si>
  <si>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143310 14331roll into this deal  was 49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</si>
  <si>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</si>
  <si>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</si>
  <si>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</si>
  <si>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</si>
  <si>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</si>
  <si>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</si>
  <si>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Capacity was released to ENA for Feb.  Billed to CES for Jan and Mar.</t>
  </si>
  <si>
    <t xml:space="preserve">M2</t>
  </si>
  <si>
    <t xml:space="preserve">CDS</t>
  </si>
  <si>
    <t xml:space="preserve">#015839</t>
  </si>
  <si>
    <t xml:space="preserve">#15841</t>
  </si>
  <si>
    <t xml:space="preserve">#15843</t>
  </si>
  <si>
    <t xml:space="preserve">#16008</t>
  </si>
  <si>
    <t xml:space="preserve">#15775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</si>
  <si>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</si>
  <si>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</si>
  <si>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</si>
  <si>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</si>
  <si>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</si>
  <si>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</si>
  <si>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BUG</t>
  </si>
  <si>
    <t xml:space="preserve">#15963</t>
  </si>
  <si>
    <t xml:space="preserve">LLFT</t>
  </si>
  <si>
    <t xml:space="preserve">#15941</t>
  </si>
  <si>
    <t xml:space="preserve">M1</t>
  </si>
  <si>
    <t xml:space="preserve">#015940</t>
  </si>
  <si>
    <t xml:space="preserve">Zone SL</t>
  </si>
  <si>
    <t xml:space="preserve">1247 Lebanon CNG</t>
  </si>
  <si>
    <t xml:space="preserve">FT </t>
  </si>
  <si>
    <t xml:space="preserve">NA</t>
  </si>
  <si>
    <t xml:space="preserve">T013445</t>
  </si>
  <si>
    <t xml:space="preserve">RECALLED</t>
  </si>
  <si>
    <t xml:space="preserve">Zone 1</t>
  </si>
  <si>
    <t xml:space="preserve">T014311</t>
  </si>
  <si>
    <t xml:space="preserve">T015955</t>
  </si>
  <si>
    <t xml:space="preserve">T014571</t>
  </si>
  <si>
    <t xml:space="preserve">SL/1</t>
  </si>
  <si>
    <t xml:space="preserve">1247 Lebannon</t>
  </si>
  <si>
    <t xml:space="preserve">T016065</t>
  </si>
  <si>
    <t xml:space="preserve">T016026</t>
  </si>
  <si>
    <t xml:space="preserve">T015982</t>
  </si>
  <si>
    <t xml:space="preserve">#200002000047</t>
  </si>
  <si>
    <t xml:space="preserve">Lilco</t>
  </si>
  <si>
    <t xml:space="preserve">St 30</t>
  </si>
  <si>
    <t xml:space="preserve">FT -R</t>
  </si>
  <si>
    <t xml:space="preserve">3.3677 /1.1703</t>
  </si>
  <si>
    <t xml:space="preserve">#18427</t>
  </si>
  <si>
    <t xml:space="preserve">206152/143913</t>
  </si>
  <si>
    <t xml:space="preserve">St 45</t>
  </si>
  <si>
    <t xml:space="preserve">Z3</t>
  </si>
  <si>
    <t xml:space="preserve">6484 Atlanta</t>
  </si>
  <si>
    <t xml:space="preserve">3.3701/.7537</t>
  </si>
  <si>
    <t xml:space="preserve">3.3438/.7537</t>
  </si>
  <si>
    <t xml:space="preserve">#18465</t>
  </si>
  <si>
    <t xml:space="preserve">157610/143913</t>
  </si>
  <si>
    <t xml:space="preserve">3.3701/.7538</t>
  </si>
  <si>
    <t xml:space="preserve">3.3701/.7539</t>
  </si>
  <si>
    <t xml:space="preserve">3.3703/.7537</t>
  </si>
  <si>
    <t xml:space="preserve">3.3435/.7537</t>
  </si>
  <si>
    <t xml:space="preserve">#18463</t>
  </si>
  <si>
    <t xml:space="preserve">157611/143913</t>
  </si>
  <si>
    <t xml:space="preserve">6971 St 85</t>
  </si>
  <si>
    <t xml:space="preserve">FTCHR</t>
  </si>
  <si>
    <t xml:space="preserve">3.3702/2.7055</t>
  </si>
  <si>
    <t xml:space="preserve">3.3436/.7537</t>
  </si>
  <si>
    <t xml:space="preserve">#18464</t>
  </si>
  <si>
    <t xml:space="preserve">6128 Holmesville</t>
  </si>
  <si>
    <t xml:space="preserve">FTSR</t>
  </si>
  <si>
    <t xml:space="preserve">3.3863/3.3433</t>
  </si>
  <si>
    <t xml:space="preserve">3.3432/3.3433</t>
  </si>
  <si>
    <t xml:space="preserve">#18615</t>
  </si>
  <si>
    <t xml:space="preserve">WSR Capacity</t>
  </si>
  <si>
    <t xml:space="preserve">WSR</t>
  </si>
  <si>
    <t xml:space="preserve">3.3751/3.3508</t>
  </si>
  <si>
    <t xml:space="preserve">3.3509/3.3508</t>
  </si>
  <si>
    <t xml:space="preserve">WSR Demand</t>
  </si>
  <si>
    <t xml:space="preserve">ESR Capacity</t>
  </si>
  <si>
    <t xml:space="preserve">ESR</t>
  </si>
  <si>
    <t xml:space="preserve">3.3752/3.3541</t>
  </si>
  <si>
    <t xml:space="preserve">3.3542/3.3541</t>
  </si>
  <si>
    <t xml:space="preserve">#18510</t>
  </si>
  <si>
    <t xml:space="preserve">143926 / 143927</t>
  </si>
  <si>
    <t xml:space="preserve">ESR Demand</t>
  </si>
  <si>
    <t xml:space="preserve">3.3114 / 2.7502</t>
  </si>
  <si>
    <t xml:space="preserve">#18509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</si>
  <si>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</si>
  <si>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</si>
  <si>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</si>
  <si>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</si>
  <si>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</si>
  <si>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</si>
  <si>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</si>
  <si>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</si>
  <si>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</si>
  <si>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</si>
  <si>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</si>
  <si>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</si>
  <si>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</si>
  <si>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</si>
  <si>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</si>
  <si>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</si>
  <si>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#18643, PSNC released 190 dt and then recalled 45 dt</t>
  </si>
  <si>
    <t xml:space="preserve">volumetric</t>
  </si>
  <si>
    <t xml:space="preserve">Union Camp</t>
  </si>
  <si>
    <t xml:space="preserve">8696 Sta 165</t>
  </si>
  <si>
    <t xml:space="preserve">Emporia</t>
  </si>
  <si>
    <t xml:space="preserve">Deal 211642</t>
  </si>
  <si>
    <t xml:space="preserve">100% Reimbursed from CES</t>
  </si>
  <si>
    <t xml:space="preserve">Prod:</t>
  </si>
  <si>
    <t xml:space="preserve">Pord:</t>
  </si>
  <si>
    <t xml:space="preserve">Power Gas Marketing</t>
  </si>
  <si>
    <t xml:space="preserve">Phoenix Dominion</t>
  </si>
  <si>
    <t xml:space="preserve">CNG Field Ser</t>
  </si>
  <si>
    <t xml:space="preserve">Belden &amp; Balke</t>
  </si>
  <si>
    <t xml:space="preserve">#142787</t>
  </si>
  <si>
    <t xml:space="preserve">#204781</t>
  </si>
  <si>
    <t xml:space="preserve">#204784</t>
  </si>
  <si>
    <t xml:space="preserve">#204785</t>
  </si>
  <si>
    <t xml:space="preserve">#204787</t>
  </si>
  <si>
    <t xml:space="preserve">#204789</t>
  </si>
  <si>
    <t xml:space="preserve">LDC: CPA 4 25E</t>
  </si>
  <si>
    <t xml:space="preserve">LDC: CPA8 25-34</t>
  </si>
  <si>
    <t xml:space="preserve">LDC: CPA8 25-35</t>
  </si>
  <si>
    <t xml:space="preserve">LDC: CPA8 25-36</t>
  </si>
  <si>
    <t xml:space="preserve">LDC: NESEG</t>
  </si>
  <si>
    <t xml:space="preserve">LDC: Peoples</t>
  </si>
  <si>
    <t xml:space="preserve">LDC: East Ohio</t>
  </si>
  <si>
    <t xml:space="preserve">Pipe: CGAS</t>
  </si>
  <si>
    <t xml:space="preserve">Pipe:  CNG</t>
  </si>
  <si>
    <t xml:space="preserve">Discount</t>
  </si>
  <si>
    <t xml:space="preserve">Using the FOM Index to calculate transport expense.</t>
  </si>
  <si>
    <t xml:space="preserve">Actual Volume</t>
  </si>
  <si>
    <t xml:space="preserve">FOM volume</t>
  </si>
  <si>
    <t xml:space="preserve">Dollars</t>
  </si>
  <si>
    <t xml:space="preserve">Totals</t>
  </si>
  <si>
    <t xml:space="preserve">Average Price: </t>
  </si>
  <si>
    <t xml:space="preserve">IF CNG App</t>
  </si>
  <si>
    <t xml:space="preserve">Buy from CES: Deal 243649</t>
  </si>
  <si>
    <t xml:space="preserve">Sale to CES:  Deal 243650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</si>
</sst>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\$#,##0.0000_);&quot;($&quot;#,##0.0000\)"/>
    <numFmt numFmtId="166" formatCode="0%"/>
    <numFmt numFmtId="167" formatCode="0.00%"/>
    <numFmt numFmtId="168" formatCode="0.0000%"/>
    <numFmt numFmtId="169" formatCode="\$#,##0.00_);&quot;($&quot;#,##0.00\)"/>
    <numFmt numFmtId="170" formatCode="_(* #,##0.00_);_(* \(#,##0.00\);_(* \-??_);_(@_)"/>
    <numFmt numFmtId="171" formatCode="_(* #,##0_);_(* \(#,##0\);_(* \-??_);_(@_)"/>
    <numFmt numFmtId="172" formatCode="0.000%"/>
    <numFmt numFmtId="173" formatCode="_(\$* #,##0.00_);_(\$* \(#,##0.00\);_(\$* \-??_);_(@_)"/>
    <numFmt numFmtId="174" formatCode="_(\$* #,##0.0000_);_(\$* \(#,##0.0000\);_(\$* \-??_);_(@_)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.0000"/>
    <numFmt numFmtId="185" formatCode="[$-409]#,##0_);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3333CC"/>
        <bgColor rgb="FF3366FF"/>
      </patternFill>
    </fill>
    <fill>
      <patternFill patternType="solid">
        <fgColor rgb="FF00FF00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false" hidden="false" outlineLevel="0" max="4" min="4" style="1" width="9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false" hidden="false" outlineLevel="0" max="257" min="8" style="1" width="9.14"/>
  </cols>
  <sheetData>
    <row r="1" customFormat="false" ht="12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" hidden="false" customHeight="false" outlineLevel="0" collapsed="false">
      <c r="A2" s="3" t="s">
        <v>1</v>
      </c>
      <c r="B2" s="3" t="s">
        <v>2</v>
      </c>
      <c r="C2" s="4" t="n">
        <v>2.95</v>
      </c>
      <c r="D2" s="3" t="s">
        <v>3</v>
      </c>
      <c r="E2" s="3"/>
      <c r="F2" s="3"/>
      <c r="G2" s="5"/>
      <c r="H2" s="5"/>
      <c r="I2" s="6"/>
      <c r="J2" s="5"/>
      <c r="K2" s="7"/>
      <c r="L2" s="7"/>
    </row>
    <row r="3" customFormat="false" ht="12" hidden="false" customHeight="false" outlineLevel="0" collapsed="false">
      <c r="A3" s="3" t="s">
        <v>4</v>
      </c>
      <c r="B3" s="3"/>
      <c r="C3" s="4" t="n">
        <v>0.01</v>
      </c>
      <c r="D3" s="3" t="s">
        <v>5</v>
      </c>
      <c r="E3" s="3"/>
      <c r="F3" s="3"/>
      <c r="G3" s="5"/>
      <c r="H3" s="5"/>
      <c r="I3" s="6"/>
      <c r="J3" s="5"/>
      <c r="K3" s="7"/>
      <c r="L3" s="7"/>
    </row>
    <row r="4" customFormat="false" ht="12.75" hidden="false" customHeight="false" outlineLevel="0" collapsed="false">
      <c r="A4" s="3" t="s">
        <v>6</v>
      </c>
      <c r="B4" s="8"/>
      <c r="C4" s="4" t="n">
        <v>0</v>
      </c>
      <c r="D4" s="3"/>
      <c r="E4" s="3"/>
      <c r="F4" s="3"/>
      <c r="G4" s="5"/>
      <c r="H4" s="5"/>
      <c r="I4" s="6"/>
      <c r="J4" s="5"/>
      <c r="K4" s="7"/>
      <c r="L4" s="7"/>
    </row>
    <row r="5" customFormat="false" ht="12.75" hidden="false" customHeight="false" outlineLevel="0" collapsed="false">
      <c r="A5" s="3" t="s">
        <v>7</v>
      </c>
      <c r="B5" s="8"/>
      <c r="C5" s="4" t="n">
        <f aca="false">0.0022+0.0072</f>
        <v>0.0094</v>
      </c>
      <c r="D5" s="3"/>
      <c r="E5" s="3"/>
      <c r="F5" s="3"/>
      <c r="G5" s="5"/>
      <c r="H5" s="9"/>
      <c r="I5" s="6"/>
      <c r="J5" s="5"/>
      <c r="K5" s="7"/>
      <c r="L5" s="7"/>
    </row>
    <row r="6" customFormat="false" ht="12.75" hidden="false" customHeight="false" outlineLevel="0" collapsed="false">
      <c r="A6" s="3" t="s">
        <v>8</v>
      </c>
      <c r="B6" s="8"/>
      <c r="C6" s="10" t="n">
        <v>0.0111</v>
      </c>
      <c r="D6" s="3"/>
      <c r="E6" s="3"/>
      <c r="F6" s="3"/>
      <c r="G6" s="5"/>
      <c r="H6" s="9"/>
      <c r="I6" s="6"/>
      <c r="J6" s="5"/>
      <c r="K6" s="7"/>
      <c r="L6" s="7"/>
    </row>
    <row r="7" customFormat="false" ht="12.75" hidden="false" customHeight="false" outlineLevel="0" collapsed="false">
      <c r="A7" s="3" t="s">
        <v>9</v>
      </c>
      <c r="B7" s="3"/>
      <c r="C7" s="11" t="n">
        <f aca="false">ROUND(+C2/(1-C6)+(C4+C5),4)-C2</f>
        <v>0.0425</v>
      </c>
      <c r="D7" s="3"/>
      <c r="E7" s="3"/>
      <c r="F7" s="3"/>
      <c r="G7" s="5"/>
      <c r="H7" s="9"/>
      <c r="I7" s="10"/>
      <c r="J7" s="5"/>
      <c r="K7" s="7"/>
      <c r="L7" s="7"/>
    </row>
    <row r="8" customFormat="false" ht="12.75" hidden="false" customHeight="false" outlineLevel="0" collapsed="false">
      <c r="A8" s="3" t="s">
        <v>10</v>
      </c>
      <c r="B8" s="3"/>
      <c r="C8" s="12" t="n">
        <f aca="false">SUM(C2,C3,C7)</f>
        <v>3.0025</v>
      </c>
      <c r="D8" s="3" t="s">
        <v>11</v>
      </c>
      <c r="E8" s="3"/>
      <c r="F8" s="3"/>
      <c r="G8" s="5"/>
      <c r="H8" s="5"/>
      <c r="I8" s="6"/>
      <c r="J8" s="5"/>
      <c r="K8" s="7"/>
      <c r="L8" s="7"/>
    </row>
    <row r="9" customFormat="false" ht="12.75" hidden="false" customHeight="false" outlineLevel="0" collapsed="false">
      <c r="G9" s="7"/>
      <c r="H9" s="7"/>
      <c r="I9" s="13"/>
      <c r="J9" s="7"/>
      <c r="K9" s="7"/>
      <c r="L9" s="7"/>
    </row>
    <row r="11" customFormat="false" ht="12" hidden="false" customHeight="false" outlineLevel="0" collapsed="false">
      <c r="A11" s="3" t="s">
        <v>1</v>
      </c>
      <c r="B11" s="3" t="s">
        <v>2</v>
      </c>
      <c r="C11" s="4" t="n">
        <v>2.95</v>
      </c>
      <c r="D11" s="3"/>
      <c r="E11" s="4" t="n">
        <v>2.95</v>
      </c>
      <c r="F11" s="3"/>
      <c r="G11" s="3"/>
      <c r="H11" s="3"/>
    </row>
    <row r="12" customFormat="false" ht="12" hidden="false" customHeight="false" outlineLevel="0" collapsed="false">
      <c r="A12" s="3" t="s">
        <v>4</v>
      </c>
      <c r="B12" s="3"/>
      <c r="C12" s="4" t="n">
        <v>0.01</v>
      </c>
      <c r="D12" s="3"/>
      <c r="E12" s="4" t="n">
        <v>0.2</v>
      </c>
      <c r="F12" s="3"/>
      <c r="G12" s="3"/>
      <c r="H12" s="3"/>
    </row>
    <row r="13" customFormat="false" ht="12" hidden="false" customHeight="false" outlineLevel="0" collapsed="false">
      <c r="A13" s="3" t="s">
        <v>12</v>
      </c>
      <c r="B13" s="3"/>
      <c r="C13" s="4" t="n">
        <v>0.0112</v>
      </c>
      <c r="D13" s="3"/>
      <c r="E13" s="4" t="n">
        <v>0</v>
      </c>
      <c r="F13" s="3"/>
      <c r="G13" s="3"/>
      <c r="H13" s="3"/>
    </row>
    <row r="14" customFormat="false" ht="12" hidden="false" customHeight="false" outlineLevel="0" collapsed="false">
      <c r="A14" s="3" t="s">
        <v>7</v>
      </c>
      <c r="B14" s="3"/>
      <c r="C14" s="4" t="n">
        <f aca="false">0.0022+0.0072</f>
        <v>0.0094</v>
      </c>
      <c r="D14" s="3"/>
      <c r="E14" s="4" t="n">
        <v>0</v>
      </c>
      <c r="F14" s="3"/>
      <c r="G14" s="3"/>
      <c r="H14" s="3"/>
    </row>
    <row r="15" customFormat="false" ht="12" hidden="false" customHeight="false" outlineLevel="0" collapsed="false">
      <c r="A15" s="3" t="s">
        <v>8</v>
      </c>
      <c r="B15" s="3"/>
      <c r="C15" s="10" t="n">
        <v>0.0111</v>
      </c>
      <c r="D15" s="3"/>
      <c r="E15" s="10" t="n">
        <v>0</v>
      </c>
      <c r="F15" s="3"/>
      <c r="G15" s="3"/>
      <c r="H15" s="3"/>
    </row>
    <row r="16" customFormat="false" ht="12" hidden="false" customHeight="false" outlineLevel="0" collapsed="false">
      <c r="A16" s="3" t="s">
        <v>13</v>
      </c>
      <c r="B16" s="3"/>
      <c r="C16" s="11" t="n">
        <f aca="false">ROUND((+C11+C12)/(1-C15)-(C11+C12)+C13+C14,4)</f>
        <v>0.0538</v>
      </c>
      <c r="D16" s="3"/>
      <c r="E16" s="11" t="n">
        <f aca="false">ROUND((+E11+E12)/(1-E15)-(E11+E12)+E13+E14,4)</f>
        <v>0</v>
      </c>
      <c r="F16" s="3"/>
      <c r="G16" s="3"/>
      <c r="H16" s="3"/>
    </row>
    <row r="17" customFormat="false" ht="12.75" hidden="false" customHeight="false" outlineLevel="0" collapsed="false">
      <c r="A17" s="3"/>
      <c r="B17" s="3"/>
      <c r="C17" s="12" t="n">
        <f aca="false">SUM(C16,C11:C12)</f>
        <v>3.0138</v>
      </c>
      <c r="D17" s="3"/>
      <c r="E17" s="12" t="n">
        <f aca="false">SUM(E16,E11:E12)</f>
        <v>3.15</v>
      </c>
      <c r="F17" s="3"/>
      <c r="G17" s="3"/>
      <c r="H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3"/>
      <c r="H18" s="3"/>
    </row>
    <row r="19" customFormat="false" ht="12" hidden="false" customHeight="false" outlineLevel="0" collapsed="false">
      <c r="A19" s="3" t="s">
        <v>14</v>
      </c>
      <c r="B19" s="3" t="s">
        <v>15</v>
      </c>
      <c r="C19" s="3"/>
      <c r="D19" s="3"/>
      <c r="E19" s="3"/>
      <c r="F19" s="3"/>
      <c r="G19" s="3"/>
      <c r="H19" s="3"/>
    </row>
    <row r="20" customFormat="false" ht="12" hidden="false" customHeight="false" outlineLevel="0" collapsed="false">
      <c r="A20" s="3"/>
      <c r="B20" s="3" t="s">
        <v>16</v>
      </c>
      <c r="C20" s="3"/>
      <c r="D20" s="3"/>
      <c r="E20" s="3"/>
      <c r="F20" s="3"/>
      <c r="G20" s="3"/>
      <c r="H20" s="3"/>
    </row>
    <row r="21" customFormat="false" ht="12" hidden="false" customHeight="false" outlineLevel="0" collapsed="false">
      <c r="A21" s="3"/>
      <c r="B21" s="3" t="s">
        <v>17</v>
      </c>
      <c r="C21" s="3"/>
      <c r="D21" s="3"/>
      <c r="E21" s="3"/>
      <c r="F21" s="3"/>
      <c r="G21" s="3"/>
      <c r="H21" s="3"/>
    </row>
    <row r="25" customFormat="false" ht="12" hidden="false" customHeight="false" outlineLevel="0" collapsed="false">
      <c r="A25" s="14" t="s">
        <v>18</v>
      </c>
      <c r="C25" s="1" t="s">
        <v>19</v>
      </c>
      <c r="E25" s="1" t="s">
        <v>20</v>
      </c>
    </row>
    <row r="26" customFormat="false" ht="12" hidden="false" customHeight="false" outlineLevel="0" collapsed="false">
      <c r="A26" s="1" t="s">
        <v>1</v>
      </c>
      <c r="B26" s="1" t="s">
        <v>18</v>
      </c>
      <c r="C26" s="4" t="n">
        <v>2.73</v>
      </c>
      <c r="E26" s="4" t="n">
        <v>2.73</v>
      </c>
    </row>
    <row r="27" customFormat="false" ht="12" hidden="false" customHeight="false" outlineLevel="0" collapsed="false">
      <c r="A27" s="1" t="s">
        <v>4</v>
      </c>
      <c r="C27" s="4" t="n">
        <v>0.0075</v>
      </c>
      <c r="E27" s="4" t="n">
        <v>0.0075</v>
      </c>
    </row>
    <row r="28" customFormat="false" ht="12" hidden="false" customHeight="false" outlineLevel="0" collapsed="false">
      <c r="A28" s="1" t="s">
        <v>6</v>
      </c>
      <c r="C28" s="4" t="n">
        <v>0.0132</v>
      </c>
      <c r="E28" s="4" t="n">
        <v>0.0132</v>
      </c>
    </row>
    <row r="29" customFormat="false" ht="12" hidden="false" customHeight="false" outlineLevel="0" collapsed="false">
      <c r="A29" s="1" t="s">
        <v>7</v>
      </c>
      <c r="C29" s="4" t="n">
        <f aca="false">0.0022+0.0072</f>
        <v>0.0094</v>
      </c>
      <c r="E29" s="4" t="n">
        <f aca="false">0.0022+0.0072</f>
        <v>0.0094</v>
      </c>
    </row>
    <row r="30" customFormat="false" ht="12" hidden="false" customHeight="false" outlineLevel="0" collapsed="false">
      <c r="A30" s="1" t="s">
        <v>8</v>
      </c>
      <c r="C30" s="15" t="n">
        <v>0.02116</v>
      </c>
      <c r="E30" s="15" t="n">
        <v>0.02116</v>
      </c>
    </row>
    <row r="31" customFormat="false" ht="12" hidden="false" customHeight="false" outlineLevel="0" collapsed="false">
      <c r="A31" s="1" t="s">
        <v>21</v>
      </c>
      <c r="C31" s="11" t="n">
        <f aca="false">ROUND((+C26+C27)/(1-C30)-(C26+C27)+C28+C29,4)</f>
        <v>0.0818</v>
      </c>
      <c r="E31" s="11" t="n">
        <f aca="false">ROUND((+E26+E27)/(1-E30)-(E26+E27)+E28+E29,4)</f>
        <v>0.0818</v>
      </c>
    </row>
    <row r="32" customFormat="false" ht="12" hidden="false" customHeight="false" outlineLevel="0" collapsed="false">
      <c r="A32" s="1" t="s">
        <v>22</v>
      </c>
      <c r="C32" s="16" t="n">
        <v>0</v>
      </c>
      <c r="E32" s="16" t="n">
        <v>0.1</v>
      </c>
    </row>
    <row r="33" customFormat="false" ht="12.75" hidden="false" customHeight="false" outlineLevel="0" collapsed="false">
      <c r="C33" s="12" t="n">
        <f aca="false">SUM(C31,C26:C27)</f>
        <v>2.8193</v>
      </c>
      <c r="E33" s="12" t="n">
        <f aca="false">SUM(E26:E27,E31,E32)</f>
        <v>2.9193</v>
      </c>
    </row>
    <row r="34" customFormat="false" ht="12.75" hidden="false" customHeight="false" outlineLevel="0" collapsed="false"/>
    <row r="35" customFormat="false" ht="12" hidden="false" customHeight="false" outlineLevel="0" collapsed="false">
      <c r="C35" s="17"/>
      <c r="E35" s="17"/>
    </row>
    <row r="36" customFormat="false" ht="12" hidden="false" customHeight="false" outlineLevel="0" collapsed="false">
      <c r="C36" s="18"/>
      <c r="E36" s="18"/>
    </row>
    <row r="37" customFormat="false" ht="12" hidden="false" customHeight="false" outlineLevel="0" collapsed="false">
      <c r="C37" s="19"/>
    </row>
    <row r="44" customFormat="false" ht="12" hidden="false" customHeight="false" outlineLevel="0" collapsed="false">
      <c r="A44" s="2" t="s">
        <v>23</v>
      </c>
      <c r="B44" s="3"/>
      <c r="C44" s="3" t="s">
        <v>24</v>
      </c>
      <c r="D44" s="3"/>
      <c r="E44" s="3" t="s">
        <v>25</v>
      </c>
      <c r="F44" s="3"/>
      <c r="G44" s="3" t="s">
        <v>26</v>
      </c>
      <c r="H44" s="3"/>
    </row>
    <row r="45" customFormat="false" ht="12" hidden="false" customHeight="false" outlineLevel="0" collapsed="false">
      <c r="A45" s="3" t="s">
        <v>1</v>
      </c>
      <c r="B45" s="3" t="s">
        <v>23</v>
      </c>
      <c r="C45" s="4" t="n">
        <v>2.79</v>
      </c>
      <c r="D45" s="3"/>
      <c r="E45" s="4" t="n">
        <v>2.79</v>
      </c>
      <c r="F45" s="3"/>
      <c r="G45" s="4" t="n">
        <v>2.79</v>
      </c>
      <c r="H45" s="3"/>
    </row>
    <row r="46" customFormat="false" ht="12" hidden="false" customHeight="false" outlineLevel="0" collapsed="false">
      <c r="A46" s="3" t="s">
        <v>4</v>
      </c>
      <c r="B46" s="3"/>
      <c r="C46" s="4" t="n">
        <v>0.015</v>
      </c>
      <c r="D46" s="3"/>
      <c r="E46" s="4" t="n">
        <v>0.075</v>
      </c>
      <c r="F46" s="3"/>
      <c r="G46" s="4" t="n">
        <v>0.015</v>
      </c>
      <c r="H46" s="3"/>
    </row>
    <row r="47" customFormat="false" ht="12" hidden="false" customHeight="false" outlineLevel="0" collapsed="false">
      <c r="A47" s="3" t="s">
        <v>6</v>
      </c>
      <c r="B47" s="3"/>
      <c r="C47" s="4" t="n">
        <v>0.0395</v>
      </c>
      <c r="D47" s="3"/>
      <c r="E47" s="4" t="n">
        <v>0.0395</v>
      </c>
      <c r="F47" s="3"/>
      <c r="G47" s="4" t="n">
        <v>0.0395</v>
      </c>
      <c r="H47" s="3"/>
    </row>
    <row r="48" customFormat="false" ht="12" hidden="false" customHeight="false" outlineLevel="0" collapsed="false">
      <c r="A48" s="3" t="s">
        <v>7</v>
      </c>
      <c r="B48" s="3"/>
      <c r="C48" s="4" t="n">
        <f aca="false">0.0022</f>
        <v>0.0022</v>
      </c>
      <c r="D48" s="3"/>
      <c r="E48" s="4" t="n">
        <f aca="false">0.0022</f>
        <v>0.0022</v>
      </c>
      <c r="F48" s="3"/>
      <c r="G48" s="4" t="n">
        <f aca="false">0.0022</f>
        <v>0.0022</v>
      </c>
      <c r="H48" s="3"/>
    </row>
    <row r="49" customFormat="false" ht="12" hidden="false" customHeight="false" outlineLevel="0" collapsed="false">
      <c r="A49" s="3" t="s">
        <v>8</v>
      </c>
      <c r="B49" s="3"/>
      <c r="C49" s="10" t="n">
        <v>0.0228</v>
      </c>
      <c r="D49" s="3"/>
      <c r="E49" s="10" t="n">
        <v>0.0228</v>
      </c>
      <c r="F49" s="3"/>
      <c r="G49" s="10" t="n">
        <v>0.0228</v>
      </c>
      <c r="H49" s="3"/>
    </row>
    <row r="50" customFormat="false" ht="12" hidden="false" customHeight="false" outlineLevel="0" collapsed="false">
      <c r="A50" s="3" t="s">
        <v>21</v>
      </c>
      <c r="B50" s="3"/>
      <c r="C50" s="11" t="n">
        <f aca="false">ROUND((+C45+C46)/(1-C49)-(C45+C46)+C47+C48,4)</f>
        <v>0.1071</v>
      </c>
      <c r="D50" s="3"/>
      <c r="E50" s="11" t="n">
        <f aca="false">ROUND((+E45+E46)/(1-E49)-(E45+E46)+E47+E48,4)</f>
        <v>0.1085</v>
      </c>
      <c r="F50" s="5"/>
      <c r="G50" s="11" t="n">
        <f aca="false">ROUND((+G45+G46)/(1-G49)-(G45+G46)+G47+G48,4)</f>
        <v>0.1071</v>
      </c>
      <c r="H50" s="3"/>
    </row>
    <row r="51" customFormat="false" ht="12" hidden="false" customHeight="false" outlineLevel="0" collapsed="false">
      <c r="A51" s="3" t="s">
        <v>22</v>
      </c>
      <c r="B51" s="3"/>
      <c r="C51" s="11" t="n">
        <v>0</v>
      </c>
      <c r="D51" s="3"/>
      <c r="E51" s="11" t="n">
        <v>0.1</v>
      </c>
      <c r="F51" s="5"/>
      <c r="G51" s="11" t="n">
        <v>0.1</v>
      </c>
      <c r="H51" s="3"/>
    </row>
    <row r="52" customFormat="false" ht="12.75" hidden="false" customHeight="false" outlineLevel="0" collapsed="false">
      <c r="A52" s="3" t="s">
        <v>10</v>
      </c>
      <c r="B52" s="3"/>
      <c r="C52" s="20" t="n">
        <f aca="false">SUM(C50,C45:C46,C51)</f>
        <v>2.9121</v>
      </c>
      <c r="D52" s="3"/>
      <c r="E52" s="20" t="n">
        <f aca="false">SUM(E50,E45:E46,E51)</f>
        <v>3.0735</v>
      </c>
      <c r="F52" s="5"/>
      <c r="G52" s="20" t="n">
        <f aca="false">SUM(G50,G45:G46,G51)</f>
        <v>3.0121</v>
      </c>
      <c r="H52" s="3"/>
    </row>
    <row r="53" customFormat="false" ht="12.75" hidden="false" customHeight="false" outlineLevel="0" collapsed="false">
      <c r="A53" s="3" t="s">
        <v>27</v>
      </c>
      <c r="B53" s="3"/>
      <c r="C53" s="21" t="n">
        <f aca="false">1167*31</f>
        <v>36177</v>
      </c>
      <c r="D53" s="3"/>
      <c r="E53" s="21" t="n">
        <f aca="false">127249-C53</f>
        <v>91072</v>
      </c>
      <c r="F53" s="5"/>
      <c r="G53" s="21" t="n">
        <v>268668</v>
      </c>
      <c r="H53" s="3"/>
    </row>
    <row r="54" customFormat="false" ht="12" hidden="false" customHeight="false" outlineLevel="0" collapsed="false">
      <c r="A54" s="3" t="s">
        <v>28</v>
      </c>
      <c r="B54" s="3"/>
      <c r="C54" s="6"/>
      <c r="D54" s="3"/>
      <c r="E54" s="5"/>
      <c r="F54" s="5"/>
      <c r="G54" s="5"/>
      <c r="H54" s="3"/>
    </row>
    <row r="55" customFormat="false" ht="12" hidden="false" customHeight="false" outlineLevel="0" collapsed="false">
      <c r="C55" s="13"/>
    </row>
    <row r="56" customFormat="false" ht="12" hidden="false" customHeight="false" outlineLevel="0" collapsed="false">
      <c r="A56" s="3" t="s">
        <v>29</v>
      </c>
      <c r="B56" s="3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2" hidden="false" customHeight="false" outlineLevel="0" collapsed="false">
      <c r="A57" s="3" t="s">
        <v>30</v>
      </c>
      <c r="B57" s="3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2" hidden="false" customHeight="false" outlineLevel="0" collapsed="false">
      <c r="C58" s="13"/>
    </row>
    <row r="59" customFormat="false" ht="12" hidden="false" customHeight="false" outlineLevel="0" collapsed="false">
      <c r="A59" s="3" t="s">
        <v>31</v>
      </c>
      <c r="B59" s="3"/>
      <c r="C59" s="6"/>
      <c r="D59" s="3"/>
      <c r="E59" s="3"/>
    </row>
    <row r="60" customFormat="false" ht="12" hidden="false" customHeight="false" outlineLevel="0" collapsed="false">
      <c r="A60" s="3" t="s">
        <v>32</v>
      </c>
      <c r="B60" s="3" t="s">
        <v>33</v>
      </c>
      <c r="C60" s="6"/>
      <c r="D60" s="3"/>
      <c r="E60" s="3"/>
    </row>
    <row r="61" customFormat="false" ht="12" hidden="false" customHeight="false" outlineLevel="0" collapsed="false">
      <c r="A61" s="3" t="n">
        <v>145898</v>
      </c>
      <c r="B61" s="3" t="s">
        <v>34</v>
      </c>
      <c r="C61" s="6"/>
      <c r="D61" s="3"/>
      <c r="E61" s="3"/>
    </row>
    <row r="62" customFormat="false" ht="12" hidden="false" customHeight="false" outlineLevel="0" collapsed="false">
      <c r="C62" s="13"/>
    </row>
    <row r="63" customFormat="false" ht="12" hidden="false" customHeight="false" outlineLevel="0" collapsed="false">
      <c r="C63" s="13"/>
    </row>
    <row r="64" customFormat="false" ht="12" hidden="false" customHeight="false" outlineLevel="0" collapsed="false">
      <c r="C64" s="13"/>
    </row>
    <row r="65" customFormat="false" ht="12" hidden="false" customHeight="false" outlineLevel="0" collapsed="false">
      <c r="C65" s="13"/>
    </row>
    <row r="66" customFormat="false" ht="12" hidden="false" customHeight="false" outlineLevel="0" collapsed="false">
      <c r="A66" s="14" t="s">
        <v>35</v>
      </c>
      <c r="C66" s="22" t="s">
        <v>36</v>
      </c>
      <c r="E66" s="22" t="s">
        <v>37</v>
      </c>
    </row>
    <row r="67" customFormat="false" ht="12" hidden="false" customHeight="false" outlineLevel="0" collapsed="false">
      <c r="A67" s="1" t="s">
        <v>1</v>
      </c>
      <c r="B67" s="1" t="s">
        <v>38</v>
      </c>
      <c r="C67" s="4" t="n">
        <v>2.56</v>
      </c>
      <c r="E67" s="4" t="n">
        <f aca="false">+C73</f>
        <v>2.6794</v>
      </c>
    </row>
    <row r="68" customFormat="false" ht="12" hidden="false" customHeight="false" outlineLevel="0" collapsed="false">
      <c r="A68" s="1" t="s">
        <v>4</v>
      </c>
      <c r="C68" s="4" t="n">
        <v>0.01</v>
      </c>
      <c r="E68" s="4" t="n">
        <v>0</v>
      </c>
    </row>
    <row r="69" customFormat="false" ht="12" hidden="false" customHeight="false" outlineLevel="0" collapsed="false">
      <c r="A69" s="1" t="s">
        <v>6</v>
      </c>
      <c r="C69" s="4" t="n">
        <v>0.0572</v>
      </c>
      <c r="E69" s="4" t="n">
        <v>0.0011</v>
      </c>
    </row>
    <row r="70" customFormat="false" ht="12" hidden="false" customHeight="false" outlineLevel="0" collapsed="false">
      <c r="A70" s="1" t="s">
        <v>7</v>
      </c>
      <c r="C70" s="4" t="n">
        <f aca="false">0.0022</f>
        <v>0.0022</v>
      </c>
      <c r="E70" s="4" t="n">
        <f aca="false">0.0022+0.0072</f>
        <v>0.0094</v>
      </c>
      <c r="F70" s="3" t="s">
        <v>39</v>
      </c>
      <c r="G70" s="3"/>
      <c r="H70" s="3"/>
      <c r="I70" s="3"/>
    </row>
    <row r="71" customFormat="false" ht="12" hidden="false" customHeight="false" outlineLevel="0" collapsed="false">
      <c r="A71" s="1" t="s">
        <v>8</v>
      </c>
      <c r="C71" s="10" t="n">
        <v>0.0191</v>
      </c>
      <c r="E71" s="10" t="n">
        <v>0.022</v>
      </c>
    </row>
    <row r="72" customFormat="false" ht="12" hidden="false" customHeight="false" outlineLevel="0" collapsed="false">
      <c r="A72" s="1" t="s">
        <v>21</v>
      </c>
      <c r="C72" s="11" t="n">
        <f aca="false">ROUND((+C67+C68)/(1-C71)-(C67+C68)+C69+C70,4)</f>
        <v>0.1094</v>
      </c>
      <c r="E72" s="11" t="n">
        <f aca="false">ROUND((+E67+E68)/(1-E71)-(E67+E68)+E69+E70,4)</f>
        <v>0.0708</v>
      </c>
    </row>
    <row r="73" customFormat="false" ht="12.75" hidden="false" customHeight="false" outlineLevel="0" collapsed="false">
      <c r="A73" s="1" t="s">
        <v>10</v>
      </c>
      <c r="C73" s="12" t="n">
        <f aca="false">SUM(C72,C67:C68)</f>
        <v>2.6794</v>
      </c>
      <c r="E73" s="12" t="n">
        <f aca="false">SUM(E72,E67:E68)</f>
        <v>2.7502</v>
      </c>
      <c r="F73" s="3" t="s">
        <v>40</v>
      </c>
    </row>
    <row r="74" customFormat="false" ht="12.75" hidden="false" customHeight="false" outlineLevel="0" collapsed="false"/>
    <row r="78" customFormat="false" ht="12" hidden="false" customHeight="false" outlineLevel="0" collapsed="false">
      <c r="A78" s="2" t="s">
        <v>41</v>
      </c>
      <c r="B78" s="3"/>
      <c r="C78" s="23" t="s">
        <v>19</v>
      </c>
      <c r="D78" s="3"/>
      <c r="E78" s="23" t="s">
        <v>42</v>
      </c>
      <c r="F78" s="3"/>
      <c r="G78" s="3"/>
    </row>
    <row r="79" customFormat="false" ht="12" hidden="false" customHeight="false" outlineLevel="0" collapsed="false">
      <c r="A79" s="3" t="s">
        <v>1</v>
      </c>
      <c r="B79" s="3" t="s">
        <v>23</v>
      </c>
      <c r="C79" s="4" t="n">
        <v>2.79</v>
      </c>
      <c r="D79" s="3"/>
      <c r="E79" s="4" t="n">
        <v>2.79</v>
      </c>
      <c r="F79" s="3"/>
      <c r="G79" s="3"/>
    </row>
    <row r="80" customFormat="false" ht="12" hidden="false" customHeight="false" outlineLevel="0" collapsed="false">
      <c r="A80" s="3" t="s">
        <v>4</v>
      </c>
      <c r="B80" s="3"/>
      <c r="C80" s="4" t="n">
        <v>0.065</v>
      </c>
      <c r="D80" s="3"/>
      <c r="E80" s="4" t="n">
        <v>0.065</v>
      </c>
      <c r="F80" s="3"/>
      <c r="G80" s="3"/>
    </row>
    <row r="81" customFormat="false" ht="12" hidden="false" customHeight="false" outlineLevel="0" collapsed="false">
      <c r="A81" s="3" t="s">
        <v>6</v>
      </c>
      <c r="B81" s="3"/>
      <c r="C81" s="4" t="n">
        <v>0.0092</v>
      </c>
      <c r="D81" s="3"/>
      <c r="E81" s="4" t="n">
        <f aca="false">0.1953+0.0174</f>
        <v>0.2127</v>
      </c>
      <c r="F81" s="3"/>
      <c r="G81" s="3"/>
    </row>
    <row r="82" customFormat="false" ht="12" hidden="false" customHeight="false" outlineLevel="0" collapsed="false">
      <c r="A82" s="3" t="s">
        <v>7</v>
      </c>
      <c r="B82" s="3"/>
      <c r="C82" s="4" t="n">
        <f aca="false">0.0022+0.0072</f>
        <v>0.0094</v>
      </c>
      <c r="D82" s="3"/>
      <c r="E82" s="4" t="n">
        <f aca="false">0.0022+0.0072</f>
        <v>0.0094</v>
      </c>
      <c r="F82" s="3"/>
      <c r="G82" s="3"/>
    </row>
    <row r="83" customFormat="false" ht="12" hidden="false" customHeight="false" outlineLevel="0" collapsed="false">
      <c r="A83" s="3" t="s">
        <v>8</v>
      </c>
      <c r="B83" s="3"/>
      <c r="C83" s="10" t="n">
        <v>0.03</v>
      </c>
      <c r="D83" s="3"/>
      <c r="E83" s="10" t="n">
        <v>0.03</v>
      </c>
      <c r="F83" s="3"/>
      <c r="G83" s="3"/>
    </row>
    <row r="84" customFormat="false" ht="12" hidden="false" customHeight="false" outlineLevel="0" collapsed="false">
      <c r="A84" s="3" t="s">
        <v>21</v>
      </c>
      <c r="B84" s="3"/>
      <c r="C84" s="11" t="n">
        <f aca="false">ROUND((+C79+C80)/(1-C83)-(C79+C80)+C81+C82,4)</f>
        <v>0.1069</v>
      </c>
      <c r="D84" s="3"/>
      <c r="E84" s="11" t="n">
        <f aca="false">ROUND((+E79+E80)/(1-E83)-(E79+E80)+E81+E82,4)</f>
        <v>0.3104</v>
      </c>
      <c r="F84" s="3"/>
      <c r="G84" s="3"/>
    </row>
    <row r="85" customFormat="false" ht="12.75" hidden="false" customHeight="false" outlineLevel="0" collapsed="false">
      <c r="A85" s="3" t="s">
        <v>10</v>
      </c>
      <c r="B85" s="3"/>
      <c r="C85" s="12" t="n">
        <f aca="false">SUM(C84,C79:C80)</f>
        <v>2.9619</v>
      </c>
      <c r="D85" s="3"/>
      <c r="E85" s="12" t="n">
        <f aca="false">SUM(E84,E79:E80)</f>
        <v>3.1654</v>
      </c>
      <c r="F85" s="3"/>
      <c r="G85" s="3"/>
    </row>
    <row r="86" customFormat="false" ht="12.75" hidden="false" customHeight="false" outlineLevel="0" collapsed="false">
      <c r="A86" s="3"/>
      <c r="B86" s="3"/>
      <c r="C86" s="3"/>
      <c r="D86" s="3"/>
      <c r="E86" s="3"/>
      <c r="F86" s="3"/>
      <c r="G86" s="3"/>
    </row>
    <row r="87" customFormat="false" ht="12" hidden="false" customHeight="false" outlineLevel="0" collapsed="false">
      <c r="A87" s="3" t="s">
        <v>43</v>
      </c>
      <c r="B87" s="3"/>
      <c r="C87" s="3"/>
      <c r="D87" s="3"/>
      <c r="E87" s="3"/>
      <c r="F87" s="3"/>
      <c r="G87" s="3"/>
    </row>
    <row r="90" customFormat="false" ht="12" hidden="false" customHeight="false" outlineLevel="0" collapsed="false">
      <c r="A90" s="2" t="s">
        <v>44</v>
      </c>
      <c r="B90" s="3"/>
      <c r="C90" s="3"/>
      <c r="D90" s="3"/>
      <c r="E90" s="3"/>
      <c r="F90" s="3"/>
      <c r="G90" s="3"/>
    </row>
    <row r="91" customFormat="false" ht="12" hidden="false" customHeight="false" outlineLevel="0" collapsed="false">
      <c r="A91" s="3" t="s">
        <v>1</v>
      </c>
      <c r="B91" s="3" t="s">
        <v>45</v>
      </c>
      <c r="C91" s="4" t="n">
        <v>2.56</v>
      </c>
      <c r="D91" s="3"/>
      <c r="E91" s="3"/>
      <c r="F91" s="3"/>
      <c r="G91" s="3"/>
    </row>
    <row r="92" customFormat="false" ht="12" hidden="false" customHeight="false" outlineLevel="0" collapsed="false">
      <c r="A92" s="3" t="s">
        <v>4</v>
      </c>
      <c r="B92" s="3"/>
      <c r="C92" s="4" t="n">
        <v>0.01</v>
      </c>
      <c r="D92" s="3"/>
      <c r="E92" s="3"/>
      <c r="F92" s="3"/>
      <c r="G92" s="3"/>
    </row>
    <row r="93" customFormat="false" ht="12" hidden="false" customHeight="false" outlineLevel="0" collapsed="false">
      <c r="A93" s="3" t="s">
        <v>6</v>
      </c>
      <c r="B93" s="3"/>
      <c r="C93" s="4" t="n">
        <v>0.1126</v>
      </c>
      <c r="D93" s="3"/>
      <c r="E93" s="3"/>
      <c r="F93" s="3"/>
      <c r="G93" s="3"/>
    </row>
    <row r="94" customFormat="false" ht="12" hidden="false" customHeight="false" outlineLevel="0" collapsed="false">
      <c r="A94" s="3" t="s">
        <v>7</v>
      </c>
      <c r="B94" s="3"/>
      <c r="C94" s="4" t="n">
        <f aca="false">0.0022+0.0072</f>
        <v>0.0094</v>
      </c>
      <c r="D94" s="3"/>
      <c r="E94" s="3"/>
      <c r="F94" s="3"/>
      <c r="G94" s="3"/>
    </row>
    <row r="95" customFormat="false" ht="12" hidden="false" customHeight="false" outlineLevel="0" collapsed="false">
      <c r="A95" s="3" t="s">
        <v>8</v>
      </c>
      <c r="B95" s="3"/>
      <c r="C95" s="10" t="n">
        <v>0.0699</v>
      </c>
      <c r="D95" s="3"/>
      <c r="E95" s="3"/>
      <c r="F95" s="3"/>
      <c r="G95" s="3"/>
    </row>
    <row r="96" customFormat="false" ht="12" hidden="false" customHeight="false" outlineLevel="0" collapsed="false">
      <c r="A96" s="3" t="s">
        <v>21</v>
      </c>
      <c r="B96" s="3"/>
      <c r="C96" s="11" t="n">
        <f aca="false">ROUND((+C91+C92)/(1-C95)-(C91+C92)+C93+C94,4)</f>
        <v>0.3151</v>
      </c>
      <c r="D96" s="3"/>
      <c r="E96" s="3"/>
      <c r="F96" s="3"/>
      <c r="G96" s="3"/>
    </row>
    <row r="97" customFormat="false" ht="12.75" hidden="false" customHeight="false" outlineLevel="0" collapsed="false">
      <c r="A97" s="3"/>
      <c r="B97" s="3"/>
      <c r="C97" s="12" t="n">
        <f aca="false">SUM(C96,C91:C92)</f>
        <v>2.8851</v>
      </c>
      <c r="D97" s="3" t="s">
        <v>46</v>
      </c>
      <c r="E97" s="3"/>
      <c r="F97" s="3"/>
      <c r="G97" s="3"/>
    </row>
    <row r="98" customFormat="false" ht="12.75" hidden="false" customHeight="false" outlineLevel="0" collapsed="false">
      <c r="A98" s="3"/>
      <c r="B98" s="3"/>
      <c r="C98" s="3"/>
      <c r="D98" s="3"/>
      <c r="E98" s="3"/>
      <c r="F98" s="3"/>
      <c r="G98" s="3"/>
    </row>
    <row r="100" customFormat="false" ht="12" hidden="false" customHeight="false" outlineLevel="0" collapsed="false">
      <c r="A100" s="2" t="s">
        <v>47</v>
      </c>
      <c r="B100" s="3"/>
      <c r="C100" s="3"/>
      <c r="D100" s="3"/>
      <c r="E100" s="3"/>
      <c r="F100" s="3"/>
      <c r="G100" s="3"/>
      <c r="H100" s="3"/>
      <c r="I100" s="3"/>
      <c r="J100" s="3"/>
    </row>
    <row r="101" customFormat="false" ht="12" hidden="false" customHeight="false" outlineLevel="0" collapsed="false">
      <c r="A101" s="3" t="s">
        <v>1</v>
      </c>
      <c r="B101" s="3" t="s">
        <v>48</v>
      </c>
      <c r="C101" s="4" t="n">
        <v>2.56</v>
      </c>
      <c r="D101" s="3"/>
      <c r="E101" s="3"/>
      <c r="F101" s="3"/>
      <c r="G101" s="3"/>
      <c r="H101" s="3"/>
      <c r="I101" s="3"/>
      <c r="J101" s="3"/>
    </row>
    <row r="102" customFormat="false" ht="12" hidden="false" customHeight="false" outlineLevel="0" collapsed="false">
      <c r="A102" s="3" t="s">
        <v>4</v>
      </c>
      <c r="B102" s="3"/>
      <c r="C102" s="4" t="n">
        <v>0.01</v>
      </c>
      <c r="D102" s="3"/>
      <c r="E102" s="3"/>
      <c r="F102" s="3"/>
      <c r="G102" s="3"/>
      <c r="H102" s="3"/>
      <c r="I102" s="3"/>
      <c r="J102" s="3"/>
    </row>
    <row r="103" customFormat="false" ht="12" hidden="false" customHeight="false" outlineLevel="0" collapsed="false">
      <c r="A103" s="3" t="s">
        <v>6</v>
      </c>
      <c r="B103" s="3"/>
      <c r="C103" s="4" t="n">
        <v>0.0994</v>
      </c>
      <c r="D103" s="3"/>
      <c r="E103" s="3"/>
      <c r="F103" s="3"/>
      <c r="G103" s="3"/>
      <c r="H103" s="3"/>
      <c r="I103" s="3"/>
      <c r="J103" s="3"/>
    </row>
    <row r="104" customFormat="false" ht="12" hidden="false" customHeight="false" outlineLevel="0" collapsed="false">
      <c r="A104" s="3" t="s">
        <v>7</v>
      </c>
      <c r="B104" s="3"/>
      <c r="C104" s="4" t="n">
        <f aca="false">0.0022+0.0072</f>
        <v>0.0094</v>
      </c>
      <c r="D104" s="3"/>
      <c r="E104" s="3"/>
      <c r="F104" s="3"/>
      <c r="G104" s="3"/>
      <c r="H104" s="3"/>
      <c r="I104" s="3"/>
      <c r="J104" s="3"/>
    </row>
    <row r="105" customFormat="false" ht="12" hidden="false" customHeight="false" outlineLevel="0" collapsed="false">
      <c r="A105" s="3" t="s">
        <v>8</v>
      </c>
      <c r="B105" s="3"/>
      <c r="C105" s="10" t="n">
        <v>0.0924</v>
      </c>
      <c r="D105" s="3"/>
      <c r="E105" s="3"/>
      <c r="F105" s="3"/>
      <c r="G105" s="3"/>
      <c r="H105" s="3"/>
      <c r="I105" s="3"/>
      <c r="J105" s="3"/>
    </row>
    <row r="106" customFormat="false" ht="12" hidden="false" customHeight="false" outlineLevel="0" collapsed="false">
      <c r="A106" s="3" t="s">
        <v>21</v>
      </c>
      <c r="B106" s="3"/>
      <c r="C106" s="11" t="n">
        <f aca="false">ROUND((+C101+C102)/(1-C105)-(C101+C102)+C103+C104,4)</f>
        <v>0.3704</v>
      </c>
      <c r="D106" s="3" t="s">
        <v>49</v>
      </c>
      <c r="E106" s="3"/>
      <c r="F106" s="3"/>
      <c r="G106" s="3"/>
      <c r="H106" s="3"/>
      <c r="I106" s="3"/>
      <c r="J106" s="3"/>
    </row>
    <row r="107" customFormat="false" ht="12.75" hidden="false" customHeight="false" outlineLevel="0" collapsed="false">
      <c r="A107" s="3"/>
      <c r="B107" s="3"/>
      <c r="C107" s="12" t="n">
        <f aca="false">SUM(C106,C101:C102)</f>
        <v>2.9404</v>
      </c>
      <c r="D107" s="3" t="s">
        <v>50</v>
      </c>
      <c r="E107" s="3"/>
      <c r="F107" s="3"/>
      <c r="G107" s="3"/>
      <c r="H107" s="3"/>
      <c r="I107" s="3"/>
      <c r="J107" s="3"/>
    </row>
    <row r="108" customFormat="false" ht="12.75" hidden="false" customHeight="false" outlineLevel="0" collapsed="false">
      <c r="A108" s="3"/>
      <c r="B108" s="3"/>
      <c r="C108" s="3"/>
      <c r="D108" s="3" t="s">
        <v>51</v>
      </c>
      <c r="E108" s="3"/>
      <c r="F108" s="3"/>
      <c r="G108" s="3"/>
      <c r="H108" s="3"/>
      <c r="I108" s="3"/>
      <c r="J108" s="3"/>
    </row>
    <row r="109" customFormat="false" ht="12" hidden="false" customHeight="false" outlineLevel="0" collapsed="false">
      <c r="A109" s="3"/>
      <c r="B109" s="3"/>
      <c r="C109" s="3"/>
      <c r="D109" s="3" t="s">
        <v>52</v>
      </c>
      <c r="E109" s="3"/>
      <c r="F109" s="3"/>
      <c r="G109" s="3"/>
      <c r="H109" s="3"/>
      <c r="I109" s="3"/>
      <c r="J109" s="3"/>
    </row>
    <row r="110" customFormat="false" ht="12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customFormat="false" ht="12" hidden="false" customHeight="false" outlineLevel="0" collapsed="false">
      <c r="A111" s="3" t="s">
        <v>53</v>
      </c>
      <c r="B111" s="3"/>
      <c r="C111" s="3"/>
      <c r="D111" s="3"/>
      <c r="E111" s="3"/>
      <c r="F111" s="3"/>
      <c r="G111" s="3"/>
      <c r="H111" s="3"/>
      <c r="I111" s="3"/>
      <c r="J111" s="3"/>
    </row>
    <row r="112" customFormat="false" ht="12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8" customFormat="false" ht="11.25" hidden="false" customHeight="true" outlineLevel="0" collapsed="false"/>
    <row r="119" customFormat="false" ht="12.75" hidden="false" customHeight="false" outlineLevel="0" collapsed="false">
      <c r="A119" s="24" t="s">
        <v>54</v>
      </c>
      <c r="B119" s="3"/>
      <c r="C119" s="3"/>
      <c r="D119" s="3"/>
      <c r="E119" s="3"/>
      <c r="G119" s="25"/>
      <c r="H119" s="25"/>
    </row>
    <row r="120" customFormat="false" ht="12.75" hidden="false" customHeight="false" outlineLevel="0" collapsed="false">
      <c r="A120" s="3"/>
      <c r="B120" s="3"/>
      <c r="C120" s="3"/>
      <c r="D120" s="26"/>
      <c r="E120" s="3"/>
      <c r="F120" s="27"/>
      <c r="G120" s="25"/>
    </row>
    <row r="121" customFormat="false" ht="12" hidden="false" customHeight="false" outlineLevel="0" collapsed="false">
      <c r="A121" s="3" t="s">
        <v>55</v>
      </c>
      <c r="B121" s="3"/>
      <c r="C121" s="3"/>
      <c r="D121" s="3"/>
      <c r="E121" s="5"/>
      <c r="F121" s="7"/>
      <c r="G121" s="7"/>
      <c r="H121" s="7"/>
      <c r="I121" s="7"/>
      <c r="J121" s="7"/>
      <c r="K121" s="7"/>
      <c r="L121" s="7"/>
    </row>
    <row r="122" customFormat="false" ht="12.75" hidden="false" customHeight="false" outlineLevel="0" collapsed="false">
      <c r="A122" s="3" t="s">
        <v>1</v>
      </c>
      <c r="B122" s="3" t="s">
        <v>56</v>
      </c>
      <c r="C122" s="4" t="n">
        <v>2.61</v>
      </c>
      <c r="D122" s="3"/>
      <c r="E122" s="5"/>
      <c r="F122" s="7"/>
      <c r="G122" s="13"/>
      <c r="H122" s="7"/>
      <c r="I122" s="7"/>
      <c r="J122" s="7"/>
      <c r="K122" s="13"/>
      <c r="L122" s="28"/>
    </row>
    <row r="123" customFormat="false" ht="12.75" hidden="false" customHeight="false" outlineLevel="0" collapsed="false">
      <c r="A123" s="3" t="s">
        <v>4</v>
      </c>
      <c r="B123" s="3"/>
      <c r="C123" s="4" t="n">
        <v>0.01</v>
      </c>
      <c r="D123" s="3"/>
      <c r="E123" s="5"/>
      <c r="F123" s="7"/>
      <c r="G123" s="13"/>
      <c r="H123" s="7"/>
      <c r="I123" s="7"/>
      <c r="J123" s="7"/>
      <c r="K123" s="13"/>
      <c r="L123" s="28"/>
    </row>
    <row r="124" customFormat="false" ht="12.75" hidden="false" customHeight="false" outlineLevel="0" collapsed="false">
      <c r="A124" s="3" t="s">
        <v>6</v>
      </c>
      <c r="B124" s="8"/>
      <c r="C124" s="4" t="n">
        <v>0.0224</v>
      </c>
      <c r="D124" s="3"/>
      <c r="E124" s="5"/>
      <c r="F124" s="28"/>
      <c r="G124" s="13"/>
      <c r="H124" s="7"/>
      <c r="I124" s="7"/>
      <c r="J124" s="28"/>
      <c r="K124" s="13"/>
      <c r="L124" s="28"/>
    </row>
    <row r="125" customFormat="false" ht="12.75" hidden="false" customHeight="false" outlineLevel="0" collapsed="false">
      <c r="A125" s="3" t="s">
        <v>7</v>
      </c>
      <c r="B125" s="8"/>
      <c r="C125" s="4" t="n">
        <f aca="false">0.0022+0.0072+0.0131</f>
        <v>0.0225</v>
      </c>
      <c r="D125" s="3"/>
      <c r="E125" s="5"/>
      <c r="F125" s="28"/>
      <c r="G125" s="13"/>
      <c r="H125" s="7"/>
      <c r="I125" s="7"/>
      <c r="J125" s="28"/>
      <c r="K125" s="13"/>
      <c r="L125" s="28"/>
    </row>
    <row r="126" customFormat="false" ht="12.75" hidden="false" customHeight="false" outlineLevel="0" collapsed="false">
      <c r="A126" s="3" t="s">
        <v>8</v>
      </c>
      <c r="B126" s="29"/>
      <c r="C126" s="10" t="n">
        <v>0.0474</v>
      </c>
      <c r="D126" s="3"/>
      <c r="E126" s="5"/>
      <c r="F126" s="30"/>
      <c r="G126" s="31"/>
      <c r="H126" s="7"/>
      <c r="I126" s="7"/>
      <c r="J126" s="30"/>
      <c r="K126" s="31"/>
      <c r="L126" s="28"/>
    </row>
    <row r="127" customFormat="false" ht="12.75" hidden="false" customHeight="false" outlineLevel="0" collapsed="false">
      <c r="A127" s="3" t="s">
        <v>21</v>
      </c>
      <c r="B127" s="3"/>
      <c r="C127" s="11" t="n">
        <f aca="false">ROUND((+C122+C123)/(1-C126)+(C124+C125),4)-C122-C123</f>
        <v>0.1753</v>
      </c>
      <c r="D127" s="3"/>
      <c r="E127" s="5"/>
      <c r="F127" s="7"/>
      <c r="G127" s="13"/>
      <c r="H127" s="7"/>
      <c r="I127" s="7"/>
      <c r="J127" s="7"/>
      <c r="K127" s="13"/>
      <c r="L127" s="28"/>
    </row>
    <row r="128" customFormat="false" ht="13.5" hidden="false" customHeight="false" outlineLevel="0" collapsed="false">
      <c r="A128" s="3"/>
      <c r="B128" s="3"/>
      <c r="C128" s="12" t="n">
        <f aca="false">SUM(C127,C122:C123)</f>
        <v>2.7953</v>
      </c>
      <c r="D128" s="3" t="s">
        <v>57</v>
      </c>
      <c r="E128" s="5"/>
      <c r="F128" s="7"/>
      <c r="G128" s="7"/>
      <c r="H128" s="7"/>
      <c r="I128" s="7"/>
      <c r="J128" s="7"/>
      <c r="K128" s="7"/>
      <c r="L128" s="28"/>
      <c r="M128" s="27"/>
      <c r="N128" s="19"/>
    </row>
    <row r="129" customFormat="false" ht="13.5" hidden="false" customHeight="false" outlineLevel="0" collapsed="false">
      <c r="A129" s="3"/>
      <c r="B129" s="8"/>
      <c r="C129" s="4"/>
      <c r="D129" s="3"/>
      <c r="E129" s="3"/>
      <c r="G129" s="27"/>
      <c r="H129" s="32"/>
    </row>
    <row r="130" customFormat="false" ht="12.75" hidden="false" customHeight="false" outlineLevel="0" collapsed="false">
      <c r="K130" s="25"/>
      <c r="L130" s="19"/>
    </row>
    <row r="132" customFormat="false" ht="12" hidden="false" customHeight="false" outlineLevel="0" collapsed="false">
      <c r="A132" s="3" t="s">
        <v>58</v>
      </c>
      <c r="B132" s="3"/>
      <c r="C132" s="3"/>
      <c r="D132" s="3"/>
      <c r="E132" s="5"/>
      <c r="F132" s="7"/>
      <c r="G132" s="7"/>
      <c r="H132" s="7"/>
      <c r="I132" s="7"/>
      <c r="J132" s="7"/>
      <c r="K132" s="7"/>
      <c r="L132" s="7"/>
    </row>
    <row r="133" customFormat="false" ht="12.75" hidden="false" customHeight="false" outlineLevel="0" collapsed="false">
      <c r="A133" s="3" t="s">
        <v>1</v>
      </c>
      <c r="B133" s="3" t="s">
        <v>56</v>
      </c>
      <c r="C133" s="4" t="n">
        <v>2.61</v>
      </c>
      <c r="D133" s="3"/>
      <c r="E133" s="5"/>
      <c r="F133" s="7"/>
      <c r="G133" s="13"/>
      <c r="H133" s="7"/>
      <c r="I133" s="7"/>
      <c r="J133" s="7"/>
      <c r="K133" s="13"/>
      <c r="L133" s="28"/>
    </row>
    <row r="134" customFormat="false" ht="12.75" hidden="false" customHeight="false" outlineLevel="0" collapsed="false">
      <c r="A134" s="3"/>
      <c r="B134" s="3"/>
      <c r="C134" s="4" t="n">
        <v>0.0075</v>
      </c>
      <c r="D134" s="3"/>
      <c r="E134" s="5"/>
      <c r="F134" s="7"/>
      <c r="G134" s="13"/>
      <c r="H134" s="7"/>
      <c r="I134" s="7"/>
      <c r="J134" s="7"/>
      <c r="K134" s="13"/>
      <c r="L134" s="28"/>
    </row>
    <row r="135" customFormat="false" ht="12.75" hidden="false" customHeight="false" outlineLevel="0" collapsed="false">
      <c r="A135" s="3" t="s">
        <v>6</v>
      </c>
      <c r="B135" s="8"/>
      <c r="C135" s="4" t="n">
        <v>0.0115</v>
      </c>
      <c r="D135" s="3"/>
      <c r="E135" s="5"/>
      <c r="F135" s="28"/>
      <c r="G135" s="13"/>
      <c r="H135" s="7"/>
      <c r="I135" s="7"/>
      <c r="J135" s="28"/>
      <c r="K135" s="13"/>
      <c r="L135" s="28"/>
    </row>
    <row r="136" customFormat="false" ht="12.75" hidden="false" customHeight="false" outlineLevel="0" collapsed="false">
      <c r="A136" s="3" t="s">
        <v>7</v>
      </c>
      <c r="B136" s="8"/>
      <c r="C136" s="4" t="n">
        <f aca="false">0.0022+0.0072+0.0131</f>
        <v>0.0225</v>
      </c>
      <c r="D136" s="3"/>
      <c r="E136" s="5"/>
      <c r="F136" s="28"/>
      <c r="G136" s="13"/>
      <c r="H136" s="7"/>
      <c r="I136" s="7"/>
      <c r="J136" s="28"/>
      <c r="K136" s="13"/>
      <c r="L136" s="28"/>
    </row>
    <row r="137" customFormat="false" ht="12.75" hidden="false" customHeight="false" outlineLevel="0" collapsed="false">
      <c r="A137" s="3" t="s">
        <v>8</v>
      </c>
      <c r="B137" s="29"/>
      <c r="C137" s="10" t="n">
        <v>0.0238</v>
      </c>
      <c r="D137" s="3"/>
      <c r="E137" s="5"/>
      <c r="F137" s="30"/>
      <c r="G137" s="31"/>
      <c r="H137" s="7"/>
      <c r="I137" s="7"/>
      <c r="J137" s="30"/>
      <c r="K137" s="31"/>
      <c r="L137" s="28"/>
    </row>
    <row r="138" customFormat="false" ht="12.75" hidden="false" customHeight="false" outlineLevel="0" collapsed="false">
      <c r="A138" s="3" t="s">
        <v>21</v>
      </c>
      <c r="B138" s="3"/>
      <c r="C138" s="11" t="n">
        <f aca="false">ROUND((+C133+C134)/(1-C137)+(C135+C136),4)-C133-C134</f>
        <v>0.0978000000000002</v>
      </c>
      <c r="D138" s="3"/>
      <c r="E138" s="5"/>
      <c r="F138" s="7"/>
      <c r="G138" s="13"/>
      <c r="H138" s="7"/>
      <c r="I138" s="7"/>
      <c r="J138" s="7"/>
      <c r="K138" s="13"/>
      <c r="L138" s="28"/>
    </row>
    <row r="139" customFormat="false" ht="13.5" hidden="false" customHeight="false" outlineLevel="0" collapsed="false">
      <c r="A139" s="3"/>
      <c r="B139" s="3"/>
      <c r="C139" s="12" t="n">
        <f aca="false">SUM(C138,C133:C134)</f>
        <v>2.7153</v>
      </c>
      <c r="D139" s="3" t="s">
        <v>59</v>
      </c>
      <c r="E139" s="5"/>
      <c r="F139" s="7"/>
      <c r="G139" s="7"/>
      <c r="H139" s="7"/>
      <c r="I139" s="7"/>
      <c r="J139" s="7"/>
      <c r="K139" s="7"/>
      <c r="L139" s="28"/>
      <c r="M139" s="27"/>
      <c r="N139" s="19"/>
    </row>
    <row r="140" customFormat="false" ht="13.5" hidden="false" customHeight="false" outlineLevel="0" collapsed="false">
      <c r="B140" s="25"/>
      <c r="C140" s="19"/>
      <c r="G140" s="27"/>
      <c r="H140" s="32"/>
    </row>
    <row r="143" customFormat="false" ht="12" hidden="false" customHeight="false" outlineLevel="0" collapsed="false">
      <c r="A143" s="3" t="s">
        <v>60</v>
      </c>
      <c r="B143" s="3"/>
      <c r="C143" s="3"/>
      <c r="D143" s="3"/>
      <c r="E143" s="3"/>
      <c r="I143" s="3" t="s">
        <v>61</v>
      </c>
      <c r="J143" s="3"/>
      <c r="K143" s="3"/>
      <c r="L143" s="3"/>
      <c r="M143" s="3"/>
      <c r="N143" s="3"/>
    </row>
    <row r="144" customFormat="false" ht="12.75" hidden="false" customHeight="false" outlineLevel="0" collapsed="false">
      <c r="A144" s="3" t="s">
        <v>1</v>
      </c>
      <c r="B144" s="3" t="s">
        <v>62</v>
      </c>
      <c r="C144" s="4" t="n">
        <v>2.63</v>
      </c>
      <c r="D144" s="3"/>
      <c r="E144" s="3"/>
      <c r="I144" s="3" t="s">
        <v>1</v>
      </c>
      <c r="J144" s="3" t="s">
        <v>62</v>
      </c>
      <c r="K144" s="4" t="n">
        <v>2.63</v>
      </c>
      <c r="L144" s="8"/>
      <c r="M144" s="3"/>
      <c r="N144" s="3"/>
    </row>
    <row r="145" customFormat="false" ht="12.75" hidden="false" customHeight="false" outlineLevel="0" collapsed="false">
      <c r="A145" s="3" t="s">
        <v>4</v>
      </c>
      <c r="B145" s="3"/>
      <c r="C145" s="4" t="n">
        <v>0.0175</v>
      </c>
      <c r="D145" s="3"/>
      <c r="E145" s="3"/>
      <c r="I145" s="3"/>
      <c r="J145" s="3"/>
      <c r="K145" s="4" t="n">
        <v>0.0175</v>
      </c>
      <c r="L145" s="8"/>
      <c r="M145" s="3"/>
      <c r="N145" s="3"/>
    </row>
    <row r="146" customFormat="false" ht="12.75" hidden="false" customHeight="false" outlineLevel="0" collapsed="false">
      <c r="A146" s="3" t="s">
        <v>6</v>
      </c>
      <c r="B146" s="8"/>
      <c r="C146" s="4" t="n">
        <v>0.0118</v>
      </c>
      <c r="D146" s="3"/>
      <c r="E146" s="3"/>
      <c r="I146" s="3" t="s">
        <v>6</v>
      </c>
      <c r="J146" s="8"/>
      <c r="K146" s="4" t="n">
        <v>0.0023</v>
      </c>
      <c r="L146" s="8"/>
      <c r="M146" s="3"/>
      <c r="N146" s="3"/>
    </row>
    <row r="147" customFormat="false" ht="12.75" hidden="false" customHeight="false" outlineLevel="0" collapsed="false">
      <c r="A147" s="3" t="s">
        <v>7</v>
      </c>
      <c r="B147" s="8"/>
      <c r="C147" s="4" t="n">
        <f aca="false">0.0022+0.0072</f>
        <v>0.0094</v>
      </c>
      <c r="D147" s="3" t="s">
        <v>63</v>
      </c>
      <c r="E147" s="3"/>
      <c r="I147" s="3" t="s">
        <v>7</v>
      </c>
      <c r="J147" s="8"/>
      <c r="K147" s="4" t="n">
        <f aca="false">0.0022+0.0072</f>
        <v>0.0094</v>
      </c>
      <c r="L147" s="3" t="s">
        <v>63</v>
      </c>
      <c r="M147" s="3"/>
      <c r="N147" s="3"/>
    </row>
    <row r="148" customFormat="false" ht="12.75" hidden="false" customHeight="false" outlineLevel="0" collapsed="false">
      <c r="A148" s="3" t="s">
        <v>8</v>
      </c>
      <c r="B148" s="29"/>
      <c r="C148" s="10" t="n">
        <v>0.0193</v>
      </c>
      <c r="D148" s="3"/>
      <c r="E148" s="3"/>
      <c r="I148" s="3" t="s">
        <v>8</v>
      </c>
      <c r="J148" s="29"/>
      <c r="K148" s="10" t="n">
        <v>0.0193</v>
      </c>
      <c r="L148" s="8"/>
      <c r="M148" s="3"/>
      <c r="N148" s="3"/>
    </row>
    <row r="149" customFormat="false" ht="12.75" hidden="false" customHeight="false" outlineLevel="0" collapsed="false">
      <c r="A149" s="3" t="s">
        <v>21</v>
      </c>
      <c r="B149" s="3"/>
      <c r="C149" s="11" t="n">
        <f aca="false">ROUND((+C144+C145)/(1-C148)+(C146+C147),4)-C144-C145</f>
        <v>0.0733000000000002</v>
      </c>
      <c r="D149" s="3"/>
      <c r="E149" s="3"/>
      <c r="I149" s="3" t="s">
        <v>21</v>
      </c>
      <c r="J149" s="3"/>
      <c r="K149" s="11" t="n">
        <f aca="false">ROUND((+K144+K145)/(1-K148)+(K146+K147),4)-K144-K145</f>
        <v>0.0638000000000002</v>
      </c>
      <c r="L149" s="8"/>
      <c r="M149" s="3"/>
      <c r="N149" s="3"/>
    </row>
    <row r="150" customFormat="false" ht="13.5" hidden="false" customHeight="false" outlineLevel="0" collapsed="false">
      <c r="A150" s="3" t="s">
        <v>10</v>
      </c>
      <c r="B150" s="3"/>
      <c r="C150" s="12" t="n">
        <f aca="false">SUM(C144:C145,C149)</f>
        <v>2.7208</v>
      </c>
      <c r="D150" s="3" t="s">
        <v>64</v>
      </c>
      <c r="E150" s="3"/>
      <c r="I150" s="5" t="s">
        <v>10</v>
      </c>
      <c r="J150" s="5"/>
      <c r="K150" s="12" t="n">
        <f aca="false">SUM(K144:K145,K149)</f>
        <v>2.7113</v>
      </c>
      <c r="L150" s="8" t="s">
        <v>65</v>
      </c>
      <c r="M150" s="21"/>
      <c r="N150" s="4"/>
    </row>
    <row r="151" customFormat="false" ht="13.5" hidden="false" customHeight="false" outlineLevel="0" collapsed="false">
      <c r="B151" s="25"/>
      <c r="C151" s="19"/>
      <c r="G151" s="27"/>
      <c r="H151" s="32"/>
    </row>
    <row r="153" customFormat="false" ht="12" hidden="false" customHeight="false" outlineLevel="0" collapsed="false">
      <c r="A153" s="3" t="s">
        <v>66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customFormat="false" ht="12" hidden="false" customHeight="false" outlineLevel="0" collapsed="false">
      <c r="A154" s="3" t="s">
        <v>1</v>
      </c>
      <c r="B154" s="3" t="s">
        <v>62</v>
      </c>
      <c r="C154" s="4" t="n">
        <v>2.63</v>
      </c>
      <c r="D154" s="3" t="s">
        <v>67</v>
      </c>
      <c r="E154" s="3"/>
      <c r="F154" s="3"/>
      <c r="G154" s="3"/>
      <c r="H154" s="3"/>
      <c r="I154" s="3"/>
      <c r="J154" s="3"/>
      <c r="K154" s="3"/>
    </row>
    <row r="155" customFormat="false" ht="12.75" hidden="false" customHeight="false" outlineLevel="0" collapsed="false">
      <c r="A155" s="3" t="s">
        <v>6</v>
      </c>
      <c r="B155" s="8"/>
      <c r="C155" s="4" t="n">
        <v>0.0167</v>
      </c>
      <c r="D155" s="3"/>
      <c r="E155" s="3"/>
      <c r="F155" s="3"/>
      <c r="G155" s="3"/>
      <c r="H155" s="3"/>
      <c r="I155" s="3"/>
      <c r="J155" s="3"/>
      <c r="K155" s="3"/>
    </row>
    <row r="156" customFormat="false" ht="12.75" hidden="false" customHeight="false" outlineLevel="0" collapsed="false">
      <c r="A156" s="3" t="s">
        <v>7</v>
      </c>
      <c r="B156" s="8"/>
      <c r="C156" s="4" t="n">
        <f aca="false">0.0022+0.0072</f>
        <v>0.0094</v>
      </c>
      <c r="D156" s="3"/>
      <c r="E156" s="3"/>
      <c r="F156" s="3"/>
      <c r="G156" s="3"/>
      <c r="H156" s="3"/>
      <c r="I156" s="3"/>
      <c r="J156" s="3"/>
      <c r="K156" s="3"/>
    </row>
    <row r="157" customFormat="false" ht="12" hidden="false" customHeight="false" outlineLevel="0" collapsed="false">
      <c r="A157" s="3" t="s">
        <v>8</v>
      </c>
      <c r="B157" s="29"/>
      <c r="C157" s="10" t="n">
        <v>0.0345</v>
      </c>
      <c r="D157" s="3"/>
      <c r="E157" s="3"/>
      <c r="F157" s="3"/>
      <c r="G157" s="3"/>
      <c r="H157" s="3"/>
      <c r="I157" s="3"/>
      <c r="J157" s="3"/>
      <c r="K157" s="3"/>
    </row>
    <row r="158" customFormat="false" ht="12" hidden="false" customHeight="false" outlineLevel="0" collapsed="false">
      <c r="A158" s="3" t="s">
        <v>21</v>
      </c>
      <c r="B158" s="3"/>
      <c r="C158" s="11" t="n">
        <f aca="false">ROUND((+C154)/(1-C157)+(C155+C156),4)-C154</f>
        <v>0.1201</v>
      </c>
      <c r="D158" s="3"/>
      <c r="E158" s="3"/>
      <c r="F158" s="3"/>
      <c r="G158" s="3"/>
      <c r="H158" s="3"/>
      <c r="I158" s="3"/>
      <c r="J158" s="3"/>
      <c r="K158" s="3"/>
    </row>
    <row r="159" customFormat="false" ht="12" hidden="false" customHeight="false" outlineLevel="0" collapsed="false">
      <c r="A159" s="3" t="s">
        <v>68</v>
      </c>
      <c r="B159" s="3"/>
      <c r="C159" s="16" t="n">
        <v>0.225</v>
      </c>
      <c r="D159" s="3"/>
      <c r="E159" s="3"/>
      <c r="F159" s="3"/>
      <c r="G159" s="3"/>
      <c r="H159" s="3"/>
      <c r="I159" s="3"/>
      <c r="J159" s="3"/>
      <c r="K159" s="3"/>
    </row>
    <row r="160" customFormat="false" ht="12.75" hidden="false" customHeight="false" outlineLevel="0" collapsed="false">
      <c r="A160" s="3" t="s">
        <v>10</v>
      </c>
      <c r="B160" s="3"/>
      <c r="C160" s="12" t="n">
        <f aca="false">SUM(C154,C158,C159)</f>
        <v>2.9751</v>
      </c>
      <c r="D160" s="3" t="s">
        <v>69</v>
      </c>
      <c r="E160" s="3"/>
      <c r="F160" s="3"/>
      <c r="G160" s="3"/>
      <c r="H160" s="3"/>
      <c r="I160" s="3"/>
      <c r="J160" s="3"/>
      <c r="K160" s="3"/>
    </row>
    <row r="161" customFormat="false" ht="12.75" hidden="false" customHeight="false" outlineLevel="0" collapsed="false">
      <c r="A161" s="3"/>
      <c r="B161" s="3"/>
      <c r="C161" s="3"/>
      <c r="D161" s="3" t="s">
        <v>70</v>
      </c>
      <c r="E161" s="3"/>
      <c r="F161" s="3"/>
      <c r="G161" s="3"/>
      <c r="H161" s="3"/>
      <c r="I161" s="3"/>
      <c r="J161" s="3"/>
      <c r="K161" s="3"/>
    </row>
    <row r="162" customFormat="false" ht="12" hidden="false" customHeight="false" outlineLevel="0" collapsed="false">
      <c r="A162" s="3"/>
      <c r="B162" s="3"/>
      <c r="C162" s="3"/>
      <c r="D162" s="3" t="s">
        <v>71</v>
      </c>
      <c r="E162" s="3"/>
      <c r="F162" s="3"/>
      <c r="G162" s="3"/>
      <c r="H162" s="3"/>
      <c r="I162" s="3"/>
      <c r="J162" s="3"/>
      <c r="K162" s="3"/>
    </row>
    <row r="165" customFormat="false" ht="12" hidden="false" customHeight="false" outlineLevel="0" collapsed="false">
      <c r="A165" s="14" t="s">
        <v>72</v>
      </c>
    </row>
    <row r="166" customFormat="false" ht="12" hidden="false" customHeight="false" outlineLevel="0" collapsed="false">
      <c r="A166" s="1" t="s">
        <v>1</v>
      </c>
      <c r="B166" s="1" t="s">
        <v>73</v>
      </c>
      <c r="C166" s="4" t="n">
        <v>2.58</v>
      </c>
    </row>
    <row r="167" customFormat="false" ht="12" hidden="false" customHeight="false" outlineLevel="0" collapsed="false">
      <c r="A167" s="1" t="s">
        <v>4</v>
      </c>
      <c r="C167" s="4" t="n">
        <v>0.01</v>
      </c>
    </row>
    <row r="168" customFormat="false" ht="12" hidden="false" customHeight="false" outlineLevel="0" collapsed="false">
      <c r="A168" s="1" t="s">
        <v>6</v>
      </c>
      <c r="C168" s="4" t="n">
        <v>0.0323</v>
      </c>
    </row>
    <row r="169" customFormat="false" ht="12" hidden="false" customHeight="false" outlineLevel="0" collapsed="false">
      <c r="A169" s="1" t="s">
        <v>7</v>
      </c>
      <c r="C169" s="4" t="n">
        <v>0.0094</v>
      </c>
    </row>
    <row r="170" customFormat="false" ht="12" hidden="false" customHeight="false" outlineLevel="0" collapsed="false">
      <c r="A170" s="1" t="s">
        <v>8</v>
      </c>
      <c r="C170" s="10" t="n">
        <v>0.0337</v>
      </c>
    </row>
    <row r="171" customFormat="false" ht="12" hidden="false" customHeight="false" outlineLevel="0" collapsed="false">
      <c r="A171" s="1" t="s">
        <v>21</v>
      </c>
      <c r="C171" s="11" t="n">
        <f aca="false">ROUND((+C166+C167)/(1-C170)-(C166+C167)+C168+C169,4)</f>
        <v>0.132</v>
      </c>
    </row>
    <row r="172" customFormat="false" ht="12.75" hidden="false" customHeight="false" outlineLevel="0" collapsed="false">
      <c r="A172" s="1" t="s">
        <v>10</v>
      </c>
      <c r="C172" s="12" t="n">
        <f aca="false">SUM(C171,C166:C167)</f>
        <v>2.722</v>
      </c>
      <c r="D172" s="1" t="s">
        <v>74</v>
      </c>
    </row>
    <row r="173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L31" activePane="bottomRight" state="frozen"/>
      <selection pane="topLeft" activeCell="A1" activeCellId="0" sqref="A1"/>
      <selection pane="topRight" activeCell="L1" activeCellId="0" sqref="L1"/>
      <selection pane="bottomLeft" activeCell="A31" activeCellId="0" sqref="A31"/>
      <selection pane="bottomRight" activeCell="T42" activeCellId="0" sqref="T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5.71"/>
    <col collapsed="false" customWidth="true" hidden="false" outlineLevel="0" max="2" min="2" style="33" width="10.99"/>
    <col collapsed="false" customWidth="true" hidden="false" outlineLevel="0" max="4" min="3" style="33" width="11.28"/>
    <col collapsed="false" customWidth="true" hidden="false" outlineLevel="0" max="5" min="5" style="33" width="3.28"/>
    <col collapsed="false" customWidth="true" hidden="false" outlineLevel="0" max="6" min="6" style="33" width="12.85"/>
    <col collapsed="false" customWidth="true" hidden="false" outlineLevel="0" max="7" min="7" style="33" width="4.7"/>
    <col collapsed="false" customWidth="true" hidden="false" outlineLevel="0" max="8" min="8" style="33" width="12.85"/>
    <col collapsed="false" customWidth="true" hidden="false" outlineLevel="0" max="9" min="9" style="33" width="10.41"/>
    <col collapsed="false" customWidth="true" hidden="false" outlineLevel="0" max="10" min="10" style="33" width="3.28"/>
    <col collapsed="false" customWidth="true" hidden="false" outlineLevel="0" max="11" min="11" style="33" width="12.85"/>
    <col collapsed="false" customWidth="false" hidden="false" outlineLevel="0" max="12" min="12" style="33" width="9.14"/>
    <col collapsed="false" customWidth="true" hidden="false" outlineLevel="0" max="13" min="13" style="33" width="10.56"/>
    <col collapsed="false" customWidth="false" hidden="false" outlineLevel="0" max="14" min="14" style="33" width="9.14"/>
    <col collapsed="false" customWidth="true" hidden="false" outlineLevel="0" max="15" min="15" style="33" width="11.28"/>
    <col collapsed="false" customWidth="true" hidden="false" outlineLevel="0" max="16" min="16" style="33" width="10.28"/>
    <col collapsed="false" customWidth="true" hidden="false" outlineLevel="0" max="17" min="17" style="33" width="11.13"/>
    <col collapsed="false" customWidth="true" hidden="false" outlineLevel="0" max="18" min="18" style="33" width="3.56"/>
    <col collapsed="false" customWidth="true" hidden="false" outlineLevel="0" max="19" min="19" style="33" width="12.99"/>
    <col collapsed="false" customWidth="true" hidden="false" outlineLevel="0" max="20" min="20" style="33" width="7.14"/>
    <col collapsed="false" customWidth="true" hidden="false" outlineLevel="0" max="22" min="21" style="33" width="12.28"/>
    <col collapsed="false" customWidth="true" hidden="false" outlineLevel="0" max="23" min="23" style="33" width="13.85"/>
    <col collapsed="false" customWidth="false" hidden="false" outlineLevel="0" max="24" min="24" style="33" width="9.14"/>
    <col collapsed="false" customWidth="true" hidden="false" outlineLevel="0" max="25" min="25" style="33" width="12.7"/>
    <col collapsed="false" customWidth="false" hidden="false" outlineLevel="0" max="26" min="26" style="33" width="9.14"/>
    <col collapsed="false" customWidth="true" hidden="false" outlineLevel="0" max="27" min="27" style="33" width="13.85"/>
    <col collapsed="false" customWidth="false" hidden="false" outlineLevel="0" max="257" min="28" style="33" width="9.14"/>
  </cols>
  <sheetData>
    <row r="2" customFormat="false" ht="12.75" hidden="false" customHeight="false" outlineLevel="0" collapsed="false">
      <c r="A2" s="34"/>
      <c r="B2" s="34" t="s">
        <v>75</v>
      </c>
      <c r="C2" s="34" t="s">
        <v>76</v>
      </c>
      <c r="D2" s="34" t="s">
        <v>77</v>
      </c>
      <c r="E2" s="34" t="s">
        <v>78</v>
      </c>
      <c r="F2" s="34" t="s">
        <v>79</v>
      </c>
      <c r="G2" s="34" t="s">
        <v>80</v>
      </c>
      <c r="H2" s="34" t="s">
        <v>81</v>
      </c>
      <c r="I2" s="34" t="s">
        <v>82</v>
      </c>
      <c r="J2" s="34" t="s">
        <v>83</v>
      </c>
      <c r="K2" s="34" t="s">
        <v>84</v>
      </c>
      <c r="L2" s="34" t="s">
        <v>85</v>
      </c>
      <c r="M2" s="34" t="s">
        <v>86</v>
      </c>
      <c r="N2" s="34" t="s">
        <v>87</v>
      </c>
      <c r="O2" s="34" t="s">
        <v>88</v>
      </c>
      <c r="P2" s="34" t="s">
        <v>89</v>
      </c>
      <c r="Q2" s="34" t="s">
        <v>90</v>
      </c>
      <c r="R2" s="34" t="s">
        <v>91</v>
      </c>
      <c r="S2" s="34" t="s">
        <v>92</v>
      </c>
      <c r="T2" s="34" t="s">
        <v>93</v>
      </c>
      <c r="U2" s="34" t="s">
        <v>94</v>
      </c>
      <c r="V2" s="34"/>
      <c r="W2" s="34" t="s">
        <v>95</v>
      </c>
      <c r="X2" s="34" t="s">
        <v>96</v>
      </c>
      <c r="Y2" s="34" t="s">
        <v>97</v>
      </c>
      <c r="Z2" s="34" t="s">
        <v>98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false" customHeight="false" outlineLevel="0" collapsed="false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customFormat="false" ht="12.75" hidden="false" customHeight="false" outlineLevel="0" collapsed="false">
      <c r="A4" s="34"/>
      <c r="B4" s="34"/>
      <c r="C4" s="34"/>
      <c r="D4" s="34"/>
      <c r="E4" s="34"/>
      <c r="F4" s="34" t="s">
        <v>99</v>
      </c>
      <c r="G4" s="34"/>
      <c r="H4" s="35" t="s">
        <v>100</v>
      </c>
      <c r="I4" s="36" t="s">
        <v>100</v>
      </c>
      <c r="J4" s="34"/>
      <c r="K4" s="34" t="s">
        <v>101</v>
      </c>
      <c r="L4" s="34"/>
      <c r="M4" s="34"/>
      <c r="N4" s="34"/>
      <c r="O4" s="34"/>
      <c r="P4" s="34"/>
      <c r="Q4" s="34"/>
      <c r="R4" s="34"/>
      <c r="S4" s="34" t="s">
        <v>102</v>
      </c>
      <c r="T4" s="34"/>
      <c r="U4" s="34"/>
      <c r="V4" s="34"/>
      <c r="W4" s="34"/>
      <c r="AC4" s="33" t="s">
        <v>103</v>
      </c>
      <c r="AJ4" s="33" t="s">
        <v>104</v>
      </c>
      <c r="AL4" s="33" t="s">
        <v>105</v>
      </c>
      <c r="AT4" s="33" t="s">
        <v>106</v>
      </c>
      <c r="AV4" s="33" t="s">
        <v>107</v>
      </c>
      <c r="AZ4" s="33" t="s">
        <v>108</v>
      </c>
    </row>
    <row r="5" customFormat="false" ht="12.75" hidden="false" customHeight="false" outlineLevel="0" collapsed="false">
      <c r="A5" s="34"/>
      <c r="B5" s="34" t="s">
        <v>109</v>
      </c>
      <c r="C5" s="34" t="s">
        <v>110</v>
      </c>
      <c r="D5" s="34" t="s">
        <v>111</v>
      </c>
      <c r="E5" s="34"/>
      <c r="F5" s="34" t="s">
        <v>106</v>
      </c>
      <c r="G5" s="34"/>
      <c r="H5" s="37" t="s">
        <v>112</v>
      </c>
      <c r="I5" s="38" t="s">
        <v>113</v>
      </c>
      <c r="J5" s="34"/>
      <c r="K5" s="34"/>
      <c r="L5" s="34"/>
      <c r="M5" s="34" t="s">
        <v>114</v>
      </c>
      <c r="N5" s="34"/>
      <c r="O5" s="35" t="s">
        <v>115</v>
      </c>
      <c r="P5" s="39" t="s">
        <v>116</v>
      </c>
      <c r="Q5" s="36" t="s">
        <v>117</v>
      </c>
      <c r="R5" s="34"/>
      <c r="S5" s="34" t="s">
        <v>118</v>
      </c>
      <c r="T5" s="34"/>
      <c r="U5" s="34" t="s">
        <v>119</v>
      </c>
      <c r="V5" s="34" t="s">
        <v>120</v>
      </c>
      <c r="W5" s="34"/>
      <c r="AC5" s="40" t="n">
        <v>203433</v>
      </c>
      <c r="AD5" s="40" t="n">
        <v>153341</v>
      </c>
      <c r="AE5" s="40" t="n">
        <v>153359</v>
      </c>
      <c r="AF5" s="40" t="n">
        <v>159964</v>
      </c>
      <c r="AG5" s="40" t="n">
        <v>203315</v>
      </c>
      <c r="AH5" s="41" t="n">
        <v>204176</v>
      </c>
      <c r="AI5" s="42"/>
      <c r="AJ5" s="42" t="s">
        <v>121</v>
      </c>
      <c r="AK5" s="42"/>
      <c r="AL5" s="42" t="n">
        <v>223195</v>
      </c>
      <c r="AM5" s="42" t="n">
        <v>214106</v>
      </c>
      <c r="AN5" s="42" t="n">
        <v>213471</v>
      </c>
      <c r="AO5" s="42" t="n">
        <v>0</v>
      </c>
      <c r="AP5" s="42" t="n">
        <v>0</v>
      </c>
      <c r="AQ5" s="42" t="n">
        <v>0</v>
      </c>
      <c r="AR5" s="42" t="n">
        <v>0</v>
      </c>
      <c r="AS5" s="42"/>
      <c r="AT5" s="42" t="s">
        <v>122</v>
      </c>
      <c r="AU5" s="42"/>
      <c r="AV5" s="42" t="n">
        <v>160327</v>
      </c>
      <c r="AW5" s="42" t="n">
        <v>162797</v>
      </c>
      <c r="AX5" s="42" t="n">
        <v>164209</v>
      </c>
      <c r="AY5" s="42"/>
      <c r="AZ5" s="42" t="n">
        <v>204779</v>
      </c>
      <c r="BA5" s="42" t="n">
        <v>204782</v>
      </c>
      <c r="BB5" s="42" t="n">
        <v>204783</v>
      </c>
      <c r="BC5" s="42" t="n">
        <v>204786</v>
      </c>
      <c r="BD5" s="42" t="n">
        <v>204788</v>
      </c>
      <c r="BE5" s="42" t="n">
        <v>204791</v>
      </c>
    </row>
    <row r="6" customFormat="false" ht="12.75" hidden="false" customHeight="false" outlineLevel="0" collapsed="false">
      <c r="A6" s="34" t="n">
        <v>1</v>
      </c>
      <c r="B6" s="34" t="n">
        <v>135949</v>
      </c>
      <c r="C6" s="34" t="n">
        <v>11185</v>
      </c>
      <c r="D6" s="34" t="n">
        <v>13262</v>
      </c>
      <c r="E6" s="34"/>
      <c r="F6" s="34" t="n">
        <f aca="false">SUM(B6:D6)</f>
        <v>160396</v>
      </c>
      <c r="G6" s="34"/>
      <c r="H6" s="34" t="n">
        <v>33135</v>
      </c>
      <c r="I6" s="34" t="n">
        <f aca="false">ROUND(+H6*(1-0.02116),0)</f>
        <v>32434</v>
      </c>
      <c r="J6" s="34"/>
      <c r="K6" s="34" t="n">
        <f aca="false">+F6-I6</f>
        <v>127962</v>
      </c>
      <c r="L6" s="34"/>
      <c r="M6" s="34" t="s">
        <v>123</v>
      </c>
      <c r="N6" s="34"/>
      <c r="O6" s="43" t="n">
        <f aca="false">182667-36300</f>
        <v>146367</v>
      </c>
      <c r="P6" s="34" t="n">
        <v>36300</v>
      </c>
      <c r="Q6" s="44" t="n">
        <f aca="false">+P6+O6</f>
        <v>182667</v>
      </c>
      <c r="R6" s="34"/>
      <c r="S6" s="34" t="n">
        <f aca="false">IF((+Q6-K6)&gt;0,+Q6-K6,0)</f>
        <v>54705</v>
      </c>
      <c r="T6" s="34"/>
      <c r="U6" s="45" t="n">
        <v>2.78</v>
      </c>
      <c r="V6" s="45" t="n">
        <f aca="false">+U6-0.01</f>
        <v>2.77</v>
      </c>
      <c r="W6" s="46" t="n">
        <f aca="false">+S6*V6</f>
        <v>151532.85</v>
      </c>
      <c r="AC6" s="33" t="n">
        <v>323</v>
      </c>
      <c r="AD6" s="33" t="n">
        <v>13</v>
      </c>
      <c r="AE6" s="33" t="n">
        <v>12</v>
      </c>
      <c r="AF6" s="33" t="n">
        <v>6</v>
      </c>
      <c r="AG6" s="33" t="n">
        <v>2097</v>
      </c>
      <c r="AH6" s="33" t="n">
        <v>14</v>
      </c>
      <c r="AJ6" s="33" t="n">
        <f aca="false">SUM(AC6:AH6)</f>
        <v>2465</v>
      </c>
      <c r="AL6" s="33" t="n">
        <v>0</v>
      </c>
      <c r="AM6" s="33" t="n">
        <v>0</v>
      </c>
      <c r="AN6" s="33" t="n">
        <v>0</v>
      </c>
      <c r="AO6" s="33" t="n">
        <v>0</v>
      </c>
      <c r="AP6" s="33" t="n">
        <v>0</v>
      </c>
      <c r="AQ6" s="33" t="n">
        <v>0</v>
      </c>
      <c r="AR6" s="33" t="n">
        <v>0</v>
      </c>
      <c r="AT6" s="33" t="n">
        <f aca="false">SUM(AL6:AS6)</f>
        <v>0</v>
      </c>
      <c r="AV6" s="33" t="n">
        <v>0</v>
      </c>
      <c r="AW6" s="33" t="n">
        <v>0</v>
      </c>
      <c r="AX6" s="33" t="n">
        <v>0</v>
      </c>
      <c r="AY6" s="33" t="n">
        <v>0</v>
      </c>
      <c r="AZ6" s="33" t="n">
        <v>484</v>
      </c>
      <c r="BA6" s="33" t="n">
        <v>500</v>
      </c>
      <c r="BB6" s="33" t="n">
        <v>75</v>
      </c>
      <c r="BC6" s="33" t="n">
        <v>773</v>
      </c>
      <c r="BD6" s="33" t="n">
        <v>161</v>
      </c>
      <c r="BE6" s="33" t="n">
        <v>1000</v>
      </c>
    </row>
    <row r="7" customFormat="false" ht="12.75" hidden="false" customHeight="false" outlineLevel="0" collapsed="false">
      <c r="A7" s="34" t="n">
        <f aca="false">+A6+1</f>
        <v>2</v>
      </c>
      <c r="B7" s="34" t="n">
        <v>172794</v>
      </c>
      <c r="C7" s="34" t="n">
        <v>11168</v>
      </c>
      <c r="D7" s="34" t="n">
        <f aca="false">+D6</f>
        <v>13262</v>
      </c>
      <c r="E7" s="34"/>
      <c r="F7" s="34" t="n">
        <f aca="false">SUM(B7:D7)</f>
        <v>197224</v>
      </c>
      <c r="G7" s="34"/>
      <c r="H7" s="34" t="n">
        <v>44907</v>
      </c>
      <c r="I7" s="34" t="n">
        <f aca="false">ROUND(+H7*(1-0.02116),0)</f>
        <v>43957</v>
      </c>
      <c r="J7" s="34"/>
      <c r="K7" s="34" t="n">
        <f aca="false">+F7-I7</f>
        <v>153267</v>
      </c>
      <c r="L7" s="34"/>
      <c r="M7" s="34" t="s">
        <v>123</v>
      </c>
      <c r="N7" s="34"/>
      <c r="O7" s="43" t="n">
        <f aca="false">+O6</f>
        <v>146367</v>
      </c>
      <c r="P7" s="34" t="n">
        <f aca="false">+P6</f>
        <v>36300</v>
      </c>
      <c r="Q7" s="44" t="n">
        <f aca="false">+P7+O7</f>
        <v>182667</v>
      </c>
      <c r="R7" s="34"/>
      <c r="S7" s="34" t="n">
        <f aca="false">IF((+Q7-K7)&gt;0,+Q7-K7,0)</f>
        <v>29400</v>
      </c>
      <c r="T7" s="34"/>
      <c r="U7" s="45" t="n">
        <v>2.845</v>
      </c>
      <c r="V7" s="45" t="n">
        <f aca="false">+U7-0.01</f>
        <v>2.835</v>
      </c>
      <c r="W7" s="46" t="n">
        <f aca="false">+S7*V7</f>
        <v>83349</v>
      </c>
      <c r="AC7" s="33" t="n">
        <f aca="false">+AC6</f>
        <v>323</v>
      </c>
      <c r="AD7" s="33" t="n">
        <f aca="false">+AD6</f>
        <v>13</v>
      </c>
      <c r="AE7" s="33" t="n">
        <f aca="false">+AE6</f>
        <v>12</v>
      </c>
      <c r="AF7" s="33" t="n">
        <f aca="false">+AF6</f>
        <v>6</v>
      </c>
      <c r="AG7" s="33" t="n">
        <f aca="false">+AG6</f>
        <v>2097</v>
      </c>
      <c r="AH7" s="33" t="n">
        <f aca="false">+AH6</f>
        <v>14</v>
      </c>
      <c r="AJ7" s="33" t="n">
        <f aca="false">SUM(AC7:AH7)</f>
        <v>2465</v>
      </c>
      <c r="AL7" s="33" t="n">
        <v>0</v>
      </c>
      <c r="AM7" s="33" t="n">
        <f aca="false">+AM6</f>
        <v>0</v>
      </c>
      <c r="AN7" s="33" t="n">
        <f aca="false">+AN6</f>
        <v>0</v>
      </c>
      <c r="AO7" s="33" t="n">
        <f aca="false">+AO6</f>
        <v>0</v>
      </c>
      <c r="AP7" s="33" t="n">
        <f aca="false">+AP6</f>
        <v>0</v>
      </c>
      <c r="AQ7" s="33" t="n">
        <f aca="false">+AQ6</f>
        <v>0</v>
      </c>
      <c r="AR7" s="33" t="n">
        <f aca="false">+AR6</f>
        <v>0</v>
      </c>
      <c r="AT7" s="33" t="n">
        <f aca="false">SUM(AL7:AS7)</f>
        <v>0</v>
      </c>
      <c r="AV7" s="33" t="n">
        <v>0</v>
      </c>
      <c r="AW7" s="33" t="n">
        <f aca="false">+AW6</f>
        <v>0</v>
      </c>
      <c r="AX7" s="33" t="n">
        <f aca="false">+AX6</f>
        <v>0</v>
      </c>
      <c r="AZ7" s="33" t="n">
        <f aca="false">+AZ6</f>
        <v>484</v>
      </c>
      <c r="BA7" s="33" t="n">
        <f aca="false">+BA6</f>
        <v>500</v>
      </c>
      <c r="BB7" s="33" t="n">
        <f aca="false">+BB6</f>
        <v>75</v>
      </c>
      <c r="BC7" s="33" t="n">
        <f aca="false">+BC6</f>
        <v>773</v>
      </c>
      <c r="BD7" s="33" t="n">
        <f aca="false">+BD6</f>
        <v>161</v>
      </c>
      <c r="BE7" s="33" t="n">
        <f aca="false">+BE6</f>
        <v>1000</v>
      </c>
    </row>
    <row r="8" customFormat="false" ht="12.75" hidden="false" customHeight="false" outlineLevel="0" collapsed="false">
      <c r="A8" s="34" t="n">
        <f aca="false">+A7+1</f>
        <v>3</v>
      </c>
      <c r="B8" s="34" t="n">
        <v>158212</v>
      </c>
      <c r="C8" s="34" t="n">
        <v>10419</v>
      </c>
      <c r="D8" s="34" t="n">
        <f aca="false">+D7</f>
        <v>13262</v>
      </c>
      <c r="E8" s="34"/>
      <c r="F8" s="34" t="n">
        <f aca="false">SUM(B8:D8)</f>
        <v>181893</v>
      </c>
      <c r="G8" s="34"/>
      <c r="H8" s="34" t="n">
        <v>40994</v>
      </c>
      <c r="I8" s="34" t="n">
        <f aca="false">ROUND(+H8*(1-0.02116),0)</f>
        <v>40127</v>
      </c>
      <c r="J8" s="34"/>
      <c r="K8" s="34" t="n">
        <f aca="false">+F8-I8</f>
        <v>141766</v>
      </c>
      <c r="L8" s="34"/>
      <c r="M8" s="34" t="s">
        <v>123</v>
      </c>
      <c r="N8" s="34"/>
      <c r="O8" s="43" t="n">
        <f aca="false">+O7</f>
        <v>146367</v>
      </c>
      <c r="P8" s="34" t="n">
        <f aca="false">+P7</f>
        <v>36300</v>
      </c>
      <c r="Q8" s="44" t="n">
        <f aca="false">+P8+O8</f>
        <v>182667</v>
      </c>
      <c r="R8" s="34"/>
      <c r="S8" s="34" t="n">
        <f aca="false">IF((+Q8-K8)&gt;0,+Q8-K8,0)</f>
        <v>40901</v>
      </c>
      <c r="T8" s="34"/>
      <c r="U8" s="45" t="n">
        <v>2.94</v>
      </c>
      <c r="V8" s="45" t="n">
        <f aca="false">+U8-0.01</f>
        <v>2.93</v>
      </c>
      <c r="W8" s="46" t="n">
        <f aca="false">+S8*V8</f>
        <v>119839.93</v>
      </c>
      <c r="AC8" s="33" t="n">
        <f aca="false">+AC7</f>
        <v>323</v>
      </c>
      <c r="AD8" s="33" t="n">
        <f aca="false">+AD7</f>
        <v>13</v>
      </c>
      <c r="AE8" s="33" t="n">
        <f aca="false">+AE7</f>
        <v>12</v>
      </c>
      <c r="AF8" s="33" t="n">
        <f aca="false">+AF7</f>
        <v>6</v>
      </c>
      <c r="AG8" s="33" t="n">
        <f aca="false">+AG7</f>
        <v>2097</v>
      </c>
      <c r="AH8" s="33" t="n">
        <f aca="false">+AH7</f>
        <v>14</v>
      </c>
      <c r="AJ8" s="33" t="n">
        <f aca="false">SUM(AC8:AH8)</f>
        <v>2465</v>
      </c>
      <c r="AL8" s="33" t="n">
        <f aca="false">+AL7</f>
        <v>0</v>
      </c>
      <c r="AM8" s="33" t="n">
        <v>0</v>
      </c>
      <c r="AN8" s="33" t="n">
        <f aca="false">+AN7</f>
        <v>0</v>
      </c>
      <c r="AO8" s="33" t="n">
        <f aca="false">+AO7</f>
        <v>0</v>
      </c>
      <c r="AP8" s="33" t="n">
        <f aca="false">+AP7</f>
        <v>0</v>
      </c>
      <c r="AQ8" s="33" t="n">
        <f aca="false">+AQ7</f>
        <v>0</v>
      </c>
      <c r="AR8" s="33" t="n">
        <f aca="false">+AR7</f>
        <v>0</v>
      </c>
      <c r="AT8" s="33" t="n">
        <f aca="false">SUM(AL8:AS8)</f>
        <v>0</v>
      </c>
      <c r="AV8" s="33" t="n">
        <v>0</v>
      </c>
      <c r="AW8" s="33" t="n">
        <f aca="false">+AW7</f>
        <v>0</v>
      </c>
      <c r="AX8" s="33" t="n">
        <f aca="false">+AX7</f>
        <v>0</v>
      </c>
      <c r="AZ8" s="33" t="n">
        <f aca="false">+AZ7</f>
        <v>484</v>
      </c>
      <c r="BA8" s="33" t="n">
        <f aca="false">+BA7</f>
        <v>500</v>
      </c>
      <c r="BB8" s="33" t="n">
        <f aca="false">+BB7</f>
        <v>75</v>
      </c>
      <c r="BC8" s="33" t="n">
        <f aca="false">+BC7</f>
        <v>773</v>
      </c>
      <c r="BD8" s="33" t="n">
        <f aca="false">+BD7</f>
        <v>161</v>
      </c>
      <c r="BE8" s="33" t="n">
        <f aca="false">+BE7</f>
        <v>1000</v>
      </c>
    </row>
    <row r="9" customFormat="false" ht="12.75" hidden="false" customHeight="false" outlineLevel="0" collapsed="false">
      <c r="A9" s="34" t="n">
        <f aca="false">+A8+1</f>
        <v>4</v>
      </c>
      <c r="B9" s="34" t="n">
        <v>135467</v>
      </c>
      <c r="C9" s="34" t="n">
        <v>10363</v>
      </c>
      <c r="D9" s="34" t="n">
        <f aca="false">+D8</f>
        <v>13262</v>
      </c>
      <c r="E9" s="34"/>
      <c r="F9" s="34" t="n">
        <f aca="false">SUM(B9:D9)</f>
        <v>159092</v>
      </c>
      <c r="G9" s="34"/>
      <c r="H9" s="34" t="n">
        <v>30645</v>
      </c>
      <c r="I9" s="34" t="n">
        <f aca="false">ROUND(+H9*(1-0.02116),0)</f>
        <v>29997</v>
      </c>
      <c r="J9" s="34"/>
      <c r="K9" s="34" t="n">
        <f aca="false">+F9-I9</f>
        <v>129095</v>
      </c>
      <c r="L9" s="34"/>
      <c r="M9" s="34" t="s">
        <v>123</v>
      </c>
      <c r="N9" s="34"/>
      <c r="O9" s="43" t="n">
        <f aca="false">+O8</f>
        <v>146367</v>
      </c>
      <c r="P9" s="34" t="n">
        <f aca="false">+P8</f>
        <v>36300</v>
      </c>
      <c r="Q9" s="44" t="n">
        <f aca="false">+P9+O9</f>
        <v>182667</v>
      </c>
      <c r="R9" s="34"/>
      <c r="S9" s="34" t="n">
        <f aca="false">IF((+Q9-K9)&gt;0,+Q9-K9,0)</f>
        <v>53572</v>
      </c>
      <c r="T9" s="34"/>
      <c r="U9" s="45" t="n">
        <f aca="false">+U10</f>
        <v>2.865</v>
      </c>
      <c r="V9" s="45" t="n">
        <f aca="false">+U9-0.01</f>
        <v>2.855</v>
      </c>
      <c r="W9" s="46" t="n">
        <f aca="false">+S9*V9</f>
        <v>152948.06</v>
      </c>
      <c r="AC9" s="33" t="n">
        <f aca="false">+AC8</f>
        <v>323</v>
      </c>
      <c r="AD9" s="33" t="n">
        <f aca="false">+AD8</f>
        <v>13</v>
      </c>
      <c r="AE9" s="33" t="n">
        <f aca="false">+AE8</f>
        <v>12</v>
      </c>
      <c r="AF9" s="33" t="n">
        <f aca="false">+AF8</f>
        <v>6</v>
      </c>
      <c r="AG9" s="33" t="n">
        <f aca="false">+AG8</f>
        <v>2097</v>
      </c>
      <c r="AH9" s="33" t="n">
        <f aca="false">+AH8</f>
        <v>14</v>
      </c>
      <c r="AJ9" s="33" t="n">
        <f aca="false">SUM(AC9:AH9)</f>
        <v>2465</v>
      </c>
      <c r="AL9" s="33" t="n">
        <f aca="false">+AL8</f>
        <v>0</v>
      </c>
      <c r="AM9" s="33" t="n">
        <v>0</v>
      </c>
      <c r="AN9" s="33" t="n">
        <v>0</v>
      </c>
      <c r="AO9" s="33" t="n">
        <f aca="false">+AO8</f>
        <v>0</v>
      </c>
      <c r="AP9" s="33" t="n">
        <f aca="false">+AP8</f>
        <v>0</v>
      </c>
      <c r="AQ9" s="33" t="n">
        <f aca="false">+AQ8</f>
        <v>0</v>
      </c>
      <c r="AR9" s="33" t="n">
        <f aca="false">+AR8</f>
        <v>0</v>
      </c>
      <c r="AT9" s="33" t="n">
        <f aca="false">SUM(AL9:AS9)</f>
        <v>0</v>
      </c>
      <c r="AV9" s="33" t="n">
        <f aca="false">+AV8</f>
        <v>0</v>
      </c>
      <c r="AW9" s="33" t="n">
        <f aca="false">+AW8</f>
        <v>0</v>
      </c>
      <c r="AX9" s="33" t="n">
        <f aca="false">+AX8</f>
        <v>0</v>
      </c>
      <c r="AZ9" s="33" t="n">
        <f aca="false">+AZ8</f>
        <v>484</v>
      </c>
      <c r="BA9" s="33" t="n">
        <f aca="false">+BA8</f>
        <v>500</v>
      </c>
      <c r="BB9" s="33" t="n">
        <f aca="false">+BB8</f>
        <v>75</v>
      </c>
      <c r="BC9" s="33" t="n">
        <f aca="false">+BC8</f>
        <v>773</v>
      </c>
      <c r="BD9" s="33" t="n">
        <f aca="false">+BD8</f>
        <v>161</v>
      </c>
      <c r="BE9" s="33" t="n">
        <f aca="false">+BE8</f>
        <v>1000</v>
      </c>
    </row>
    <row r="10" customFormat="false" ht="12.75" hidden="false" customHeight="false" outlineLevel="0" collapsed="false">
      <c r="A10" s="34" t="n">
        <f aca="false">+A9+1</f>
        <v>5</v>
      </c>
      <c r="B10" s="34" t="n">
        <v>130402</v>
      </c>
      <c r="C10" s="34" t="n">
        <v>10383</v>
      </c>
      <c r="D10" s="34" t="n">
        <f aca="false">+D9</f>
        <v>13262</v>
      </c>
      <c r="E10" s="34"/>
      <c r="F10" s="34" t="n">
        <f aca="false">SUM(B10:D10)</f>
        <v>154047</v>
      </c>
      <c r="G10" s="34"/>
      <c r="H10" s="34" t="n">
        <v>36065</v>
      </c>
      <c r="I10" s="34" t="n">
        <f aca="false">ROUND(+H10*(1-0.02116),0)</f>
        <v>35302</v>
      </c>
      <c r="J10" s="34"/>
      <c r="K10" s="34" t="n">
        <f aca="false">+F10-I10</f>
        <v>118745</v>
      </c>
      <c r="L10" s="34"/>
      <c r="M10" s="34" t="s">
        <v>123</v>
      </c>
      <c r="N10" s="34"/>
      <c r="O10" s="43" t="n">
        <f aca="false">+O9</f>
        <v>146367</v>
      </c>
      <c r="P10" s="34" t="n">
        <f aca="false">+P9</f>
        <v>36300</v>
      </c>
      <c r="Q10" s="44" t="n">
        <f aca="false">+P10+O10</f>
        <v>182667</v>
      </c>
      <c r="R10" s="34"/>
      <c r="S10" s="34" t="n">
        <f aca="false">IF((+Q10-K10)&gt;0,+Q10-K10,0)</f>
        <v>63922</v>
      </c>
      <c r="T10" s="34"/>
      <c r="U10" s="45" t="n">
        <f aca="false">+U11</f>
        <v>2.865</v>
      </c>
      <c r="V10" s="45" t="n">
        <f aca="false">+U10-0.01</f>
        <v>2.855</v>
      </c>
      <c r="W10" s="46" t="n">
        <f aca="false">+S10*V10</f>
        <v>182497.31</v>
      </c>
      <c r="AC10" s="33" t="n">
        <f aca="false">+AC9</f>
        <v>323</v>
      </c>
      <c r="AD10" s="33" t="n">
        <f aca="false">+AD9</f>
        <v>13</v>
      </c>
      <c r="AE10" s="33" t="n">
        <f aca="false">+AE9</f>
        <v>12</v>
      </c>
      <c r="AF10" s="33" t="n">
        <f aca="false">+AF9</f>
        <v>6</v>
      </c>
      <c r="AG10" s="33" t="n">
        <f aca="false">+AG9</f>
        <v>2097</v>
      </c>
      <c r="AH10" s="33" t="n">
        <f aca="false">+AH9</f>
        <v>14</v>
      </c>
      <c r="AJ10" s="33" t="n">
        <f aca="false">SUM(AC10:AH10)</f>
        <v>2465</v>
      </c>
      <c r="AL10" s="33" t="n">
        <f aca="false">+AL9</f>
        <v>0</v>
      </c>
      <c r="AM10" s="33" t="n">
        <v>0</v>
      </c>
      <c r="AN10" s="33" t="n">
        <v>0</v>
      </c>
      <c r="AO10" s="33" t="n">
        <f aca="false">+AO9</f>
        <v>0</v>
      </c>
      <c r="AP10" s="33" t="n">
        <f aca="false">+AP9</f>
        <v>0</v>
      </c>
      <c r="AQ10" s="33" t="n">
        <f aca="false">+AQ9</f>
        <v>0</v>
      </c>
      <c r="AR10" s="33" t="n">
        <f aca="false">+AR9</f>
        <v>0</v>
      </c>
      <c r="AT10" s="33" t="n">
        <f aca="false">SUM(AL10:AS10)</f>
        <v>0</v>
      </c>
      <c r="AV10" s="33" t="n">
        <f aca="false">+AV9</f>
        <v>0</v>
      </c>
      <c r="AW10" s="33" t="n">
        <v>0</v>
      </c>
      <c r="AX10" s="33" t="n">
        <f aca="false">+AX9</f>
        <v>0</v>
      </c>
      <c r="AZ10" s="33" t="n">
        <f aca="false">+AZ9</f>
        <v>484</v>
      </c>
      <c r="BA10" s="33" t="n">
        <f aca="false">+BA9</f>
        <v>500</v>
      </c>
      <c r="BB10" s="33" t="n">
        <f aca="false">+BB9</f>
        <v>75</v>
      </c>
      <c r="BC10" s="33" t="n">
        <f aca="false">+BC9</f>
        <v>773</v>
      </c>
      <c r="BD10" s="33" t="n">
        <f aca="false">+BD9</f>
        <v>161</v>
      </c>
      <c r="BE10" s="33" t="n">
        <f aca="false">+BE9</f>
        <v>1000</v>
      </c>
    </row>
    <row r="11" customFormat="false" ht="12.75" hidden="false" customHeight="false" outlineLevel="0" collapsed="false">
      <c r="A11" s="34" t="n">
        <f aca="false">+A10+1</f>
        <v>6</v>
      </c>
      <c r="B11" s="34" t="n">
        <v>118648</v>
      </c>
      <c r="C11" s="34" t="n">
        <v>10419</v>
      </c>
      <c r="D11" s="34" t="n">
        <v>13262</v>
      </c>
      <c r="E11" s="34"/>
      <c r="F11" s="34" t="n">
        <f aca="false">SUM(B11:D11)</f>
        <v>142329</v>
      </c>
      <c r="G11" s="34"/>
      <c r="H11" s="34" t="n">
        <v>39859</v>
      </c>
      <c r="I11" s="34" t="n">
        <f aca="false">ROUND(+H11*(1-0.02116),0)</f>
        <v>39016</v>
      </c>
      <c r="J11" s="34"/>
      <c r="K11" s="34" t="n">
        <f aca="false">+F11-I11</f>
        <v>103313</v>
      </c>
      <c r="L11" s="34"/>
      <c r="M11" s="34" t="s">
        <v>123</v>
      </c>
      <c r="N11" s="34"/>
      <c r="O11" s="43" t="n">
        <f aca="false">+O10</f>
        <v>146367</v>
      </c>
      <c r="P11" s="34" t="n">
        <f aca="false">+P10</f>
        <v>36300</v>
      </c>
      <c r="Q11" s="44" t="n">
        <f aca="false">+P11+O11</f>
        <v>182667</v>
      </c>
      <c r="R11" s="34"/>
      <c r="S11" s="34" t="n">
        <f aca="false">IF((+Q11-K11)&gt;0,+Q11-K11,0)</f>
        <v>79354</v>
      </c>
      <c r="T11" s="34"/>
      <c r="U11" s="45" t="n">
        <v>2.865</v>
      </c>
      <c r="V11" s="45" t="n">
        <f aca="false">+U11-0.01</f>
        <v>2.855</v>
      </c>
      <c r="W11" s="46" t="n">
        <f aca="false">+S11*V11</f>
        <v>226555.67</v>
      </c>
      <c r="AC11" s="33" t="n">
        <f aca="false">+AC10</f>
        <v>323</v>
      </c>
      <c r="AD11" s="33" t="n">
        <f aca="false">+AD10</f>
        <v>13</v>
      </c>
      <c r="AE11" s="33" t="n">
        <f aca="false">+AE10</f>
        <v>12</v>
      </c>
      <c r="AF11" s="33" t="n">
        <f aca="false">+AF10</f>
        <v>6</v>
      </c>
      <c r="AG11" s="33" t="n">
        <f aca="false">+AG10</f>
        <v>2097</v>
      </c>
      <c r="AH11" s="33" t="n">
        <f aca="false">+AH10</f>
        <v>14</v>
      </c>
      <c r="AJ11" s="33" t="n">
        <f aca="false">SUM(AC11:AH11)</f>
        <v>2465</v>
      </c>
      <c r="AL11" s="33" t="n">
        <f aca="false">+AL10</f>
        <v>0</v>
      </c>
      <c r="AM11" s="33" t="n">
        <f aca="false">+AM10</f>
        <v>0</v>
      </c>
      <c r="AN11" s="33" t="n">
        <f aca="false">+AN10</f>
        <v>0</v>
      </c>
      <c r="AO11" s="33" t="n">
        <f aca="false">+AO10</f>
        <v>0</v>
      </c>
      <c r="AP11" s="33" t="n">
        <f aca="false">+AP10</f>
        <v>0</v>
      </c>
      <c r="AQ11" s="33" t="n">
        <f aca="false">+AQ10</f>
        <v>0</v>
      </c>
      <c r="AR11" s="33" t="n">
        <f aca="false">+AR10</f>
        <v>0</v>
      </c>
      <c r="AT11" s="33" t="n">
        <f aca="false">SUM(AL11:AS11)</f>
        <v>0</v>
      </c>
      <c r="AV11" s="33" t="n">
        <f aca="false">+AV10</f>
        <v>0</v>
      </c>
      <c r="AW11" s="33" t="n">
        <f aca="false">+AW10</f>
        <v>0</v>
      </c>
      <c r="AX11" s="33" t="n">
        <f aca="false">+AX10</f>
        <v>0</v>
      </c>
      <c r="AZ11" s="33" t="n">
        <f aca="false">+AZ10</f>
        <v>484</v>
      </c>
      <c r="BA11" s="33" t="n">
        <f aca="false">+BA10</f>
        <v>500</v>
      </c>
      <c r="BB11" s="33" t="n">
        <f aca="false">+BB10</f>
        <v>75</v>
      </c>
      <c r="BC11" s="33" t="n">
        <f aca="false">+BC10</f>
        <v>773</v>
      </c>
      <c r="BD11" s="33" t="n">
        <f aca="false">+BD10</f>
        <v>161</v>
      </c>
      <c r="BE11" s="33" t="n">
        <f aca="false">+BE10</f>
        <v>1000</v>
      </c>
    </row>
    <row r="12" customFormat="false" ht="12.75" hidden="false" customHeight="false" outlineLevel="0" collapsed="false">
      <c r="A12" s="34" t="n">
        <f aca="false">+A11+1</f>
        <v>7</v>
      </c>
      <c r="B12" s="34" t="n">
        <v>91521</v>
      </c>
      <c r="C12" s="34" t="n">
        <f aca="false">+C11</f>
        <v>10419</v>
      </c>
      <c r="D12" s="34" t="n">
        <f aca="false">+D11</f>
        <v>13262</v>
      </c>
      <c r="E12" s="34"/>
      <c r="F12" s="34" t="n">
        <f aca="false">SUM(B12:D12)</f>
        <v>115202</v>
      </c>
      <c r="G12" s="34"/>
      <c r="H12" s="34" t="n">
        <v>11406</v>
      </c>
      <c r="I12" s="34" t="n">
        <f aca="false">ROUND(+H12*(1-0.02116),0)</f>
        <v>11165</v>
      </c>
      <c r="J12" s="34"/>
      <c r="K12" s="34" t="n">
        <f aca="false">+F12-I12</f>
        <v>104037</v>
      </c>
      <c r="L12" s="34"/>
      <c r="M12" s="34" t="s">
        <v>123</v>
      </c>
      <c r="N12" s="34"/>
      <c r="O12" s="43" t="n">
        <f aca="false">+O11</f>
        <v>146367</v>
      </c>
      <c r="P12" s="34" t="n">
        <f aca="false">+P11</f>
        <v>36300</v>
      </c>
      <c r="Q12" s="44" t="n">
        <f aca="false">+P12+O12</f>
        <v>182667</v>
      </c>
      <c r="R12" s="34"/>
      <c r="S12" s="34" t="n">
        <f aca="false">IF((+Q12-K12)&gt;0,+Q12-K12,0)</f>
        <v>78630</v>
      </c>
      <c r="T12" s="34"/>
      <c r="U12" s="45" t="n">
        <v>2.85</v>
      </c>
      <c r="V12" s="45" t="n">
        <f aca="false">+U12-0.01</f>
        <v>2.84</v>
      </c>
      <c r="W12" s="46" t="n">
        <f aca="false">+S12*V12</f>
        <v>223309.2</v>
      </c>
      <c r="AC12" s="33" t="n">
        <f aca="false">+AC11</f>
        <v>323</v>
      </c>
      <c r="AD12" s="33" t="n">
        <f aca="false">+AD11</f>
        <v>13</v>
      </c>
      <c r="AE12" s="33" t="n">
        <f aca="false">+AE11</f>
        <v>12</v>
      </c>
      <c r="AF12" s="33" t="n">
        <f aca="false">+AF11</f>
        <v>6</v>
      </c>
      <c r="AG12" s="33" t="n">
        <f aca="false">+AG11</f>
        <v>2097</v>
      </c>
      <c r="AH12" s="33" t="n">
        <f aca="false">+AH11</f>
        <v>14</v>
      </c>
      <c r="AJ12" s="33" t="n">
        <f aca="false">SUM(AC12:AH12)</f>
        <v>2465</v>
      </c>
      <c r="AL12" s="33" t="n">
        <f aca="false">+AL11</f>
        <v>0</v>
      </c>
      <c r="AM12" s="33" t="n">
        <f aca="false">+AM11</f>
        <v>0</v>
      </c>
      <c r="AN12" s="33" t="n">
        <f aca="false">+AN11</f>
        <v>0</v>
      </c>
      <c r="AO12" s="33" t="n">
        <f aca="false">+AO11</f>
        <v>0</v>
      </c>
      <c r="AP12" s="33" t="n">
        <f aca="false">+AP11</f>
        <v>0</v>
      </c>
      <c r="AQ12" s="33" t="n">
        <f aca="false">+AQ11</f>
        <v>0</v>
      </c>
      <c r="AR12" s="33" t="n">
        <f aca="false">+AR11</f>
        <v>0</v>
      </c>
      <c r="AT12" s="33" t="n">
        <f aca="false">SUM(AL12:AS12)</f>
        <v>0</v>
      </c>
      <c r="AV12" s="33" t="n">
        <f aca="false">+AV11</f>
        <v>0</v>
      </c>
      <c r="AW12" s="33" t="n">
        <f aca="false">+AW11</f>
        <v>0</v>
      </c>
      <c r="AX12" s="33" t="n">
        <f aca="false">+AX11</f>
        <v>0</v>
      </c>
      <c r="AZ12" s="33" t="n">
        <f aca="false">+AZ11</f>
        <v>484</v>
      </c>
      <c r="BA12" s="33" t="n">
        <f aca="false">+BA11</f>
        <v>500</v>
      </c>
      <c r="BB12" s="33" t="n">
        <f aca="false">+BB11</f>
        <v>75</v>
      </c>
      <c r="BC12" s="33" t="n">
        <f aca="false">+BC11</f>
        <v>773</v>
      </c>
      <c r="BD12" s="33" t="n">
        <f aca="false">+BD11</f>
        <v>161</v>
      </c>
      <c r="BE12" s="33" t="n">
        <f aca="false">+BE11</f>
        <v>1000</v>
      </c>
    </row>
    <row r="13" customFormat="false" ht="12.75" hidden="false" customHeight="false" outlineLevel="0" collapsed="false">
      <c r="A13" s="34" t="n">
        <f aca="false">+A12+1</f>
        <v>8</v>
      </c>
      <c r="B13" s="34" t="n">
        <v>86848</v>
      </c>
      <c r="C13" s="34" t="n">
        <f aca="false">+C12</f>
        <v>10419</v>
      </c>
      <c r="D13" s="34" t="n">
        <f aca="false">+D12</f>
        <v>13262</v>
      </c>
      <c r="E13" s="34"/>
      <c r="F13" s="34" t="n">
        <f aca="false">SUM(B13:D13)</f>
        <v>110529</v>
      </c>
      <c r="G13" s="34"/>
      <c r="H13" s="34" t="n">
        <v>7371</v>
      </c>
      <c r="I13" s="34" t="n">
        <f aca="false">ROUND(+H13*(1-0.02116),0)</f>
        <v>7215</v>
      </c>
      <c r="J13" s="34"/>
      <c r="K13" s="34" t="n">
        <f aca="false">+F13-I13</f>
        <v>103314</v>
      </c>
      <c r="L13" s="34"/>
      <c r="M13" s="34" t="s">
        <v>123</v>
      </c>
      <c r="N13" s="34"/>
      <c r="O13" s="43" t="n">
        <f aca="false">+O12</f>
        <v>146367</v>
      </c>
      <c r="P13" s="34" t="n">
        <f aca="false">+P12</f>
        <v>36300</v>
      </c>
      <c r="Q13" s="44" t="n">
        <f aca="false">+P13+O13</f>
        <v>182667</v>
      </c>
      <c r="R13" s="34"/>
      <c r="S13" s="34" t="n">
        <f aca="false">IF((+Q13-K13)&gt;0,+Q13-K13,0)</f>
        <v>79353</v>
      </c>
      <c r="T13" s="34"/>
      <c r="U13" s="45" t="n">
        <v>2.89</v>
      </c>
      <c r="V13" s="45" t="n">
        <f aca="false">+U13-0.01</f>
        <v>2.88</v>
      </c>
      <c r="W13" s="46" t="n">
        <f aca="false">+S13*V13</f>
        <v>228536.64</v>
      </c>
      <c r="AC13" s="33" t="n">
        <f aca="false">+AC12</f>
        <v>323</v>
      </c>
      <c r="AD13" s="33" t="n">
        <f aca="false">+AD12</f>
        <v>13</v>
      </c>
      <c r="AE13" s="33" t="n">
        <f aca="false">+AE12</f>
        <v>12</v>
      </c>
      <c r="AF13" s="33" t="n">
        <f aca="false">+AF12</f>
        <v>6</v>
      </c>
      <c r="AG13" s="33" t="n">
        <f aca="false">+AG12</f>
        <v>2097</v>
      </c>
      <c r="AH13" s="33" t="n">
        <f aca="false">+AH12</f>
        <v>14</v>
      </c>
      <c r="AJ13" s="33" t="n">
        <f aca="false">SUM(AC13:AH13)</f>
        <v>2465</v>
      </c>
      <c r="AL13" s="33" t="n">
        <f aca="false">+AL12</f>
        <v>0</v>
      </c>
      <c r="AM13" s="33" t="n">
        <f aca="false">+AM12</f>
        <v>0</v>
      </c>
      <c r="AN13" s="33" t="n">
        <f aca="false">+AN12</f>
        <v>0</v>
      </c>
      <c r="AO13" s="33" t="n">
        <f aca="false">+AO12</f>
        <v>0</v>
      </c>
      <c r="AP13" s="33" t="n">
        <f aca="false">+AP12</f>
        <v>0</v>
      </c>
      <c r="AQ13" s="33" t="n">
        <f aca="false">+AQ12</f>
        <v>0</v>
      </c>
      <c r="AR13" s="33" t="n">
        <f aca="false">+AR12</f>
        <v>0</v>
      </c>
      <c r="AT13" s="33" t="n">
        <f aca="false">SUM(AL13:AS13)</f>
        <v>0</v>
      </c>
      <c r="AV13" s="33" t="n">
        <f aca="false">+AV12</f>
        <v>0</v>
      </c>
      <c r="AW13" s="33" t="n">
        <v>0</v>
      </c>
      <c r="AX13" s="33" t="n">
        <f aca="false">+AX12</f>
        <v>0</v>
      </c>
      <c r="AZ13" s="33" t="n">
        <f aca="false">+AZ12</f>
        <v>484</v>
      </c>
      <c r="BA13" s="33" t="n">
        <f aca="false">+BA12</f>
        <v>500</v>
      </c>
      <c r="BB13" s="33" t="n">
        <f aca="false">+BB12</f>
        <v>75</v>
      </c>
      <c r="BC13" s="33" t="n">
        <f aca="false">+BC12</f>
        <v>773</v>
      </c>
      <c r="BD13" s="33" t="n">
        <f aca="false">+BD12</f>
        <v>161</v>
      </c>
      <c r="BE13" s="33" t="n">
        <f aca="false">+BE12</f>
        <v>1000</v>
      </c>
    </row>
    <row r="14" customFormat="false" ht="12.75" hidden="false" customHeight="false" outlineLevel="0" collapsed="false">
      <c r="A14" s="34" t="n">
        <f aca="false">+A13+1</f>
        <v>9</v>
      </c>
      <c r="B14" s="34" t="n">
        <v>123922</v>
      </c>
      <c r="C14" s="34" t="n">
        <v>10789</v>
      </c>
      <c r="D14" s="34" t="n">
        <f aca="false">+D13</f>
        <v>13262</v>
      </c>
      <c r="E14" s="34"/>
      <c r="F14" s="34" t="n">
        <f aca="false">SUM(B14:D14)</f>
        <v>147973</v>
      </c>
      <c r="G14" s="34"/>
      <c r="H14" s="34" t="n">
        <v>31302</v>
      </c>
      <c r="I14" s="34" t="n">
        <f aca="false">ROUND(+H14*(1-0.02116),0)</f>
        <v>30640</v>
      </c>
      <c r="J14" s="34"/>
      <c r="K14" s="34" t="n">
        <f aca="false">+F14-I14</f>
        <v>117333</v>
      </c>
      <c r="L14" s="34"/>
      <c r="M14" s="34" t="s">
        <v>123</v>
      </c>
      <c r="N14" s="34"/>
      <c r="O14" s="43" t="n">
        <f aca="false">+O13</f>
        <v>146367</v>
      </c>
      <c r="P14" s="34" t="n">
        <f aca="false">+P13</f>
        <v>36300</v>
      </c>
      <c r="Q14" s="44" t="n">
        <f aca="false">+P14+O14</f>
        <v>182667</v>
      </c>
      <c r="R14" s="34"/>
      <c r="S14" s="34" t="n">
        <f aca="false">IF((+Q14-K14)&gt;0,+Q14-K14,0)</f>
        <v>65334</v>
      </c>
      <c r="T14" s="34"/>
      <c r="U14" s="45" t="n">
        <v>2.84</v>
      </c>
      <c r="V14" s="45" t="n">
        <f aca="false">+U14-0.01</f>
        <v>2.83</v>
      </c>
      <c r="W14" s="46" t="n">
        <f aca="false">+S14*V14</f>
        <v>184895.22</v>
      </c>
      <c r="AC14" s="33" t="n">
        <f aca="false">+AC13</f>
        <v>323</v>
      </c>
      <c r="AD14" s="33" t="n">
        <f aca="false">+AD13</f>
        <v>13</v>
      </c>
      <c r="AE14" s="33" t="n">
        <f aca="false">+AE13</f>
        <v>12</v>
      </c>
      <c r="AF14" s="33" t="n">
        <f aca="false">+AF13</f>
        <v>6</v>
      </c>
      <c r="AG14" s="33" t="n">
        <f aca="false">+AG13</f>
        <v>2097</v>
      </c>
      <c r="AH14" s="33" t="n">
        <f aca="false">+AH13</f>
        <v>14</v>
      </c>
      <c r="AJ14" s="33" t="n">
        <f aca="false">SUM(AC14:AH14)</f>
        <v>2465</v>
      </c>
      <c r="AL14" s="33" t="n">
        <f aca="false">+AL13</f>
        <v>0</v>
      </c>
      <c r="AM14" s="33" t="n">
        <v>500</v>
      </c>
      <c r="AN14" s="33" t="n">
        <v>370</v>
      </c>
      <c r="AO14" s="33" t="n">
        <f aca="false">+AO13</f>
        <v>0</v>
      </c>
      <c r="AP14" s="33" t="n">
        <f aca="false">+AP13</f>
        <v>0</v>
      </c>
      <c r="AQ14" s="33" t="n">
        <f aca="false">+AQ13</f>
        <v>0</v>
      </c>
      <c r="AR14" s="33" t="n">
        <f aca="false">+AR13</f>
        <v>0</v>
      </c>
      <c r="AT14" s="33" t="n">
        <f aca="false">SUM(AL14:AS14)</f>
        <v>870</v>
      </c>
      <c r="AV14" s="33" t="n">
        <f aca="false">+AV13</f>
        <v>0</v>
      </c>
      <c r="AW14" s="33" t="n">
        <v>0</v>
      </c>
      <c r="AX14" s="33" t="n">
        <v>0</v>
      </c>
      <c r="AZ14" s="33" t="n">
        <f aca="false">+AZ13</f>
        <v>484</v>
      </c>
      <c r="BA14" s="33" t="n">
        <f aca="false">+BA13</f>
        <v>500</v>
      </c>
      <c r="BB14" s="33" t="n">
        <f aca="false">+BB13</f>
        <v>75</v>
      </c>
      <c r="BC14" s="33" t="n">
        <f aca="false">+BC13</f>
        <v>773</v>
      </c>
      <c r="BD14" s="33" t="n">
        <f aca="false">+BD13</f>
        <v>161</v>
      </c>
      <c r="BE14" s="33" t="n">
        <f aca="false">+BE13</f>
        <v>1000</v>
      </c>
    </row>
    <row r="15" customFormat="false" ht="12.75" hidden="false" customHeight="false" outlineLevel="0" collapsed="false">
      <c r="A15" s="34" t="n">
        <f aca="false">+A14+1</f>
        <v>10</v>
      </c>
      <c r="B15" s="34" t="n">
        <v>159553</v>
      </c>
      <c r="C15" s="34" t="n">
        <f aca="false">+C14</f>
        <v>10789</v>
      </c>
      <c r="D15" s="34" t="n">
        <f aca="false">+D14</f>
        <v>13262</v>
      </c>
      <c r="E15" s="34"/>
      <c r="F15" s="34" t="n">
        <f aca="false">SUM(B15:D15)</f>
        <v>183604</v>
      </c>
      <c r="G15" s="34"/>
      <c r="H15" s="34" t="n">
        <v>44554</v>
      </c>
      <c r="I15" s="34" t="n">
        <f aca="false">ROUND(+H15*(1-0.02116),0)</f>
        <v>43611</v>
      </c>
      <c r="J15" s="34"/>
      <c r="K15" s="34" t="n">
        <f aca="false">+F15-I15</f>
        <v>139993</v>
      </c>
      <c r="L15" s="34"/>
      <c r="M15" s="34" t="s">
        <v>123</v>
      </c>
      <c r="N15" s="34"/>
      <c r="O15" s="43" t="n">
        <f aca="false">+O14</f>
        <v>146367</v>
      </c>
      <c r="P15" s="34" t="n">
        <f aca="false">+P14</f>
        <v>36300</v>
      </c>
      <c r="Q15" s="44" t="n">
        <f aca="false">+P15+O15</f>
        <v>182667</v>
      </c>
      <c r="R15" s="34"/>
      <c r="S15" s="34" t="n">
        <f aca="false">IF((+Q15-K15)&gt;0,+Q15-K15,0)</f>
        <v>42674</v>
      </c>
      <c r="T15" s="34"/>
      <c r="U15" s="45" t="n">
        <v>2.815</v>
      </c>
      <c r="V15" s="45" t="n">
        <f aca="false">+U15-0.01</f>
        <v>2.805</v>
      </c>
      <c r="W15" s="46" t="n">
        <f aca="false">+S15*V15</f>
        <v>119700.57</v>
      </c>
      <c r="AC15" s="33" t="n">
        <f aca="false">+AC14</f>
        <v>323</v>
      </c>
      <c r="AD15" s="33" t="n">
        <f aca="false">+AD14</f>
        <v>13</v>
      </c>
      <c r="AE15" s="33" t="n">
        <f aca="false">+AE14</f>
        <v>12</v>
      </c>
      <c r="AF15" s="33" t="n">
        <f aca="false">+AF14</f>
        <v>6</v>
      </c>
      <c r="AG15" s="33" t="n">
        <f aca="false">+AG14</f>
        <v>2097</v>
      </c>
      <c r="AH15" s="33" t="n">
        <f aca="false">+AH14</f>
        <v>14</v>
      </c>
      <c r="AJ15" s="33" t="n">
        <f aca="false">SUM(AC15:AH15)</f>
        <v>2465</v>
      </c>
      <c r="AL15" s="33" t="n">
        <v>0</v>
      </c>
      <c r="AM15" s="33" t="n">
        <f aca="false">+AM14</f>
        <v>500</v>
      </c>
      <c r="AN15" s="33" t="n">
        <f aca="false">+AN14</f>
        <v>370</v>
      </c>
      <c r="AO15" s="33" t="n">
        <f aca="false">+AO14</f>
        <v>0</v>
      </c>
      <c r="AP15" s="33" t="n">
        <f aca="false">+AP14</f>
        <v>0</v>
      </c>
      <c r="AQ15" s="33" t="n">
        <f aca="false">+AQ14</f>
        <v>0</v>
      </c>
      <c r="AR15" s="33" t="n">
        <f aca="false">+AR14</f>
        <v>0</v>
      </c>
      <c r="AT15" s="33" t="n">
        <f aca="false">SUM(AL15:AS15)</f>
        <v>870</v>
      </c>
      <c r="AV15" s="33" t="n">
        <f aca="false">+AV14</f>
        <v>0</v>
      </c>
      <c r="AW15" s="33" t="n">
        <f aca="false">+AW14</f>
        <v>0</v>
      </c>
      <c r="AX15" s="33" t="n">
        <v>0</v>
      </c>
      <c r="AZ15" s="33" t="n">
        <f aca="false">+AZ14</f>
        <v>484</v>
      </c>
      <c r="BA15" s="33" t="n">
        <f aca="false">+BA14</f>
        <v>500</v>
      </c>
      <c r="BB15" s="33" t="n">
        <f aca="false">+BB14</f>
        <v>75</v>
      </c>
      <c r="BC15" s="33" t="n">
        <f aca="false">+BC14</f>
        <v>773</v>
      </c>
      <c r="BD15" s="33" t="n">
        <f aca="false">+BD14</f>
        <v>161</v>
      </c>
      <c r="BE15" s="33" t="n">
        <f aca="false">+BE14</f>
        <v>1000</v>
      </c>
    </row>
    <row r="16" customFormat="false" ht="12.75" hidden="false" customHeight="false" outlineLevel="0" collapsed="false">
      <c r="A16" s="34" t="n">
        <f aca="false">+A15+1</f>
        <v>11</v>
      </c>
      <c r="B16" s="34" t="n">
        <v>170227</v>
      </c>
      <c r="C16" s="34" t="n">
        <v>10733</v>
      </c>
      <c r="D16" s="34" t="n">
        <f aca="false">+D15</f>
        <v>13262</v>
      </c>
      <c r="E16" s="34"/>
      <c r="F16" s="34" t="n">
        <f aca="false">SUM(B16:D16)</f>
        <v>194222</v>
      </c>
      <c r="G16" s="34"/>
      <c r="H16" s="34" t="n">
        <v>50759</v>
      </c>
      <c r="I16" s="34" t="n">
        <f aca="false">ROUND(+H16*(1-0.02116),0)</f>
        <v>49685</v>
      </c>
      <c r="J16" s="34"/>
      <c r="K16" s="34" t="n">
        <f aca="false">+F16-I16</f>
        <v>144537</v>
      </c>
      <c r="L16" s="34"/>
      <c r="M16" s="34" t="s">
        <v>123</v>
      </c>
      <c r="N16" s="34"/>
      <c r="O16" s="43" t="n">
        <f aca="false">+O15</f>
        <v>146367</v>
      </c>
      <c r="P16" s="34" t="n">
        <f aca="false">+P15</f>
        <v>36300</v>
      </c>
      <c r="Q16" s="44" t="n">
        <f aca="false">+P16+O16</f>
        <v>182667</v>
      </c>
      <c r="R16" s="34"/>
      <c r="S16" s="34" t="n">
        <f aca="false">IF((+Q16-K16)&gt;0,+Q16-K16,0)</f>
        <v>38130</v>
      </c>
      <c r="T16" s="34"/>
      <c r="U16" s="45" t="n">
        <v>2.885</v>
      </c>
      <c r="V16" s="45" t="n">
        <f aca="false">+U16-0.01</f>
        <v>2.875</v>
      </c>
      <c r="W16" s="46" t="n">
        <f aca="false">+S16*V16</f>
        <v>109623.75</v>
      </c>
      <c r="AC16" s="33" t="n">
        <f aca="false">+AC15</f>
        <v>323</v>
      </c>
      <c r="AD16" s="33" t="n">
        <f aca="false">+AD15</f>
        <v>13</v>
      </c>
      <c r="AE16" s="33" t="n">
        <f aca="false">+AE15</f>
        <v>12</v>
      </c>
      <c r="AF16" s="33" t="n">
        <f aca="false">+AF15</f>
        <v>6</v>
      </c>
      <c r="AG16" s="33" t="n">
        <f aca="false">+AG15</f>
        <v>2097</v>
      </c>
      <c r="AH16" s="33" t="n">
        <f aca="false">+AH15</f>
        <v>14</v>
      </c>
      <c r="AJ16" s="33" t="n">
        <f aca="false">SUM(AC16:AH16)</f>
        <v>2465</v>
      </c>
      <c r="AL16" s="33" t="n">
        <v>0</v>
      </c>
      <c r="AM16" s="33" t="n">
        <f aca="false">+AM15</f>
        <v>500</v>
      </c>
      <c r="AN16" s="33" t="n">
        <f aca="false">+AN15</f>
        <v>370</v>
      </c>
      <c r="AO16" s="33" t="n">
        <f aca="false">+AO15</f>
        <v>0</v>
      </c>
      <c r="AP16" s="33" t="n">
        <f aca="false">+AP15</f>
        <v>0</v>
      </c>
      <c r="AQ16" s="33" t="n">
        <v>0</v>
      </c>
      <c r="AR16" s="33" t="n">
        <f aca="false">+AR15</f>
        <v>0</v>
      </c>
      <c r="AT16" s="33" t="n">
        <f aca="false">SUM(AL16:AS16)</f>
        <v>870</v>
      </c>
      <c r="AV16" s="33" t="n">
        <f aca="false">+AV15</f>
        <v>0</v>
      </c>
      <c r="AW16" s="33" t="n">
        <f aca="false">+AW15</f>
        <v>0</v>
      </c>
      <c r="AX16" s="33" t="n">
        <f aca="false">+AX15</f>
        <v>0</v>
      </c>
      <c r="AZ16" s="33" t="n">
        <f aca="false">+AZ15</f>
        <v>484</v>
      </c>
      <c r="BA16" s="33" t="n">
        <f aca="false">+BA15</f>
        <v>500</v>
      </c>
      <c r="BB16" s="33" t="n">
        <f aca="false">+BB15</f>
        <v>75</v>
      </c>
      <c r="BC16" s="33" t="n">
        <f aca="false">+BC15</f>
        <v>773</v>
      </c>
      <c r="BD16" s="33" t="n">
        <f aca="false">+BD15</f>
        <v>161</v>
      </c>
      <c r="BE16" s="33" t="n">
        <f aca="false">+BE15</f>
        <v>1000</v>
      </c>
    </row>
    <row r="17" customFormat="false" ht="12.75" hidden="false" customHeight="false" outlineLevel="0" collapsed="false">
      <c r="A17" s="34" t="n">
        <f aca="false">+A16+1</f>
        <v>12</v>
      </c>
      <c r="B17" s="34" t="n">
        <v>167952</v>
      </c>
      <c r="C17" s="34" t="n">
        <v>10753</v>
      </c>
      <c r="D17" s="34" t="n">
        <f aca="false">+D16</f>
        <v>13262</v>
      </c>
      <c r="E17" s="34"/>
      <c r="F17" s="34" t="n">
        <f aca="false">SUM(B17:D17)</f>
        <v>191967</v>
      </c>
      <c r="G17" s="34"/>
      <c r="H17" s="34" t="n">
        <v>47367</v>
      </c>
      <c r="I17" s="34" t="n">
        <f aca="false">ROUND(+H17*(1-0.02116),0)</f>
        <v>46365</v>
      </c>
      <c r="J17" s="34"/>
      <c r="K17" s="34" t="n">
        <f aca="false">+F17-I17</f>
        <v>145602</v>
      </c>
      <c r="L17" s="34"/>
      <c r="M17" s="34" t="s">
        <v>123</v>
      </c>
      <c r="N17" s="34"/>
      <c r="O17" s="43" t="n">
        <f aca="false">+O16</f>
        <v>146367</v>
      </c>
      <c r="P17" s="34" t="n">
        <f aca="false">+P16</f>
        <v>36300</v>
      </c>
      <c r="Q17" s="44" t="n">
        <f aca="false">+P17+O17</f>
        <v>182667</v>
      </c>
      <c r="R17" s="34"/>
      <c r="S17" s="34" t="n">
        <f aca="false">IF((+Q17-K17)&gt;0,+Q17-K17,0)</f>
        <v>37065</v>
      </c>
      <c r="T17" s="34"/>
      <c r="U17" s="45" t="n">
        <f aca="false">+U16</f>
        <v>2.885</v>
      </c>
      <c r="V17" s="45" t="n">
        <f aca="false">+U17-0.01</f>
        <v>2.875</v>
      </c>
      <c r="W17" s="46" t="n">
        <f aca="false">+S17*V17</f>
        <v>106561.875</v>
      </c>
      <c r="AC17" s="33" t="n">
        <f aca="false">+AC16</f>
        <v>323</v>
      </c>
      <c r="AD17" s="33" t="n">
        <f aca="false">+AD16</f>
        <v>13</v>
      </c>
      <c r="AE17" s="33" t="n">
        <f aca="false">+AE16</f>
        <v>12</v>
      </c>
      <c r="AF17" s="33" t="n">
        <f aca="false">+AF16</f>
        <v>6</v>
      </c>
      <c r="AG17" s="33" t="n">
        <f aca="false">+AG16</f>
        <v>2097</v>
      </c>
      <c r="AH17" s="33" t="n">
        <f aca="false">+AH16</f>
        <v>14</v>
      </c>
      <c r="AJ17" s="33" t="n">
        <f aca="false">SUM(AC17:AH17)</f>
        <v>2465</v>
      </c>
      <c r="AL17" s="33" t="n">
        <v>0</v>
      </c>
      <c r="AM17" s="33" t="n">
        <f aca="false">+AM16</f>
        <v>500</v>
      </c>
      <c r="AN17" s="33" t="n">
        <f aca="false">+AN16</f>
        <v>370</v>
      </c>
      <c r="AO17" s="33" t="n">
        <f aca="false">+AO16</f>
        <v>0</v>
      </c>
      <c r="AP17" s="33" t="n">
        <f aca="false">+AP16</f>
        <v>0</v>
      </c>
      <c r="AQ17" s="33" t="n">
        <v>0</v>
      </c>
      <c r="AR17" s="33" t="n">
        <f aca="false">+AR16</f>
        <v>0</v>
      </c>
      <c r="AT17" s="33" t="n">
        <f aca="false">SUM(AL17:AS17)</f>
        <v>870</v>
      </c>
      <c r="AV17" s="33" t="n">
        <f aca="false">+AV16</f>
        <v>0</v>
      </c>
      <c r="AW17" s="33" t="n">
        <f aca="false">+AW16</f>
        <v>0</v>
      </c>
      <c r="AX17" s="33" t="n">
        <f aca="false">+AX16</f>
        <v>0</v>
      </c>
      <c r="AZ17" s="33" t="n">
        <f aca="false">+AZ16</f>
        <v>484</v>
      </c>
      <c r="BA17" s="33" t="n">
        <f aca="false">+BA16</f>
        <v>500</v>
      </c>
      <c r="BB17" s="33" t="n">
        <f aca="false">+BB16</f>
        <v>75</v>
      </c>
      <c r="BC17" s="33" t="n">
        <f aca="false">+BC16</f>
        <v>773</v>
      </c>
      <c r="BD17" s="33" t="n">
        <f aca="false">+BD16</f>
        <v>161</v>
      </c>
      <c r="BE17" s="33" t="n">
        <f aca="false">+BE16</f>
        <v>1000</v>
      </c>
    </row>
    <row r="18" customFormat="false" ht="12.75" hidden="false" customHeight="false" outlineLevel="0" collapsed="false">
      <c r="A18" s="34" t="n">
        <f aca="false">+A17+1</f>
        <v>13</v>
      </c>
      <c r="B18" s="34" t="n">
        <v>149271</v>
      </c>
      <c r="C18" s="34" t="n">
        <v>11688</v>
      </c>
      <c r="D18" s="34" t="n">
        <f aca="false">+D17</f>
        <v>13262</v>
      </c>
      <c r="E18" s="34"/>
      <c r="F18" s="34" t="n">
        <f aca="false">SUM(B18:D18)</f>
        <v>174221</v>
      </c>
      <c r="G18" s="34"/>
      <c r="H18" s="34" t="n">
        <v>30893</v>
      </c>
      <c r="I18" s="34" t="n">
        <f aca="false">ROUND(+H18*(1-0.02116),0)</f>
        <v>30239</v>
      </c>
      <c r="J18" s="34"/>
      <c r="K18" s="34" t="n">
        <f aca="false">+F18-I18</f>
        <v>143982</v>
      </c>
      <c r="L18" s="34"/>
      <c r="M18" s="34" t="s">
        <v>123</v>
      </c>
      <c r="N18" s="34"/>
      <c r="O18" s="43" t="n">
        <f aca="false">+O17</f>
        <v>146367</v>
      </c>
      <c r="P18" s="34" t="n">
        <f aca="false">+P17</f>
        <v>36300</v>
      </c>
      <c r="Q18" s="44" t="n">
        <f aca="false">+P18+O18</f>
        <v>182667</v>
      </c>
      <c r="R18" s="34"/>
      <c r="S18" s="34" t="n">
        <f aca="false">IF((+Q18-K18)&gt;0,+Q18-K18,0)</f>
        <v>38685</v>
      </c>
      <c r="T18" s="34"/>
      <c r="U18" s="45" t="n">
        <f aca="false">+U17</f>
        <v>2.885</v>
      </c>
      <c r="V18" s="45" t="n">
        <f aca="false">+U18-0.01</f>
        <v>2.875</v>
      </c>
      <c r="W18" s="46" t="n">
        <f aca="false">+S18*V18</f>
        <v>111219.375</v>
      </c>
      <c r="AC18" s="33" t="n">
        <f aca="false">+AC17</f>
        <v>323</v>
      </c>
      <c r="AD18" s="33" t="n">
        <f aca="false">+AD17</f>
        <v>13</v>
      </c>
      <c r="AE18" s="33" t="n">
        <f aca="false">+AE17</f>
        <v>12</v>
      </c>
      <c r="AF18" s="33" t="n">
        <f aca="false">+AF17</f>
        <v>6</v>
      </c>
      <c r="AG18" s="33" t="n">
        <f aca="false">+AG17</f>
        <v>2097</v>
      </c>
      <c r="AH18" s="33" t="n">
        <f aca="false">+AH17</f>
        <v>14</v>
      </c>
      <c r="AJ18" s="33" t="n">
        <f aca="false">SUM(AC18:AH18)</f>
        <v>2465</v>
      </c>
      <c r="AL18" s="33" t="n">
        <f aca="false">+AL17</f>
        <v>0</v>
      </c>
      <c r="AM18" s="33" t="n">
        <f aca="false">+AM17</f>
        <v>500</v>
      </c>
      <c r="AN18" s="33" t="n">
        <f aca="false">+AN17</f>
        <v>370</v>
      </c>
      <c r="AO18" s="33" t="n">
        <f aca="false">+AO17</f>
        <v>0</v>
      </c>
      <c r="AP18" s="33" t="n">
        <f aca="false">+AP17</f>
        <v>0</v>
      </c>
      <c r="AQ18" s="33" t="n">
        <f aca="false">+AQ17</f>
        <v>0</v>
      </c>
      <c r="AR18" s="33" t="n">
        <f aca="false">+AR17</f>
        <v>0</v>
      </c>
      <c r="AT18" s="33" t="n">
        <f aca="false">SUM(AL18:AS18)</f>
        <v>870</v>
      </c>
      <c r="AV18" s="33" t="n">
        <f aca="false">+AV17</f>
        <v>0</v>
      </c>
      <c r="AW18" s="33" t="n">
        <f aca="false">+AW17</f>
        <v>0</v>
      </c>
      <c r="AX18" s="33" t="n">
        <f aca="false">+AX17</f>
        <v>0</v>
      </c>
      <c r="AZ18" s="33" t="n">
        <f aca="false">+AZ17</f>
        <v>484</v>
      </c>
      <c r="BA18" s="33" t="n">
        <f aca="false">+BA17</f>
        <v>500</v>
      </c>
      <c r="BB18" s="33" t="n">
        <f aca="false">+BB17</f>
        <v>75</v>
      </c>
      <c r="BC18" s="33" t="n">
        <f aca="false">+BC17</f>
        <v>773</v>
      </c>
      <c r="BD18" s="33" t="n">
        <f aca="false">+BD17</f>
        <v>161</v>
      </c>
      <c r="BE18" s="33" t="n">
        <f aca="false">+BE17</f>
        <v>1000</v>
      </c>
    </row>
    <row r="19" customFormat="false" ht="12.75" hidden="false" customHeight="false" outlineLevel="0" collapsed="false">
      <c r="A19" s="34" t="n">
        <f aca="false">+A18+1</f>
        <v>14</v>
      </c>
      <c r="B19" s="34" t="n">
        <v>128937</v>
      </c>
      <c r="C19" s="34" t="n">
        <v>10789</v>
      </c>
      <c r="D19" s="34" t="n">
        <f aca="false">+D18</f>
        <v>13262</v>
      </c>
      <c r="E19" s="34"/>
      <c r="F19" s="34" t="n">
        <f aca="false">SUM(B19:D19)</f>
        <v>152988</v>
      </c>
      <c r="G19" s="34"/>
      <c r="H19" s="34" t="n">
        <v>19098</v>
      </c>
      <c r="I19" s="34" t="n">
        <f aca="false">ROUND(+H19*(1-0.02116),0)</f>
        <v>18694</v>
      </c>
      <c r="J19" s="34"/>
      <c r="K19" s="34" t="n">
        <f aca="false">+F19-I19</f>
        <v>134294</v>
      </c>
      <c r="L19" s="34"/>
      <c r="M19" s="34" t="s">
        <v>123</v>
      </c>
      <c r="N19" s="34"/>
      <c r="O19" s="43" t="n">
        <f aca="false">+O18</f>
        <v>146367</v>
      </c>
      <c r="P19" s="34" t="n">
        <f aca="false">+P18</f>
        <v>36300</v>
      </c>
      <c r="Q19" s="44" t="n">
        <f aca="false">+P19+O19</f>
        <v>182667</v>
      </c>
      <c r="R19" s="34"/>
      <c r="S19" s="34" t="n">
        <f aca="false">IF((+Q19-K19)&gt;0,+Q19-K19,0)</f>
        <v>48373</v>
      </c>
      <c r="T19" s="34"/>
      <c r="U19" s="45" t="n">
        <v>2.935</v>
      </c>
      <c r="V19" s="45" t="n">
        <f aca="false">+U19-0.01</f>
        <v>2.925</v>
      </c>
      <c r="W19" s="46" t="n">
        <f aca="false">+S19*V19</f>
        <v>141491.025</v>
      </c>
      <c r="AC19" s="33" t="n">
        <f aca="false">+AC18</f>
        <v>323</v>
      </c>
      <c r="AD19" s="33" t="n">
        <f aca="false">+AD18</f>
        <v>13</v>
      </c>
      <c r="AE19" s="33" t="n">
        <f aca="false">+AE18</f>
        <v>12</v>
      </c>
      <c r="AF19" s="33" t="n">
        <f aca="false">+AF18</f>
        <v>6</v>
      </c>
      <c r="AG19" s="33" t="n">
        <f aca="false">+AG18</f>
        <v>2097</v>
      </c>
      <c r="AH19" s="33" t="n">
        <f aca="false">+AH18</f>
        <v>14</v>
      </c>
      <c r="AJ19" s="33" t="n">
        <f aca="false">SUM(AC19:AH19)</f>
        <v>2465</v>
      </c>
      <c r="AL19" s="33" t="n">
        <f aca="false">+AL18</f>
        <v>0</v>
      </c>
      <c r="AM19" s="33" t="n">
        <f aca="false">+AM18</f>
        <v>500</v>
      </c>
      <c r="AN19" s="33" t="n">
        <f aca="false">+AN18</f>
        <v>370</v>
      </c>
      <c r="AO19" s="33" t="n">
        <f aca="false">+AO18</f>
        <v>0</v>
      </c>
      <c r="AP19" s="33" t="n">
        <f aca="false">+AP18</f>
        <v>0</v>
      </c>
      <c r="AQ19" s="33" t="n">
        <f aca="false">+AQ18</f>
        <v>0</v>
      </c>
      <c r="AR19" s="33" t="n">
        <f aca="false">+AR18</f>
        <v>0</v>
      </c>
      <c r="AT19" s="33" t="n">
        <f aca="false">SUM(AL19:AS19)</f>
        <v>870</v>
      </c>
      <c r="AV19" s="33" t="n">
        <f aca="false">+AV18</f>
        <v>0</v>
      </c>
      <c r="AW19" s="33" t="n">
        <f aca="false">+AW18</f>
        <v>0</v>
      </c>
      <c r="AX19" s="33" t="n">
        <f aca="false">+AX18</f>
        <v>0</v>
      </c>
      <c r="AZ19" s="33" t="n">
        <f aca="false">+AZ18</f>
        <v>484</v>
      </c>
      <c r="BA19" s="33" t="n">
        <f aca="false">+BA18</f>
        <v>500</v>
      </c>
      <c r="BB19" s="33" t="n">
        <f aca="false">+BB18</f>
        <v>75</v>
      </c>
      <c r="BC19" s="33" t="n">
        <f aca="false">+BC18</f>
        <v>773</v>
      </c>
      <c r="BD19" s="33" t="n">
        <f aca="false">+BD18</f>
        <v>161</v>
      </c>
      <c r="BE19" s="33" t="n">
        <f aca="false">+BE18</f>
        <v>1000</v>
      </c>
    </row>
    <row r="20" customFormat="false" ht="12.75" hidden="false" customHeight="false" outlineLevel="0" collapsed="false">
      <c r="A20" s="34" t="n">
        <f aca="false">+A19+1</f>
        <v>15</v>
      </c>
      <c r="B20" s="34" t="n">
        <v>102484</v>
      </c>
      <c r="C20" s="34" t="n">
        <v>10839</v>
      </c>
      <c r="D20" s="34" t="n">
        <f aca="false">+D19</f>
        <v>13262</v>
      </c>
      <c r="E20" s="34"/>
      <c r="F20" s="34" t="n">
        <f aca="false">SUM(B20:D20)</f>
        <v>126585</v>
      </c>
      <c r="G20" s="34"/>
      <c r="H20" s="34" t="n">
        <v>9980</v>
      </c>
      <c r="I20" s="34" t="n">
        <f aca="false">ROUND(+H20*(1-0.02116),0)</f>
        <v>9769</v>
      </c>
      <c r="J20" s="34"/>
      <c r="K20" s="34" t="n">
        <f aca="false">+F20-I20</f>
        <v>116816</v>
      </c>
      <c r="L20" s="34"/>
      <c r="M20" s="34" t="s">
        <v>123</v>
      </c>
      <c r="N20" s="34"/>
      <c r="O20" s="43" t="n">
        <f aca="false">+O19</f>
        <v>146367</v>
      </c>
      <c r="P20" s="34" t="n">
        <f aca="false">+P19</f>
        <v>36300</v>
      </c>
      <c r="Q20" s="44" t="n">
        <f aca="false">+P20+O20</f>
        <v>182667</v>
      </c>
      <c r="R20" s="34"/>
      <c r="S20" s="34" t="n">
        <f aca="false">IF((+Q20-K20)&gt;0,+Q20-K20,0)</f>
        <v>65851</v>
      </c>
      <c r="T20" s="34"/>
      <c r="U20" s="45" t="n">
        <v>2.945</v>
      </c>
      <c r="V20" s="45" t="n">
        <f aca="false">+U20-0.01</f>
        <v>2.935</v>
      </c>
      <c r="W20" s="46" t="n">
        <f aca="false">+S20*V20</f>
        <v>193272.685</v>
      </c>
      <c r="AC20" s="33" t="n">
        <f aca="false">+AC19</f>
        <v>323</v>
      </c>
      <c r="AD20" s="33" t="n">
        <f aca="false">+AD19</f>
        <v>13</v>
      </c>
      <c r="AE20" s="33" t="n">
        <f aca="false">+AE19</f>
        <v>12</v>
      </c>
      <c r="AF20" s="33" t="n">
        <f aca="false">+AF19</f>
        <v>6</v>
      </c>
      <c r="AG20" s="33" t="n">
        <f aca="false">+AG19</f>
        <v>2097</v>
      </c>
      <c r="AH20" s="33" t="n">
        <f aca="false">+AH19</f>
        <v>14</v>
      </c>
      <c r="AJ20" s="33" t="n">
        <f aca="false">SUM(AC20:AH20)</f>
        <v>2465</v>
      </c>
      <c r="AL20" s="33" t="n">
        <f aca="false">+AL19</f>
        <v>0</v>
      </c>
      <c r="AM20" s="33" t="n">
        <f aca="false">+AM19</f>
        <v>500</v>
      </c>
      <c r="AN20" s="33" t="n">
        <f aca="false">+AN19</f>
        <v>370</v>
      </c>
      <c r="AO20" s="33" t="n">
        <f aca="false">+AO19</f>
        <v>0</v>
      </c>
      <c r="AP20" s="33" t="n">
        <f aca="false">+AP19</f>
        <v>0</v>
      </c>
      <c r="AQ20" s="33" t="n">
        <v>0</v>
      </c>
      <c r="AR20" s="33" t="n">
        <f aca="false">+AR19</f>
        <v>0</v>
      </c>
      <c r="AT20" s="33" t="n">
        <f aca="false">SUM(AL20:AS20)</f>
        <v>870</v>
      </c>
      <c r="AV20" s="33" t="n">
        <f aca="false">+AV19</f>
        <v>0</v>
      </c>
      <c r="AW20" s="33" t="n">
        <f aca="false">+AW19</f>
        <v>0</v>
      </c>
      <c r="AX20" s="33" t="n">
        <v>0</v>
      </c>
      <c r="AZ20" s="33" t="n">
        <f aca="false">+AZ19</f>
        <v>484</v>
      </c>
      <c r="BA20" s="33" t="n">
        <f aca="false">+BA19</f>
        <v>500</v>
      </c>
      <c r="BB20" s="33" t="n">
        <f aca="false">+BB19</f>
        <v>75</v>
      </c>
      <c r="BC20" s="33" t="n">
        <f aca="false">+BC19</f>
        <v>773</v>
      </c>
      <c r="BD20" s="33" t="n">
        <f aca="false">+BD19</f>
        <v>161</v>
      </c>
      <c r="BE20" s="33" t="n">
        <f aca="false">+BE19</f>
        <v>1000</v>
      </c>
    </row>
    <row r="21" customFormat="false" ht="12.75" hidden="false" customHeight="false" outlineLevel="0" collapsed="false">
      <c r="A21" s="34" t="n">
        <f aca="false">+A20+1</f>
        <v>16</v>
      </c>
      <c r="B21" s="34" t="n">
        <v>162830</v>
      </c>
      <c r="C21" s="34" t="n">
        <f aca="false">+C20</f>
        <v>10839</v>
      </c>
      <c r="D21" s="34" t="n">
        <f aca="false">+D20</f>
        <v>13262</v>
      </c>
      <c r="E21" s="34"/>
      <c r="F21" s="34" t="n">
        <f aca="false">SUM(B21:D21)</f>
        <v>186931</v>
      </c>
      <c r="G21" s="34"/>
      <c r="H21" s="34" t="n">
        <v>32140</v>
      </c>
      <c r="I21" s="34" t="n">
        <f aca="false">ROUND(+H21*(1-0.02116),0)</f>
        <v>31460</v>
      </c>
      <c r="J21" s="34"/>
      <c r="K21" s="34" t="n">
        <f aca="false">+F21-I21</f>
        <v>155471</v>
      </c>
      <c r="L21" s="34"/>
      <c r="M21" s="34" t="s">
        <v>123</v>
      </c>
      <c r="N21" s="34"/>
      <c r="O21" s="43" t="n">
        <f aca="false">+O20</f>
        <v>146367</v>
      </c>
      <c r="P21" s="34" t="n">
        <f aca="false">+P20</f>
        <v>36300</v>
      </c>
      <c r="Q21" s="44" t="n">
        <f aca="false">+P21+O21</f>
        <v>182667</v>
      </c>
      <c r="R21" s="34"/>
      <c r="S21" s="34" t="n">
        <f aca="false">IF((+Q21-K21)&gt;0,+Q21-K21,0)</f>
        <v>27196</v>
      </c>
      <c r="T21" s="34"/>
      <c r="U21" s="45" t="n">
        <v>2.86</v>
      </c>
      <c r="V21" s="45" t="n">
        <f aca="false">+U21-0.01</f>
        <v>2.85</v>
      </c>
      <c r="W21" s="46" t="n">
        <f aca="false">+S21*V21</f>
        <v>77508.6</v>
      </c>
      <c r="AC21" s="33" t="n">
        <f aca="false">+AC20</f>
        <v>323</v>
      </c>
      <c r="AD21" s="33" t="n">
        <f aca="false">+AD20</f>
        <v>13</v>
      </c>
      <c r="AE21" s="33" t="n">
        <f aca="false">+AE20</f>
        <v>12</v>
      </c>
      <c r="AF21" s="33" t="n">
        <f aca="false">+AF20</f>
        <v>6</v>
      </c>
      <c r="AG21" s="33" t="n">
        <f aca="false">+AG20</f>
        <v>2097</v>
      </c>
      <c r="AH21" s="33" t="n">
        <f aca="false">+AH20</f>
        <v>14</v>
      </c>
      <c r="AJ21" s="33" t="n">
        <f aca="false">SUM(AC21:AH21)</f>
        <v>2465</v>
      </c>
      <c r="AL21" s="33" t="n">
        <f aca="false">+AL20</f>
        <v>0</v>
      </c>
      <c r="AM21" s="33" t="n">
        <f aca="false">+AM20</f>
        <v>500</v>
      </c>
      <c r="AN21" s="33" t="n">
        <f aca="false">+AN20</f>
        <v>370</v>
      </c>
      <c r="AO21" s="33" t="n">
        <f aca="false">+AO20</f>
        <v>0</v>
      </c>
      <c r="AP21" s="33" t="n">
        <f aca="false">+AP20</f>
        <v>0</v>
      </c>
      <c r="AQ21" s="33" t="n">
        <v>0</v>
      </c>
      <c r="AR21" s="33" t="n">
        <f aca="false">+AR20</f>
        <v>0</v>
      </c>
      <c r="AT21" s="33" t="n">
        <f aca="false">SUM(AL21:AS21)</f>
        <v>870</v>
      </c>
      <c r="AV21" s="33" t="n">
        <f aca="false">+AV20</f>
        <v>0</v>
      </c>
      <c r="AW21" s="33" t="n">
        <f aca="false">+AW20</f>
        <v>0</v>
      </c>
      <c r="AX21" s="33" t="n">
        <v>0</v>
      </c>
      <c r="AZ21" s="33" t="n">
        <f aca="false">+AZ20</f>
        <v>484</v>
      </c>
      <c r="BA21" s="33" t="n">
        <f aca="false">+BA20</f>
        <v>500</v>
      </c>
      <c r="BB21" s="33" t="n">
        <f aca="false">+BB20</f>
        <v>75</v>
      </c>
      <c r="BC21" s="33" t="n">
        <f aca="false">+BC20</f>
        <v>773</v>
      </c>
      <c r="BD21" s="33" t="n">
        <f aca="false">+BD20</f>
        <v>161</v>
      </c>
      <c r="BE21" s="33" t="n">
        <f aca="false">+BE20</f>
        <v>1000</v>
      </c>
    </row>
    <row r="22" customFormat="false" ht="12.75" hidden="false" customHeight="false" outlineLevel="0" collapsed="false">
      <c r="A22" s="34" t="n">
        <f aca="false">+A21+1</f>
        <v>17</v>
      </c>
      <c r="B22" s="34" t="n">
        <v>174763</v>
      </c>
      <c r="C22" s="34" t="n">
        <f aca="false">+C21</f>
        <v>10839</v>
      </c>
      <c r="D22" s="34" t="n">
        <f aca="false">+D21</f>
        <v>13262</v>
      </c>
      <c r="E22" s="34"/>
      <c r="F22" s="34" t="n">
        <f aca="false">SUM(B22:D22)</f>
        <v>198864</v>
      </c>
      <c r="G22" s="34"/>
      <c r="H22" s="34" t="n">
        <v>54453</v>
      </c>
      <c r="I22" s="34" t="n">
        <f aca="false">ROUND(+H22*(1-0.02116),0)</f>
        <v>53301</v>
      </c>
      <c r="J22" s="34"/>
      <c r="K22" s="34" t="n">
        <f aca="false">+F22-I22</f>
        <v>145563</v>
      </c>
      <c r="L22" s="34"/>
      <c r="M22" s="34" t="s">
        <v>123</v>
      </c>
      <c r="N22" s="34"/>
      <c r="O22" s="43" t="n">
        <f aca="false">+O21</f>
        <v>146367</v>
      </c>
      <c r="P22" s="34" t="n">
        <f aca="false">+P21</f>
        <v>36300</v>
      </c>
      <c r="Q22" s="44" t="n">
        <f aca="false">+P22+O22</f>
        <v>182667</v>
      </c>
      <c r="R22" s="34"/>
      <c r="S22" s="34" t="n">
        <f aca="false">IF((+Q22-K22)&gt;0,+Q22-K22,0)</f>
        <v>37104</v>
      </c>
      <c r="T22" s="34"/>
      <c r="U22" s="45" t="n">
        <v>2.96</v>
      </c>
      <c r="V22" s="45" t="n">
        <f aca="false">+U22-0.01</f>
        <v>2.95</v>
      </c>
      <c r="W22" s="46" t="n">
        <f aca="false">+S22*V22</f>
        <v>109456.8</v>
      </c>
      <c r="AC22" s="33" t="n">
        <f aca="false">+AC21</f>
        <v>323</v>
      </c>
      <c r="AD22" s="33" t="n">
        <f aca="false">+AD21</f>
        <v>13</v>
      </c>
      <c r="AE22" s="33" t="n">
        <f aca="false">+AE21</f>
        <v>12</v>
      </c>
      <c r="AF22" s="33" t="n">
        <f aca="false">+AF21</f>
        <v>6</v>
      </c>
      <c r="AG22" s="33" t="n">
        <f aca="false">+AG21</f>
        <v>2097</v>
      </c>
      <c r="AH22" s="33" t="n">
        <f aca="false">+AH21</f>
        <v>14</v>
      </c>
      <c r="AJ22" s="33" t="n">
        <f aca="false">SUM(AC22:AH22)</f>
        <v>2465</v>
      </c>
      <c r="AL22" s="33" t="n">
        <f aca="false">+AL21</f>
        <v>0</v>
      </c>
      <c r="AM22" s="33" t="n">
        <f aca="false">+AM21</f>
        <v>500</v>
      </c>
      <c r="AN22" s="33" t="n">
        <f aca="false">+AN21</f>
        <v>370</v>
      </c>
      <c r="AO22" s="33" t="n">
        <f aca="false">+AO21</f>
        <v>0</v>
      </c>
      <c r="AP22" s="33" t="n">
        <f aca="false">+AP21</f>
        <v>0</v>
      </c>
      <c r="AQ22" s="33" t="n">
        <f aca="false">+AQ21</f>
        <v>0</v>
      </c>
      <c r="AR22" s="33" t="n">
        <f aca="false">+AR21</f>
        <v>0</v>
      </c>
      <c r="AT22" s="33" t="n">
        <f aca="false">SUM(AL22:AS22)</f>
        <v>870</v>
      </c>
      <c r="AV22" s="33" t="n">
        <f aca="false">+AV21</f>
        <v>0</v>
      </c>
      <c r="AW22" s="33" t="n">
        <f aca="false">+AW21</f>
        <v>0</v>
      </c>
      <c r="AX22" s="33" t="n">
        <f aca="false">+AX21</f>
        <v>0</v>
      </c>
      <c r="AZ22" s="33" t="n">
        <f aca="false">+AZ21</f>
        <v>484</v>
      </c>
      <c r="BA22" s="33" t="n">
        <f aca="false">+BA21</f>
        <v>500</v>
      </c>
      <c r="BB22" s="33" t="n">
        <f aca="false">+BB21</f>
        <v>75</v>
      </c>
      <c r="BC22" s="33" t="n">
        <f aca="false">+BC21</f>
        <v>773</v>
      </c>
      <c r="BD22" s="33" t="n">
        <f aca="false">+BD21</f>
        <v>161</v>
      </c>
      <c r="BE22" s="33" t="n">
        <f aca="false">+BE21</f>
        <v>1000</v>
      </c>
    </row>
    <row r="23" customFormat="false" ht="12.75" hidden="false" customHeight="false" outlineLevel="0" collapsed="false">
      <c r="A23" s="34" t="n">
        <f aca="false">+A22+1</f>
        <v>18</v>
      </c>
      <c r="B23" s="34" t="n">
        <v>146659</v>
      </c>
      <c r="C23" s="34" t="n">
        <v>10783</v>
      </c>
      <c r="D23" s="34" t="n">
        <f aca="false">+D22</f>
        <v>13262</v>
      </c>
      <c r="E23" s="34"/>
      <c r="F23" s="34" t="n">
        <f aca="false">SUM(B23:D23)</f>
        <v>170704</v>
      </c>
      <c r="G23" s="34"/>
      <c r="H23" s="34" t="n">
        <v>54303</v>
      </c>
      <c r="I23" s="34" t="n">
        <f aca="false">ROUND(+H23*(1-0.02116),0)</f>
        <v>53154</v>
      </c>
      <c r="J23" s="34"/>
      <c r="K23" s="34" t="n">
        <f aca="false">+F23-I23</f>
        <v>117550</v>
      </c>
      <c r="L23" s="34"/>
      <c r="M23" s="34" t="s">
        <v>123</v>
      </c>
      <c r="N23" s="34"/>
      <c r="O23" s="43" t="n">
        <f aca="false">+O22</f>
        <v>146367</v>
      </c>
      <c r="P23" s="34" t="n">
        <f aca="false">+P22</f>
        <v>36300</v>
      </c>
      <c r="Q23" s="44" t="n">
        <f aca="false">+P23+O23</f>
        <v>182667</v>
      </c>
      <c r="R23" s="34"/>
      <c r="S23" s="34" t="n">
        <f aca="false">IF((+Q23-K23)&gt;0,+Q23-K23,0)</f>
        <v>65117</v>
      </c>
      <c r="T23" s="34"/>
      <c r="U23" s="45" t="n">
        <f aca="false">+U24</f>
        <v>2.94</v>
      </c>
      <c r="V23" s="45" t="n">
        <f aca="false">+U23-0.01</f>
        <v>2.93</v>
      </c>
      <c r="W23" s="46" t="n">
        <f aca="false">+S23*V23</f>
        <v>190792.81</v>
      </c>
      <c r="AC23" s="33" t="n">
        <f aca="false">+AC22</f>
        <v>323</v>
      </c>
      <c r="AD23" s="33" t="n">
        <f aca="false">+AD22</f>
        <v>13</v>
      </c>
      <c r="AE23" s="33" t="n">
        <f aca="false">+AE22</f>
        <v>12</v>
      </c>
      <c r="AF23" s="33" t="n">
        <f aca="false">+AF22</f>
        <v>6</v>
      </c>
      <c r="AG23" s="33" t="n">
        <f aca="false">+AG22</f>
        <v>2097</v>
      </c>
      <c r="AH23" s="33" t="n">
        <f aca="false">+AH22</f>
        <v>14</v>
      </c>
      <c r="AJ23" s="33" t="n">
        <f aca="false">SUM(AC23:AH23)</f>
        <v>2465</v>
      </c>
      <c r="AL23" s="33" t="n">
        <f aca="false">+AL22</f>
        <v>0</v>
      </c>
      <c r="AM23" s="33" t="n">
        <f aca="false">+AM22</f>
        <v>500</v>
      </c>
      <c r="AN23" s="33" t="n">
        <f aca="false">+AN22</f>
        <v>370</v>
      </c>
      <c r="AO23" s="33" t="n">
        <f aca="false">+AO22</f>
        <v>0</v>
      </c>
      <c r="AP23" s="33" t="n">
        <f aca="false">+AP22</f>
        <v>0</v>
      </c>
      <c r="AQ23" s="33" t="n">
        <f aca="false">+AQ22</f>
        <v>0</v>
      </c>
      <c r="AR23" s="33" t="n">
        <v>0</v>
      </c>
      <c r="AT23" s="33" t="n">
        <f aca="false">SUM(AL23:AS23)</f>
        <v>870</v>
      </c>
      <c r="AV23" s="33" t="n">
        <f aca="false">+AV22</f>
        <v>0</v>
      </c>
      <c r="AW23" s="33" t="n">
        <f aca="false">+AW22</f>
        <v>0</v>
      </c>
      <c r="AX23" s="33" t="n">
        <f aca="false">+AX22</f>
        <v>0</v>
      </c>
      <c r="AZ23" s="33" t="n">
        <f aca="false">+AZ22</f>
        <v>484</v>
      </c>
      <c r="BA23" s="33" t="n">
        <f aca="false">+BA22</f>
        <v>500</v>
      </c>
      <c r="BB23" s="33" t="n">
        <f aca="false">+BB22</f>
        <v>75</v>
      </c>
      <c r="BC23" s="33" t="n">
        <f aca="false">+BC22</f>
        <v>773</v>
      </c>
      <c r="BD23" s="33" t="n">
        <f aca="false">+BD22</f>
        <v>161</v>
      </c>
      <c r="BE23" s="33" t="n">
        <f aca="false">+BE22</f>
        <v>1000</v>
      </c>
    </row>
    <row r="24" customFormat="false" ht="12.75" hidden="false" customHeight="false" outlineLevel="0" collapsed="false">
      <c r="A24" s="34" t="n">
        <f aca="false">+A23+1</f>
        <v>19</v>
      </c>
      <c r="B24" s="34" t="n">
        <v>132459</v>
      </c>
      <c r="C24" s="34" t="n">
        <v>6708</v>
      </c>
      <c r="D24" s="34" t="n">
        <f aca="false">+D23</f>
        <v>13262</v>
      </c>
      <c r="E24" s="34"/>
      <c r="F24" s="34" t="n">
        <f aca="false">SUM(B24:D24)</f>
        <v>152429</v>
      </c>
      <c r="G24" s="34"/>
      <c r="H24" s="34" t="n">
        <v>29105</v>
      </c>
      <c r="I24" s="34" t="n">
        <f aca="false">ROUND(+H24*(1-0.02116),0)</f>
        <v>28489</v>
      </c>
      <c r="J24" s="34"/>
      <c r="K24" s="34" t="n">
        <f aca="false">+F24-I24</f>
        <v>123940</v>
      </c>
      <c r="L24" s="34"/>
      <c r="M24" s="34" t="s">
        <v>123</v>
      </c>
      <c r="N24" s="34"/>
      <c r="O24" s="43" t="n">
        <f aca="false">+O23</f>
        <v>146367</v>
      </c>
      <c r="P24" s="34" t="n">
        <f aca="false">+P23</f>
        <v>36300</v>
      </c>
      <c r="Q24" s="44" t="n">
        <f aca="false">+P24+O24</f>
        <v>182667</v>
      </c>
      <c r="R24" s="34"/>
      <c r="S24" s="34" t="n">
        <f aca="false">IF((+Q24-K24)&gt;0,+Q24-K24,0)</f>
        <v>58727</v>
      </c>
      <c r="T24" s="34"/>
      <c r="U24" s="45" t="n">
        <f aca="false">+U25</f>
        <v>2.94</v>
      </c>
      <c r="V24" s="45" t="n">
        <f aca="false">+U24-0.01</f>
        <v>2.93</v>
      </c>
      <c r="W24" s="46" t="n">
        <f aca="false">+S24*V24</f>
        <v>172070.11</v>
      </c>
      <c r="AC24" s="33" t="n">
        <f aca="false">+AC23</f>
        <v>323</v>
      </c>
      <c r="AD24" s="33" t="n">
        <f aca="false">+AD23</f>
        <v>13</v>
      </c>
      <c r="AE24" s="33" t="n">
        <f aca="false">+AE23</f>
        <v>12</v>
      </c>
      <c r="AF24" s="33" t="n">
        <f aca="false">+AF23</f>
        <v>6</v>
      </c>
      <c r="AG24" s="33" t="n">
        <f aca="false">+AG23</f>
        <v>2097</v>
      </c>
      <c r="AH24" s="33" t="n">
        <f aca="false">+AH23</f>
        <v>14</v>
      </c>
      <c r="AJ24" s="33" t="n">
        <f aca="false">SUM(AC24:AH24)</f>
        <v>2465</v>
      </c>
      <c r="AL24" s="33" t="n">
        <f aca="false">+AL23</f>
        <v>0</v>
      </c>
      <c r="AM24" s="33" t="n">
        <f aca="false">+AM23</f>
        <v>500</v>
      </c>
      <c r="AN24" s="33" t="n">
        <f aca="false">+AN23</f>
        <v>370</v>
      </c>
      <c r="AO24" s="33" t="n">
        <f aca="false">+AO23</f>
        <v>0</v>
      </c>
      <c r="AP24" s="33" t="n">
        <f aca="false">+AP23</f>
        <v>0</v>
      </c>
      <c r="AQ24" s="33" t="n">
        <f aca="false">+AQ23</f>
        <v>0</v>
      </c>
      <c r="AR24" s="33" t="n">
        <f aca="false">+AR23</f>
        <v>0</v>
      </c>
      <c r="AT24" s="33" t="n">
        <f aca="false">SUM(AL24:AS24)</f>
        <v>870</v>
      </c>
      <c r="AV24" s="33" t="n">
        <f aca="false">+AV23</f>
        <v>0</v>
      </c>
      <c r="AW24" s="33" t="n">
        <f aca="false">+AW23</f>
        <v>0</v>
      </c>
      <c r="AX24" s="33" t="n">
        <f aca="false">+AX23</f>
        <v>0</v>
      </c>
      <c r="AZ24" s="33" t="n">
        <f aca="false">+AZ23</f>
        <v>484</v>
      </c>
      <c r="BA24" s="33" t="n">
        <f aca="false">+BA23</f>
        <v>500</v>
      </c>
      <c r="BB24" s="33" t="n">
        <f aca="false">+BB23</f>
        <v>75</v>
      </c>
      <c r="BC24" s="33" t="n">
        <f aca="false">+BC23</f>
        <v>773</v>
      </c>
      <c r="BD24" s="33" t="n">
        <f aca="false">+BD23</f>
        <v>161</v>
      </c>
      <c r="BE24" s="33" t="n">
        <f aca="false">+BE23</f>
        <v>1000</v>
      </c>
    </row>
    <row r="25" customFormat="false" ht="12.75" hidden="false" customHeight="false" outlineLevel="0" collapsed="false">
      <c r="A25" s="34" t="n">
        <f aca="false">+A24+1</f>
        <v>20</v>
      </c>
      <c r="B25" s="34" t="n">
        <v>134448</v>
      </c>
      <c r="C25" s="34" t="n">
        <v>4038</v>
      </c>
      <c r="D25" s="34" t="n">
        <f aca="false">+D24</f>
        <v>13262</v>
      </c>
      <c r="E25" s="34"/>
      <c r="F25" s="34" t="n">
        <f aca="false">SUM(B25:D25)</f>
        <v>151748</v>
      </c>
      <c r="G25" s="34"/>
      <c r="H25" s="34" t="n">
        <v>39338</v>
      </c>
      <c r="I25" s="34" t="n">
        <f aca="false">ROUND(+H25*(1-0.02116),0)</f>
        <v>38506</v>
      </c>
      <c r="J25" s="34"/>
      <c r="K25" s="34" t="n">
        <f aca="false">+F25-I25</f>
        <v>113242</v>
      </c>
      <c r="L25" s="34"/>
      <c r="M25" s="34" t="s">
        <v>123</v>
      </c>
      <c r="N25" s="34"/>
      <c r="O25" s="43" t="n">
        <f aca="false">+O24</f>
        <v>146367</v>
      </c>
      <c r="P25" s="34" t="n">
        <f aca="false">+P24</f>
        <v>36300</v>
      </c>
      <c r="Q25" s="44" t="n">
        <f aca="false">+P25+O25</f>
        <v>182667</v>
      </c>
      <c r="R25" s="34"/>
      <c r="S25" s="34" t="n">
        <f aca="false">IF((+Q25-K25)&gt;0,+Q25-K25,0)</f>
        <v>69425</v>
      </c>
      <c r="T25" s="34"/>
      <c r="U25" s="45" t="n">
        <v>2.94</v>
      </c>
      <c r="V25" s="45" t="n">
        <f aca="false">+U25-0.01</f>
        <v>2.93</v>
      </c>
      <c r="W25" s="46" t="n">
        <f aca="false">+S25*V25</f>
        <v>203415.25</v>
      </c>
      <c r="AC25" s="33" t="n">
        <f aca="false">+AC24</f>
        <v>323</v>
      </c>
      <c r="AD25" s="33" t="n">
        <f aca="false">+AD24</f>
        <v>13</v>
      </c>
      <c r="AE25" s="33" t="n">
        <f aca="false">+AE24</f>
        <v>12</v>
      </c>
      <c r="AF25" s="33" t="n">
        <f aca="false">+AF24</f>
        <v>6</v>
      </c>
      <c r="AG25" s="33" t="n">
        <f aca="false">+AG24</f>
        <v>2097</v>
      </c>
      <c r="AH25" s="33" t="n">
        <f aca="false">+AH24</f>
        <v>14</v>
      </c>
      <c r="AJ25" s="33" t="n">
        <f aca="false">SUM(AC25:AH25)</f>
        <v>2465</v>
      </c>
      <c r="AL25" s="33" t="n">
        <f aca="false">+AL24</f>
        <v>0</v>
      </c>
      <c r="AM25" s="33" t="n">
        <f aca="false">+AM24</f>
        <v>500</v>
      </c>
      <c r="AN25" s="33" t="n">
        <f aca="false">+AN24</f>
        <v>370</v>
      </c>
      <c r="AO25" s="33" t="n">
        <f aca="false">+AO24</f>
        <v>0</v>
      </c>
      <c r="AP25" s="33" t="n">
        <f aca="false">+AP24</f>
        <v>0</v>
      </c>
      <c r="AQ25" s="33" t="n">
        <f aca="false">+AQ24</f>
        <v>0</v>
      </c>
      <c r="AR25" s="33" t="n">
        <f aca="false">+AR24</f>
        <v>0</v>
      </c>
      <c r="AT25" s="33" t="n">
        <f aca="false">SUM(AL25:AS25)</f>
        <v>870</v>
      </c>
      <c r="AV25" s="33" t="n">
        <f aca="false">+AV24</f>
        <v>0</v>
      </c>
      <c r="AW25" s="33" t="n">
        <f aca="false">+AW24</f>
        <v>0</v>
      </c>
      <c r="AX25" s="33" t="n">
        <f aca="false">+AX24</f>
        <v>0</v>
      </c>
      <c r="AZ25" s="33" t="n">
        <f aca="false">+AZ24</f>
        <v>484</v>
      </c>
      <c r="BA25" s="33" t="n">
        <f aca="false">+BA24</f>
        <v>500</v>
      </c>
      <c r="BB25" s="33" t="n">
        <f aca="false">+BB24</f>
        <v>75</v>
      </c>
      <c r="BC25" s="33" t="n">
        <f aca="false">+BC24</f>
        <v>773</v>
      </c>
      <c r="BD25" s="33" t="n">
        <f aca="false">+BD24</f>
        <v>161</v>
      </c>
      <c r="BE25" s="33" t="n">
        <f aca="false">+BE24</f>
        <v>1000</v>
      </c>
    </row>
    <row r="26" customFormat="false" ht="12.75" hidden="false" customHeight="false" outlineLevel="0" collapsed="false">
      <c r="A26" s="34" t="n">
        <f aca="false">+A25+1</f>
        <v>21</v>
      </c>
      <c r="B26" s="34" t="n">
        <v>133813</v>
      </c>
      <c r="C26" s="34" t="n">
        <v>11807</v>
      </c>
      <c r="D26" s="34" t="n">
        <f aca="false">+D25</f>
        <v>13262</v>
      </c>
      <c r="E26" s="34"/>
      <c r="F26" s="34" t="n">
        <f aca="false">SUM(B26:D26)</f>
        <v>158882</v>
      </c>
      <c r="G26" s="34"/>
      <c r="H26" s="34" t="n">
        <v>37738</v>
      </c>
      <c r="I26" s="34" t="n">
        <f aca="false">ROUND(+H26*(1-0.02116),0)</f>
        <v>36939</v>
      </c>
      <c r="J26" s="34"/>
      <c r="K26" s="34" t="n">
        <f aca="false">+F26-I26</f>
        <v>121943</v>
      </c>
      <c r="L26" s="34"/>
      <c r="M26" s="34" t="s">
        <v>123</v>
      </c>
      <c r="N26" s="34"/>
      <c r="O26" s="43" t="n">
        <f aca="false">+O25</f>
        <v>146367</v>
      </c>
      <c r="P26" s="34" t="n">
        <f aca="false">+P25</f>
        <v>36300</v>
      </c>
      <c r="Q26" s="44" t="n">
        <f aca="false">+P26+O26</f>
        <v>182667</v>
      </c>
      <c r="R26" s="34"/>
      <c r="S26" s="34" t="n">
        <f aca="false">IF((+Q26-K26)&gt;0,+Q26-K26,0)</f>
        <v>60724</v>
      </c>
      <c r="T26" s="34"/>
      <c r="U26" s="45" t="n">
        <v>2.875</v>
      </c>
      <c r="V26" s="45" t="n">
        <f aca="false">+U26-0.01</f>
        <v>2.865</v>
      </c>
      <c r="W26" s="46" t="n">
        <f aca="false">+S26*V26</f>
        <v>173974.26</v>
      </c>
      <c r="AC26" s="33" t="n">
        <f aca="false">+AC25</f>
        <v>323</v>
      </c>
      <c r="AD26" s="33" t="n">
        <f aca="false">+AD25</f>
        <v>13</v>
      </c>
      <c r="AE26" s="33" t="n">
        <f aca="false">+AE25</f>
        <v>12</v>
      </c>
      <c r="AF26" s="33" t="n">
        <f aca="false">+AF25</f>
        <v>6</v>
      </c>
      <c r="AG26" s="33" t="n">
        <f aca="false">+AG25</f>
        <v>2097</v>
      </c>
      <c r="AH26" s="33" t="n">
        <f aca="false">+AH25</f>
        <v>14</v>
      </c>
      <c r="AJ26" s="33" t="n">
        <f aca="false">SUM(AC26:AH26)</f>
        <v>2465</v>
      </c>
      <c r="AL26" s="33" t="n">
        <f aca="false">+AL25</f>
        <v>0</v>
      </c>
      <c r="AM26" s="33" t="n">
        <f aca="false">+AM25</f>
        <v>500</v>
      </c>
      <c r="AN26" s="33" t="n">
        <f aca="false">+AN25</f>
        <v>370</v>
      </c>
      <c r="AO26" s="33" t="n">
        <f aca="false">+AO25</f>
        <v>0</v>
      </c>
      <c r="AP26" s="33" t="n">
        <f aca="false">+AP25</f>
        <v>0</v>
      </c>
      <c r="AQ26" s="33" t="n">
        <f aca="false">+AQ25</f>
        <v>0</v>
      </c>
      <c r="AR26" s="33" t="n">
        <f aca="false">+AR25</f>
        <v>0</v>
      </c>
      <c r="AT26" s="33" t="n">
        <f aca="false">SUM(AL26:AS26)</f>
        <v>870</v>
      </c>
      <c r="AV26" s="33" t="n">
        <f aca="false">+AV25</f>
        <v>0</v>
      </c>
      <c r="AW26" s="33" t="n">
        <f aca="false">+AW25</f>
        <v>0</v>
      </c>
      <c r="AX26" s="33" t="n">
        <f aca="false">+AX25</f>
        <v>0</v>
      </c>
      <c r="AZ26" s="33" t="n">
        <f aca="false">+AZ25</f>
        <v>484</v>
      </c>
      <c r="BA26" s="33" t="n">
        <f aca="false">+BA25</f>
        <v>500</v>
      </c>
      <c r="BB26" s="33" t="n">
        <f aca="false">+BB25</f>
        <v>75</v>
      </c>
      <c r="BC26" s="33" t="n">
        <f aca="false">+BC25</f>
        <v>773</v>
      </c>
      <c r="BD26" s="33" t="n">
        <f aca="false">+BD25</f>
        <v>161</v>
      </c>
      <c r="BE26" s="33" t="n">
        <f aca="false">+BE25</f>
        <v>1000</v>
      </c>
    </row>
    <row r="27" customFormat="false" ht="12.75" hidden="false" customHeight="false" outlineLevel="0" collapsed="false">
      <c r="A27" s="34" t="n">
        <f aca="false">+A26+1</f>
        <v>22</v>
      </c>
      <c r="B27" s="34" t="n">
        <v>126038</v>
      </c>
      <c r="C27" s="34" t="n">
        <v>10948</v>
      </c>
      <c r="D27" s="34" t="n">
        <f aca="false">+D26</f>
        <v>13262</v>
      </c>
      <c r="E27" s="34"/>
      <c r="F27" s="34" t="n">
        <f aca="false">SUM(B27:D27)</f>
        <v>150248</v>
      </c>
      <c r="G27" s="34"/>
      <c r="H27" s="34" t="n">
        <v>39201</v>
      </c>
      <c r="I27" s="34" t="n">
        <f aca="false">ROUND(+H27*(1-0.02116),0)</f>
        <v>38372</v>
      </c>
      <c r="J27" s="34"/>
      <c r="K27" s="34" t="n">
        <f aca="false">+F27-I27</f>
        <v>111876</v>
      </c>
      <c r="L27" s="34"/>
      <c r="M27" s="34" t="s">
        <v>123</v>
      </c>
      <c r="N27" s="34"/>
      <c r="O27" s="43" t="n">
        <f aca="false">+O26</f>
        <v>146367</v>
      </c>
      <c r="P27" s="34" t="n">
        <f aca="false">+P26</f>
        <v>36300</v>
      </c>
      <c r="Q27" s="44" t="n">
        <f aca="false">+P27+O27</f>
        <v>182667</v>
      </c>
      <c r="R27" s="34"/>
      <c r="S27" s="34" t="n">
        <f aca="false">IF((+Q27-K27)&gt;0,+Q27-K27,0)</f>
        <v>70791</v>
      </c>
      <c r="T27" s="34"/>
      <c r="U27" s="45" t="n">
        <v>2.88</v>
      </c>
      <c r="V27" s="45" t="n">
        <f aca="false">+U27-0.01</f>
        <v>2.87</v>
      </c>
      <c r="W27" s="46" t="n">
        <f aca="false">+S27*V27</f>
        <v>203170.17</v>
      </c>
      <c r="AC27" s="33" t="n">
        <f aca="false">+AC26</f>
        <v>323</v>
      </c>
      <c r="AD27" s="33" t="n">
        <f aca="false">+AD26</f>
        <v>13</v>
      </c>
      <c r="AE27" s="33" t="n">
        <f aca="false">+AE26</f>
        <v>12</v>
      </c>
      <c r="AF27" s="33" t="n">
        <f aca="false">+AF26</f>
        <v>6</v>
      </c>
      <c r="AG27" s="33" t="n">
        <f aca="false">+AG26</f>
        <v>2097</v>
      </c>
      <c r="AH27" s="33" t="n">
        <f aca="false">+AH26</f>
        <v>14</v>
      </c>
      <c r="AJ27" s="33" t="n">
        <f aca="false">SUM(AC27:AH27)</f>
        <v>2465</v>
      </c>
      <c r="AL27" s="33" t="n">
        <f aca="false">+AL26</f>
        <v>0</v>
      </c>
      <c r="AM27" s="33" t="n">
        <f aca="false">+AM26</f>
        <v>500</v>
      </c>
      <c r="AN27" s="33" t="n">
        <f aca="false">+AN26</f>
        <v>370</v>
      </c>
      <c r="AO27" s="33" t="n">
        <f aca="false">+AO26</f>
        <v>0</v>
      </c>
      <c r="AP27" s="33" t="n">
        <f aca="false">+AP26</f>
        <v>0</v>
      </c>
      <c r="AQ27" s="33" t="n">
        <f aca="false">+AQ26</f>
        <v>0</v>
      </c>
      <c r="AR27" s="33" t="n">
        <f aca="false">+AR26</f>
        <v>0</v>
      </c>
      <c r="AT27" s="33" t="n">
        <f aca="false">SUM(AL27:AS27)</f>
        <v>870</v>
      </c>
      <c r="AV27" s="33" t="n">
        <f aca="false">+AV26</f>
        <v>0</v>
      </c>
      <c r="AW27" s="33" t="n">
        <f aca="false">+AW26</f>
        <v>0</v>
      </c>
      <c r="AX27" s="33" t="n">
        <f aca="false">+AX26</f>
        <v>0</v>
      </c>
      <c r="AZ27" s="33" t="n">
        <f aca="false">+AZ26</f>
        <v>484</v>
      </c>
      <c r="BA27" s="33" t="n">
        <f aca="false">+BA26</f>
        <v>500</v>
      </c>
      <c r="BB27" s="33" t="n">
        <f aca="false">+BB26</f>
        <v>75</v>
      </c>
      <c r="BC27" s="33" t="n">
        <f aca="false">+BC26</f>
        <v>773</v>
      </c>
      <c r="BD27" s="33" t="n">
        <f aca="false">+BD26</f>
        <v>161</v>
      </c>
      <c r="BE27" s="33" t="n">
        <f aca="false">+BE26</f>
        <v>1000</v>
      </c>
    </row>
    <row r="28" customFormat="false" ht="12.75" hidden="false" customHeight="false" outlineLevel="0" collapsed="false">
      <c r="A28" s="34" t="n">
        <f aca="false">+A27+1</f>
        <v>23</v>
      </c>
      <c r="B28" s="34" t="n">
        <v>118682</v>
      </c>
      <c r="C28" s="34" t="n">
        <v>11424</v>
      </c>
      <c r="D28" s="34" t="n">
        <f aca="false">+D27</f>
        <v>13262</v>
      </c>
      <c r="E28" s="34"/>
      <c r="F28" s="34" t="n">
        <f aca="false">SUM(B28:D28)</f>
        <v>143368</v>
      </c>
      <c r="G28" s="34"/>
      <c r="H28" s="34" t="n">
        <v>40096</v>
      </c>
      <c r="I28" s="34" t="n">
        <f aca="false">ROUND(+H28*(1-0.02116),0)</f>
        <v>39248</v>
      </c>
      <c r="J28" s="34"/>
      <c r="K28" s="34" t="n">
        <f aca="false">+F28-I28</f>
        <v>104120</v>
      </c>
      <c r="L28" s="34"/>
      <c r="M28" s="34" t="s">
        <v>123</v>
      </c>
      <c r="N28" s="34"/>
      <c r="O28" s="43" t="n">
        <f aca="false">+O27</f>
        <v>146367</v>
      </c>
      <c r="P28" s="34" t="n">
        <f aca="false">+P27</f>
        <v>36300</v>
      </c>
      <c r="Q28" s="44" t="n">
        <f aca="false">+P28+O28</f>
        <v>182667</v>
      </c>
      <c r="R28" s="34"/>
      <c r="S28" s="34" t="n">
        <f aca="false">IF((+Q28-K28)&gt;0,+Q28-K28,0)</f>
        <v>78547</v>
      </c>
      <c r="T28" s="34"/>
      <c r="U28" s="45" t="n">
        <v>2.91</v>
      </c>
      <c r="V28" s="45" t="n">
        <f aca="false">+U28-0.01</f>
        <v>2.9</v>
      </c>
      <c r="W28" s="46" t="n">
        <f aca="false">+S28*V28</f>
        <v>227786.3</v>
      </c>
      <c r="AC28" s="33" t="n">
        <f aca="false">+AC27</f>
        <v>323</v>
      </c>
      <c r="AD28" s="33" t="n">
        <f aca="false">+AD27</f>
        <v>13</v>
      </c>
      <c r="AE28" s="33" t="n">
        <f aca="false">+AE27</f>
        <v>12</v>
      </c>
      <c r="AF28" s="33" t="n">
        <f aca="false">+AF27</f>
        <v>6</v>
      </c>
      <c r="AG28" s="33" t="n">
        <f aca="false">+AG27</f>
        <v>2097</v>
      </c>
      <c r="AH28" s="33" t="n">
        <f aca="false">+AH27</f>
        <v>14</v>
      </c>
      <c r="AJ28" s="33" t="n">
        <f aca="false">SUM(AC28:AH28)</f>
        <v>2465</v>
      </c>
      <c r="AL28" s="33" t="n">
        <v>21</v>
      </c>
      <c r="AM28" s="33" t="n">
        <f aca="false">+AM27</f>
        <v>500</v>
      </c>
      <c r="AN28" s="33" t="n">
        <f aca="false">+AN27</f>
        <v>370</v>
      </c>
      <c r="AO28" s="33" t="n">
        <f aca="false">+AO27</f>
        <v>0</v>
      </c>
      <c r="AP28" s="33" t="n">
        <f aca="false">+AP27</f>
        <v>0</v>
      </c>
      <c r="AQ28" s="33" t="n">
        <f aca="false">+AQ27</f>
        <v>0</v>
      </c>
      <c r="AR28" s="33" t="n">
        <f aca="false">+AR27</f>
        <v>0</v>
      </c>
      <c r="AT28" s="33" t="n">
        <f aca="false">SUM(AL28:AS28)</f>
        <v>891</v>
      </c>
      <c r="AV28" s="33" t="n">
        <f aca="false">+AV27</f>
        <v>0</v>
      </c>
      <c r="AW28" s="33" t="n">
        <f aca="false">+AW27</f>
        <v>0</v>
      </c>
      <c r="AX28" s="33" t="n">
        <f aca="false">+AX27</f>
        <v>0</v>
      </c>
      <c r="AZ28" s="33" t="n">
        <f aca="false">+AZ27</f>
        <v>484</v>
      </c>
      <c r="BA28" s="33" t="n">
        <f aca="false">+BA27</f>
        <v>500</v>
      </c>
      <c r="BB28" s="33" t="n">
        <f aca="false">+BB27</f>
        <v>75</v>
      </c>
      <c r="BC28" s="33" t="n">
        <f aca="false">+BC27</f>
        <v>773</v>
      </c>
      <c r="BD28" s="33" t="n">
        <f aca="false">+BD27</f>
        <v>161</v>
      </c>
      <c r="BE28" s="33" t="n">
        <f aca="false">+BE27</f>
        <v>1000</v>
      </c>
    </row>
    <row r="29" customFormat="false" ht="12.75" hidden="false" customHeight="false" outlineLevel="0" collapsed="false">
      <c r="A29" s="34" t="n">
        <f aca="false">+A28+1</f>
        <v>24</v>
      </c>
      <c r="B29" s="34" t="n">
        <v>88488</v>
      </c>
      <c r="C29" s="34" t="n">
        <v>11424</v>
      </c>
      <c r="D29" s="34" t="n">
        <f aca="false">+D28</f>
        <v>13262</v>
      </c>
      <c r="E29" s="34"/>
      <c r="F29" s="34" t="n">
        <f aca="false">SUM(B29:D29)</f>
        <v>113174</v>
      </c>
      <c r="G29" s="34"/>
      <c r="H29" s="34" t="n">
        <f aca="false">17332+1977</f>
        <v>19309</v>
      </c>
      <c r="I29" s="34" t="n">
        <f aca="false">ROUND(+H29*(1-0.02116),0)</f>
        <v>18900</v>
      </c>
      <c r="J29" s="34"/>
      <c r="K29" s="34" t="n">
        <f aca="false">+F29-I29</f>
        <v>94274</v>
      </c>
      <c r="L29" s="34"/>
      <c r="M29" s="34" t="s">
        <v>123</v>
      </c>
      <c r="N29" s="34"/>
      <c r="O29" s="43" t="n">
        <f aca="false">+O28</f>
        <v>146367</v>
      </c>
      <c r="P29" s="34" t="n">
        <f aca="false">+P28</f>
        <v>36300</v>
      </c>
      <c r="Q29" s="44" t="n">
        <f aca="false">+P29+O29</f>
        <v>182667</v>
      </c>
      <c r="R29" s="34"/>
      <c r="S29" s="34" t="n">
        <f aca="false">IF((+Q29-K29)&gt;0,+Q29-K29,0)</f>
        <v>88393</v>
      </c>
      <c r="T29" s="34"/>
      <c r="U29" s="45" t="n">
        <v>2.88</v>
      </c>
      <c r="V29" s="45" t="n">
        <f aca="false">+U29-0.01</f>
        <v>2.87</v>
      </c>
      <c r="W29" s="46" t="n">
        <f aca="false">+S29*V29</f>
        <v>253687.91</v>
      </c>
      <c r="AC29" s="33" t="n">
        <f aca="false">+AC28</f>
        <v>323</v>
      </c>
      <c r="AD29" s="33" t="n">
        <f aca="false">+AD28</f>
        <v>13</v>
      </c>
      <c r="AE29" s="33" t="n">
        <f aca="false">+AE28</f>
        <v>12</v>
      </c>
      <c r="AF29" s="33" t="n">
        <f aca="false">+AF28</f>
        <v>6</v>
      </c>
      <c r="AG29" s="33" t="n">
        <f aca="false">+AG28</f>
        <v>2097</v>
      </c>
      <c r="AH29" s="33" t="n">
        <f aca="false">+AH28</f>
        <v>14</v>
      </c>
      <c r="AJ29" s="33" t="n">
        <f aca="false">SUM(AC29:AH29)</f>
        <v>2465</v>
      </c>
      <c r="AL29" s="33" t="n">
        <f aca="false">+AL28</f>
        <v>21</v>
      </c>
      <c r="AM29" s="33" t="n">
        <f aca="false">+AM28</f>
        <v>500</v>
      </c>
      <c r="AN29" s="33" t="n">
        <f aca="false">+AN28</f>
        <v>370</v>
      </c>
      <c r="AO29" s="33" t="n">
        <f aca="false">+AO28</f>
        <v>0</v>
      </c>
      <c r="AP29" s="33" t="n">
        <f aca="false">+AP28</f>
        <v>0</v>
      </c>
      <c r="AQ29" s="33" t="n">
        <f aca="false">+AQ28</f>
        <v>0</v>
      </c>
      <c r="AR29" s="33" t="n">
        <v>0</v>
      </c>
      <c r="AT29" s="33" t="n">
        <f aca="false">SUM(AL29:AS29)</f>
        <v>891</v>
      </c>
      <c r="AV29" s="33" t="n">
        <f aca="false">+AV28</f>
        <v>0</v>
      </c>
      <c r="AW29" s="33" t="n">
        <f aca="false">+AW28</f>
        <v>0</v>
      </c>
      <c r="AX29" s="33" t="n">
        <f aca="false">+AX28</f>
        <v>0</v>
      </c>
      <c r="AZ29" s="33" t="n">
        <f aca="false">+AZ28</f>
        <v>484</v>
      </c>
      <c r="BA29" s="33" t="n">
        <f aca="false">+BA28</f>
        <v>500</v>
      </c>
      <c r="BB29" s="33" t="n">
        <f aca="false">+BB28</f>
        <v>75</v>
      </c>
      <c r="BC29" s="33" t="n">
        <f aca="false">+BC28</f>
        <v>773</v>
      </c>
      <c r="BD29" s="33" t="n">
        <f aca="false">+BD28</f>
        <v>161</v>
      </c>
      <c r="BE29" s="33" t="n">
        <f aca="false">+BE28</f>
        <v>1000</v>
      </c>
    </row>
    <row r="30" customFormat="false" ht="12.75" hidden="false" customHeight="false" outlineLevel="0" collapsed="false">
      <c r="A30" s="34" t="n">
        <f aca="false">+A29+1</f>
        <v>25</v>
      </c>
      <c r="B30" s="34" t="n">
        <v>107605</v>
      </c>
      <c r="C30" s="34" t="n">
        <v>10783</v>
      </c>
      <c r="D30" s="34" t="n">
        <f aca="false">+D29</f>
        <v>13262</v>
      </c>
      <c r="E30" s="34"/>
      <c r="F30" s="34" t="n">
        <f aca="false">SUM(B30:D30)</f>
        <v>131650</v>
      </c>
      <c r="G30" s="34"/>
      <c r="H30" s="34" t="n">
        <f aca="false">37599+1977</f>
        <v>39576</v>
      </c>
      <c r="I30" s="34" t="n">
        <f aca="false">ROUND(+H30*(1-0.02116),0)</f>
        <v>38739</v>
      </c>
      <c r="J30" s="34"/>
      <c r="K30" s="34" t="n">
        <f aca="false">+F30-I30</f>
        <v>92911</v>
      </c>
      <c r="L30" s="34"/>
      <c r="M30" s="34" t="s">
        <v>123</v>
      </c>
      <c r="N30" s="34"/>
      <c r="O30" s="43" t="n">
        <f aca="false">+O29</f>
        <v>146367</v>
      </c>
      <c r="P30" s="34" t="n">
        <f aca="false">+P29</f>
        <v>36300</v>
      </c>
      <c r="Q30" s="44" t="n">
        <f aca="false">+P30+O30</f>
        <v>182667</v>
      </c>
      <c r="R30" s="34"/>
      <c r="S30" s="34" t="n">
        <f aca="false">IF((+Q30-K30)&gt;0,+Q30-K30,0)</f>
        <v>89756</v>
      </c>
      <c r="T30" s="34"/>
      <c r="U30" s="45" t="n">
        <f aca="false">+U31</f>
        <v>2.92</v>
      </c>
      <c r="V30" s="45" t="n">
        <f aca="false">+U30-0.01</f>
        <v>2.91</v>
      </c>
      <c r="W30" s="46" t="n">
        <f aca="false">+S30*V30</f>
        <v>261189.96</v>
      </c>
      <c r="Z30" s="47"/>
      <c r="AA30" s="46"/>
      <c r="AC30" s="33" t="n">
        <f aca="false">+AC29</f>
        <v>323</v>
      </c>
      <c r="AD30" s="33" t="n">
        <f aca="false">+AD29</f>
        <v>13</v>
      </c>
      <c r="AE30" s="33" t="n">
        <f aca="false">+AE29</f>
        <v>12</v>
      </c>
      <c r="AF30" s="33" t="n">
        <f aca="false">+AF29</f>
        <v>6</v>
      </c>
      <c r="AG30" s="33" t="n">
        <f aca="false">+AG29</f>
        <v>2097</v>
      </c>
      <c r="AH30" s="33" t="n">
        <f aca="false">+AH29</f>
        <v>14</v>
      </c>
      <c r="AJ30" s="33" t="n">
        <f aca="false">SUM(AC30:AH30)</f>
        <v>2465</v>
      </c>
      <c r="AL30" s="33" t="n">
        <f aca="false">+AL29</f>
        <v>21</v>
      </c>
      <c r="AM30" s="33" t="n">
        <f aca="false">+AM29</f>
        <v>500</v>
      </c>
      <c r="AN30" s="33" t="n">
        <f aca="false">+AN29</f>
        <v>370</v>
      </c>
      <c r="AO30" s="33" t="n">
        <f aca="false">+AO29</f>
        <v>0</v>
      </c>
      <c r="AP30" s="33" t="n">
        <f aca="false">+AP29</f>
        <v>0</v>
      </c>
      <c r="AQ30" s="33" t="n">
        <f aca="false">+AQ29</f>
        <v>0</v>
      </c>
      <c r="AR30" s="33" t="n">
        <f aca="false">+AR29</f>
        <v>0</v>
      </c>
      <c r="AT30" s="33" t="n">
        <f aca="false">SUM(AL30:AS30)</f>
        <v>891</v>
      </c>
      <c r="AV30" s="33" t="n">
        <f aca="false">+AV29</f>
        <v>0</v>
      </c>
      <c r="AW30" s="33" t="n">
        <f aca="false">+AW29</f>
        <v>0</v>
      </c>
      <c r="AX30" s="33" t="n">
        <f aca="false">+AX29</f>
        <v>0</v>
      </c>
      <c r="AZ30" s="33" t="n">
        <f aca="false">+AZ29</f>
        <v>484</v>
      </c>
      <c r="BA30" s="33" t="n">
        <f aca="false">+BA29</f>
        <v>500</v>
      </c>
      <c r="BB30" s="33" t="n">
        <f aca="false">+BB29</f>
        <v>75</v>
      </c>
      <c r="BC30" s="33" t="n">
        <f aca="false">+BC29</f>
        <v>773</v>
      </c>
      <c r="BD30" s="33" t="n">
        <f aca="false">+BD29</f>
        <v>161</v>
      </c>
      <c r="BE30" s="33" t="n">
        <f aca="false">+BE29</f>
        <v>1000</v>
      </c>
    </row>
    <row r="31" customFormat="false" ht="12.75" hidden="false" customHeight="false" outlineLevel="0" collapsed="false">
      <c r="A31" s="34" t="n">
        <f aca="false">+A30+1</f>
        <v>26</v>
      </c>
      <c r="B31" s="34" t="n">
        <v>116765</v>
      </c>
      <c r="C31" s="34" t="n">
        <v>10803</v>
      </c>
      <c r="D31" s="34" t="n">
        <f aca="false">+D30</f>
        <v>13262</v>
      </c>
      <c r="E31" s="34"/>
      <c r="F31" s="34" t="n">
        <f aca="false">SUM(B31:D31)</f>
        <v>140830</v>
      </c>
      <c r="G31" s="34"/>
      <c r="H31" s="34" t="n">
        <f aca="false">36648+1977</f>
        <v>38625</v>
      </c>
      <c r="I31" s="34" t="n">
        <f aca="false">ROUND(+H31*(1-0.02116),0)</f>
        <v>37808</v>
      </c>
      <c r="J31" s="34"/>
      <c r="K31" s="34" t="n">
        <f aca="false">+F31-I31</f>
        <v>103022</v>
      </c>
      <c r="L31" s="34"/>
      <c r="M31" s="34" t="s">
        <v>123</v>
      </c>
      <c r="N31" s="34"/>
      <c r="O31" s="43" t="n">
        <f aca="false">+O30</f>
        <v>146367</v>
      </c>
      <c r="P31" s="34" t="n">
        <f aca="false">+P30</f>
        <v>36300</v>
      </c>
      <c r="Q31" s="44" t="n">
        <f aca="false">+P31+O31</f>
        <v>182667</v>
      </c>
      <c r="R31" s="34"/>
      <c r="S31" s="34" t="n">
        <f aca="false">IF((+Q31-K31)&gt;0,+Q31-K31,0)</f>
        <v>79645</v>
      </c>
      <c r="T31" s="34"/>
      <c r="U31" s="45" t="n">
        <f aca="false">+U32</f>
        <v>2.92</v>
      </c>
      <c r="V31" s="45" t="n">
        <f aca="false">+U31-0.01</f>
        <v>2.91</v>
      </c>
      <c r="W31" s="46" t="n">
        <f aca="false">+S31*V31</f>
        <v>231766.95</v>
      </c>
      <c r="Z31" s="47"/>
      <c r="AA31" s="46"/>
      <c r="AC31" s="33" t="n">
        <f aca="false">+AC30</f>
        <v>323</v>
      </c>
      <c r="AD31" s="33" t="n">
        <f aca="false">+AD30</f>
        <v>13</v>
      </c>
      <c r="AE31" s="33" t="n">
        <f aca="false">+AE30</f>
        <v>12</v>
      </c>
      <c r="AF31" s="33" t="n">
        <f aca="false">+AF30</f>
        <v>6</v>
      </c>
      <c r="AG31" s="33" t="n">
        <f aca="false">+AG30</f>
        <v>2097</v>
      </c>
      <c r="AH31" s="33" t="n">
        <f aca="false">+AH30</f>
        <v>14</v>
      </c>
      <c r="AJ31" s="33" t="n">
        <f aca="false">SUM(AC31:AH31)</f>
        <v>2465</v>
      </c>
      <c r="AL31" s="33" t="n">
        <f aca="false">+AL30</f>
        <v>21</v>
      </c>
      <c r="AM31" s="33" t="n">
        <f aca="false">+AM30</f>
        <v>500</v>
      </c>
      <c r="AN31" s="33" t="n">
        <f aca="false">+AN30</f>
        <v>370</v>
      </c>
      <c r="AO31" s="33" t="n">
        <f aca="false">+AO30</f>
        <v>0</v>
      </c>
      <c r="AP31" s="33" t="n">
        <f aca="false">+AP30</f>
        <v>0</v>
      </c>
      <c r="AQ31" s="33" t="n">
        <f aca="false">+AQ30</f>
        <v>0</v>
      </c>
      <c r="AR31" s="33" t="n">
        <f aca="false">+AR30</f>
        <v>0</v>
      </c>
      <c r="AT31" s="33" t="n">
        <f aca="false">SUM(AL31:AS31)</f>
        <v>891</v>
      </c>
      <c r="AV31" s="33" t="n">
        <f aca="false">+AV30</f>
        <v>0</v>
      </c>
      <c r="AW31" s="33" t="n">
        <f aca="false">+AW30</f>
        <v>0</v>
      </c>
      <c r="AX31" s="33" t="n">
        <f aca="false">+AX30</f>
        <v>0</v>
      </c>
      <c r="AZ31" s="33" t="n">
        <f aca="false">+AZ30</f>
        <v>484</v>
      </c>
      <c r="BA31" s="33" t="n">
        <f aca="false">+BA30</f>
        <v>500</v>
      </c>
      <c r="BB31" s="33" t="n">
        <f aca="false">+BB30</f>
        <v>75</v>
      </c>
      <c r="BC31" s="33" t="n">
        <f aca="false">+BC30</f>
        <v>773</v>
      </c>
      <c r="BD31" s="33" t="n">
        <f aca="false">+BD30</f>
        <v>161</v>
      </c>
      <c r="BE31" s="33" t="n">
        <f aca="false">+BE30</f>
        <v>1000</v>
      </c>
    </row>
    <row r="32" customFormat="false" ht="12.75" hidden="false" customHeight="false" outlineLevel="0" collapsed="false">
      <c r="A32" s="34" t="n">
        <f aca="false">+A31+1</f>
        <v>27</v>
      </c>
      <c r="B32" s="34" t="n">
        <v>133826</v>
      </c>
      <c r="C32" s="34" t="n">
        <v>10839</v>
      </c>
      <c r="D32" s="34" t="n">
        <f aca="false">+D31</f>
        <v>13262</v>
      </c>
      <c r="E32" s="34"/>
      <c r="F32" s="34" t="n">
        <f aca="false">SUM(B32:D32)</f>
        <v>157927</v>
      </c>
      <c r="G32" s="34"/>
      <c r="H32" s="34" t="n">
        <f aca="false">34723+1977</f>
        <v>36700</v>
      </c>
      <c r="I32" s="34" t="n">
        <f aca="false">ROUND(+H32*(1-0.02116),0)</f>
        <v>35923</v>
      </c>
      <c r="J32" s="34"/>
      <c r="K32" s="34" t="n">
        <f aca="false">+F32-I32</f>
        <v>122004</v>
      </c>
      <c r="L32" s="34"/>
      <c r="M32" s="34" t="s">
        <v>123</v>
      </c>
      <c r="N32" s="34"/>
      <c r="O32" s="43" t="n">
        <f aca="false">+O31</f>
        <v>146367</v>
      </c>
      <c r="P32" s="34" t="n">
        <f aca="false">+P31</f>
        <v>36300</v>
      </c>
      <c r="Q32" s="44" t="n">
        <f aca="false">+P32+O32</f>
        <v>182667</v>
      </c>
      <c r="R32" s="34"/>
      <c r="S32" s="34" t="n">
        <f aca="false">IF((+Q32-K32)&gt;0,+Q32-K32,0)</f>
        <v>60663</v>
      </c>
      <c r="T32" s="34"/>
      <c r="U32" s="45" t="n">
        <v>2.92</v>
      </c>
      <c r="V32" s="45" t="n">
        <f aca="false">+U32-0.01</f>
        <v>2.91</v>
      </c>
      <c r="W32" s="46" t="n">
        <f aca="false">+S32*V32</f>
        <v>176529.33</v>
      </c>
      <c r="Z32" s="47"/>
      <c r="AA32" s="46"/>
      <c r="AC32" s="33" t="n">
        <f aca="false">+AC31</f>
        <v>323</v>
      </c>
      <c r="AD32" s="33" t="n">
        <f aca="false">+AD31</f>
        <v>13</v>
      </c>
      <c r="AE32" s="33" t="n">
        <f aca="false">+AE31</f>
        <v>12</v>
      </c>
      <c r="AF32" s="33" t="n">
        <f aca="false">+AF31</f>
        <v>6</v>
      </c>
      <c r="AG32" s="33" t="n">
        <f aca="false">+AG31</f>
        <v>2097</v>
      </c>
      <c r="AH32" s="33" t="n">
        <f aca="false">+AH31</f>
        <v>14</v>
      </c>
      <c r="AJ32" s="33" t="n">
        <f aca="false">SUM(AC32:AH32)</f>
        <v>2465</v>
      </c>
      <c r="AL32" s="33" t="n">
        <f aca="false">+AL31</f>
        <v>21</v>
      </c>
      <c r="AM32" s="33" t="n">
        <f aca="false">+AM31</f>
        <v>500</v>
      </c>
      <c r="AN32" s="33" t="n">
        <f aca="false">+AN31</f>
        <v>370</v>
      </c>
      <c r="AO32" s="33" t="n">
        <f aca="false">+AO31</f>
        <v>0</v>
      </c>
      <c r="AP32" s="33" t="n">
        <f aca="false">+AP31</f>
        <v>0</v>
      </c>
      <c r="AQ32" s="33" t="n">
        <f aca="false">+AQ31</f>
        <v>0</v>
      </c>
      <c r="AR32" s="33" t="n">
        <f aca="false">+AR31</f>
        <v>0</v>
      </c>
      <c r="AT32" s="33" t="n">
        <f aca="false">SUM(AL32:AS32)</f>
        <v>891</v>
      </c>
      <c r="AV32" s="33" t="n">
        <f aca="false">+AV31</f>
        <v>0</v>
      </c>
      <c r="AW32" s="33" t="n">
        <f aca="false">+AW31</f>
        <v>0</v>
      </c>
      <c r="AX32" s="33" t="n">
        <f aca="false">+AX31</f>
        <v>0</v>
      </c>
      <c r="AZ32" s="33" t="n">
        <f aca="false">+AZ31</f>
        <v>484</v>
      </c>
      <c r="BA32" s="33" t="n">
        <f aca="false">+BA31</f>
        <v>500</v>
      </c>
      <c r="BB32" s="33" t="n">
        <f aca="false">+BB31</f>
        <v>75</v>
      </c>
      <c r="BC32" s="33" t="n">
        <f aca="false">+BC31</f>
        <v>773</v>
      </c>
      <c r="BD32" s="33" t="n">
        <f aca="false">+BD31</f>
        <v>161</v>
      </c>
      <c r="BE32" s="33" t="n">
        <f aca="false">+BE31</f>
        <v>1000</v>
      </c>
    </row>
    <row r="33" customFormat="false" ht="12.75" hidden="false" customHeight="false" outlineLevel="0" collapsed="false">
      <c r="A33" s="34" t="n">
        <f aca="false">+A32+1</f>
        <v>28</v>
      </c>
      <c r="B33" s="34" t="n">
        <v>145091</v>
      </c>
      <c r="C33" s="34" t="n">
        <f aca="false">+C32</f>
        <v>10839</v>
      </c>
      <c r="D33" s="34" t="n">
        <f aca="false">+D32</f>
        <v>13262</v>
      </c>
      <c r="E33" s="34"/>
      <c r="F33" s="34" t="n">
        <f aca="false">SUM(B33:D33)</f>
        <v>169192</v>
      </c>
      <c r="G33" s="34"/>
      <c r="H33" s="34" t="n">
        <f aca="false">39957+1977</f>
        <v>41934</v>
      </c>
      <c r="I33" s="34" t="n">
        <f aca="false">ROUND(+H33*(1-0.02116),0)</f>
        <v>41047</v>
      </c>
      <c r="J33" s="34"/>
      <c r="K33" s="34" t="n">
        <f aca="false">+F33-I33</f>
        <v>128145</v>
      </c>
      <c r="L33" s="34"/>
      <c r="M33" s="34" t="s">
        <v>123</v>
      </c>
      <c r="N33" s="34"/>
      <c r="O33" s="43" t="n">
        <f aca="false">+O32</f>
        <v>146367</v>
      </c>
      <c r="P33" s="34" t="n">
        <f aca="false">+P32</f>
        <v>36300</v>
      </c>
      <c r="Q33" s="44" t="n">
        <f aca="false">+P33+O33</f>
        <v>182667</v>
      </c>
      <c r="R33" s="34"/>
      <c r="S33" s="34" t="n">
        <f aca="false">IF((+Q33-K33)&gt;0,+Q33-K33,0)</f>
        <v>54522</v>
      </c>
      <c r="T33" s="34"/>
      <c r="U33" s="45" t="n">
        <v>2.92</v>
      </c>
      <c r="V33" s="45" t="n">
        <f aca="false">+U33-0.01</f>
        <v>2.91</v>
      </c>
      <c r="W33" s="46" t="n">
        <f aca="false">+S33*V33</f>
        <v>158659.02</v>
      </c>
      <c r="Z33" s="47"/>
      <c r="AA33" s="46"/>
      <c r="AC33" s="33" t="n">
        <f aca="false">+AC32</f>
        <v>323</v>
      </c>
      <c r="AD33" s="33" t="n">
        <f aca="false">+AD32</f>
        <v>13</v>
      </c>
      <c r="AE33" s="33" t="n">
        <f aca="false">+AE32</f>
        <v>12</v>
      </c>
      <c r="AF33" s="33" t="n">
        <f aca="false">+AF32</f>
        <v>6</v>
      </c>
      <c r="AG33" s="33" t="n">
        <f aca="false">+AG32</f>
        <v>2097</v>
      </c>
      <c r="AH33" s="33" t="n">
        <f aca="false">+AH32</f>
        <v>14</v>
      </c>
      <c r="AJ33" s="33" t="n">
        <f aca="false">SUM(AC33:AH33)</f>
        <v>2465</v>
      </c>
      <c r="AL33" s="33" t="n">
        <f aca="false">+AL32</f>
        <v>21</v>
      </c>
      <c r="AM33" s="33" t="n">
        <f aca="false">+AM32</f>
        <v>500</v>
      </c>
      <c r="AN33" s="33" t="n">
        <f aca="false">+AN32</f>
        <v>370</v>
      </c>
      <c r="AO33" s="33" t="n">
        <f aca="false">+AO32</f>
        <v>0</v>
      </c>
      <c r="AP33" s="33" t="n">
        <f aca="false">+AP32</f>
        <v>0</v>
      </c>
      <c r="AQ33" s="33" t="n">
        <f aca="false">+AQ32</f>
        <v>0</v>
      </c>
      <c r="AR33" s="33" t="n">
        <f aca="false">+AR32</f>
        <v>0</v>
      </c>
      <c r="AT33" s="33" t="n">
        <f aca="false">SUM(AL33:AS33)</f>
        <v>891</v>
      </c>
      <c r="AV33" s="33" t="n">
        <f aca="false">+AV32</f>
        <v>0</v>
      </c>
      <c r="AW33" s="33" t="n">
        <f aca="false">+AW32</f>
        <v>0</v>
      </c>
      <c r="AX33" s="33" t="n">
        <f aca="false">+AX32</f>
        <v>0</v>
      </c>
      <c r="AZ33" s="33" t="n">
        <f aca="false">+AZ32</f>
        <v>484</v>
      </c>
      <c r="BA33" s="33" t="n">
        <f aca="false">+BA32</f>
        <v>500</v>
      </c>
      <c r="BB33" s="33" t="n">
        <f aca="false">+BB32</f>
        <v>75</v>
      </c>
      <c r="BC33" s="33" t="n">
        <f aca="false">+BC32</f>
        <v>773</v>
      </c>
      <c r="BD33" s="33" t="n">
        <f aca="false">+BD32</f>
        <v>161</v>
      </c>
      <c r="BE33" s="33" t="n">
        <f aca="false">+BE32</f>
        <v>1000</v>
      </c>
    </row>
    <row r="34" customFormat="false" ht="12.75" hidden="false" customHeight="false" outlineLevel="0" collapsed="false">
      <c r="A34" s="34" t="n">
        <f aca="false">+A33+1</f>
        <v>29</v>
      </c>
      <c r="B34" s="34" t="n">
        <v>148001</v>
      </c>
      <c r="C34" s="34" t="n">
        <f aca="false">+C33</f>
        <v>10839</v>
      </c>
      <c r="D34" s="34" t="n">
        <f aca="false">+D33</f>
        <v>13262</v>
      </c>
      <c r="E34" s="34"/>
      <c r="F34" s="34" t="n">
        <f aca="false">SUM(B34:D34)</f>
        <v>172102</v>
      </c>
      <c r="G34" s="34"/>
      <c r="H34" s="34" t="n">
        <f aca="false">50583+1977</f>
        <v>52560</v>
      </c>
      <c r="I34" s="34" t="n">
        <f aca="false">ROUND(+H34*(1-0.02116),0)</f>
        <v>51448</v>
      </c>
      <c r="J34" s="34"/>
      <c r="K34" s="34" t="n">
        <f aca="false">+F34-I34</f>
        <v>120654</v>
      </c>
      <c r="L34" s="34"/>
      <c r="M34" s="34" t="s">
        <v>123</v>
      </c>
      <c r="N34" s="34"/>
      <c r="O34" s="43" t="n">
        <f aca="false">+O33</f>
        <v>146367</v>
      </c>
      <c r="P34" s="34" t="n">
        <f aca="false">+P33</f>
        <v>36300</v>
      </c>
      <c r="Q34" s="44" t="n">
        <f aca="false">+P34+O34</f>
        <v>182667</v>
      </c>
      <c r="R34" s="34"/>
      <c r="S34" s="34" t="n">
        <f aca="false">IF((+Q34-K34)&gt;0,+Q34-K34,0)</f>
        <v>62013</v>
      </c>
      <c r="T34" s="34"/>
      <c r="U34" s="45" t="n">
        <v>3.045</v>
      </c>
      <c r="V34" s="45" t="n">
        <f aca="false">+U34-0.01</f>
        <v>3.035</v>
      </c>
      <c r="W34" s="46" t="n">
        <f aca="false">+S34*V34</f>
        <v>188209.455</v>
      </c>
      <c r="Z34" s="47"/>
      <c r="AA34" s="46"/>
      <c r="AC34" s="33" t="n">
        <f aca="false">+AC33</f>
        <v>323</v>
      </c>
      <c r="AD34" s="33" t="n">
        <f aca="false">+AD33</f>
        <v>13</v>
      </c>
      <c r="AE34" s="33" t="n">
        <f aca="false">+AE33</f>
        <v>12</v>
      </c>
      <c r="AF34" s="33" t="n">
        <f aca="false">+AF33</f>
        <v>6</v>
      </c>
      <c r="AG34" s="33" t="n">
        <f aca="false">+AG33</f>
        <v>2097</v>
      </c>
      <c r="AH34" s="33" t="n">
        <f aca="false">+AH33</f>
        <v>14</v>
      </c>
      <c r="AJ34" s="33" t="n">
        <f aca="false">SUM(AC34:AH34)</f>
        <v>2465</v>
      </c>
      <c r="AL34" s="33" t="n">
        <f aca="false">+AL33</f>
        <v>21</v>
      </c>
      <c r="AM34" s="33" t="n">
        <f aca="false">+AM33</f>
        <v>500</v>
      </c>
      <c r="AN34" s="33" t="n">
        <f aca="false">+AN33</f>
        <v>370</v>
      </c>
      <c r="AO34" s="33" t="n">
        <f aca="false">+AO33</f>
        <v>0</v>
      </c>
      <c r="AP34" s="33" t="n">
        <f aca="false">+AP33</f>
        <v>0</v>
      </c>
      <c r="AQ34" s="33" t="n">
        <f aca="false">+AQ33</f>
        <v>0</v>
      </c>
      <c r="AR34" s="33" t="n">
        <f aca="false">+AR33</f>
        <v>0</v>
      </c>
      <c r="AT34" s="33" t="n">
        <f aca="false">SUM(AL34:AS34)</f>
        <v>891</v>
      </c>
      <c r="AV34" s="33" t="n">
        <f aca="false">+AV33</f>
        <v>0</v>
      </c>
      <c r="AW34" s="33" t="n">
        <f aca="false">+AW33</f>
        <v>0</v>
      </c>
      <c r="AX34" s="33" t="n">
        <f aca="false">+AX33</f>
        <v>0</v>
      </c>
      <c r="AZ34" s="33" t="n">
        <f aca="false">+AZ33</f>
        <v>484</v>
      </c>
      <c r="BA34" s="33" t="n">
        <f aca="false">+BA33</f>
        <v>500</v>
      </c>
      <c r="BB34" s="33" t="n">
        <f aca="false">+BB33</f>
        <v>75</v>
      </c>
      <c r="BC34" s="33" t="n">
        <f aca="false">+BC33</f>
        <v>773</v>
      </c>
      <c r="BD34" s="33" t="n">
        <f aca="false">+BD33</f>
        <v>161</v>
      </c>
      <c r="BE34" s="33" t="n">
        <f aca="false">+BE33</f>
        <v>1000</v>
      </c>
    </row>
    <row r="35" customFormat="false" ht="12.75" hidden="false" customHeight="false" outlineLevel="0" collapsed="false">
      <c r="A35" s="34" t="n">
        <f aca="false">+A34+1</f>
        <v>30</v>
      </c>
      <c r="B35" s="34" t="n">
        <v>144933</v>
      </c>
      <c r="C35" s="34" t="n">
        <f aca="false">+C34</f>
        <v>10839</v>
      </c>
      <c r="D35" s="34" t="n">
        <f aca="false">+D34</f>
        <v>13262</v>
      </c>
      <c r="E35" s="34"/>
      <c r="F35" s="34" t="n">
        <f aca="false">SUM(B35:D35)</f>
        <v>169034</v>
      </c>
      <c r="G35" s="34"/>
      <c r="H35" s="34" t="n">
        <f aca="false">49878+1977</f>
        <v>51855</v>
      </c>
      <c r="I35" s="34" t="n">
        <f aca="false">ROUND(+H35*(1-0.02116),0)</f>
        <v>50758</v>
      </c>
      <c r="J35" s="34"/>
      <c r="K35" s="34" t="n">
        <f aca="false">+F35-I35</f>
        <v>118276</v>
      </c>
      <c r="L35" s="34"/>
      <c r="M35" s="34" t="s">
        <v>123</v>
      </c>
      <c r="N35" s="34"/>
      <c r="O35" s="43" t="n">
        <f aca="false">+O34</f>
        <v>146367</v>
      </c>
      <c r="P35" s="34" t="n">
        <f aca="false">+P34</f>
        <v>36300</v>
      </c>
      <c r="Q35" s="44" t="n">
        <f aca="false">+P35+O35</f>
        <v>182667</v>
      </c>
      <c r="R35" s="34"/>
      <c r="S35" s="34" t="n">
        <f aca="false">IF((+Q35-K35)&gt;0,+Q35-K35,0)</f>
        <v>64391</v>
      </c>
      <c r="T35" s="34"/>
      <c r="U35" s="45" t="n">
        <v>3.035</v>
      </c>
      <c r="V35" s="45" t="n">
        <f aca="false">+U35-0.01</f>
        <v>3.025</v>
      </c>
      <c r="W35" s="46" t="n">
        <f aca="false">+S35*V35</f>
        <v>194782.775</v>
      </c>
      <c r="Z35" s="47"/>
      <c r="AA35" s="46"/>
      <c r="AC35" s="33" t="n">
        <f aca="false">+AC34</f>
        <v>323</v>
      </c>
      <c r="AD35" s="33" t="n">
        <f aca="false">+AD34</f>
        <v>13</v>
      </c>
      <c r="AE35" s="33" t="n">
        <f aca="false">+AE34</f>
        <v>12</v>
      </c>
      <c r="AF35" s="33" t="n">
        <f aca="false">+AF34</f>
        <v>6</v>
      </c>
      <c r="AG35" s="33" t="n">
        <f aca="false">+AG34</f>
        <v>2097</v>
      </c>
      <c r="AH35" s="33" t="n">
        <f aca="false">+AH34</f>
        <v>14</v>
      </c>
      <c r="AJ35" s="33" t="n">
        <f aca="false">SUM(AC35:AH35)</f>
        <v>2465</v>
      </c>
      <c r="AL35" s="33" t="n">
        <f aca="false">+AL34</f>
        <v>21</v>
      </c>
      <c r="AM35" s="33" t="n">
        <f aca="false">+AM34</f>
        <v>500</v>
      </c>
      <c r="AN35" s="33" t="n">
        <f aca="false">+AN34</f>
        <v>370</v>
      </c>
      <c r="AO35" s="33" t="n">
        <f aca="false">+AO34</f>
        <v>0</v>
      </c>
      <c r="AP35" s="33" t="n">
        <f aca="false">+AP34</f>
        <v>0</v>
      </c>
      <c r="AQ35" s="33" t="n">
        <f aca="false">+AQ34</f>
        <v>0</v>
      </c>
      <c r="AR35" s="33" t="n">
        <f aca="false">+AR34</f>
        <v>0</v>
      </c>
      <c r="AT35" s="33" t="n">
        <f aca="false">SUM(AL35:AS35)</f>
        <v>891</v>
      </c>
      <c r="AV35" s="33" t="n">
        <f aca="false">+AV34</f>
        <v>0</v>
      </c>
      <c r="AW35" s="33" t="n">
        <f aca="false">+AW34</f>
        <v>0</v>
      </c>
      <c r="AX35" s="33" t="n">
        <f aca="false">+AX34</f>
        <v>0</v>
      </c>
      <c r="AZ35" s="33" t="n">
        <f aca="false">+AZ34</f>
        <v>484</v>
      </c>
      <c r="BA35" s="33" t="n">
        <f aca="false">+BA34</f>
        <v>500</v>
      </c>
      <c r="BB35" s="33" t="n">
        <f aca="false">+BB34</f>
        <v>75</v>
      </c>
      <c r="BC35" s="33" t="n">
        <f aca="false">+BC34</f>
        <v>773</v>
      </c>
      <c r="BD35" s="33" t="n">
        <f aca="false">+BD34</f>
        <v>161</v>
      </c>
      <c r="BE35" s="33" t="n">
        <f aca="false">+BE34</f>
        <v>1000</v>
      </c>
    </row>
    <row r="36" customFormat="false" ht="12.75" hidden="false" customHeight="false" outlineLevel="0" collapsed="false">
      <c r="A36" s="34" t="n">
        <f aca="false">+A35+1</f>
        <v>31</v>
      </c>
      <c r="B36" s="34" t="n">
        <v>132786</v>
      </c>
      <c r="C36" s="34" t="n">
        <v>10719</v>
      </c>
      <c r="D36" s="34" t="n">
        <v>12054</v>
      </c>
      <c r="E36" s="34"/>
      <c r="F36" s="34" t="n">
        <f aca="false">SUM(B36:D36)</f>
        <v>155559</v>
      </c>
      <c r="G36" s="34"/>
      <c r="H36" s="34" t="n">
        <f aca="false">34488+1977</f>
        <v>36465</v>
      </c>
      <c r="I36" s="34" t="n">
        <f aca="false">ROUND(+H36*(1-0.02116),0)</f>
        <v>35693</v>
      </c>
      <c r="J36" s="34"/>
      <c r="K36" s="34" t="n">
        <f aca="false">+F36-I36</f>
        <v>119866</v>
      </c>
      <c r="L36" s="34"/>
      <c r="M36" s="34" t="s">
        <v>123</v>
      </c>
      <c r="N36" s="34"/>
      <c r="O36" s="43" t="n">
        <f aca="false">+O35</f>
        <v>146367</v>
      </c>
      <c r="P36" s="34" t="n">
        <f aca="false">+P35</f>
        <v>36300</v>
      </c>
      <c r="Q36" s="44" t="n">
        <f aca="false">+P36+O36</f>
        <v>182667</v>
      </c>
      <c r="R36" s="34"/>
      <c r="S36" s="34" t="n">
        <f aca="false">IF((+Q36-K36)&gt;0,+Q36-K36,0)</f>
        <v>62801</v>
      </c>
      <c r="T36" s="34"/>
      <c r="U36" s="45" t="n">
        <v>2.99</v>
      </c>
      <c r="V36" s="45" t="n">
        <f aca="false">+U36-0.01</f>
        <v>2.98</v>
      </c>
      <c r="W36" s="46" t="n">
        <f aca="false">+S36*V36</f>
        <v>187146.98</v>
      </c>
      <c r="Z36" s="47"/>
      <c r="AA36" s="46"/>
      <c r="AC36" s="33" t="n">
        <f aca="false">+AC35</f>
        <v>323</v>
      </c>
      <c r="AD36" s="33" t="n">
        <f aca="false">+AD35</f>
        <v>13</v>
      </c>
      <c r="AE36" s="33" t="n">
        <f aca="false">+AE35</f>
        <v>12</v>
      </c>
      <c r="AF36" s="33" t="n">
        <f aca="false">+AF35</f>
        <v>6</v>
      </c>
      <c r="AG36" s="33" t="n">
        <f aca="false">+AG35</f>
        <v>2097</v>
      </c>
      <c r="AH36" s="33" t="n">
        <f aca="false">+AH35</f>
        <v>14</v>
      </c>
      <c r="AJ36" s="33" t="n">
        <f aca="false">SUM(AC36:AH36)</f>
        <v>2465</v>
      </c>
      <c r="AL36" s="33" t="n">
        <v>650</v>
      </c>
      <c r="AM36" s="33" t="n">
        <f aca="false">+AM35</f>
        <v>500</v>
      </c>
      <c r="AN36" s="33" t="n">
        <f aca="false">+AN35</f>
        <v>370</v>
      </c>
      <c r="AO36" s="33" t="n">
        <f aca="false">+AO35</f>
        <v>0</v>
      </c>
      <c r="AP36" s="33" t="n">
        <f aca="false">+AP35</f>
        <v>0</v>
      </c>
      <c r="AQ36" s="33" t="n">
        <f aca="false">+AQ35</f>
        <v>0</v>
      </c>
      <c r="AR36" s="33" t="n">
        <f aca="false">+AR35</f>
        <v>0</v>
      </c>
      <c r="AT36" s="33" t="n">
        <f aca="false">SUM(AL36:AS36)</f>
        <v>1520</v>
      </c>
      <c r="AV36" s="33" t="n">
        <f aca="false">+AV35</f>
        <v>0</v>
      </c>
      <c r="AW36" s="33" t="n">
        <f aca="false">+AW35</f>
        <v>0</v>
      </c>
      <c r="AX36" s="33" t="n">
        <f aca="false">+AX35</f>
        <v>0</v>
      </c>
      <c r="AZ36" s="33" t="n">
        <f aca="false">+AZ35</f>
        <v>484</v>
      </c>
      <c r="BA36" s="33" t="n">
        <f aca="false">+BA35</f>
        <v>500</v>
      </c>
      <c r="BB36" s="33" t="n">
        <f aca="false">+BB35</f>
        <v>75</v>
      </c>
      <c r="BC36" s="33" t="n">
        <f aca="false">+BC35</f>
        <v>773</v>
      </c>
      <c r="BD36" s="33" t="n">
        <f aca="false">+BD35</f>
        <v>161</v>
      </c>
      <c r="BE36" s="33" t="n">
        <f aca="false">+BE35</f>
        <v>1000</v>
      </c>
    </row>
    <row r="37" customFormat="false" ht="12.75" hidden="false" customHeight="false" outlineLevel="0" collapsed="false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customFormat="false" ht="13.5" hidden="false" customHeight="false" outlineLevel="0" collapsed="false">
      <c r="A38" s="34"/>
      <c r="B38" s="34" t="n">
        <f aca="false">SUM(B6:B37)</f>
        <v>4179374</v>
      </c>
      <c r="C38" s="34" t="n">
        <f aca="false">SUM(C6:C37)</f>
        <v>325626</v>
      </c>
      <c r="D38" s="34" t="n">
        <f aca="false">SUM(D6:D37)</f>
        <v>409914</v>
      </c>
      <c r="E38" s="34"/>
      <c r="F38" s="48" t="n">
        <f aca="false">SUM(F6:F37)</f>
        <v>4914914</v>
      </c>
      <c r="G38" s="34"/>
      <c r="H38" s="34" t="n">
        <f aca="false">SUM(H6:H37)</f>
        <v>1121733</v>
      </c>
      <c r="I38" s="34" t="n">
        <f aca="false">SUM(I6:I37)</f>
        <v>1098001</v>
      </c>
      <c r="J38" s="34"/>
      <c r="K38" s="34" t="n">
        <f aca="false">SUM(K6:K37)</f>
        <v>3816913</v>
      </c>
      <c r="L38" s="34"/>
      <c r="M38" s="34" t="n">
        <f aca="false">SUM(M6:M37)</f>
        <v>0</v>
      </c>
      <c r="N38" s="34"/>
      <c r="O38" s="34" t="n">
        <f aca="false">SUM(O6:O37)</f>
        <v>4537377</v>
      </c>
      <c r="P38" s="34" t="n">
        <f aca="false">SUM(P6:P37)</f>
        <v>1125300</v>
      </c>
      <c r="Q38" s="34" t="n">
        <f aca="false">SUM(Q6:Q37)</f>
        <v>5662677</v>
      </c>
      <c r="R38" s="34"/>
      <c r="S38" s="34" t="n">
        <f aca="false">SUM(S6:S37)</f>
        <v>1845764</v>
      </c>
      <c r="T38" s="49" t="s">
        <v>124</v>
      </c>
      <c r="U38" s="34"/>
      <c r="V38" s="34"/>
      <c r="W38" s="46" t="n">
        <f aca="false">SUM(W6:W34)</f>
        <v>4963550.085</v>
      </c>
      <c r="Y38" s="34"/>
      <c r="AA38" s="46"/>
      <c r="AC38" s="50" t="n">
        <f aca="false">SUM(AC6:AC36)</f>
        <v>10013</v>
      </c>
      <c r="AD38" s="50" t="n">
        <f aca="false">SUM(AD6:AD36)</f>
        <v>403</v>
      </c>
      <c r="AE38" s="50" t="n">
        <f aca="false">SUM(AE6:AE36)</f>
        <v>372</v>
      </c>
      <c r="AF38" s="50" t="n">
        <f aca="false">SUM(AF6:AF36)</f>
        <v>186</v>
      </c>
      <c r="AG38" s="50" t="n">
        <f aca="false">SUM(AG6:AG36)</f>
        <v>65007</v>
      </c>
      <c r="AH38" s="50" t="n">
        <f aca="false">SUM(AH6:AH36)</f>
        <v>434</v>
      </c>
      <c r="AJ38" s="50" t="n">
        <f aca="false">SUM(AJ6:AJ36)</f>
        <v>76415</v>
      </c>
      <c r="AL38" s="50" t="n">
        <f aca="false">SUM(AL6:AL36)</f>
        <v>818</v>
      </c>
      <c r="AM38" s="50" t="n">
        <f aca="false">SUM(AM6:AM36)</f>
        <v>11500</v>
      </c>
      <c r="AN38" s="50" t="n">
        <f aca="false">SUM(AN6:AN36)</f>
        <v>8510</v>
      </c>
      <c r="AO38" s="50" t="n">
        <f aca="false">SUM(AO6:AO36)</f>
        <v>0</v>
      </c>
      <c r="AP38" s="50" t="n">
        <f aca="false">SUM(AP6:AP36)</f>
        <v>0</v>
      </c>
      <c r="AQ38" s="50" t="n">
        <f aca="false">SUM(AQ6:AQ36)</f>
        <v>0</v>
      </c>
      <c r="AR38" s="50" t="n">
        <f aca="false">SUM(AR6:AR36)</f>
        <v>0</v>
      </c>
      <c r="AT38" s="50" t="n">
        <f aca="false">SUM(AT6:AT36)</f>
        <v>20828</v>
      </c>
      <c r="AV38" s="50" t="n">
        <f aca="false">SUM(AV6:AV36)</f>
        <v>0</v>
      </c>
      <c r="AW38" s="50" t="n">
        <f aca="false">SUM(AW6:AW36)</f>
        <v>0</v>
      </c>
      <c r="AX38" s="50" t="n">
        <f aca="false">SUM(AX6:AX36)</f>
        <v>0</v>
      </c>
      <c r="AZ38" s="50" t="n">
        <f aca="false">SUM(AZ6:AZ36)</f>
        <v>15004</v>
      </c>
      <c r="BA38" s="50" t="n">
        <f aca="false">SUM(BA6:BA36)</f>
        <v>15500</v>
      </c>
      <c r="BB38" s="50" t="n">
        <f aca="false">SUM(BB6:BB36)</f>
        <v>2325</v>
      </c>
      <c r="BC38" s="50" t="n">
        <f aca="false">SUM(BC6:BC36)</f>
        <v>23963</v>
      </c>
      <c r="BD38" s="50" t="n">
        <f aca="false">SUM(BD6:BD36)</f>
        <v>4991</v>
      </c>
      <c r="BE38" s="50" t="n">
        <f aca="false">SUM(BE6:BE36)</f>
        <v>31000</v>
      </c>
    </row>
    <row r="39" customFormat="false" ht="14.25" hidden="false" customHeight="false" outlineLevel="0" collapsed="false">
      <c r="P39" s="50" t="n">
        <v>1125300</v>
      </c>
    </row>
    <row r="40" customFormat="false" ht="14.25" hidden="false" customHeight="false" outlineLevel="0" collapsed="false">
      <c r="S40" s="51" t="n">
        <f aca="false">+W38/S38</f>
        <v>2.68915748979826</v>
      </c>
      <c r="T40" s="33" t="s">
        <v>125</v>
      </c>
      <c r="AC40" s="33" t="s">
        <v>126</v>
      </c>
    </row>
    <row r="41" customFormat="false" ht="13.5" hidden="false" customHeight="false" outlineLevel="0" collapsed="false">
      <c r="AC41" s="33" t="s">
        <v>127</v>
      </c>
    </row>
    <row r="42" customFormat="false" ht="13.5" hidden="false" customHeight="false" outlineLevel="0" collapsed="false">
      <c r="F42" s="33" t="s">
        <v>128</v>
      </c>
      <c r="S42" s="51" t="n">
        <f aca="false">2.73+0.0075</f>
        <v>2.7375</v>
      </c>
      <c r="T42" s="33" t="s">
        <v>129</v>
      </c>
    </row>
    <row r="43" customFormat="false" ht="13.5" hidden="false" customHeight="false" outlineLevel="0" collapsed="false"/>
    <row r="44" customFormat="false" ht="12.75" hidden="false" customHeight="false" outlineLevel="0" collapsed="false">
      <c r="F44" s="33" t="s">
        <v>130</v>
      </c>
      <c r="H44" s="33" t="s">
        <v>131</v>
      </c>
      <c r="I44" s="33" t="s">
        <v>33</v>
      </c>
    </row>
    <row r="45" customFormat="false" ht="12.75" hidden="false" customHeight="false" outlineLevel="0" collapsed="false">
      <c r="D45" s="33" t="s">
        <v>132</v>
      </c>
      <c r="F45" s="33" t="n">
        <v>4914914</v>
      </c>
      <c r="H45" s="45" t="n">
        <v>2.8193</v>
      </c>
      <c r="I45" s="33" t="s">
        <v>133</v>
      </c>
    </row>
    <row r="46" customFormat="false" ht="12.75" hidden="false" customHeight="false" outlineLevel="0" collapsed="false">
      <c r="D46" s="33" t="s">
        <v>134</v>
      </c>
      <c r="F46" s="33" t="n">
        <v>-1121733</v>
      </c>
      <c r="H46" s="45" t="n">
        <f aca="false">2.73+0.0075-0.0153</f>
        <v>2.7222</v>
      </c>
      <c r="I46" s="33" t="s">
        <v>135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5"/>
  <sheetViews>
    <sheetView showFormulas="false" showGridLines="true" showRowColHeaders="true" showZeros="true" rightToLeft="false" tabSelected="true" showOutlineSymbols="true" defaultGridColor="true" view="normal" topLeftCell="D34" colorId="64" zoomScale="100" zoomScaleNormal="100" zoomScalePageLayoutView="100" workbookViewId="0">
      <selection pane="topLeft" activeCell="Q53" activeCellId="0" sqref="Q5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5" width="9.14"/>
    <col collapsed="false" customWidth="true" hidden="false" outlineLevel="0" max="2" min="2" style="25" width="9.99"/>
    <col collapsed="false" customWidth="false" hidden="false" outlineLevel="0" max="3" min="3" style="25" width="9.14"/>
    <col collapsed="false" customWidth="true" hidden="false" outlineLevel="0" max="4" min="4" style="25" width="10.56"/>
    <col collapsed="false" customWidth="true" hidden="false" outlineLevel="0" max="5" min="5" style="25" width="9.28"/>
    <col collapsed="false" customWidth="true" hidden="false" outlineLevel="0" max="6" min="6" style="25" width="9.56"/>
    <col collapsed="false" customWidth="true" hidden="false" outlineLevel="0" max="7" min="7" style="52" width="12.42"/>
    <col collapsed="false" customWidth="true" hidden="false" outlineLevel="0" max="8" min="8" style="52" width="10.71"/>
    <col collapsed="false" customWidth="true" hidden="false" outlineLevel="0" max="9" min="9" style="25" width="12.99"/>
    <col collapsed="false" customWidth="true" hidden="false" outlineLevel="0" max="10" min="10" style="25" width="7.7"/>
    <col collapsed="false" customWidth="true" hidden="true" outlineLevel="0" max="14" min="11" style="25" width="9.06"/>
    <col collapsed="false" customWidth="true" hidden="true" outlineLevel="0" max="15" min="15" style="53" width="9.06"/>
    <col collapsed="false" customWidth="true" hidden="true" outlineLevel="0" max="16" min="16" style="25" width="9.06"/>
    <col collapsed="false" customWidth="true" hidden="false" outlineLevel="0" max="18" min="17" style="25" width="12.7"/>
    <col collapsed="false" customWidth="true" hidden="false" outlineLevel="0" max="19" min="19" style="25" width="10.85"/>
    <col collapsed="false" customWidth="true" hidden="false" outlineLevel="0" max="20" min="20" style="25" width="12.28"/>
    <col collapsed="false" customWidth="true" hidden="false" outlineLevel="0" max="21" min="21" style="25" width="10.71"/>
    <col collapsed="false" customWidth="true" hidden="false" outlineLevel="0" max="22" min="22" style="25" width="11.85"/>
    <col collapsed="false" customWidth="true" hidden="false" outlineLevel="0" max="24" min="23" style="54" width="14.85"/>
    <col collapsed="false" customWidth="true" hidden="false" outlineLevel="0" max="25" min="25" style="52" width="42.28"/>
    <col collapsed="false" customWidth="false" hidden="false" outlineLevel="0" max="27" min="26" style="54" width="9.14"/>
    <col collapsed="false" customWidth="true" hidden="false" outlineLevel="0" max="28" min="28" style="25" width="12.42"/>
    <col collapsed="false" customWidth="false" hidden="false" outlineLevel="0" max="257" min="29" style="25" width="9.14"/>
  </cols>
  <sheetData>
    <row r="1" customFormat="false" ht="12.75" hidden="false" customHeight="false" outlineLevel="0" collapsed="false">
      <c r="B1" s="55" t="s">
        <v>136</v>
      </c>
      <c r="C1" s="56"/>
      <c r="D1" s="56"/>
      <c r="E1" s="57"/>
      <c r="F1" s="57"/>
      <c r="G1" s="58"/>
      <c r="H1" s="58"/>
      <c r="I1" s="56" t="s">
        <v>137</v>
      </c>
      <c r="J1" s="59" t="n">
        <v>31</v>
      </c>
      <c r="K1" s="60" t="s">
        <v>138</v>
      </c>
      <c r="L1" s="61"/>
      <c r="M1" s="61"/>
      <c r="N1" s="61"/>
      <c r="O1" s="62"/>
      <c r="P1" s="61"/>
      <c r="Q1" s="63"/>
      <c r="R1" s="63"/>
      <c r="S1" s="64"/>
      <c r="T1" s="65"/>
      <c r="U1" s="65"/>
      <c r="V1" s="65"/>
      <c r="W1" s="66"/>
      <c r="X1" s="66"/>
      <c r="Y1" s="67"/>
      <c r="Z1" s="68"/>
      <c r="AA1" s="68"/>
    </row>
    <row r="2" customFormat="false" ht="12.75" hidden="false" customHeight="false" outlineLevel="0" collapsed="false">
      <c r="B2" s="69" t="s">
        <v>139</v>
      </c>
      <c r="C2" s="69"/>
      <c r="D2" s="69"/>
      <c r="E2" s="57"/>
      <c r="F2" s="57"/>
      <c r="G2" s="58"/>
      <c r="H2" s="58"/>
      <c r="I2" s="56"/>
      <c r="J2" s="59"/>
      <c r="K2" s="60" t="s">
        <v>140</v>
      </c>
      <c r="L2" s="61"/>
      <c r="M2" s="61"/>
      <c r="N2" s="61"/>
      <c r="O2" s="62"/>
      <c r="P2" s="61"/>
      <c r="Q2" s="63"/>
      <c r="R2" s="63"/>
      <c r="S2" s="64"/>
      <c r="T2" s="65"/>
      <c r="U2" s="65"/>
      <c r="V2" s="65"/>
      <c r="W2" s="66"/>
      <c r="X2" s="66"/>
      <c r="Y2" s="67"/>
      <c r="Z2" s="68"/>
      <c r="AA2" s="68"/>
    </row>
    <row r="3" customFormat="false" ht="12.75" hidden="false" customHeight="false" outlineLevel="0" collapsed="false">
      <c r="B3" s="70" t="s">
        <v>141</v>
      </c>
      <c r="C3" s="70"/>
      <c r="D3" s="70"/>
      <c r="E3" s="57"/>
      <c r="F3" s="57"/>
      <c r="G3" s="71" t="s">
        <v>142</v>
      </c>
      <c r="H3" s="58" t="s">
        <v>142</v>
      </c>
      <c r="I3" s="64" t="s">
        <v>142</v>
      </c>
      <c r="J3" s="72"/>
      <c r="K3" s="73" t="s">
        <v>142</v>
      </c>
      <c r="L3" s="61"/>
      <c r="M3" s="73" t="s">
        <v>142</v>
      </c>
      <c r="N3" s="61"/>
      <c r="O3" s="62"/>
      <c r="P3" s="73" t="s">
        <v>142</v>
      </c>
      <c r="Q3" s="63"/>
      <c r="R3" s="63"/>
      <c r="S3" s="64"/>
      <c r="T3" s="65"/>
      <c r="U3" s="65"/>
      <c r="V3" s="65"/>
      <c r="W3" s="66"/>
      <c r="X3" s="66"/>
      <c r="Y3" s="67"/>
      <c r="Z3" s="68"/>
      <c r="AA3" s="68"/>
    </row>
    <row r="4" customFormat="false" ht="12.75" hidden="false" customHeight="false" outlineLevel="0" collapsed="false">
      <c r="B4" s="74"/>
      <c r="C4" s="75"/>
      <c r="D4" s="75"/>
      <c r="E4" s="57"/>
      <c r="F4" s="57"/>
      <c r="G4" s="76"/>
      <c r="H4" s="58"/>
      <c r="I4" s="76"/>
      <c r="J4" s="72"/>
      <c r="K4" s="76"/>
      <c r="L4" s="61"/>
      <c r="M4" s="76"/>
      <c r="N4" s="64"/>
      <c r="O4" s="62"/>
      <c r="P4" s="64"/>
      <c r="Q4" s="63"/>
      <c r="R4" s="63"/>
      <c r="S4" s="64"/>
      <c r="T4" s="65"/>
      <c r="U4" s="77"/>
      <c r="V4" s="77"/>
      <c r="W4" s="78"/>
      <c r="X4" s="78"/>
      <c r="Y4" s="67"/>
      <c r="Z4" s="68"/>
      <c r="AA4" s="68"/>
    </row>
    <row r="5" customFormat="false" ht="12.75" hidden="false" customHeight="false" outlineLevel="0" collapsed="false">
      <c r="B5" s="58" t="s">
        <v>143</v>
      </c>
      <c r="C5" s="56"/>
      <c r="D5" s="58"/>
      <c r="E5" s="57"/>
      <c r="F5" s="57"/>
      <c r="G5" s="76"/>
      <c r="H5" s="58"/>
      <c r="I5" s="76"/>
      <c r="J5" s="72"/>
      <c r="K5" s="76"/>
      <c r="L5" s="61"/>
      <c r="M5" s="76"/>
      <c r="N5" s="64"/>
      <c r="O5" s="62"/>
      <c r="P5" s="64"/>
      <c r="Q5" s="63"/>
      <c r="R5" s="63"/>
      <c r="S5" s="64"/>
      <c r="T5" s="65"/>
      <c r="U5" s="77"/>
      <c r="V5" s="77"/>
      <c r="W5" s="78"/>
      <c r="X5" s="78"/>
      <c r="Y5" s="67"/>
      <c r="Z5" s="68"/>
      <c r="AA5" s="68"/>
    </row>
    <row r="6" customFormat="false" ht="12.75" hidden="false" customHeight="false" outlineLevel="0" collapsed="false">
      <c r="B6" s="79"/>
      <c r="C6" s="56" t="s">
        <v>144</v>
      </c>
      <c r="D6" s="56"/>
      <c r="E6" s="57"/>
      <c r="F6" s="57"/>
      <c r="G6" s="76"/>
      <c r="H6" s="58"/>
      <c r="I6" s="76"/>
      <c r="J6" s="72"/>
      <c r="K6" s="76"/>
      <c r="L6" s="61"/>
      <c r="M6" s="76"/>
      <c r="N6" s="64"/>
      <c r="O6" s="62"/>
      <c r="P6" s="64"/>
      <c r="Q6" s="63"/>
      <c r="R6" s="63"/>
      <c r="S6" s="64"/>
      <c r="T6" s="65"/>
      <c r="U6" s="77"/>
      <c r="V6" s="77"/>
      <c r="W6" s="78"/>
      <c r="X6" s="78"/>
      <c r="Y6" s="67"/>
      <c r="Z6" s="68"/>
      <c r="AA6" s="68"/>
    </row>
    <row r="7" customFormat="false" ht="12.75" hidden="false" customHeight="false" outlineLevel="0" collapsed="false">
      <c r="B7" s="58"/>
      <c r="C7" s="56"/>
      <c r="D7" s="56"/>
      <c r="E7" s="57"/>
      <c r="F7" s="57"/>
      <c r="G7" s="76"/>
      <c r="H7" s="58"/>
      <c r="I7" s="76"/>
      <c r="J7" s="72"/>
      <c r="K7" s="76"/>
      <c r="L7" s="61"/>
      <c r="M7" s="76"/>
      <c r="N7" s="64"/>
      <c r="O7" s="62"/>
      <c r="P7" s="64"/>
      <c r="Q7" s="63"/>
      <c r="R7" s="63"/>
      <c r="S7" s="64"/>
      <c r="T7" s="65"/>
      <c r="U7" s="77"/>
      <c r="V7" s="77"/>
      <c r="W7" s="78"/>
      <c r="X7" s="78"/>
      <c r="Y7" s="67"/>
      <c r="Z7" s="68"/>
      <c r="AA7" s="68"/>
    </row>
    <row r="8" customFormat="false" ht="12.75" hidden="false" customHeight="false" outlineLevel="0" collapsed="false">
      <c r="B8" s="58"/>
      <c r="C8" s="56"/>
      <c r="D8" s="56"/>
      <c r="E8" s="57"/>
      <c r="F8" s="57"/>
      <c r="G8" s="76"/>
      <c r="H8" s="58"/>
      <c r="I8" s="76"/>
      <c r="J8" s="72"/>
      <c r="K8" s="76"/>
      <c r="L8" s="61"/>
      <c r="M8" s="76"/>
      <c r="N8" s="64"/>
      <c r="O8" s="62"/>
      <c r="P8" s="64"/>
      <c r="Q8" s="63"/>
      <c r="R8" s="63"/>
      <c r="S8" s="64"/>
      <c r="T8" s="65"/>
      <c r="U8" s="77"/>
      <c r="V8" s="77"/>
      <c r="W8" s="78"/>
      <c r="X8" s="78"/>
      <c r="Y8" s="67"/>
      <c r="Z8" s="68"/>
      <c r="AA8" s="68"/>
    </row>
    <row r="9" customFormat="false" ht="12.75" hidden="false" customHeight="false" outlineLevel="0" collapsed="false">
      <c r="B9" s="58"/>
      <c r="C9" s="56"/>
      <c r="D9" s="56"/>
      <c r="E9" s="57"/>
      <c r="F9" s="57"/>
      <c r="G9" s="76"/>
      <c r="H9" s="58"/>
      <c r="I9" s="76"/>
      <c r="J9" s="72"/>
      <c r="K9" s="76"/>
      <c r="L9" s="61"/>
      <c r="M9" s="76"/>
      <c r="N9" s="64"/>
      <c r="O9" s="62"/>
      <c r="P9" s="64"/>
      <c r="Q9" s="63"/>
      <c r="R9" s="63"/>
      <c r="S9" s="64"/>
      <c r="T9" s="65"/>
      <c r="U9" s="77"/>
      <c r="V9" s="77"/>
      <c r="W9" s="78"/>
      <c r="X9" s="78"/>
      <c r="Y9" s="67"/>
      <c r="Z9" s="68"/>
      <c r="AA9" s="68"/>
    </row>
    <row r="10" customFormat="false" ht="12.75" hidden="false" customHeight="false" outlineLevel="0" collapsed="false">
      <c r="B10" s="58"/>
      <c r="C10" s="56"/>
      <c r="D10" s="56"/>
      <c r="E10" s="57"/>
      <c r="F10" s="57"/>
      <c r="G10" s="76"/>
      <c r="H10" s="58"/>
      <c r="I10" s="76"/>
      <c r="J10" s="72"/>
      <c r="K10" s="76"/>
      <c r="L10" s="61"/>
      <c r="M10" s="76"/>
      <c r="N10" s="64"/>
      <c r="O10" s="62"/>
      <c r="P10" s="64"/>
      <c r="Q10" s="63"/>
      <c r="R10" s="63"/>
      <c r="S10" s="64"/>
      <c r="T10" s="65"/>
      <c r="U10" s="77"/>
      <c r="V10" s="77"/>
      <c r="W10" s="78"/>
      <c r="X10" s="78"/>
      <c r="Y10" s="67"/>
      <c r="Z10" s="68"/>
      <c r="AA10" s="68"/>
    </row>
    <row r="11" customFormat="false" ht="12.75" hidden="false" customHeight="false" outlineLevel="0" collapsed="false">
      <c r="B11" s="80" t="s">
        <v>145</v>
      </c>
      <c r="C11" s="81" t="s">
        <v>146</v>
      </c>
      <c r="D11" s="81" t="s">
        <v>147</v>
      </c>
      <c r="E11" s="82" t="s">
        <v>148</v>
      </c>
      <c r="F11" s="82"/>
      <c r="G11" s="80" t="s">
        <v>149</v>
      </c>
      <c r="H11" s="80" t="s">
        <v>150</v>
      </c>
      <c r="I11" s="81" t="s">
        <v>151</v>
      </c>
      <c r="J11" s="83" t="s">
        <v>152</v>
      </c>
      <c r="K11" s="81" t="s">
        <v>153</v>
      </c>
      <c r="L11" s="81" t="s">
        <v>154</v>
      </c>
      <c r="M11" s="81" t="s">
        <v>155</v>
      </c>
      <c r="N11" s="81" t="s">
        <v>156</v>
      </c>
      <c r="O11" s="84" t="s">
        <v>157</v>
      </c>
      <c r="P11" s="81" t="s">
        <v>158</v>
      </c>
      <c r="Q11" s="85" t="s">
        <v>159</v>
      </c>
      <c r="R11" s="85" t="s">
        <v>160</v>
      </c>
      <c r="S11" s="81" t="s">
        <v>161</v>
      </c>
      <c r="T11" s="80" t="s">
        <v>162</v>
      </c>
      <c r="U11" s="86" t="s">
        <v>163</v>
      </c>
      <c r="V11" s="86" t="s">
        <v>164</v>
      </c>
      <c r="W11" s="87" t="s">
        <v>165</v>
      </c>
      <c r="X11" s="87" t="s">
        <v>166</v>
      </c>
      <c r="Y11" s="88" t="s">
        <v>167</v>
      </c>
      <c r="Z11" s="89"/>
      <c r="AA11" s="89"/>
    </row>
    <row r="12" customFormat="false" ht="12.75" hidden="false" customHeight="false" outlineLevel="0" collapsed="false">
      <c r="A12" s="90"/>
      <c r="B12" s="69" t="s">
        <v>168</v>
      </c>
      <c r="C12" s="91" t="s">
        <v>0</v>
      </c>
      <c r="D12" s="91" t="s">
        <v>169</v>
      </c>
      <c r="E12" s="92" t="n">
        <v>36586</v>
      </c>
      <c r="F12" s="92" t="n">
        <v>36830</v>
      </c>
      <c r="G12" s="69" t="s">
        <v>170</v>
      </c>
      <c r="H12" s="69" t="s">
        <v>171</v>
      </c>
      <c r="I12" s="91" t="s">
        <v>172</v>
      </c>
      <c r="J12" s="93" t="n">
        <f aca="false">6.7854*0.0328767</f>
        <v>0.22308156018</v>
      </c>
      <c r="K12" s="94" t="n">
        <v>0.0112</v>
      </c>
      <c r="L12" s="94" t="n">
        <v>0.0022</v>
      </c>
      <c r="M12" s="94" t="n">
        <v>0.0072</v>
      </c>
      <c r="N12" s="94" t="n">
        <v>0</v>
      </c>
      <c r="O12" s="95" t="n">
        <v>0.0111</v>
      </c>
      <c r="P12" s="94" t="n">
        <f aca="false">SUM(J12:N12)</f>
        <v>0.24368156018</v>
      </c>
      <c r="Q12" s="96" t="n">
        <v>779150</v>
      </c>
      <c r="R12" s="96" t="s">
        <v>123</v>
      </c>
      <c r="S12" s="91" t="n">
        <v>104</v>
      </c>
      <c r="T12" s="69" t="s">
        <v>173</v>
      </c>
      <c r="U12" s="97" t="n">
        <f aca="false">J12*J$1*S12</f>
        <v>719.21495002032</v>
      </c>
      <c r="V12" s="97"/>
      <c r="W12" s="98" t="n">
        <v>205856</v>
      </c>
      <c r="X12" s="98"/>
      <c r="Y12" s="69"/>
      <c r="Z12" s="99"/>
      <c r="AA12" s="99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customFormat="false" ht="12.75" hidden="false" customHeight="false" outlineLevel="0" collapsed="false">
      <c r="A13" s="90"/>
      <c r="B13" s="69" t="s">
        <v>168</v>
      </c>
      <c r="C13" s="91" t="s">
        <v>0</v>
      </c>
      <c r="D13" s="91" t="s">
        <v>169</v>
      </c>
      <c r="E13" s="92" t="n">
        <v>36586</v>
      </c>
      <c r="F13" s="92" t="n">
        <v>40117</v>
      </c>
      <c r="G13" s="69" t="s">
        <v>170</v>
      </c>
      <c r="H13" s="69" t="s">
        <v>174</v>
      </c>
      <c r="I13" s="91" t="s">
        <v>175</v>
      </c>
      <c r="J13" s="93" t="n">
        <v>0.2196</v>
      </c>
      <c r="K13" s="94" t="n">
        <v>0.0112</v>
      </c>
      <c r="L13" s="94" t="n">
        <v>0.0022</v>
      </c>
      <c r="M13" s="94" t="n">
        <v>0.0072</v>
      </c>
      <c r="N13" s="94" t="n">
        <v>0</v>
      </c>
      <c r="O13" s="95" t="n">
        <v>0.0111</v>
      </c>
      <c r="P13" s="94" t="n">
        <f aca="false">SUM(J13:N13)</f>
        <v>0.2402</v>
      </c>
      <c r="Q13" s="96" t="n">
        <v>770409</v>
      </c>
      <c r="R13" s="96" t="s">
        <v>123</v>
      </c>
      <c r="S13" s="91" t="n">
        <v>64</v>
      </c>
      <c r="T13" s="69"/>
      <c r="U13" s="97" t="n">
        <f aca="false">J13*J$1*S13</f>
        <v>435.6864</v>
      </c>
      <c r="V13" s="97"/>
      <c r="W13" s="98"/>
      <c r="X13" s="98" t="n">
        <v>142007</v>
      </c>
      <c r="Y13" s="69"/>
      <c r="Z13" s="99"/>
      <c r="AA13" s="99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customFormat="false" ht="12.75" hidden="false" customHeight="false" outlineLevel="0" collapsed="false">
      <c r="A14" s="90"/>
      <c r="B14" s="69" t="s">
        <v>168</v>
      </c>
      <c r="C14" s="91" t="s">
        <v>0</v>
      </c>
      <c r="D14" s="91" t="s">
        <v>169</v>
      </c>
      <c r="E14" s="92" t="n">
        <v>36586</v>
      </c>
      <c r="F14" s="92" t="n">
        <v>40117</v>
      </c>
      <c r="G14" s="69" t="s">
        <v>170</v>
      </c>
      <c r="H14" s="69" t="s">
        <v>174</v>
      </c>
      <c r="I14" s="91" t="s">
        <v>175</v>
      </c>
      <c r="J14" s="93" t="n">
        <f aca="false">6.7854*0.0328767</f>
        <v>0.22308156018</v>
      </c>
      <c r="K14" s="94" t="n">
        <v>0.0112</v>
      </c>
      <c r="L14" s="94" t="n">
        <v>0.0022</v>
      </c>
      <c r="M14" s="94" t="n">
        <v>0.0072</v>
      </c>
      <c r="N14" s="94" t="n">
        <v>0</v>
      </c>
      <c r="O14" s="95" t="n">
        <v>0.0111</v>
      </c>
      <c r="P14" s="94" t="n">
        <f aca="false">SUM(J14:N14)</f>
        <v>0.24368156018</v>
      </c>
      <c r="Q14" s="96" t="n">
        <v>779152</v>
      </c>
      <c r="R14" s="96" t="s">
        <v>123</v>
      </c>
      <c r="S14" s="91" t="n">
        <v>96</v>
      </c>
      <c r="T14" s="69" t="s">
        <v>176</v>
      </c>
      <c r="U14" s="97" t="n">
        <f aca="false">J14*J$1*S14</f>
        <v>663.89072309568</v>
      </c>
      <c r="V14" s="97"/>
      <c r="W14" s="98"/>
      <c r="X14" s="98"/>
      <c r="Y14" s="69"/>
      <c r="Z14" s="99"/>
      <c r="AA14" s="99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customFormat="false" ht="12.75" hidden="false" customHeight="false" outlineLevel="0" collapsed="false">
      <c r="A15" s="90"/>
      <c r="B15" s="69" t="s">
        <v>168</v>
      </c>
      <c r="C15" s="91" t="s">
        <v>0</v>
      </c>
      <c r="D15" s="91" t="s">
        <v>169</v>
      </c>
      <c r="E15" s="92" t="n">
        <v>36586</v>
      </c>
      <c r="F15" s="92" t="n">
        <v>41213</v>
      </c>
      <c r="G15" s="69" t="s">
        <v>177</v>
      </c>
      <c r="H15" s="69" t="s">
        <v>174</v>
      </c>
      <c r="I15" s="91" t="s">
        <v>178</v>
      </c>
      <c r="J15" s="93" t="n">
        <f aca="false">6.3138/J$1</f>
        <v>0.203670967741935</v>
      </c>
      <c r="K15" s="94" t="n">
        <v>0.0112</v>
      </c>
      <c r="L15" s="94" t="n">
        <v>0.0022</v>
      </c>
      <c r="M15" s="94" t="n">
        <v>0.0072</v>
      </c>
      <c r="N15" s="94" t="n">
        <v>0</v>
      </c>
      <c r="O15" s="95" t="n">
        <v>0.0111</v>
      </c>
      <c r="P15" s="94" t="n">
        <f aca="false">SUM(J15:N15)</f>
        <v>0.224270967741935</v>
      </c>
      <c r="Q15" s="96" t="n">
        <v>779153</v>
      </c>
      <c r="R15" s="96" t="s">
        <v>123</v>
      </c>
      <c r="S15" s="91" t="n">
        <v>69</v>
      </c>
      <c r="T15" s="69"/>
      <c r="U15" s="97" t="n">
        <f aca="false">J15*J$1*S15</f>
        <v>435.6522</v>
      </c>
      <c r="V15" s="97"/>
      <c r="W15" s="98"/>
      <c r="X15" s="98" t="n">
        <v>205872</v>
      </c>
      <c r="Y15" s="69"/>
      <c r="Z15" s="99"/>
      <c r="AA15" s="99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customFormat="false" ht="12.75" hidden="false" customHeight="false" outlineLevel="0" collapsed="false">
      <c r="A16" s="100"/>
      <c r="B16" s="58" t="s">
        <v>168</v>
      </c>
      <c r="C16" s="56" t="s">
        <v>0</v>
      </c>
      <c r="D16" s="56" t="s">
        <v>169</v>
      </c>
      <c r="E16" s="57" t="n">
        <v>36465</v>
      </c>
      <c r="F16" s="57" t="n">
        <v>36830</v>
      </c>
      <c r="G16" s="58" t="s">
        <v>170</v>
      </c>
      <c r="H16" s="58" t="s">
        <v>179</v>
      </c>
      <c r="I16" s="56" t="s">
        <v>180</v>
      </c>
      <c r="J16" s="72" t="n">
        <v>0.2196</v>
      </c>
      <c r="K16" s="61" t="n">
        <v>0.0112</v>
      </c>
      <c r="L16" s="61" t="n">
        <v>0.0022</v>
      </c>
      <c r="M16" s="61" t="n">
        <v>0.0072</v>
      </c>
      <c r="N16" s="61" t="n">
        <v>0</v>
      </c>
      <c r="O16" s="62" t="n">
        <v>0.0111</v>
      </c>
      <c r="P16" s="61" t="n">
        <f aca="false">SUM(J16:N16)</f>
        <v>0.2402</v>
      </c>
      <c r="Q16" s="63"/>
      <c r="R16" s="63" t="n">
        <v>770990</v>
      </c>
      <c r="S16" s="56" t="n">
        <v>11</v>
      </c>
      <c r="T16" s="58"/>
      <c r="U16" s="101" t="n">
        <f aca="false">J16*J$1*S16</f>
        <v>74.8836</v>
      </c>
      <c r="V16" s="101"/>
      <c r="W16" s="102"/>
      <c r="X16" s="102" t="n">
        <v>142020</v>
      </c>
      <c r="Y16" s="58"/>
      <c r="Z16" s="89"/>
      <c r="AA16" s="89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</row>
    <row r="17" customFormat="false" ht="12.75" hidden="false" customHeight="false" outlineLevel="0" collapsed="false">
      <c r="A17" s="100"/>
      <c r="B17" s="58" t="s">
        <v>168</v>
      </c>
      <c r="C17" s="56" t="s">
        <v>0</v>
      </c>
      <c r="D17" s="56" t="s">
        <v>169</v>
      </c>
      <c r="E17" s="57" t="n">
        <v>36465</v>
      </c>
      <c r="F17" s="57" t="n">
        <v>39021</v>
      </c>
      <c r="G17" s="58" t="s">
        <v>170</v>
      </c>
      <c r="H17" s="58" t="s">
        <v>181</v>
      </c>
      <c r="I17" s="56" t="s">
        <v>180</v>
      </c>
      <c r="J17" s="72" t="n">
        <v>0.3923</v>
      </c>
      <c r="K17" s="61" t="n">
        <v>0.0112</v>
      </c>
      <c r="L17" s="61" t="n">
        <v>0.0022</v>
      </c>
      <c r="M17" s="61" t="n">
        <v>0.0072</v>
      </c>
      <c r="N17" s="61" t="n">
        <v>0</v>
      </c>
      <c r="O17" s="62" t="n">
        <v>0.0111</v>
      </c>
      <c r="P17" s="61" t="n">
        <f aca="false">SUM(J17:N17)</f>
        <v>0.4129</v>
      </c>
      <c r="Q17" s="63"/>
      <c r="R17" s="63" t="n">
        <v>770991</v>
      </c>
      <c r="S17" s="56" t="n">
        <v>73</v>
      </c>
      <c r="T17" s="58"/>
      <c r="U17" s="101" t="n">
        <f aca="false">J17*J$1*S17</f>
        <v>887.7749</v>
      </c>
      <c r="V17" s="101"/>
      <c r="W17" s="102"/>
      <c r="X17" s="102" t="n">
        <v>142022</v>
      </c>
      <c r="Y17" s="58"/>
      <c r="Z17" s="89"/>
      <c r="AA17" s="89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  <c r="IW17" s="100"/>
    </row>
    <row r="18" customFormat="false" ht="12.75" hidden="false" customHeight="false" outlineLevel="0" collapsed="false">
      <c r="A18" s="100"/>
      <c r="B18" s="58" t="s">
        <v>168</v>
      </c>
      <c r="C18" s="56" t="s">
        <v>0</v>
      </c>
      <c r="D18" s="56" t="s">
        <v>169</v>
      </c>
      <c r="E18" s="57" t="n">
        <v>36465</v>
      </c>
      <c r="F18" s="57" t="n">
        <v>38656</v>
      </c>
      <c r="G18" s="58" t="s">
        <v>182</v>
      </c>
      <c r="H18" s="58" t="s">
        <v>183</v>
      </c>
      <c r="I18" s="56" t="s">
        <v>180</v>
      </c>
      <c r="J18" s="72" t="n">
        <v>0.2196</v>
      </c>
      <c r="K18" s="61" t="n">
        <v>0.0112</v>
      </c>
      <c r="L18" s="61" t="n">
        <v>0.0022</v>
      </c>
      <c r="M18" s="61" t="n">
        <v>0.0072</v>
      </c>
      <c r="N18" s="61" t="n">
        <v>0</v>
      </c>
      <c r="O18" s="62" t="n">
        <v>0.0111</v>
      </c>
      <c r="P18" s="61" t="n">
        <f aca="false">SUM(J18:N18)</f>
        <v>0.2402</v>
      </c>
      <c r="Q18" s="63"/>
      <c r="R18" s="63" t="n">
        <v>770992</v>
      </c>
      <c r="S18" s="56" t="n">
        <v>158</v>
      </c>
      <c r="T18" s="58"/>
      <c r="U18" s="101" t="n">
        <f aca="false">J18*J$1*S18</f>
        <v>1075.6008</v>
      </c>
      <c r="V18" s="101"/>
      <c r="W18" s="102"/>
      <c r="X18" s="102" t="n">
        <v>142024</v>
      </c>
      <c r="Y18" s="58"/>
      <c r="Z18" s="89"/>
      <c r="AA18" s="89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  <c r="IW18" s="100"/>
    </row>
    <row r="19" customFormat="false" ht="12.75" hidden="false" customHeight="false" outlineLevel="0" collapsed="false">
      <c r="A19" s="100"/>
      <c r="B19" s="58" t="s">
        <v>168</v>
      </c>
      <c r="C19" s="56" t="s">
        <v>0</v>
      </c>
      <c r="D19" s="56" t="s">
        <v>169</v>
      </c>
      <c r="E19" s="57" t="n">
        <v>36465</v>
      </c>
      <c r="F19" s="57" t="n">
        <v>38656</v>
      </c>
      <c r="G19" s="58" t="s">
        <v>170</v>
      </c>
      <c r="H19" s="58" t="s">
        <v>171</v>
      </c>
      <c r="I19" s="56" t="s">
        <v>180</v>
      </c>
      <c r="J19" s="72" t="n">
        <v>0.2196</v>
      </c>
      <c r="K19" s="61" t="n">
        <v>0.0112</v>
      </c>
      <c r="L19" s="61" t="n">
        <v>0.0022</v>
      </c>
      <c r="M19" s="61" t="n">
        <v>0.0072</v>
      </c>
      <c r="N19" s="61" t="n">
        <v>0</v>
      </c>
      <c r="O19" s="62" t="n">
        <v>0.0111</v>
      </c>
      <c r="P19" s="61" t="n">
        <f aca="false">SUM(J19:N19)</f>
        <v>0.2402</v>
      </c>
      <c r="Q19" s="63"/>
      <c r="R19" s="63" t="n">
        <v>770993</v>
      </c>
      <c r="S19" s="56" t="n">
        <v>264</v>
      </c>
      <c r="T19" s="58"/>
      <c r="U19" s="101" t="n">
        <f aca="false">J19*J$1*S19</f>
        <v>1797.2064</v>
      </c>
      <c r="V19" s="101"/>
      <c r="W19" s="102"/>
      <c r="X19" s="102" t="n">
        <v>142025</v>
      </c>
      <c r="Y19" s="58"/>
      <c r="Z19" s="89"/>
      <c r="AA19" s="89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  <c r="IW19" s="100"/>
    </row>
    <row r="20" customFormat="false" ht="12.75" hidden="false" customHeight="false" outlineLevel="0" collapsed="false">
      <c r="A20" s="103" t="e">
        <f aca="false">#REF!*#REF!*#REF!</f>
        <v>#REF!</v>
      </c>
      <c r="B20" s="58" t="s">
        <v>168</v>
      </c>
      <c r="C20" s="56" t="s">
        <v>0</v>
      </c>
      <c r="D20" s="56" t="s">
        <v>184</v>
      </c>
      <c r="E20" s="57" t="n">
        <v>36479</v>
      </c>
      <c r="F20" s="57" t="n">
        <v>36676</v>
      </c>
      <c r="G20" s="58" t="s">
        <v>185</v>
      </c>
      <c r="H20" s="58" t="s">
        <v>186</v>
      </c>
      <c r="I20" s="56" t="s">
        <v>178</v>
      </c>
      <c r="J20" s="72" t="n">
        <v>0.2041</v>
      </c>
      <c r="K20" s="61" t="n">
        <v>0.0112</v>
      </c>
      <c r="L20" s="61" t="n">
        <v>0.0022</v>
      </c>
      <c r="M20" s="61" t="n">
        <v>0.0072</v>
      </c>
      <c r="N20" s="61" t="n">
        <v>0</v>
      </c>
      <c r="O20" s="62" t="n">
        <v>0.0111</v>
      </c>
      <c r="P20" s="61" t="n">
        <f aca="false">SUM(J20:N20)</f>
        <v>0.2247</v>
      </c>
      <c r="Q20" s="63" t="n">
        <v>771013</v>
      </c>
      <c r="R20" s="63" t="n">
        <v>771013</v>
      </c>
      <c r="S20" s="56" t="n">
        <v>69</v>
      </c>
      <c r="T20" s="58" t="n">
        <v>69</v>
      </c>
      <c r="U20" s="101" t="n">
        <f aca="false">J20*J$1*S20</f>
        <v>436.5699</v>
      </c>
      <c r="V20" s="101"/>
      <c r="W20" s="102"/>
      <c r="X20" s="102" t="n">
        <v>142030</v>
      </c>
      <c r="Y20" s="58"/>
      <c r="Z20" s="89"/>
      <c r="AA20" s="89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  <c r="IW20" s="100"/>
    </row>
    <row r="21" customFormat="false" ht="12.75" hidden="false" customHeight="false" outlineLevel="0" collapsed="false">
      <c r="B21" s="104" t="s">
        <v>142</v>
      </c>
      <c r="C21" s="105" t="s">
        <v>142</v>
      </c>
      <c r="D21" s="106" t="s">
        <v>142</v>
      </c>
      <c r="E21" s="107" t="s">
        <v>142</v>
      </c>
      <c r="F21" s="107"/>
      <c r="G21" s="104" t="s">
        <v>142</v>
      </c>
      <c r="H21" s="108" t="s">
        <v>142</v>
      </c>
      <c r="I21" s="105" t="s">
        <v>142</v>
      </c>
      <c r="J21" s="109"/>
      <c r="K21" s="110"/>
      <c r="L21" s="110"/>
      <c r="M21" s="110"/>
      <c r="N21" s="110"/>
      <c r="O21" s="111"/>
      <c r="P21" s="110"/>
      <c r="Q21" s="112" t="s">
        <v>142</v>
      </c>
      <c r="R21" s="112" t="s">
        <v>142</v>
      </c>
      <c r="S21" s="105" t="n">
        <f aca="false">SUM(S12:S20)</f>
        <v>908</v>
      </c>
      <c r="T21" s="104" t="s">
        <v>142</v>
      </c>
      <c r="U21" s="113" t="n">
        <f aca="false">SUM(U12:U20)</f>
        <v>6526.479873116</v>
      </c>
      <c r="V21" s="113" t="n">
        <f aca="false">SUM(V14:V20)</f>
        <v>0</v>
      </c>
      <c r="W21" s="114"/>
      <c r="X21" s="114"/>
      <c r="Y21" s="104"/>
      <c r="Z21" s="89"/>
      <c r="AA21" s="89"/>
    </row>
    <row r="22" customFormat="false" ht="12.75" hidden="false" customHeight="false" outlineLevel="0" collapsed="false">
      <c r="B22" s="80" t="s">
        <v>145</v>
      </c>
      <c r="C22" s="81" t="s">
        <v>146</v>
      </c>
      <c r="D22" s="81" t="s">
        <v>147</v>
      </c>
      <c r="E22" s="82" t="s">
        <v>148</v>
      </c>
      <c r="F22" s="82"/>
      <c r="G22" s="80" t="s">
        <v>149</v>
      </c>
      <c r="H22" s="80" t="s">
        <v>150</v>
      </c>
      <c r="I22" s="81" t="s">
        <v>151</v>
      </c>
      <c r="J22" s="83" t="s">
        <v>152</v>
      </c>
      <c r="K22" s="81" t="s">
        <v>153</v>
      </c>
      <c r="L22" s="81" t="s">
        <v>154</v>
      </c>
      <c r="M22" s="81" t="s">
        <v>155</v>
      </c>
      <c r="N22" s="81" t="s">
        <v>156</v>
      </c>
      <c r="O22" s="84" t="s">
        <v>157</v>
      </c>
      <c r="P22" s="81" t="s">
        <v>158</v>
      </c>
      <c r="Q22" s="85" t="s">
        <v>159</v>
      </c>
      <c r="R22" s="85" t="s">
        <v>160</v>
      </c>
      <c r="S22" s="81" t="s">
        <v>161</v>
      </c>
      <c r="T22" s="80" t="s">
        <v>162</v>
      </c>
      <c r="U22" s="86" t="s">
        <v>163</v>
      </c>
      <c r="V22" s="86" t="s">
        <v>164</v>
      </c>
      <c r="W22" s="87" t="s">
        <v>165</v>
      </c>
      <c r="X22" s="87" t="s">
        <v>166</v>
      </c>
      <c r="Y22" s="88" t="s">
        <v>167</v>
      </c>
      <c r="Z22" s="89"/>
      <c r="AA22" s="89"/>
    </row>
    <row r="23" customFormat="false" ht="12.75" hidden="false" customHeight="false" outlineLevel="0" collapsed="false">
      <c r="A23" s="100"/>
      <c r="B23" s="69" t="s">
        <v>187</v>
      </c>
      <c r="C23" s="91" t="s">
        <v>23</v>
      </c>
      <c r="D23" s="91" t="s">
        <v>188</v>
      </c>
      <c r="E23" s="92" t="n">
        <v>36586</v>
      </c>
      <c r="F23" s="92" t="n">
        <v>36616</v>
      </c>
      <c r="G23" s="69" t="s">
        <v>189</v>
      </c>
      <c r="H23" s="69" t="s">
        <v>190</v>
      </c>
      <c r="I23" s="91" t="s">
        <v>191</v>
      </c>
      <c r="J23" s="93" t="n">
        <f aca="false">5.7114/J$1</f>
        <v>0.184238709677419</v>
      </c>
      <c r="K23" s="94" t="n">
        <v>0.0434</v>
      </c>
      <c r="L23" s="94" t="n">
        <v>0.0022</v>
      </c>
      <c r="M23" s="94" t="n">
        <v>0</v>
      </c>
      <c r="N23" s="94" t="n">
        <v>0</v>
      </c>
      <c r="O23" s="95" t="n">
        <v>0.0228</v>
      </c>
      <c r="P23" s="94" t="n">
        <f aca="false">SUM(J23:N23)</f>
        <v>0.229838709677419</v>
      </c>
      <c r="Q23" s="96" t="s">
        <v>192</v>
      </c>
      <c r="R23" s="96" t="s">
        <v>193</v>
      </c>
      <c r="S23" s="91" t="n">
        <v>420</v>
      </c>
      <c r="T23" s="69" t="s">
        <v>194</v>
      </c>
      <c r="U23" s="97" t="n">
        <f aca="false">J23*J$1*S23</f>
        <v>2398.788</v>
      </c>
      <c r="V23" s="97"/>
      <c r="W23" s="98" t="n">
        <v>204522</v>
      </c>
      <c r="X23" s="98" t="n">
        <v>156543</v>
      </c>
      <c r="Y23" s="69" t="s">
        <v>195</v>
      </c>
      <c r="Z23" s="89"/>
      <c r="AA23" s="89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  <c r="IW23" s="100"/>
    </row>
    <row r="24" customFormat="false" ht="12.75" hidden="false" customHeight="false" outlineLevel="0" collapsed="false">
      <c r="A24" s="100"/>
      <c r="B24" s="69" t="s">
        <v>187</v>
      </c>
      <c r="C24" s="91" t="s">
        <v>23</v>
      </c>
      <c r="D24" s="91" t="s">
        <v>188</v>
      </c>
      <c r="E24" s="92" t="n">
        <v>36586</v>
      </c>
      <c r="F24" s="92" t="n">
        <v>36616</v>
      </c>
      <c r="G24" s="69" t="s">
        <v>189</v>
      </c>
      <c r="H24" s="69" t="s">
        <v>196</v>
      </c>
      <c r="I24" s="91" t="s">
        <v>191</v>
      </c>
      <c r="J24" s="93" t="n">
        <f aca="false">5.7114/J$1</f>
        <v>0.184238709677419</v>
      </c>
      <c r="K24" s="94" t="n">
        <v>0.0434</v>
      </c>
      <c r="L24" s="94" t="n">
        <v>0.0022</v>
      </c>
      <c r="M24" s="94" t="n">
        <v>0</v>
      </c>
      <c r="N24" s="94" t="n">
        <v>0</v>
      </c>
      <c r="O24" s="95" t="n">
        <v>0.0228</v>
      </c>
      <c r="P24" s="94" t="n">
        <f aca="false">SUM(J24:N24)</f>
        <v>0.229838709677419</v>
      </c>
      <c r="Q24" s="96" t="s">
        <v>197</v>
      </c>
      <c r="R24" s="96" t="s">
        <v>198</v>
      </c>
      <c r="S24" s="91" t="n">
        <v>476</v>
      </c>
      <c r="T24" s="69" t="s">
        <v>199</v>
      </c>
      <c r="U24" s="97" t="n">
        <f aca="false">J24*J$1*S24</f>
        <v>2718.6264</v>
      </c>
      <c r="V24" s="97"/>
      <c r="W24" s="98" t="n">
        <v>204527</v>
      </c>
      <c r="X24" s="98" t="n">
        <v>156545</v>
      </c>
      <c r="Y24" s="69" t="s">
        <v>200</v>
      </c>
      <c r="Z24" s="89"/>
      <c r="AA24" s="89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12.75" hidden="false" customHeight="false" outlineLevel="0" collapsed="false">
      <c r="A25" s="100"/>
      <c r="B25" s="69" t="s">
        <v>187</v>
      </c>
      <c r="C25" s="91" t="s">
        <v>23</v>
      </c>
      <c r="D25" s="91" t="s">
        <v>169</v>
      </c>
      <c r="E25" s="92" t="n">
        <v>36220</v>
      </c>
      <c r="F25" s="92" t="n">
        <v>37711</v>
      </c>
      <c r="G25" s="69" t="s">
        <v>201</v>
      </c>
      <c r="H25" s="69" t="s">
        <v>202</v>
      </c>
      <c r="I25" s="91" t="s">
        <v>191</v>
      </c>
      <c r="J25" s="93" t="n">
        <f aca="false">5.627/J$1</f>
        <v>0.181516129032258</v>
      </c>
      <c r="K25" s="94" t="n">
        <v>0.0434</v>
      </c>
      <c r="L25" s="94" t="n">
        <v>0.0022</v>
      </c>
      <c r="M25" s="94" t="n">
        <v>0</v>
      </c>
      <c r="N25" s="94" t="n">
        <v>0</v>
      </c>
      <c r="O25" s="95" t="n">
        <v>0.0228</v>
      </c>
      <c r="P25" s="94" t="n">
        <f aca="false">SUM(J25:N25)</f>
        <v>0.227116129032258</v>
      </c>
      <c r="Q25" s="96" t="s">
        <v>203</v>
      </c>
      <c r="R25" s="96" t="s">
        <v>204</v>
      </c>
      <c r="S25" s="91" t="n">
        <v>12</v>
      </c>
      <c r="T25" s="69" t="s">
        <v>205</v>
      </c>
      <c r="U25" s="97" t="n">
        <f aca="false">J25*J$1*S25</f>
        <v>67.524</v>
      </c>
      <c r="V25" s="97"/>
      <c r="W25" s="98"/>
      <c r="X25" s="98" t="n">
        <v>157024</v>
      </c>
      <c r="Y25" s="58"/>
      <c r="Z25" s="89"/>
      <c r="AA25" s="89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12.75" hidden="false" customHeight="false" outlineLevel="0" collapsed="false">
      <c r="A26" s="100"/>
      <c r="B26" s="69" t="s">
        <v>187</v>
      </c>
      <c r="C26" s="91" t="s">
        <v>23</v>
      </c>
      <c r="D26" s="91" t="s">
        <v>169</v>
      </c>
      <c r="E26" s="92" t="n">
        <v>36220</v>
      </c>
      <c r="F26" s="92" t="n">
        <v>37711</v>
      </c>
      <c r="G26" s="69" t="s">
        <v>206</v>
      </c>
      <c r="H26" s="69" t="s">
        <v>202</v>
      </c>
      <c r="I26" s="91" t="s">
        <v>191</v>
      </c>
      <c r="J26" s="93" t="n">
        <f aca="false">5.627/J$1</f>
        <v>0.181516129032258</v>
      </c>
      <c r="K26" s="94" t="n">
        <v>0.0434</v>
      </c>
      <c r="L26" s="94" t="n">
        <v>0.0022</v>
      </c>
      <c r="M26" s="94" t="n">
        <v>0</v>
      </c>
      <c r="N26" s="94" t="n">
        <v>0</v>
      </c>
      <c r="O26" s="95" t="n">
        <v>0.0228</v>
      </c>
      <c r="P26" s="94" t="n">
        <f aca="false">SUM(J26:N26)</f>
        <v>0.227116129032258</v>
      </c>
      <c r="Q26" s="96" t="s">
        <v>203</v>
      </c>
      <c r="R26" s="96" t="s">
        <v>204</v>
      </c>
      <c r="S26" s="91" t="n">
        <v>16</v>
      </c>
      <c r="T26" s="69" t="s">
        <v>205</v>
      </c>
      <c r="U26" s="97" t="n">
        <f aca="false">J26*J$1*S26</f>
        <v>90.032</v>
      </c>
      <c r="V26" s="97"/>
      <c r="W26" s="98"/>
      <c r="X26" s="98" t="n">
        <v>157024</v>
      </c>
      <c r="Y26" s="58"/>
      <c r="Z26" s="89"/>
      <c r="AA26" s="89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</row>
    <row r="27" customFormat="false" ht="12.75" hidden="false" customHeight="false" outlineLevel="0" collapsed="false">
      <c r="A27" s="100"/>
      <c r="B27" s="69" t="s">
        <v>187</v>
      </c>
      <c r="C27" s="91" t="s">
        <v>23</v>
      </c>
      <c r="D27" s="91" t="s">
        <v>169</v>
      </c>
      <c r="E27" s="92" t="n">
        <v>36220</v>
      </c>
      <c r="F27" s="92" t="n">
        <v>37711</v>
      </c>
      <c r="G27" s="69" t="s">
        <v>189</v>
      </c>
      <c r="H27" s="69" t="s">
        <v>202</v>
      </c>
      <c r="I27" s="91" t="s">
        <v>191</v>
      </c>
      <c r="J27" s="93" t="n">
        <f aca="false">5.627/J$1</f>
        <v>0.181516129032258</v>
      </c>
      <c r="K27" s="94" t="n">
        <v>0.0434</v>
      </c>
      <c r="L27" s="94" t="n">
        <v>0.0022</v>
      </c>
      <c r="M27" s="94" t="n">
        <v>0</v>
      </c>
      <c r="N27" s="94" t="n">
        <v>0</v>
      </c>
      <c r="O27" s="95" t="n">
        <v>0.0228</v>
      </c>
      <c r="P27" s="94" t="n">
        <f aca="false">SUM(J27:N27)</f>
        <v>0.227116129032258</v>
      </c>
      <c r="Q27" s="96" t="s">
        <v>203</v>
      </c>
      <c r="R27" s="96" t="s">
        <v>204</v>
      </c>
      <c r="S27" s="91" t="n">
        <v>46</v>
      </c>
      <c r="T27" s="69" t="s">
        <v>205</v>
      </c>
      <c r="U27" s="97" t="n">
        <f aca="false">J27*J$1*S27</f>
        <v>258.842</v>
      </c>
      <c r="V27" s="97"/>
      <c r="W27" s="98"/>
      <c r="X27" s="98" t="n">
        <v>157024</v>
      </c>
      <c r="Y27" s="58"/>
      <c r="Z27" s="89"/>
      <c r="AA27" s="89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  <c r="IW27" s="100"/>
    </row>
    <row r="28" customFormat="false" ht="12.75" hidden="false" customHeight="false" outlineLevel="0" collapsed="false">
      <c r="A28" s="100"/>
      <c r="B28" s="69" t="s">
        <v>187</v>
      </c>
      <c r="C28" s="91" t="s">
        <v>23</v>
      </c>
      <c r="D28" s="91" t="s">
        <v>169</v>
      </c>
      <c r="E28" s="92" t="n">
        <v>36220</v>
      </c>
      <c r="F28" s="92" t="n">
        <v>38807</v>
      </c>
      <c r="G28" s="69" t="s">
        <v>207</v>
      </c>
      <c r="H28" s="69"/>
      <c r="I28" s="91" t="s">
        <v>208</v>
      </c>
      <c r="J28" s="93" t="n">
        <f aca="false">1.8533/J$1</f>
        <v>0.0597838709677419</v>
      </c>
      <c r="K28" s="94" t="n">
        <v>0</v>
      </c>
      <c r="L28" s="94" t="n">
        <v>0</v>
      </c>
      <c r="M28" s="94" t="n">
        <v>0</v>
      </c>
      <c r="N28" s="94" t="n">
        <v>0</v>
      </c>
      <c r="O28" s="95" t="n">
        <v>0</v>
      </c>
      <c r="P28" s="94" t="n">
        <f aca="false">SUM(J28:N28)</f>
        <v>0.0597838709677419</v>
      </c>
      <c r="Q28" s="96" t="n">
        <v>560092</v>
      </c>
      <c r="R28" s="96" t="n">
        <v>560042</v>
      </c>
      <c r="S28" s="91" t="n">
        <v>147</v>
      </c>
      <c r="T28" s="69" t="s">
        <v>209</v>
      </c>
      <c r="U28" s="115" t="n">
        <f aca="false">J28*J$1*S28</f>
        <v>272.4351</v>
      </c>
      <c r="V28" s="97"/>
      <c r="W28" s="98"/>
      <c r="X28" s="98" t="n">
        <v>157045</v>
      </c>
      <c r="Y28" s="58"/>
      <c r="Z28" s="89"/>
      <c r="AA28" s="89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</row>
    <row r="29" customFormat="false" ht="12.75" hidden="false" customHeight="false" outlineLevel="0" collapsed="false">
      <c r="A29" s="100"/>
      <c r="B29" s="69" t="s">
        <v>187</v>
      </c>
      <c r="C29" s="91" t="s">
        <v>23</v>
      </c>
      <c r="D29" s="91" t="s">
        <v>169</v>
      </c>
      <c r="E29" s="92" t="n">
        <v>36220</v>
      </c>
      <c r="F29" s="92" t="n">
        <v>38807</v>
      </c>
      <c r="G29" s="69" t="s">
        <v>210</v>
      </c>
      <c r="H29" s="69"/>
      <c r="I29" s="91" t="s">
        <v>208</v>
      </c>
      <c r="J29" s="93" t="n">
        <v>0.0137</v>
      </c>
      <c r="K29" s="94" t="n">
        <v>0</v>
      </c>
      <c r="L29" s="94" t="n">
        <v>0</v>
      </c>
      <c r="M29" s="94" t="n">
        <v>0</v>
      </c>
      <c r="N29" s="94" t="n">
        <v>0</v>
      </c>
      <c r="O29" s="95" t="n">
        <v>0</v>
      </c>
      <c r="P29" s="94" t="n">
        <f aca="false">SUM(J29:N29)</f>
        <v>0.0137</v>
      </c>
      <c r="Q29" s="96" t="n">
        <v>560092</v>
      </c>
      <c r="R29" s="96" t="n">
        <v>560042</v>
      </c>
      <c r="S29" s="91" t="n">
        <v>16275</v>
      </c>
      <c r="T29" s="69" t="s">
        <v>209</v>
      </c>
      <c r="U29" s="115" t="n">
        <f aca="false">+S29*J29</f>
        <v>222.9675</v>
      </c>
      <c r="V29" s="97"/>
      <c r="W29" s="98"/>
      <c r="X29" s="98" t="n">
        <v>157045</v>
      </c>
      <c r="Y29" s="58"/>
      <c r="Z29" s="89"/>
      <c r="AA29" s="89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  <c r="IW29" s="100"/>
    </row>
    <row r="30" customFormat="false" ht="12.75" hidden="false" customHeight="false" outlineLevel="0" collapsed="false">
      <c r="A30" s="100"/>
      <c r="B30" s="69" t="s">
        <v>187</v>
      </c>
      <c r="C30" s="91" t="s">
        <v>23</v>
      </c>
      <c r="D30" s="91" t="s">
        <v>184</v>
      </c>
      <c r="E30" s="92" t="n">
        <v>36557</v>
      </c>
      <c r="F30" s="92" t="n">
        <v>36677</v>
      </c>
      <c r="G30" s="69" t="s">
        <v>189</v>
      </c>
      <c r="H30" s="69" t="s">
        <v>211</v>
      </c>
      <c r="I30" s="91" t="s">
        <v>191</v>
      </c>
      <c r="J30" s="93" t="n">
        <f aca="false">5.75/J$1</f>
        <v>0.185483870967742</v>
      </c>
      <c r="K30" s="94" t="n">
        <v>0.0434</v>
      </c>
      <c r="L30" s="94" t="n">
        <v>0.0022</v>
      </c>
      <c r="M30" s="94" t="n">
        <v>0</v>
      </c>
      <c r="N30" s="94" t="n">
        <v>0</v>
      </c>
      <c r="O30" s="95" t="n">
        <v>0.0228</v>
      </c>
      <c r="P30" s="94" t="n">
        <f aca="false">SUM(J30:N30)</f>
        <v>0.231083870967742</v>
      </c>
      <c r="Q30" s="96" t="s">
        <v>212</v>
      </c>
      <c r="R30" s="96" t="s">
        <v>213</v>
      </c>
      <c r="S30" s="91" t="n">
        <v>186</v>
      </c>
      <c r="T30" s="69" t="s">
        <v>214</v>
      </c>
      <c r="U30" s="97" t="n">
        <f aca="false">J30*J$1*S30</f>
        <v>1069.5</v>
      </c>
      <c r="V30" s="97"/>
      <c r="W30" s="98"/>
      <c r="X30" s="98" t="n">
        <v>156559</v>
      </c>
      <c r="Y30" s="69"/>
      <c r="Z30" s="89"/>
      <c r="AA30" s="89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</row>
    <row r="31" customFormat="false" ht="12.75" hidden="false" customHeight="false" outlineLevel="0" collapsed="false">
      <c r="A31" s="100"/>
      <c r="B31" s="69" t="s">
        <v>187</v>
      </c>
      <c r="C31" s="91" t="s">
        <v>23</v>
      </c>
      <c r="D31" s="91" t="s">
        <v>184</v>
      </c>
      <c r="E31" s="92" t="n">
        <v>36557</v>
      </c>
      <c r="F31" s="92" t="n">
        <v>36616</v>
      </c>
      <c r="G31" s="69" t="s">
        <v>189</v>
      </c>
      <c r="H31" s="69" t="s">
        <v>211</v>
      </c>
      <c r="I31" s="91" t="s">
        <v>191</v>
      </c>
      <c r="J31" s="93" t="n">
        <f aca="false">5.75/J$1</f>
        <v>0.185483870967742</v>
      </c>
      <c r="K31" s="94" t="n">
        <v>0.0434</v>
      </c>
      <c r="L31" s="94" t="n">
        <v>0.0022</v>
      </c>
      <c r="M31" s="94" t="n">
        <v>0</v>
      </c>
      <c r="N31" s="94" t="n">
        <v>0</v>
      </c>
      <c r="O31" s="95" t="n">
        <v>0.0228</v>
      </c>
      <c r="P31" s="94" t="n">
        <f aca="false">SUM(J31:N31)</f>
        <v>0.231083870967742</v>
      </c>
      <c r="Q31" s="96" t="s">
        <v>215</v>
      </c>
      <c r="R31" s="96" t="s">
        <v>216</v>
      </c>
      <c r="S31" s="91" t="n">
        <v>11</v>
      </c>
      <c r="T31" s="69" t="s">
        <v>217</v>
      </c>
      <c r="U31" s="97" t="n">
        <f aca="false">J31*J$1*S31</f>
        <v>63.25</v>
      </c>
      <c r="V31" s="97"/>
      <c r="W31" s="98"/>
      <c r="X31" s="98" t="n">
        <v>156561</v>
      </c>
      <c r="Y31" s="69"/>
      <c r="Z31" s="89"/>
      <c r="AA31" s="89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</row>
    <row r="32" customFormat="false" ht="12.75" hidden="false" customHeight="false" outlineLevel="0" collapsed="false">
      <c r="A32" s="90"/>
      <c r="B32" s="69" t="s">
        <v>187</v>
      </c>
      <c r="C32" s="91" t="s">
        <v>23</v>
      </c>
      <c r="D32" s="91" t="s">
        <v>218</v>
      </c>
      <c r="E32" s="92" t="n">
        <v>36586</v>
      </c>
      <c r="F32" s="92" t="n">
        <v>36616</v>
      </c>
      <c r="G32" s="116" t="n">
        <v>10001</v>
      </c>
      <c r="H32" s="116" t="n">
        <v>10001</v>
      </c>
      <c r="I32" s="91" t="s">
        <v>208</v>
      </c>
      <c r="J32" s="93" t="n">
        <v>0.0137</v>
      </c>
      <c r="K32" s="94"/>
      <c r="L32" s="94"/>
      <c r="M32" s="94"/>
      <c r="N32" s="94"/>
      <c r="O32" s="95"/>
      <c r="P32" s="94"/>
      <c r="Q32" s="96" t="n">
        <v>530586</v>
      </c>
      <c r="R32" s="96" t="n">
        <v>530562</v>
      </c>
      <c r="S32" s="91" t="n">
        <v>13976</v>
      </c>
      <c r="T32" s="69" t="s">
        <v>219</v>
      </c>
      <c r="U32" s="97" t="n">
        <f aca="false">J32*1*S32</f>
        <v>191.4712</v>
      </c>
      <c r="V32" s="97"/>
      <c r="W32" s="98" t="n">
        <v>203431</v>
      </c>
      <c r="X32" s="98" t="n">
        <v>156563</v>
      </c>
      <c r="Y32" s="58"/>
      <c r="Z32" s="89"/>
      <c r="AA32" s="89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</row>
    <row r="33" customFormat="false" ht="12.75" hidden="false" customHeight="false" outlineLevel="0" collapsed="false">
      <c r="A33" s="90"/>
      <c r="B33" s="69" t="s">
        <v>187</v>
      </c>
      <c r="C33" s="91" t="s">
        <v>23</v>
      </c>
      <c r="D33" s="91" t="s">
        <v>218</v>
      </c>
      <c r="E33" s="92" t="n">
        <v>36586</v>
      </c>
      <c r="F33" s="92" t="n">
        <v>36616</v>
      </c>
      <c r="G33" s="116" t="n">
        <v>10001</v>
      </c>
      <c r="H33" s="116" t="n">
        <v>10001</v>
      </c>
      <c r="I33" s="91" t="s">
        <v>208</v>
      </c>
      <c r="J33" s="93" t="n">
        <v>1.8533</v>
      </c>
      <c r="K33" s="94"/>
      <c r="L33" s="94"/>
      <c r="M33" s="94"/>
      <c r="N33" s="94"/>
      <c r="O33" s="95"/>
      <c r="P33" s="94"/>
      <c r="Q33" s="96" t="n">
        <v>530586</v>
      </c>
      <c r="R33" s="96" t="n">
        <v>530562</v>
      </c>
      <c r="S33" s="91" t="n">
        <v>228</v>
      </c>
      <c r="T33" s="69" t="s">
        <v>219</v>
      </c>
      <c r="U33" s="97" t="n">
        <f aca="false">J33*1*S33</f>
        <v>422.5524</v>
      </c>
      <c r="V33" s="97"/>
      <c r="W33" s="98" t="n">
        <v>203431</v>
      </c>
      <c r="X33" s="98" t="n">
        <v>156563</v>
      </c>
      <c r="Y33" s="58"/>
      <c r="Z33" s="89"/>
      <c r="AA33" s="89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</row>
    <row r="34" customFormat="false" ht="12.75" hidden="false" customHeight="false" outlineLevel="0" collapsed="false">
      <c r="B34" s="104" t="s">
        <v>142</v>
      </c>
      <c r="C34" s="105" t="s">
        <v>142</v>
      </c>
      <c r="D34" s="106" t="s">
        <v>142</v>
      </c>
      <c r="E34" s="107" t="s">
        <v>142</v>
      </c>
      <c r="F34" s="107"/>
      <c r="G34" s="104" t="s">
        <v>142</v>
      </c>
      <c r="H34" s="108" t="s">
        <v>142</v>
      </c>
      <c r="I34" s="105" t="s">
        <v>142</v>
      </c>
      <c r="J34" s="109"/>
      <c r="K34" s="110"/>
      <c r="L34" s="110"/>
      <c r="M34" s="110"/>
      <c r="N34" s="110"/>
      <c r="O34" s="111"/>
      <c r="P34" s="110"/>
      <c r="Q34" s="112" t="s">
        <v>142</v>
      </c>
      <c r="R34" s="112" t="s">
        <v>142</v>
      </c>
      <c r="S34" s="105" t="n">
        <f aca="false">SUM(S23:S31)</f>
        <v>17589</v>
      </c>
      <c r="T34" s="104" t="s">
        <v>142</v>
      </c>
      <c r="U34" s="113" t="n">
        <f aca="false">SUM(U23:U33)</f>
        <v>7775.9886</v>
      </c>
      <c r="V34" s="113" t="n">
        <f aca="false">SUM(V23:V31)</f>
        <v>0</v>
      </c>
      <c r="W34" s="114"/>
      <c r="X34" s="114"/>
      <c r="Y34" s="104"/>
      <c r="Z34" s="89"/>
      <c r="AA34" s="89"/>
    </row>
    <row r="35" customFormat="false" ht="12.75" hidden="false" customHeight="false" outlineLevel="0" collapsed="false">
      <c r="B35" s="80" t="s">
        <v>145</v>
      </c>
      <c r="C35" s="81" t="s">
        <v>146</v>
      </c>
      <c r="D35" s="81" t="s">
        <v>220</v>
      </c>
      <c r="E35" s="82" t="s">
        <v>148</v>
      </c>
      <c r="F35" s="82"/>
      <c r="G35" s="80" t="s">
        <v>149</v>
      </c>
      <c r="H35" s="80" t="s">
        <v>150</v>
      </c>
      <c r="I35" s="81" t="s">
        <v>151</v>
      </c>
      <c r="J35" s="83" t="s">
        <v>152</v>
      </c>
      <c r="K35" s="81" t="s">
        <v>153</v>
      </c>
      <c r="L35" s="81" t="s">
        <v>154</v>
      </c>
      <c r="M35" s="81" t="s">
        <v>155</v>
      </c>
      <c r="N35" s="81" t="s">
        <v>156</v>
      </c>
      <c r="O35" s="84" t="s">
        <v>157</v>
      </c>
      <c r="P35" s="81" t="s">
        <v>158</v>
      </c>
      <c r="Q35" s="85" t="s">
        <v>159</v>
      </c>
      <c r="R35" s="85" t="s">
        <v>160</v>
      </c>
      <c r="S35" s="81" t="s">
        <v>161</v>
      </c>
      <c r="T35" s="80" t="s">
        <v>162</v>
      </c>
      <c r="U35" s="86" t="s">
        <v>163</v>
      </c>
      <c r="V35" s="86" t="s">
        <v>164</v>
      </c>
      <c r="W35" s="87" t="s">
        <v>165</v>
      </c>
      <c r="X35" s="87" t="s">
        <v>166</v>
      </c>
      <c r="Y35" s="88" t="str">
        <f aca="false">+Y22</f>
        <v>Questions</v>
      </c>
      <c r="Z35" s="89"/>
      <c r="AA35" s="89"/>
    </row>
    <row r="36" customFormat="false" ht="12.75" hidden="false" customHeight="false" outlineLevel="0" collapsed="false">
      <c r="A36" s="100"/>
      <c r="B36" s="58" t="s">
        <v>187</v>
      </c>
      <c r="C36" s="56" t="s">
        <v>221</v>
      </c>
      <c r="D36" s="56" t="s">
        <v>222</v>
      </c>
      <c r="E36" s="57" t="n">
        <v>36526</v>
      </c>
      <c r="F36" s="57" t="n">
        <v>36646</v>
      </c>
      <c r="G36" s="58" t="s">
        <v>223</v>
      </c>
      <c r="H36" s="58" t="s">
        <v>224</v>
      </c>
      <c r="I36" s="56" t="s">
        <v>19</v>
      </c>
      <c r="J36" s="72" t="n">
        <f aca="false">6.449/J$1</f>
        <v>0.208032258064516</v>
      </c>
      <c r="K36" s="61" t="n">
        <v>0.0132</v>
      </c>
      <c r="L36" s="61" t="n">
        <v>0.0022</v>
      </c>
      <c r="M36" s="61" t="n">
        <v>0.0075</v>
      </c>
      <c r="N36" s="61" t="n">
        <v>0</v>
      </c>
      <c r="O36" s="62" t="n">
        <v>0.02116</v>
      </c>
      <c r="P36" s="61" t="n">
        <f aca="false">SUM(J36:N36)</f>
        <v>0.230932258064516</v>
      </c>
      <c r="Q36" s="63" t="n">
        <v>37956</v>
      </c>
      <c r="R36" s="63" t="n">
        <v>37956</v>
      </c>
      <c r="S36" s="56" t="n">
        <v>600</v>
      </c>
      <c r="T36" s="58" t="s">
        <v>225</v>
      </c>
      <c r="U36" s="101" t="n">
        <f aca="false">J36*J$1*S36</f>
        <v>3869.4</v>
      </c>
      <c r="V36" s="101"/>
      <c r="W36" s="102"/>
      <c r="X36" s="102" t="n">
        <v>156567</v>
      </c>
      <c r="Y36" s="101"/>
      <c r="Z36" s="89"/>
      <c r="AA36" s="89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  <c r="IW36" s="100"/>
    </row>
    <row r="37" customFormat="false" ht="12.75" hidden="false" customHeight="false" outlineLevel="0" collapsed="false">
      <c r="A37" s="100"/>
      <c r="B37" s="58" t="s">
        <v>187</v>
      </c>
      <c r="C37" s="56" t="s">
        <v>221</v>
      </c>
      <c r="D37" s="56" t="s">
        <v>226</v>
      </c>
      <c r="E37" s="57" t="n">
        <v>36251</v>
      </c>
      <c r="F37" s="57" t="n">
        <v>36616</v>
      </c>
      <c r="G37" s="58" t="s">
        <v>227</v>
      </c>
      <c r="H37" s="58" t="s">
        <v>228</v>
      </c>
      <c r="I37" s="56" t="s">
        <v>229</v>
      </c>
      <c r="J37" s="72" t="n">
        <v>0</v>
      </c>
      <c r="K37" s="61" t="n">
        <v>0</v>
      </c>
      <c r="L37" s="61" t="n">
        <v>0</v>
      </c>
      <c r="M37" s="61" t="n">
        <v>0</v>
      </c>
      <c r="N37" s="61" t="n">
        <v>0</v>
      </c>
      <c r="O37" s="62" t="n">
        <v>0</v>
      </c>
      <c r="P37" s="61" t="n">
        <f aca="false">SUM(J37:N37)</f>
        <v>0</v>
      </c>
      <c r="Q37" s="63" t="n">
        <v>51407</v>
      </c>
      <c r="R37" s="63" t="n">
        <v>51407</v>
      </c>
      <c r="S37" s="56" t="n">
        <v>0</v>
      </c>
      <c r="T37" s="58" t="s">
        <v>230</v>
      </c>
      <c r="U37" s="101" t="n">
        <f aca="false">J37*S37</f>
        <v>0</v>
      </c>
      <c r="V37" s="101"/>
      <c r="W37" s="102"/>
      <c r="X37" s="102" t="n">
        <v>156569</v>
      </c>
      <c r="Y37" s="58"/>
      <c r="Z37" s="89"/>
      <c r="AA37" s="89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</row>
    <row r="38" customFormat="false" ht="12.75" hidden="false" customHeight="false" outlineLevel="0" collapsed="false">
      <c r="A38" s="100"/>
      <c r="B38" s="58" t="s">
        <v>187</v>
      </c>
      <c r="C38" s="56" t="s">
        <v>221</v>
      </c>
      <c r="D38" s="56" t="s">
        <v>226</v>
      </c>
      <c r="E38" s="57" t="n">
        <v>36251</v>
      </c>
      <c r="F38" s="57" t="n">
        <v>36616</v>
      </c>
      <c r="G38" s="58" t="s">
        <v>227</v>
      </c>
      <c r="H38" s="58" t="s">
        <v>231</v>
      </c>
      <c r="I38" s="56" t="s">
        <v>229</v>
      </c>
      <c r="J38" s="72" t="n">
        <v>0</v>
      </c>
      <c r="K38" s="61" t="n">
        <v>0</v>
      </c>
      <c r="L38" s="61" t="n">
        <v>0</v>
      </c>
      <c r="M38" s="61" t="n">
        <v>0</v>
      </c>
      <c r="N38" s="61" t="n">
        <v>0</v>
      </c>
      <c r="O38" s="62" t="n">
        <v>0</v>
      </c>
      <c r="P38" s="61" t="n">
        <f aca="false">SUM(J38:N38)</f>
        <v>0</v>
      </c>
      <c r="Q38" s="63" t="n">
        <v>51407</v>
      </c>
      <c r="R38" s="63" t="n">
        <v>51407</v>
      </c>
      <c r="S38" s="56" t="n">
        <v>0</v>
      </c>
      <c r="T38" s="58" t="s">
        <v>230</v>
      </c>
      <c r="U38" s="101" t="n">
        <f aca="false">J38*J$1*S38</f>
        <v>0</v>
      </c>
      <c r="V38" s="101"/>
      <c r="W38" s="102"/>
      <c r="X38" s="102" t="n">
        <v>156569</v>
      </c>
      <c r="Y38" s="58"/>
      <c r="Z38" s="89"/>
      <c r="AA38" s="89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  <c r="IW38" s="100"/>
    </row>
    <row r="39" customFormat="false" ht="12.75" hidden="false" customHeight="false" outlineLevel="0" collapsed="false">
      <c r="A39" s="100"/>
      <c r="B39" s="58" t="s">
        <v>187</v>
      </c>
      <c r="C39" s="56" t="s">
        <v>221</v>
      </c>
      <c r="D39" s="56"/>
      <c r="E39" s="57" t="n">
        <v>36100</v>
      </c>
      <c r="F39" s="57" t="n">
        <v>36830</v>
      </c>
      <c r="G39" s="58" t="s">
        <v>232</v>
      </c>
      <c r="H39" s="58" t="s">
        <v>224</v>
      </c>
      <c r="I39" s="56" t="s">
        <v>19</v>
      </c>
      <c r="J39" s="72" t="n">
        <f aca="false">4.56/J$1</f>
        <v>0.147096774193548</v>
      </c>
      <c r="K39" s="61" t="n">
        <v>0.0132</v>
      </c>
      <c r="L39" s="61" t="n">
        <v>0.0022</v>
      </c>
      <c r="M39" s="61" t="n">
        <v>0.0072</v>
      </c>
      <c r="N39" s="61" t="n">
        <v>0</v>
      </c>
      <c r="O39" s="62" t="n">
        <v>0.02116</v>
      </c>
      <c r="P39" s="61" t="n">
        <f aca="false">SUM(J39:N39)</f>
        <v>0.169696774193548</v>
      </c>
      <c r="Q39" s="63" t="n">
        <v>61822</v>
      </c>
      <c r="R39" s="63" t="n">
        <v>61822</v>
      </c>
      <c r="S39" s="56" t="n">
        <v>4000</v>
      </c>
      <c r="T39" s="58" t="s">
        <v>233</v>
      </c>
      <c r="U39" s="101" t="n">
        <f aca="false">J39*J$1*S39</f>
        <v>18240</v>
      </c>
      <c r="V39" s="101"/>
      <c r="W39" s="102"/>
      <c r="X39" s="102" t="n">
        <v>162284</v>
      </c>
      <c r="Y39" s="58"/>
      <c r="Z39" s="89"/>
      <c r="AA39" s="89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12.75" hidden="false" customHeight="false" outlineLevel="0" collapsed="false">
      <c r="A40" s="100"/>
      <c r="B40" s="58" t="s">
        <v>187</v>
      </c>
      <c r="C40" s="56" t="s">
        <v>221</v>
      </c>
      <c r="D40" s="56" t="s">
        <v>222</v>
      </c>
      <c r="E40" s="57" t="n">
        <v>36526</v>
      </c>
      <c r="F40" s="57" t="n">
        <v>36830</v>
      </c>
      <c r="G40" s="58" t="s">
        <v>234</v>
      </c>
      <c r="H40" s="58" t="s">
        <v>235</v>
      </c>
      <c r="I40" s="56" t="s">
        <v>19</v>
      </c>
      <c r="J40" s="93" t="n">
        <f aca="false">4.56/J$1</f>
        <v>0.147096774193548</v>
      </c>
      <c r="K40" s="61" t="n">
        <v>0.0132</v>
      </c>
      <c r="L40" s="61" t="n">
        <v>0.0022</v>
      </c>
      <c r="M40" s="61" t="n">
        <v>0.0075</v>
      </c>
      <c r="N40" s="61" t="n">
        <v>0</v>
      </c>
      <c r="O40" s="62" t="n">
        <v>0.02116</v>
      </c>
      <c r="P40" s="61" t="n">
        <f aca="false">SUM(J40:N40)</f>
        <v>0.169996774193548</v>
      </c>
      <c r="Q40" s="63" t="n">
        <v>61825</v>
      </c>
      <c r="R40" s="63" t="n">
        <v>61825</v>
      </c>
      <c r="S40" s="56" t="n">
        <v>2000</v>
      </c>
      <c r="T40" s="58" t="s">
        <v>236</v>
      </c>
      <c r="U40" s="101" t="n">
        <f aca="false">J40*J$1*S40</f>
        <v>9120</v>
      </c>
      <c r="V40" s="101"/>
      <c r="W40" s="102"/>
      <c r="X40" s="102" t="n">
        <v>156570</v>
      </c>
      <c r="Y40" s="101"/>
      <c r="Z40" s="89"/>
      <c r="AA40" s="89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</row>
    <row r="41" customFormat="false" ht="12.75" hidden="false" customHeight="false" outlineLevel="0" collapsed="false">
      <c r="A41" s="100"/>
      <c r="B41" s="58" t="s">
        <v>187</v>
      </c>
      <c r="C41" s="56" t="s">
        <v>221</v>
      </c>
      <c r="D41" s="56" t="s">
        <v>222</v>
      </c>
      <c r="E41" s="57" t="n">
        <v>36526</v>
      </c>
      <c r="F41" s="57" t="n">
        <v>36830</v>
      </c>
      <c r="G41" s="58" t="s">
        <v>237</v>
      </c>
      <c r="H41" s="58" t="s">
        <v>235</v>
      </c>
      <c r="I41" s="56" t="s">
        <v>19</v>
      </c>
      <c r="J41" s="93" t="n">
        <f aca="false">4.56/J$1</f>
        <v>0.147096774193548</v>
      </c>
      <c r="K41" s="61" t="n">
        <v>0.0132</v>
      </c>
      <c r="L41" s="61" t="n">
        <v>0.0022</v>
      </c>
      <c r="M41" s="61" t="n">
        <v>0.0075</v>
      </c>
      <c r="N41" s="61" t="n">
        <v>0</v>
      </c>
      <c r="O41" s="62" t="n">
        <v>0.02116</v>
      </c>
      <c r="P41" s="61" t="n">
        <f aca="false">SUM(J41:N41)</f>
        <v>0.169996774193548</v>
      </c>
      <c r="Q41" s="63" t="n">
        <v>61825</v>
      </c>
      <c r="R41" s="63" t="n">
        <v>61825</v>
      </c>
      <c r="S41" s="56" t="n">
        <v>5000</v>
      </c>
      <c r="T41" s="58" t="s">
        <v>236</v>
      </c>
      <c r="U41" s="101" t="n">
        <f aca="false">J41*J$1*S41</f>
        <v>22800</v>
      </c>
      <c r="V41" s="101"/>
      <c r="W41" s="102"/>
      <c r="X41" s="102" t="n">
        <v>156570</v>
      </c>
      <c r="Y41" s="101"/>
      <c r="Z41" s="89"/>
      <c r="AA41" s="89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</row>
    <row r="42" customFormat="false" ht="12.75" hidden="false" customHeight="false" outlineLevel="0" collapsed="false">
      <c r="A42" s="100"/>
      <c r="B42" s="58" t="s">
        <v>187</v>
      </c>
      <c r="C42" s="56" t="s">
        <v>221</v>
      </c>
      <c r="D42" s="56" t="s">
        <v>222</v>
      </c>
      <c r="E42" s="57" t="n">
        <v>36526</v>
      </c>
      <c r="F42" s="57" t="n">
        <v>36830</v>
      </c>
      <c r="G42" s="58" t="s">
        <v>238</v>
      </c>
      <c r="H42" s="58" t="s">
        <v>235</v>
      </c>
      <c r="I42" s="56" t="s">
        <v>19</v>
      </c>
      <c r="J42" s="93" t="n">
        <f aca="false">4.56/J$1</f>
        <v>0.147096774193548</v>
      </c>
      <c r="K42" s="61" t="n">
        <v>0.0132</v>
      </c>
      <c r="L42" s="61" t="n">
        <v>0.0022</v>
      </c>
      <c r="M42" s="61" t="n">
        <v>0.0075</v>
      </c>
      <c r="N42" s="61" t="n">
        <v>0</v>
      </c>
      <c r="O42" s="62" t="n">
        <v>0.02116</v>
      </c>
      <c r="P42" s="61" t="n">
        <f aca="false">SUM(J42:N42)</f>
        <v>0.169996774193548</v>
      </c>
      <c r="Q42" s="63" t="n">
        <v>61825</v>
      </c>
      <c r="R42" s="63" t="n">
        <v>61825</v>
      </c>
      <c r="S42" s="56" t="n">
        <v>1000</v>
      </c>
      <c r="T42" s="58" t="s">
        <v>236</v>
      </c>
      <c r="U42" s="101" t="n">
        <f aca="false">J42*J$1*S42</f>
        <v>4560</v>
      </c>
      <c r="V42" s="101"/>
      <c r="W42" s="102"/>
      <c r="X42" s="102" t="n">
        <v>156570</v>
      </c>
      <c r="Y42" s="101"/>
      <c r="Z42" s="89"/>
      <c r="AA42" s="89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  <c r="IW42" s="100"/>
    </row>
    <row r="43" customFormat="false" ht="12.75" hidden="false" customHeight="false" outlineLevel="0" collapsed="false">
      <c r="A43" s="100"/>
      <c r="B43" s="58" t="s">
        <v>187</v>
      </c>
      <c r="C43" s="56" t="s">
        <v>221</v>
      </c>
      <c r="D43" s="56"/>
      <c r="E43" s="57" t="n">
        <v>36100</v>
      </c>
      <c r="F43" s="57" t="n">
        <v>36830</v>
      </c>
      <c r="G43" s="58" t="s">
        <v>234</v>
      </c>
      <c r="H43" s="58" t="s">
        <v>239</v>
      </c>
      <c r="I43" s="56" t="s">
        <v>19</v>
      </c>
      <c r="J43" s="93" t="n">
        <f aca="false">4.56/J$1</f>
        <v>0.147096774193548</v>
      </c>
      <c r="K43" s="61" t="n">
        <v>0.0132</v>
      </c>
      <c r="L43" s="61" t="n">
        <v>0.0022</v>
      </c>
      <c r="M43" s="61" t="n">
        <v>0.0072</v>
      </c>
      <c r="N43" s="61" t="n">
        <v>0</v>
      </c>
      <c r="O43" s="62" t="n">
        <v>0.02116</v>
      </c>
      <c r="P43" s="61" t="n">
        <f aca="false">SUM(J43:N43)</f>
        <v>0.169696774193548</v>
      </c>
      <c r="Q43" s="63" t="n">
        <v>61838</v>
      </c>
      <c r="R43" s="63" t="n">
        <v>61838</v>
      </c>
      <c r="S43" s="56" t="n">
        <v>1000</v>
      </c>
      <c r="T43" s="58" t="s">
        <v>240</v>
      </c>
      <c r="U43" s="101" t="n">
        <f aca="false">J43*J$1*S43</f>
        <v>4560</v>
      </c>
      <c r="V43" s="101"/>
      <c r="W43" s="102"/>
      <c r="X43" s="102" t="n">
        <v>156571</v>
      </c>
      <c r="Y43" s="58"/>
      <c r="Z43" s="89"/>
      <c r="AA43" s="89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</row>
    <row r="44" customFormat="false" ht="12.75" hidden="false" customHeight="false" outlineLevel="0" collapsed="false">
      <c r="A44" s="100"/>
      <c r="B44" s="58" t="s">
        <v>187</v>
      </c>
      <c r="C44" s="56" t="s">
        <v>221</v>
      </c>
      <c r="D44" s="56" t="s">
        <v>222</v>
      </c>
      <c r="E44" s="57" t="n">
        <v>36526</v>
      </c>
      <c r="F44" s="57" t="n">
        <v>36830</v>
      </c>
      <c r="G44" s="58" t="s">
        <v>234</v>
      </c>
      <c r="H44" s="58" t="s">
        <v>241</v>
      </c>
      <c r="I44" s="56" t="s">
        <v>19</v>
      </c>
      <c r="J44" s="93" t="n">
        <f aca="false">4.56/J$1</f>
        <v>0.147096774193548</v>
      </c>
      <c r="K44" s="61" t="n">
        <v>0.0132</v>
      </c>
      <c r="L44" s="61" t="n">
        <v>0.0022</v>
      </c>
      <c r="M44" s="61" t="n">
        <v>0.0075</v>
      </c>
      <c r="N44" s="61" t="n">
        <v>0</v>
      </c>
      <c r="O44" s="62" t="n">
        <v>0.02116</v>
      </c>
      <c r="P44" s="61" t="n">
        <f aca="false">SUM(J44:N44)</f>
        <v>0.169996774193548</v>
      </c>
      <c r="Q44" s="63" t="n">
        <v>61990</v>
      </c>
      <c r="R44" s="63" t="n">
        <v>61990</v>
      </c>
      <c r="S44" s="56" t="n">
        <v>2000</v>
      </c>
      <c r="T44" s="58" t="s">
        <v>242</v>
      </c>
      <c r="U44" s="101" t="n">
        <f aca="false">J44*J$1*S44</f>
        <v>9120</v>
      </c>
      <c r="V44" s="101"/>
      <c r="W44" s="102"/>
      <c r="X44" s="102" t="n">
        <v>156573</v>
      </c>
      <c r="Y44" s="101"/>
      <c r="Z44" s="89"/>
      <c r="AA44" s="89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</row>
    <row r="45" customFormat="false" ht="12.75" hidden="false" customHeight="false" outlineLevel="0" collapsed="false">
      <c r="A45" s="117"/>
      <c r="B45" s="70" t="s">
        <v>187</v>
      </c>
      <c r="C45" s="118" t="s">
        <v>221</v>
      </c>
      <c r="D45" s="118" t="s">
        <v>222</v>
      </c>
      <c r="E45" s="119" t="n">
        <v>36465</v>
      </c>
      <c r="F45" s="119" t="n">
        <v>36891</v>
      </c>
      <c r="G45" s="70"/>
      <c r="H45" s="70"/>
      <c r="I45" s="118" t="s">
        <v>19</v>
      </c>
      <c r="J45" s="120" t="n">
        <f aca="false">3.0417/30.417</f>
        <v>0.1</v>
      </c>
      <c r="K45" s="121" t="n">
        <v>0.0132</v>
      </c>
      <c r="L45" s="121" t="n">
        <v>0.0022</v>
      </c>
      <c r="M45" s="121" t="n">
        <v>0.0075</v>
      </c>
      <c r="N45" s="121" t="n">
        <v>0</v>
      </c>
      <c r="O45" s="122" t="n">
        <v>0.02116</v>
      </c>
      <c r="P45" s="121" t="n">
        <f aca="false">SUM(J45:N45)</f>
        <v>0.1229</v>
      </c>
      <c r="Q45" s="123" t="n">
        <v>62164</v>
      </c>
      <c r="R45" s="118" t="n">
        <v>2000</v>
      </c>
      <c r="S45" s="70" t="n">
        <v>2000</v>
      </c>
      <c r="T45" s="70" t="s">
        <v>243</v>
      </c>
      <c r="U45" s="124" t="n">
        <f aca="false">J45*J$1*S45</f>
        <v>6200</v>
      </c>
      <c r="V45" s="125"/>
      <c r="W45" s="124"/>
      <c r="X45" s="126" t="s">
        <v>244</v>
      </c>
      <c r="Y45" s="126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7"/>
      <c r="DR45" s="117"/>
      <c r="DS45" s="117"/>
      <c r="DT45" s="117"/>
      <c r="DU45" s="117"/>
      <c r="DV45" s="117"/>
      <c r="DW45" s="117"/>
      <c r="DX45" s="117"/>
      <c r="DY45" s="117"/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  <c r="EK45" s="117"/>
      <c r="EL45" s="117"/>
      <c r="EM45" s="117"/>
      <c r="EN45" s="117"/>
      <c r="EO45" s="117"/>
      <c r="EP45" s="117"/>
      <c r="EQ45" s="117"/>
      <c r="ER45" s="117"/>
      <c r="ES45" s="117"/>
      <c r="ET45" s="117"/>
      <c r="EU45" s="117"/>
      <c r="EV45" s="117"/>
      <c r="EW45" s="117"/>
      <c r="EX45" s="117"/>
      <c r="EY45" s="117"/>
      <c r="EZ45" s="117"/>
      <c r="FA45" s="117"/>
      <c r="FB45" s="117"/>
      <c r="FC45" s="117"/>
      <c r="FD45" s="117"/>
      <c r="FE45" s="117"/>
      <c r="FF45" s="117"/>
      <c r="FG45" s="117"/>
      <c r="FH45" s="117"/>
      <c r="FI45" s="117"/>
      <c r="FJ45" s="117"/>
      <c r="FK45" s="117"/>
      <c r="FL45" s="117"/>
      <c r="FM45" s="117"/>
      <c r="FN45" s="117"/>
      <c r="FO45" s="117"/>
      <c r="FP45" s="117"/>
      <c r="FQ45" s="117"/>
      <c r="FR45" s="117"/>
      <c r="FS45" s="117"/>
      <c r="FT45" s="117"/>
      <c r="FU45" s="117"/>
      <c r="FV45" s="117"/>
      <c r="FW45" s="117"/>
      <c r="FX45" s="117"/>
      <c r="FY45" s="117"/>
      <c r="FZ45" s="117"/>
      <c r="GA45" s="117"/>
      <c r="GB45" s="117"/>
      <c r="GC45" s="117"/>
      <c r="GD45" s="117"/>
      <c r="GE45" s="117"/>
      <c r="GF45" s="117"/>
      <c r="GG45" s="117"/>
      <c r="GH45" s="117"/>
      <c r="GI45" s="117"/>
      <c r="GJ45" s="117"/>
      <c r="GK45" s="117"/>
      <c r="GL45" s="117"/>
      <c r="GM45" s="117"/>
      <c r="GN45" s="117"/>
      <c r="GO45" s="117"/>
      <c r="GP45" s="117"/>
      <c r="GQ45" s="117"/>
      <c r="GR45" s="117"/>
      <c r="GS45" s="117"/>
      <c r="GT45" s="117"/>
      <c r="GU45" s="117"/>
      <c r="GV45" s="117"/>
      <c r="GW45" s="117"/>
      <c r="GX45" s="117"/>
      <c r="GY45" s="117"/>
      <c r="GZ45" s="117"/>
      <c r="HA45" s="117"/>
      <c r="HB45" s="117"/>
      <c r="HC45" s="117"/>
      <c r="HD45" s="117"/>
      <c r="HE45" s="117"/>
      <c r="HF45" s="117"/>
      <c r="HG45" s="117"/>
      <c r="HH45" s="117"/>
      <c r="HI45" s="117"/>
      <c r="HJ45" s="117"/>
      <c r="HK45" s="117"/>
      <c r="HL45" s="117"/>
      <c r="HM45" s="117"/>
      <c r="HN45" s="117"/>
      <c r="HO45" s="117"/>
      <c r="HP45" s="117"/>
      <c r="HQ45" s="117"/>
      <c r="HR45" s="117"/>
      <c r="HS45" s="117"/>
      <c r="HT45" s="117"/>
      <c r="HU45" s="117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117"/>
      <c r="IG45" s="117"/>
      <c r="IH45" s="117"/>
      <c r="II45" s="117"/>
      <c r="IJ45" s="117"/>
      <c r="IK45" s="117"/>
      <c r="IL45" s="117"/>
      <c r="IM45" s="117"/>
      <c r="IN45" s="117"/>
      <c r="IO45" s="117"/>
      <c r="IP45" s="117"/>
      <c r="IQ45" s="117"/>
      <c r="IR45" s="117"/>
      <c r="IS45" s="117"/>
      <c r="IT45" s="117"/>
      <c r="IU45" s="117"/>
      <c r="IV45" s="117"/>
      <c r="IW45" s="117"/>
    </row>
    <row r="46" customFormat="false" ht="12.75" hidden="false" customHeight="false" outlineLevel="0" collapsed="false">
      <c r="A46" s="100"/>
      <c r="B46" s="58" t="s">
        <v>187</v>
      </c>
      <c r="C46" s="56" t="s">
        <v>221</v>
      </c>
      <c r="D46" s="56" t="s">
        <v>245</v>
      </c>
      <c r="E46" s="57" t="n">
        <v>36192</v>
      </c>
      <c r="F46" s="57" t="n">
        <v>36556</v>
      </c>
      <c r="G46" s="58" t="s">
        <v>246</v>
      </c>
      <c r="H46" s="58" t="s">
        <v>247</v>
      </c>
      <c r="I46" s="56" t="s">
        <v>19</v>
      </c>
      <c r="J46" s="72" t="n">
        <f aca="false">6.4493/J$1</f>
        <v>0.208041935483871</v>
      </c>
      <c r="K46" s="61" t="n">
        <v>0.0132</v>
      </c>
      <c r="L46" s="61" t="n">
        <v>0.0022</v>
      </c>
      <c r="M46" s="61" t="n">
        <v>0.0072</v>
      </c>
      <c r="N46" s="61" t="n">
        <v>0</v>
      </c>
      <c r="O46" s="62" t="n">
        <v>0.02116</v>
      </c>
      <c r="P46" s="61" t="n">
        <f aca="false">SUM(J46:N46)</f>
        <v>0.230641935483871</v>
      </c>
      <c r="Q46" s="63" t="n">
        <v>62740</v>
      </c>
      <c r="R46" s="63" t="n">
        <v>62740</v>
      </c>
      <c r="S46" s="56" t="n">
        <v>2</v>
      </c>
      <c r="T46" s="58" t="s">
        <v>248</v>
      </c>
      <c r="U46" s="101" t="n">
        <f aca="false">J46*J$1*S46</f>
        <v>12.8986</v>
      </c>
      <c r="V46" s="101"/>
      <c r="W46" s="102"/>
      <c r="X46" s="102"/>
      <c r="Y46" s="58" t="s">
        <v>249</v>
      </c>
      <c r="Z46" s="89"/>
      <c r="AA46" s="89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  <c r="IW46" s="100"/>
    </row>
    <row r="47" customFormat="false" ht="12.75" hidden="false" customHeight="false" outlineLevel="0" collapsed="false">
      <c r="A47" s="100"/>
      <c r="B47" s="58" t="s">
        <v>187</v>
      </c>
      <c r="C47" s="56" t="s">
        <v>221</v>
      </c>
      <c r="D47" s="56" t="s">
        <v>222</v>
      </c>
      <c r="E47" s="57" t="n">
        <v>36526</v>
      </c>
      <c r="F47" s="57" t="n">
        <v>36616</v>
      </c>
      <c r="G47" s="58" t="s">
        <v>250</v>
      </c>
      <c r="H47" s="58" t="s">
        <v>251</v>
      </c>
      <c r="I47" s="56" t="s">
        <v>19</v>
      </c>
      <c r="J47" s="93" t="n">
        <f aca="false">1.521/J$1</f>
        <v>0.0490645161290323</v>
      </c>
      <c r="K47" s="61" t="n">
        <v>0.0132</v>
      </c>
      <c r="L47" s="61" t="n">
        <v>0.0022</v>
      </c>
      <c r="M47" s="61" t="n">
        <v>0.0075</v>
      </c>
      <c r="N47" s="61" t="n">
        <v>0</v>
      </c>
      <c r="O47" s="62" t="n">
        <v>0.02116</v>
      </c>
      <c r="P47" s="61" t="n">
        <f aca="false">SUM(J47:N47)</f>
        <v>0.0719645161290323</v>
      </c>
      <c r="Q47" s="63" t="n">
        <v>62978</v>
      </c>
      <c r="R47" s="63" t="n">
        <v>62978</v>
      </c>
      <c r="S47" s="56" t="n">
        <v>8000</v>
      </c>
      <c r="T47" s="58" t="s">
        <v>252</v>
      </c>
      <c r="U47" s="101" t="n">
        <f aca="false">J47*J$1*S47</f>
        <v>12168</v>
      </c>
      <c r="V47" s="101"/>
      <c r="W47" s="102"/>
      <c r="X47" s="102" t="n">
        <v>156574</v>
      </c>
      <c r="Y47" s="101"/>
      <c r="Z47" s="89"/>
      <c r="AA47" s="89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100"/>
      <c r="EM47" s="100"/>
      <c r="EN47" s="100"/>
      <c r="EO47" s="100"/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100"/>
      <c r="FO47" s="100"/>
      <c r="FP47" s="100"/>
      <c r="FQ47" s="100"/>
      <c r="FR47" s="100"/>
      <c r="FS47" s="100"/>
      <c r="FT47" s="100"/>
      <c r="FU47" s="100"/>
      <c r="FV47" s="100"/>
      <c r="FW47" s="100"/>
      <c r="FX47" s="100"/>
      <c r="FY47" s="100"/>
      <c r="FZ47" s="100"/>
      <c r="GA47" s="100"/>
      <c r="GB47" s="100"/>
      <c r="GC47" s="100"/>
      <c r="GD47" s="100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  <c r="IU47" s="100"/>
      <c r="IV47" s="100"/>
      <c r="IW47" s="100"/>
    </row>
    <row r="48" customFormat="false" ht="12.75" hidden="false" customHeight="false" outlineLevel="0" collapsed="false">
      <c r="A48" s="100"/>
      <c r="B48" s="58" t="s">
        <v>187</v>
      </c>
      <c r="C48" s="56" t="s">
        <v>221</v>
      </c>
      <c r="D48" s="56" t="s">
        <v>253</v>
      </c>
      <c r="E48" s="57" t="n">
        <v>36220</v>
      </c>
      <c r="F48" s="57" t="n">
        <v>36585</v>
      </c>
      <c r="G48" s="58" t="s">
        <v>246</v>
      </c>
      <c r="H48" s="58" t="s">
        <v>254</v>
      </c>
      <c r="I48" s="56" t="s">
        <v>19</v>
      </c>
      <c r="J48" s="72" t="n">
        <f aca="false">6.449/J$1</f>
        <v>0.208032258064516</v>
      </c>
      <c r="K48" s="61" t="n">
        <v>0.0132</v>
      </c>
      <c r="L48" s="61" t="n">
        <v>0.0022</v>
      </c>
      <c r="M48" s="61" t="n">
        <v>0.0072</v>
      </c>
      <c r="N48" s="61" t="n">
        <v>0</v>
      </c>
      <c r="O48" s="62" t="n">
        <v>0.02116</v>
      </c>
      <c r="P48" s="61" t="n">
        <f aca="false">SUM(J48:N48)</f>
        <v>0.230632258064516</v>
      </c>
      <c r="Q48" s="63" t="n">
        <v>62982</v>
      </c>
      <c r="R48" s="63" t="n">
        <v>62982</v>
      </c>
      <c r="S48" s="56" t="n">
        <v>2</v>
      </c>
      <c r="T48" s="58" t="s">
        <v>255</v>
      </c>
      <c r="U48" s="101" t="n">
        <f aca="false">J48*J$1*S48</f>
        <v>12.898</v>
      </c>
      <c r="V48" s="101"/>
      <c r="W48" s="102"/>
      <c r="X48" s="102" t="n">
        <v>156575</v>
      </c>
      <c r="Y48" s="58"/>
      <c r="Z48" s="89"/>
      <c r="AA48" s="89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0"/>
      <c r="FO48" s="100"/>
      <c r="FP48" s="100"/>
      <c r="FQ48" s="100"/>
      <c r="FR48" s="100"/>
      <c r="FS48" s="100"/>
      <c r="FT48" s="100"/>
      <c r="FU48" s="100"/>
      <c r="FV48" s="100"/>
      <c r="FW48" s="100"/>
      <c r="FX48" s="100"/>
      <c r="FY48" s="100"/>
      <c r="FZ48" s="100"/>
      <c r="GA48" s="100"/>
      <c r="GB48" s="100"/>
      <c r="GC48" s="100"/>
      <c r="GD48" s="100"/>
      <c r="GE48" s="100"/>
      <c r="GF48" s="100"/>
      <c r="GG48" s="100"/>
      <c r="GH48" s="100"/>
      <c r="GI48" s="100"/>
      <c r="GJ48" s="100"/>
      <c r="GK48" s="100"/>
      <c r="GL48" s="100"/>
      <c r="GM48" s="100"/>
      <c r="GN48" s="100"/>
      <c r="GO48" s="100"/>
      <c r="GP48" s="100"/>
      <c r="GQ48" s="100"/>
      <c r="GR48" s="100"/>
      <c r="GS48" s="100"/>
      <c r="GT48" s="100"/>
      <c r="GU48" s="100"/>
      <c r="GV48" s="100"/>
      <c r="GW48" s="100"/>
      <c r="GX48" s="100"/>
      <c r="GY48" s="100"/>
      <c r="GZ48" s="100"/>
      <c r="HA48" s="100"/>
      <c r="HB48" s="100"/>
      <c r="HC48" s="100"/>
      <c r="HD48" s="100"/>
      <c r="HE48" s="100"/>
      <c r="HF48" s="100"/>
      <c r="HG48" s="100"/>
      <c r="HH48" s="100"/>
      <c r="HI48" s="100"/>
      <c r="HJ48" s="100"/>
      <c r="HK48" s="100"/>
      <c r="HL48" s="100"/>
      <c r="HM48" s="100"/>
      <c r="HN48" s="100"/>
      <c r="HO48" s="100"/>
      <c r="HP48" s="100"/>
      <c r="HQ48" s="100"/>
      <c r="HR48" s="100"/>
      <c r="HS48" s="100"/>
      <c r="HT48" s="100"/>
      <c r="HU48" s="100"/>
      <c r="HV48" s="100"/>
      <c r="HW48" s="100"/>
      <c r="HX48" s="100"/>
      <c r="HY48" s="100"/>
      <c r="HZ48" s="100"/>
      <c r="IA48" s="100"/>
      <c r="IB48" s="100"/>
      <c r="IC48" s="100"/>
      <c r="ID48" s="100"/>
      <c r="IE48" s="100"/>
      <c r="IF48" s="100"/>
      <c r="IG48" s="100"/>
      <c r="IH48" s="100"/>
      <c r="II48" s="100"/>
      <c r="IJ48" s="100"/>
      <c r="IK48" s="100"/>
      <c r="IL48" s="100"/>
      <c r="IM48" s="100"/>
      <c r="IN48" s="100"/>
      <c r="IO48" s="100"/>
      <c r="IP48" s="100"/>
      <c r="IQ48" s="100"/>
      <c r="IR48" s="100"/>
      <c r="IS48" s="100"/>
      <c r="IT48" s="100"/>
      <c r="IU48" s="100"/>
      <c r="IV48" s="100"/>
      <c r="IW48" s="100"/>
    </row>
    <row r="49" customFormat="false" ht="12.75" hidden="false" customHeight="false" outlineLevel="0" collapsed="false">
      <c r="A49" s="100"/>
      <c r="B49" s="58" t="s">
        <v>187</v>
      </c>
      <c r="C49" s="56" t="s">
        <v>221</v>
      </c>
      <c r="D49" s="56" t="s">
        <v>245</v>
      </c>
      <c r="E49" s="57" t="n">
        <v>36220</v>
      </c>
      <c r="F49" s="57" t="n">
        <v>36585</v>
      </c>
      <c r="G49" s="58" t="s">
        <v>246</v>
      </c>
      <c r="H49" s="58" t="s">
        <v>247</v>
      </c>
      <c r="I49" s="56" t="s">
        <v>19</v>
      </c>
      <c r="J49" s="72" t="n">
        <f aca="false">6.449/J$1</f>
        <v>0.208032258064516</v>
      </c>
      <c r="K49" s="61" t="n">
        <v>0.0132</v>
      </c>
      <c r="L49" s="61" t="n">
        <v>0.0022</v>
      </c>
      <c r="M49" s="61" t="n">
        <v>0.0072</v>
      </c>
      <c r="N49" s="61" t="n">
        <v>0</v>
      </c>
      <c r="O49" s="62" t="n">
        <v>0.02116</v>
      </c>
      <c r="P49" s="61" t="n">
        <f aca="false">SUM(J49:N49)</f>
        <v>0.230632258064516</v>
      </c>
      <c r="Q49" s="63" t="n">
        <v>62983</v>
      </c>
      <c r="R49" s="63" t="n">
        <v>62983</v>
      </c>
      <c r="S49" s="56" t="n">
        <v>2</v>
      </c>
      <c r="T49" s="58" t="s">
        <v>256</v>
      </c>
      <c r="U49" s="101" t="n">
        <f aca="false">J49*J$1*S49</f>
        <v>12.898</v>
      </c>
      <c r="V49" s="101"/>
      <c r="W49" s="102"/>
      <c r="X49" s="102" t="n">
        <v>156576</v>
      </c>
      <c r="Y49" s="58"/>
      <c r="Z49" s="89"/>
      <c r="AA49" s="89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</row>
    <row r="50" customFormat="false" ht="12.75" hidden="false" customHeight="false" outlineLevel="0" collapsed="false">
      <c r="A50" s="117"/>
      <c r="B50" s="70" t="s">
        <v>187</v>
      </c>
      <c r="C50" s="118" t="s">
        <v>221</v>
      </c>
      <c r="D50" s="118" t="s">
        <v>226</v>
      </c>
      <c r="E50" s="119" t="n">
        <v>36434</v>
      </c>
      <c r="F50" s="119" t="n">
        <v>36616</v>
      </c>
      <c r="G50" s="70" t="s">
        <v>227</v>
      </c>
      <c r="H50" s="70" t="s">
        <v>257</v>
      </c>
      <c r="I50" s="118" t="s">
        <v>258</v>
      </c>
      <c r="J50" s="120" t="n">
        <f aca="false">6.129/J$1</f>
        <v>0.197709677419355</v>
      </c>
      <c r="K50" s="121" t="n">
        <v>0.013</v>
      </c>
      <c r="L50" s="121" t="n">
        <v>0.0022</v>
      </c>
      <c r="M50" s="121" t="n">
        <v>0.0072</v>
      </c>
      <c r="N50" s="121" t="n">
        <v>0</v>
      </c>
      <c r="O50" s="122" t="n">
        <v>0.02116</v>
      </c>
      <c r="P50" s="121" t="n">
        <f aca="false">SUM(J50:N50)</f>
        <v>0.220109677419355</v>
      </c>
      <c r="Q50" s="123" t="n">
        <v>63281</v>
      </c>
      <c r="R50" s="123" t="n">
        <v>63281</v>
      </c>
      <c r="S50" s="118" t="n">
        <v>134710</v>
      </c>
      <c r="T50" s="70" t="s">
        <v>259</v>
      </c>
      <c r="U50" s="124" t="n">
        <f aca="false">J50*J$1*S50</f>
        <v>825637.59</v>
      </c>
      <c r="V50" s="124"/>
      <c r="W50" s="125"/>
      <c r="X50" s="125" t="n">
        <v>156577</v>
      </c>
      <c r="Y50" s="70"/>
      <c r="Z50" s="126"/>
      <c r="AA50" s="126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  <c r="EU50" s="117"/>
      <c r="EV50" s="117"/>
      <c r="EW50" s="117"/>
      <c r="EX50" s="117"/>
      <c r="EY50" s="117"/>
      <c r="EZ50" s="117"/>
      <c r="FA50" s="117"/>
      <c r="FB50" s="117"/>
      <c r="FC50" s="117"/>
      <c r="FD50" s="117"/>
      <c r="FE50" s="117"/>
      <c r="FF50" s="117"/>
      <c r="FG50" s="117"/>
      <c r="FH50" s="117"/>
      <c r="FI50" s="117"/>
      <c r="FJ50" s="117"/>
      <c r="FK50" s="117"/>
      <c r="FL50" s="117"/>
      <c r="FM50" s="117"/>
      <c r="FN50" s="117"/>
      <c r="FO50" s="117"/>
      <c r="FP50" s="117"/>
      <c r="FQ50" s="117"/>
      <c r="FR50" s="117"/>
      <c r="FS50" s="117"/>
      <c r="FT50" s="117"/>
      <c r="FU50" s="117"/>
      <c r="FV50" s="117"/>
      <c r="FW50" s="117"/>
      <c r="FX50" s="117"/>
      <c r="FY50" s="117"/>
      <c r="FZ50" s="117"/>
      <c r="GA50" s="117"/>
      <c r="GB50" s="117"/>
      <c r="GC50" s="117"/>
      <c r="GD50" s="117"/>
      <c r="GE50" s="117"/>
      <c r="GF50" s="117"/>
      <c r="GG50" s="117"/>
      <c r="GH50" s="117"/>
      <c r="GI50" s="117"/>
      <c r="GJ50" s="117"/>
      <c r="GK50" s="117"/>
      <c r="GL50" s="117"/>
      <c r="GM50" s="117"/>
      <c r="GN50" s="117"/>
      <c r="GO50" s="117"/>
      <c r="GP50" s="117"/>
      <c r="GQ50" s="117"/>
      <c r="GR50" s="117"/>
      <c r="GS50" s="117"/>
      <c r="GT50" s="117"/>
      <c r="GU50" s="117"/>
      <c r="GV50" s="117"/>
      <c r="GW50" s="117"/>
      <c r="GX50" s="117"/>
      <c r="GY50" s="117"/>
      <c r="GZ50" s="117"/>
      <c r="HA50" s="117"/>
      <c r="HB50" s="117"/>
      <c r="HC50" s="117"/>
      <c r="HD50" s="117"/>
      <c r="HE50" s="117"/>
      <c r="HF50" s="117"/>
      <c r="HG50" s="117"/>
      <c r="HH50" s="117"/>
      <c r="HI50" s="117"/>
      <c r="HJ50" s="117"/>
      <c r="HK50" s="117"/>
      <c r="HL50" s="117"/>
      <c r="HM50" s="117"/>
      <c r="HN50" s="117"/>
      <c r="HO50" s="117"/>
      <c r="HP50" s="117"/>
      <c r="HQ50" s="117"/>
      <c r="HR50" s="117"/>
      <c r="HS50" s="117"/>
      <c r="HT50" s="117"/>
      <c r="HU50" s="117"/>
      <c r="HV50" s="117"/>
      <c r="HW50" s="117"/>
      <c r="HX50" s="117"/>
      <c r="HY50" s="117"/>
      <c r="HZ50" s="117"/>
      <c r="IA50" s="117"/>
      <c r="IB50" s="117"/>
      <c r="IC50" s="117"/>
      <c r="ID50" s="117"/>
      <c r="IE50" s="117"/>
      <c r="IF50" s="117"/>
      <c r="IG50" s="117"/>
      <c r="IH50" s="117"/>
      <c r="II50" s="117"/>
      <c r="IJ50" s="117"/>
      <c r="IK50" s="117"/>
      <c r="IL50" s="117"/>
      <c r="IM50" s="117"/>
      <c r="IN50" s="117"/>
      <c r="IO50" s="117"/>
      <c r="IP50" s="117"/>
      <c r="IQ50" s="117"/>
      <c r="IR50" s="117"/>
      <c r="IS50" s="117"/>
      <c r="IT50" s="117"/>
      <c r="IU50" s="117"/>
      <c r="IV50" s="117"/>
      <c r="IW50" s="117"/>
    </row>
    <row r="51" customFormat="false" ht="12.75" hidden="false" customHeight="false" outlineLevel="0" collapsed="false">
      <c r="A51" s="100"/>
      <c r="B51" s="58" t="s">
        <v>187</v>
      </c>
      <c r="C51" s="56" t="s">
        <v>221</v>
      </c>
      <c r="D51" s="56" t="s">
        <v>253</v>
      </c>
      <c r="E51" s="57" t="n">
        <v>36251</v>
      </c>
      <c r="F51" s="57" t="n">
        <v>36616</v>
      </c>
      <c r="G51" s="58" t="s">
        <v>246</v>
      </c>
      <c r="H51" s="58" t="s">
        <v>254</v>
      </c>
      <c r="I51" s="56" t="s">
        <v>19</v>
      </c>
      <c r="J51" s="72" t="n">
        <f aca="false">6.449/J$1</f>
        <v>0.208032258064516</v>
      </c>
      <c r="K51" s="61" t="n">
        <v>0.0132</v>
      </c>
      <c r="L51" s="61" t="n">
        <v>0.0022</v>
      </c>
      <c r="M51" s="61" t="n">
        <v>0.0072</v>
      </c>
      <c r="N51" s="61" t="n">
        <v>0</v>
      </c>
      <c r="O51" s="62" t="n">
        <v>0.02116</v>
      </c>
      <c r="P51" s="61" t="n">
        <f aca="false">SUM(J51:N51)</f>
        <v>0.230632258064516</v>
      </c>
      <c r="Q51" s="63" t="n">
        <v>63282</v>
      </c>
      <c r="R51" s="63" t="n">
        <v>63282</v>
      </c>
      <c r="S51" s="56" t="n">
        <v>6</v>
      </c>
      <c r="T51" s="58" t="s">
        <v>260</v>
      </c>
      <c r="U51" s="101" t="n">
        <f aca="false">J51*J$1*S51</f>
        <v>38.694</v>
      </c>
      <c r="V51" s="101"/>
      <c r="W51" s="102"/>
      <c r="X51" s="102" t="n">
        <v>156578</v>
      </c>
      <c r="Y51" s="58"/>
      <c r="Z51" s="89"/>
      <c r="AA51" s="89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</row>
    <row r="52" customFormat="false" ht="12.75" hidden="false" customHeight="false" outlineLevel="0" collapsed="false">
      <c r="A52" s="100"/>
      <c r="B52" s="58" t="s">
        <v>187</v>
      </c>
      <c r="C52" s="56" t="s">
        <v>221</v>
      </c>
      <c r="D52" s="56" t="s">
        <v>245</v>
      </c>
      <c r="E52" s="57" t="n">
        <v>36251</v>
      </c>
      <c r="F52" s="57" t="n">
        <v>36616</v>
      </c>
      <c r="G52" s="58" t="s">
        <v>246</v>
      </c>
      <c r="H52" s="58" t="s">
        <v>261</v>
      </c>
      <c r="I52" s="56" t="s">
        <v>19</v>
      </c>
      <c r="J52" s="72" t="n">
        <f aca="false">6.449/J$1</f>
        <v>0.208032258064516</v>
      </c>
      <c r="K52" s="61" t="n">
        <v>0.0132</v>
      </c>
      <c r="L52" s="61" t="n">
        <v>0.0022</v>
      </c>
      <c r="M52" s="61" t="n">
        <v>0.0072</v>
      </c>
      <c r="N52" s="61" t="n">
        <v>0</v>
      </c>
      <c r="O52" s="62" t="n">
        <v>0.02116</v>
      </c>
      <c r="P52" s="61" t="n">
        <f aca="false">SUM(J52:N52)</f>
        <v>0.230632258064516</v>
      </c>
      <c r="Q52" s="63" t="n">
        <v>63283</v>
      </c>
      <c r="R52" s="63" t="n">
        <v>63283</v>
      </c>
      <c r="S52" s="56" t="n">
        <v>46</v>
      </c>
      <c r="T52" s="58" t="s">
        <v>262</v>
      </c>
      <c r="U52" s="101" t="n">
        <f aca="false">J52*J$1*S52</f>
        <v>296.654</v>
      </c>
      <c r="V52" s="101"/>
      <c r="W52" s="102"/>
      <c r="X52" s="102" t="n">
        <v>156579</v>
      </c>
      <c r="Y52" s="58"/>
      <c r="Z52" s="89"/>
      <c r="AA52" s="89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12.75" hidden="false" customHeight="false" outlineLevel="0" collapsed="false">
      <c r="A53" s="100"/>
      <c r="B53" s="58" t="s">
        <v>187</v>
      </c>
      <c r="C53" s="56" t="s">
        <v>221</v>
      </c>
      <c r="D53" s="56" t="s">
        <v>226</v>
      </c>
      <c r="E53" s="57" t="n">
        <v>36251</v>
      </c>
      <c r="F53" s="57" t="n">
        <v>36616</v>
      </c>
      <c r="G53" s="58" t="s">
        <v>227</v>
      </c>
      <c r="H53" s="58" t="s">
        <v>228</v>
      </c>
      <c r="I53" s="56" t="s">
        <v>229</v>
      </c>
      <c r="J53" s="72" t="n">
        <v>0.0291</v>
      </c>
      <c r="K53" s="61" t="n">
        <v>0</v>
      </c>
      <c r="L53" s="61" t="n">
        <v>0</v>
      </c>
      <c r="M53" s="61" t="n">
        <v>0</v>
      </c>
      <c r="N53" s="61" t="n">
        <v>0</v>
      </c>
      <c r="O53" s="62" t="n">
        <v>0</v>
      </c>
      <c r="P53" s="61" t="n">
        <f aca="false">SUM(J53:N53)</f>
        <v>0.0291</v>
      </c>
      <c r="Q53" s="63" t="n">
        <v>63304</v>
      </c>
      <c r="R53" s="63" t="n">
        <v>63304</v>
      </c>
      <c r="S53" s="56" t="n">
        <v>7503838</v>
      </c>
      <c r="T53" s="58" t="s">
        <v>263</v>
      </c>
      <c r="U53" s="101" t="n">
        <f aca="false">J53*S53</f>
        <v>218361.6858</v>
      </c>
      <c r="V53" s="101"/>
      <c r="W53" s="102"/>
      <c r="X53" s="102" t="n">
        <v>156580</v>
      </c>
      <c r="Y53" s="58"/>
      <c r="Z53" s="89"/>
      <c r="AA53" s="89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</row>
    <row r="54" customFormat="false" ht="12.75" hidden="false" customHeight="false" outlineLevel="0" collapsed="false">
      <c r="A54" s="100"/>
      <c r="B54" s="58" t="s">
        <v>187</v>
      </c>
      <c r="C54" s="56" t="s">
        <v>221</v>
      </c>
      <c r="D54" s="56" t="s">
        <v>226</v>
      </c>
      <c r="E54" s="57" t="n">
        <v>36251</v>
      </c>
      <c r="F54" s="57" t="n">
        <v>36616</v>
      </c>
      <c r="G54" s="58" t="s">
        <v>227</v>
      </c>
      <c r="H54" s="58" t="s">
        <v>231</v>
      </c>
      <c r="I54" s="56" t="s">
        <v>229</v>
      </c>
      <c r="J54" s="72" t="n">
        <v>1.512</v>
      </c>
      <c r="K54" s="61" t="n">
        <v>0</v>
      </c>
      <c r="L54" s="61" t="n">
        <v>0</v>
      </c>
      <c r="M54" s="61" t="n">
        <v>0</v>
      </c>
      <c r="N54" s="61" t="n">
        <v>0</v>
      </c>
      <c r="O54" s="62" t="n">
        <v>0</v>
      </c>
      <c r="P54" s="61" t="n">
        <f aca="false">SUM(J54:N54)</f>
        <v>1.512</v>
      </c>
      <c r="Q54" s="63" t="n">
        <v>63304</v>
      </c>
      <c r="R54" s="63" t="n">
        <v>63304</v>
      </c>
      <c r="S54" s="56" t="n">
        <v>134743</v>
      </c>
      <c r="T54" s="58" t="s">
        <v>263</v>
      </c>
      <c r="U54" s="101" t="n">
        <f aca="false">J54*S54</f>
        <v>203731.416</v>
      </c>
      <c r="V54" s="101"/>
      <c r="W54" s="102"/>
      <c r="X54" s="102" t="n">
        <v>156580</v>
      </c>
      <c r="Y54" s="58"/>
      <c r="Z54" s="89"/>
      <c r="AA54" s="89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  <c r="IW54" s="100"/>
    </row>
    <row r="55" customFormat="false" ht="12.75" hidden="false" customHeight="false" outlineLevel="0" collapsed="false">
      <c r="A55" s="100"/>
      <c r="B55" s="58" t="s">
        <v>187</v>
      </c>
      <c r="C55" s="56" t="s">
        <v>221</v>
      </c>
      <c r="D55" s="56" t="s">
        <v>253</v>
      </c>
      <c r="E55" s="57" t="n">
        <v>36281</v>
      </c>
      <c r="F55" s="57" t="n">
        <v>36646</v>
      </c>
      <c r="G55" s="58" t="s">
        <v>246</v>
      </c>
      <c r="H55" s="58" t="s">
        <v>254</v>
      </c>
      <c r="I55" s="56" t="s">
        <v>19</v>
      </c>
      <c r="J55" s="72" t="n">
        <f aca="false">6.449/J$1</f>
        <v>0.208032258064516</v>
      </c>
      <c r="K55" s="61" t="n">
        <v>0.0132</v>
      </c>
      <c r="L55" s="61" t="n">
        <v>0.0022</v>
      </c>
      <c r="M55" s="61" t="n">
        <v>0.0072</v>
      </c>
      <c r="N55" s="61" t="n">
        <v>0</v>
      </c>
      <c r="O55" s="62" t="n">
        <v>0.02116</v>
      </c>
      <c r="P55" s="61" t="n">
        <f aca="false">SUM(J55:N55)</f>
        <v>0.230632258064516</v>
      </c>
      <c r="Q55" s="63" t="n">
        <v>63557</v>
      </c>
      <c r="R55" s="63" t="n">
        <v>63557</v>
      </c>
      <c r="S55" s="56" t="n">
        <v>33</v>
      </c>
      <c r="T55" s="58" t="s">
        <v>264</v>
      </c>
      <c r="U55" s="101" t="n">
        <f aca="false">J55*J$1*S55</f>
        <v>212.817</v>
      </c>
      <c r="V55" s="101"/>
      <c r="W55" s="102"/>
      <c r="X55" s="102" t="n">
        <v>156581</v>
      </c>
      <c r="Y55" s="58"/>
      <c r="Z55" s="89"/>
      <c r="AA55" s="89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  <c r="FF55" s="100"/>
      <c r="FG55" s="100"/>
      <c r="FH55" s="100"/>
      <c r="FI55" s="100"/>
      <c r="FJ55" s="100"/>
      <c r="FK55" s="100"/>
      <c r="FL55" s="100"/>
      <c r="FM55" s="100"/>
      <c r="FN55" s="100"/>
      <c r="FO55" s="100"/>
      <c r="FP55" s="100"/>
      <c r="FQ55" s="100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0"/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</row>
    <row r="56" customFormat="false" ht="12.75" hidden="false" customHeight="false" outlineLevel="0" collapsed="false">
      <c r="A56" s="100"/>
      <c r="B56" s="58" t="s">
        <v>187</v>
      </c>
      <c r="C56" s="56" t="s">
        <v>221</v>
      </c>
      <c r="D56" s="56" t="s">
        <v>222</v>
      </c>
      <c r="E56" s="57" t="n">
        <v>36526</v>
      </c>
      <c r="F56" s="57" t="n">
        <v>36616</v>
      </c>
      <c r="G56" s="58" t="s">
        <v>250</v>
      </c>
      <c r="H56" s="58" t="s">
        <v>251</v>
      </c>
      <c r="I56" s="56" t="s">
        <v>19</v>
      </c>
      <c r="J56" s="72" t="n">
        <f aca="false">1.3687/J$1</f>
        <v>0.0441516129032258</v>
      </c>
      <c r="K56" s="61" t="n">
        <v>0.0132</v>
      </c>
      <c r="L56" s="61" t="n">
        <v>0.0022</v>
      </c>
      <c r="M56" s="61" t="n">
        <v>0.0075</v>
      </c>
      <c r="N56" s="61" t="n">
        <v>0</v>
      </c>
      <c r="O56" s="62" t="n">
        <v>0.02116</v>
      </c>
      <c r="P56" s="61" t="n">
        <f aca="false">SUM(J56:N56)</f>
        <v>0.0670516129032258</v>
      </c>
      <c r="Q56" s="63" t="n">
        <v>63764</v>
      </c>
      <c r="R56" s="63" t="n">
        <v>63764</v>
      </c>
      <c r="S56" s="56" t="n">
        <v>10000</v>
      </c>
      <c r="T56" s="58" t="s">
        <v>265</v>
      </c>
      <c r="U56" s="101" t="n">
        <f aca="false">J56*J$1*S56</f>
        <v>13687</v>
      </c>
      <c r="V56" s="101"/>
      <c r="W56" s="102"/>
      <c r="X56" s="102" t="n">
        <v>156582</v>
      </c>
      <c r="Y56" s="101"/>
      <c r="Z56" s="89"/>
      <c r="AA56" s="89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0"/>
      <c r="EV56" s="100"/>
      <c r="EW56" s="100"/>
      <c r="EX56" s="100"/>
      <c r="EY56" s="100"/>
      <c r="EZ56" s="100"/>
      <c r="FA56" s="100"/>
      <c r="FB56" s="100"/>
      <c r="FC56" s="100"/>
      <c r="FD56" s="100"/>
      <c r="FE56" s="100"/>
      <c r="FF56" s="100"/>
      <c r="FG56" s="100"/>
      <c r="FH56" s="100"/>
      <c r="FI56" s="100"/>
      <c r="FJ56" s="100"/>
      <c r="FK56" s="100"/>
      <c r="FL56" s="100"/>
      <c r="FM56" s="100"/>
      <c r="FN56" s="100"/>
      <c r="FO56" s="100"/>
      <c r="FP56" s="100"/>
      <c r="FQ56" s="100"/>
      <c r="FR56" s="100"/>
      <c r="FS56" s="100"/>
      <c r="FT56" s="100"/>
      <c r="FU56" s="100"/>
      <c r="FV56" s="100"/>
      <c r="FW56" s="100"/>
      <c r="FX56" s="100"/>
      <c r="FY56" s="100"/>
      <c r="FZ56" s="100"/>
      <c r="GA56" s="100"/>
      <c r="GB56" s="100"/>
      <c r="GC56" s="100"/>
      <c r="GD56" s="100"/>
      <c r="GE56" s="100"/>
      <c r="GF56" s="100"/>
      <c r="GG56" s="100"/>
      <c r="GH56" s="100"/>
      <c r="GI56" s="100"/>
      <c r="GJ56" s="100"/>
      <c r="GK56" s="100"/>
      <c r="GL56" s="100"/>
      <c r="GM56" s="100"/>
      <c r="GN56" s="100"/>
      <c r="GO56" s="100"/>
      <c r="GP56" s="100"/>
      <c r="GQ56" s="100"/>
      <c r="GR56" s="100"/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0"/>
      <c r="HG56" s="100"/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0"/>
      <c r="HV56" s="100"/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0"/>
      <c r="IK56" s="100"/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</row>
    <row r="57" customFormat="false" ht="12.75" hidden="false" customHeight="false" outlineLevel="0" collapsed="false">
      <c r="A57" s="100"/>
      <c r="B57" s="58" t="s">
        <v>187</v>
      </c>
      <c r="C57" s="56" t="s">
        <v>221</v>
      </c>
      <c r="D57" s="56" t="s">
        <v>253</v>
      </c>
      <c r="E57" s="57" t="n">
        <v>36312</v>
      </c>
      <c r="F57" s="57" t="n">
        <v>36677</v>
      </c>
      <c r="G57" s="58" t="s">
        <v>246</v>
      </c>
      <c r="H57" s="58" t="s">
        <v>254</v>
      </c>
      <c r="I57" s="56" t="s">
        <v>19</v>
      </c>
      <c r="J57" s="72" t="n">
        <f aca="false">6.449/J$1</f>
        <v>0.208032258064516</v>
      </c>
      <c r="K57" s="61" t="n">
        <v>0.0132</v>
      </c>
      <c r="L57" s="61" t="n">
        <v>0.0022</v>
      </c>
      <c r="M57" s="61" t="n">
        <v>0.0072</v>
      </c>
      <c r="N57" s="61" t="n">
        <v>0</v>
      </c>
      <c r="O57" s="62" t="n">
        <v>0.02116</v>
      </c>
      <c r="P57" s="61" t="n">
        <f aca="false">SUM(J57:N57)</f>
        <v>0.230632258064516</v>
      </c>
      <c r="Q57" s="63" t="n">
        <v>63822</v>
      </c>
      <c r="R57" s="63" t="n">
        <v>63822</v>
      </c>
      <c r="S57" s="56" t="n">
        <v>303</v>
      </c>
      <c r="T57" s="58" t="s">
        <v>266</v>
      </c>
      <c r="U57" s="101" t="n">
        <f aca="false">J57*J$1*S57</f>
        <v>1954.047</v>
      </c>
      <c r="V57" s="101"/>
      <c r="W57" s="102"/>
      <c r="X57" s="102" t="n">
        <v>156583</v>
      </c>
      <c r="Y57" s="58"/>
      <c r="Z57" s="89"/>
      <c r="AA57" s="89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0"/>
      <c r="EG57" s="100"/>
      <c r="EH57" s="100"/>
      <c r="EI57" s="100"/>
      <c r="EJ57" s="100"/>
      <c r="EK57" s="100"/>
      <c r="EL57" s="100"/>
      <c r="EM57" s="100"/>
      <c r="EN57" s="100"/>
      <c r="EO57" s="100"/>
      <c r="EP57" s="100"/>
      <c r="EQ57" s="100"/>
      <c r="ER57" s="100"/>
      <c r="ES57" s="100"/>
      <c r="ET57" s="100"/>
      <c r="EU57" s="100"/>
      <c r="EV57" s="100"/>
      <c r="EW57" s="100"/>
      <c r="EX57" s="100"/>
      <c r="EY57" s="100"/>
      <c r="EZ57" s="100"/>
      <c r="FA57" s="100"/>
      <c r="FB57" s="100"/>
      <c r="FC57" s="100"/>
      <c r="FD57" s="100"/>
      <c r="FE57" s="100"/>
      <c r="FF57" s="100"/>
      <c r="FG57" s="100"/>
      <c r="FH57" s="100"/>
      <c r="FI57" s="100"/>
      <c r="FJ57" s="100"/>
      <c r="FK57" s="100"/>
      <c r="FL57" s="100"/>
      <c r="FM57" s="100"/>
      <c r="FN57" s="100"/>
      <c r="FO57" s="100"/>
      <c r="FP57" s="100"/>
      <c r="FQ57" s="100"/>
      <c r="FR57" s="100"/>
      <c r="FS57" s="100"/>
      <c r="FT57" s="100"/>
      <c r="FU57" s="100"/>
      <c r="FV57" s="100"/>
      <c r="FW57" s="100"/>
      <c r="FX57" s="100"/>
      <c r="FY57" s="100"/>
      <c r="FZ57" s="100"/>
      <c r="GA57" s="100"/>
      <c r="GB57" s="100"/>
      <c r="GC57" s="100"/>
      <c r="GD57" s="100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  <c r="IU57" s="100"/>
      <c r="IV57" s="100"/>
      <c r="IW57" s="100"/>
    </row>
    <row r="58" customFormat="false" ht="12.75" hidden="false" customHeight="false" outlineLevel="0" collapsed="false">
      <c r="A58" s="100"/>
      <c r="B58" s="58" t="s">
        <v>187</v>
      </c>
      <c r="C58" s="56" t="s">
        <v>221</v>
      </c>
      <c r="D58" s="56" t="s">
        <v>245</v>
      </c>
      <c r="E58" s="57" t="n">
        <v>36312</v>
      </c>
      <c r="F58" s="57" t="n">
        <v>36677</v>
      </c>
      <c r="G58" s="58" t="s">
        <v>246</v>
      </c>
      <c r="H58" s="58" t="s">
        <v>261</v>
      </c>
      <c r="I58" s="56" t="s">
        <v>19</v>
      </c>
      <c r="J58" s="72" t="n">
        <f aca="false">6.449/J$1</f>
        <v>0.208032258064516</v>
      </c>
      <c r="K58" s="61" t="n">
        <v>0.0132</v>
      </c>
      <c r="L58" s="61" t="n">
        <v>0.0022</v>
      </c>
      <c r="M58" s="61" t="n">
        <v>0.0072</v>
      </c>
      <c r="N58" s="61" t="n">
        <v>0</v>
      </c>
      <c r="O58" s="62" t="n">
        <v>0.02116</v>
      </c>
      <c r="P58" s="61" t="n">
        <f aca="false">SUM(J58:N58)</f>
        <v>0.230632258064516</v>
      </c>
      <c r="Q58" s="63" t="n">
        <v>63825</v>
      </c>
      <c r="R58" s="63" t="n">
        <v>63825</v>
      </c>
      <c r="S58" s="56" t="n">
        <v>213</v>
      </c>
      <c r="T58" s="58" t="s">
        <v>267</v>
      </c>
      <c r="U58" s="101" t="n">
        <f aca="false">J58*J$1*S58</f>
        <v>1373.637</v>
      </c>
      <c r="V58" s="101"/>
      <c r="W58" s="102"/>
      <c r="X58" s="102" t="n">
        <v>156584</v>
      </c>
      <c r="Y58" s="58"/>
      <c r="Z58" s="89"/>
      <c r="AA58" s="89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0"/>
      <c r="EG58" s="100"/>
      <c r="EH58" s="100"/>
      <c r="EI58" s="100"/>
      <c r="EJ58" s="100"/>
      <c r="EK58" s="100"/>
      <c r="EL58" s="100"/>
      <c r="EM58" s="100"/>
      <c r="EN58" s="100"/>
      <c r="EO58" s="100"/>
      <c r="EP58" s="100"/>
      <c r="EQ58" s="100"/>
      <c r="ER58" s="100"/>
      <c r="ES58" s="100"/>
      <c r="ET58" s="100"/>
      <c r="EU58" s="100"/>
      <c r="EV58" s="100"/>
      <c r="EW58" s="100"/>
      <c r="EX58" s="100"/>
      <c r="EY58" s="100"/>
      <c r="EZ58" s="100"/>
      <c r="FA58" s="100"/>
      <c r="FB58" s="100"/>
      <c r="FC58" s="100"/>
      <c r="FD58" s="100"/>
      <c r="FE58" s="100"/>
      <c r="FF58" s="100"/>
      <c r="FG58" s="100"/>
      <c r="FH58" s="100"/>
      <c r="FI58" s="100"/>
      <c r="FJ58" s="100"/>
      <c r="FK58" s="100"/>
      <c r="FL58" s="100"/>
      <c r="FM58" s="100"/>
      <c r="FN58" s="100"/>
      <c r="FO58" s="100"/>
      <c r="FP58" s="100"/>
      <c r="FQ58" s="100"/>
      <c r="FR58" s="100"/>
      <c r="FS58" s="100"/>
      <c r="FT58" s="100"/>
      <c r="FU58" s="100"/>
      <c r="FV58" s="100"/>
      <c r="FW58" s="100"/>
      <c r="FX58" s="100"/>
      <c r="FY58" s="100"/>
      <c r="FZ58" s="100"/>
      <c r="GA58" s="100"/>
      <c r="GB58" s="100"/>
      <c r="GC58" s="100"/>
      <c r="GD58" s="100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  <c r="IU58" s="100"/>
      <c r="IV58" s="100"/>
      <c r="IW58" s="100"/>
    </row>
    <row r="59" customFormat="false" ht="12.75" hidden="false" customHeight="false" outlineLevel="0" collapsed="false">
      <c r="A59" s="100"/>
      <c r="B59" s="58" t="s">
        <v>187</v>
      </c>
      <c r="C59" s="56" t="s">
        <v>221</v>
      </c>
      <c r="D59" s="56" t="s">
        <v>253</v>
      </c>
      <c r="E59" s="57" t="n">
        <v>36342</v>
      </c>
      <c r="F59" s="57" t="n">
        <v>36707</v>
      </c>
      <c r="G59" s="58" t="s">
        <v>246</v>
      </c>
      <c r="H59" s="58" t="s">
        <v>254</v>
      </c>
      <c r="I59" s="56" t="s">
        <v>19</v>
      </c>
      <c r="J59" s="72" t="n">
        <f aca="false">6.449/J$1</f>
        <v>0.208032258064516</v>
      </c>
      <c r="K59" s="61" t="n">
        <v>0.0132</v>
      </c>
      <c r="L59" s="61" t="n">
        <v>0.0022</v>
      </c>
      <c r="M59" s="61" t="n">
        <v>0.0072</v>
      </c>
      <c r="N59" s="61" t="n">
        <v>0</v>
      </c>
      <c r="O59" s="62" t="n">
        <v>0.02116</v>
      </c>
      <c r="P59" s="61" t="n">
        <f aca="false">SUM(J59:N59)</f>
        <v>0.230632258064516</v>
      </c>
      <c r="Q59" s="63" t="n">
        <v>64034</v>
      </c>
      <c r="R59" s="63" t="n">
        <v>64034</v>
      </c>
      <c r="S59" s="56" t="n">
        <v>911</v>
      </c>
      <c r="T59" s="58" t="s">
        <v>268</v>
      </c>
      <c r="U59" s="101" t="n">
        <f aca="false">J59*J$1*S59</f>
        <v>5875.039</v>
      </c>
      <c r="V59" s="101"/>
      <c r="W59" s="102"/>
      <c r="X59" s="102" t="n">
        <v>156585</v>
      </c>
      <c r="Y59" s="58"/>
      <c r="Z59" s="89"/>
      <c r="AA59" s="89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  <c r="IU59" s="100"/>
      <c r="IV59" s="100"/>
      <c r="IW59" s="100"/>
    </row>
    <row r="60" customFormat="false" ht="12.75" hidden="false" customHeight="false" outlineLevel="0" collapsed="false">
      <c r="A60" s="100"/>
      <c r="B60" s="58" t="s">
        <v>187</v>
      </c>
      <c r="C60" s="56" t="s">
        <v>221</v>
      </c>
      <c r="D60" s="56" t="s">
        <v>245</v>
      </c>
      <c r="E60" s="57" t="n">
        <v>36342</v>
      </c>
      <c r="F60" s="57" t="n">
        <v>36707</v>
      </c>
      <c r="G60" s="58" t="s">
        <v>246</v>
      </c>
      <c r="H60" s="58" t="s">
        <v>247</v>
      </c>
      <c r="I60" s="56" t="s">
        <v>19</v>
      </c>
      <c r="J60" s="72" t="n">
        <f aca="false">6.449/J$1</f>
        <v>0.208032258064516</v>
      </c>
      <c r="K60" s="61" t="n">
        <v>0.0132</v>
      </c>
      <c r="L60" s="61" t="n">
        <v>0.0022</v>
      </c>
      <c r="M60" s="61" t="n">
        <v>0.0072</v>
      </c>
      <c r="N60" s="61" t="n">
        <v>0</v>
      </c>
      <c r="O60" s="62" t="n">
        <v>0.02116</v>
      </c>
      <c r="P60" s="61" t="n">
        <f aca="false">SUM(J60:N60)</f>
        <v>0.230632258064516</v>
      </c>
      <c r="Q60" s="63" t="n">
        <v>64036</v>
      </c>
      <c r="R60" s="63" t="n">
        <v>64036</v>
      </c>
      <c r="S60" s="56" t="n">
        <v>1</v>
      </c>
      <c r="T60" s="58" t="s">
        <v>269</v>
      </c>
      <c r="U60" s="101" t="n">
        <f aca="false">J60*J$1*S60</f>
        <v>6.449</v>
      </c>
      <c r="V60" s="101"/>
      <c r="W60" s="102"/>
      <c r="X60" s="102" t="n">
        <v>156586</v>
      </c>
      <c r="Y60" s="58"/>
      <c r="Z60" s="89"/>
      <c r="AA60" s="89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0"/>
      <c r="FG60" s="100"/>
      <c r="FH60" s="100"/>
      <c r="FI60" s="100"/>
      <c r="FJ60" s="100"/>
      <c r="FK60" s="10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  <c r="IU60" s="100"/>
      <c r="IV60" s="100"/>
      <c r="IW60" s="100"/>
    </row>
    <row r="61" customFormat="false" ht="12.75" hidden="false" customHeight="false" outlineLevel="0" collapsed="false">
      <c r="A61" s="100"/>
      <c r="B61" s="58" t="s">
        <v>187</v>
      </c>
      <c r="C61" s="56" t="s">
        <v>221</v>
      </c>
      <c r="D61" s="56" t="s">
        <v>253</v>
      </c>
      <c r="E61" s="57" t="n">
        <v>36373</v>
      </c>
      <c r="F61" s="57" t="n">
        <v>36738</v>
      </c>
      <c r="G61" s="58" t="s">
        <v>246</v>
      </c>
      <c r="H61" s="58" t="s">
        <v>254</v>
      </c>
      <c r="I61" s="56" t="s">
        <v>19</v>
      </c>
      <c r="J61" s="72" t="n">
        <f aca="false">6.449/J$1</f>
        <v>0.208032258064516</v>
      </c>
      <c r="K61" s="61" t="n">
        <v>0.0132</v>
      </c>
      <c r="L61" s="61" t="n">
        <v>0.0022</v>
      </c>
      <c r="M61" s="61" t="n">
        <v>0.0072</v>
      </c>
      <c r="N61" s="61" t="n">
        <v>0</v>
      </c>
      <c r="O61" s="62" t="n">
        <v>0.02116</v>
      </c>
      <c r="P61" s="61" t="n">
        <f aca="false">SUM(J61:N61)</f>
        <v>0.230632258064516</v>
      </c>
      <c r="Q61" s="63" t="n">
        <v>64328</v>
      </c>
      <c r="R61" s="63" t="n">
        <v>64328</v>
      </c>
      <c r="S61" s="56" t="n">
        <v>51</v>
      </c>
      <c r="T61" s="58" t="s">
        <v>270</v>
      </c>
      <c r="U61" s="101" t="n">
        <f aca="false">J61*J$1*S61</f>
        <v>328.899</v>
      </c>
      <c r="V61" s="101"/>
      <c r="W61" s="102"/>
      <c r="X61" s="102" t="n">
        <v>156588</v>
      </c>
      <c r="Y61" s="58"/>
      <c r="Z61" s="89"/>
      <c r="AA61" s="89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</row>
    <row r="62" customFormat="false" ht="12.75" hidden="false" customHeight="false" outlineLevel="0" collapsed="false">
      <c r="A62" s="100"/>
      <c r="B62" s="58" t="s">
        <v>187</v>
      </c>
      <c r="C62" s="56" t="s">
        <v>221</v>
      </c>
      <c r="D62" s="56" t="s">
        <v>245</v>
      </c>
      <c r="E62" s="57" t="n">
        <v>36373</v>
      </c>
      <c r="F62" s="57" t="n">
        <v>36738</v>
      </c>
      <c r="G62" s="58" t="s">
        <v>246</v>
      </c>
      <c r="H62" s="58" t="s">
        <v>261</v>
      </c>
      <c r="I62" s="56" t="s">
        <v>19</v>
      </c>
      <c r="J62" s="72" t="n">
        <f aca="false">6.449/J$1</f>
        <v>0.208032258064516</v>
      </c>
      <c r="K62" s="61" t="n">
        <v>0.0132</v>
      </c>
      <c r="L62" s="61" t="n">
        <v>0.0022</v>
      </c>
      <c r="M62" s="61" t="n">
        <v>0.0072</v>
      </c>
      <c r="N62" s="61" t="n">
        <v>0</v>
      </c>
      <c r="O62" s="62" t="n">
        <v>0.02116</v>
      </c>
      <c r="P62" s="61" t="n">
        <f aca="false">SUM(J62:N62)</f>
        <v>0.230632258064516</v>
      </c>
      <c r="Q62" s="63" t="n">
        <v>64329</v>
      </c>
      <c r="R62" s="63" t="n">
        <v>64329</v>
      </c>
      <c r="S62" s="56" t="n">
        <v>12</v>
      </c>
      <c r="T62" s="58" t="s">
        <v>271</v>
      </c>
      <c r="U62" s="101" t="n">
        <f aca="false">J62*J$1*S62</f>
        <v>77.388</v>
      </c>
      <c r="V62" s="101"/>
      <c r="W62" s="102"/>
      <c r="X62" s="102" t="n">
        <v>156590</v>
      </c>
      <c r="Y62" s="58"/>
      <c r="Z62" s="89"/>
      <c r="AA62" s="89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</row>
    <row r="63" customFormat="false" ht="12.75" hidden="false" customHeight="false" outlineLevel="0" collapsed="false">
      <c r="A63" s="100"/>
      <c r="B63" s="58" t="s">
        <v>187</v>
      </c>
      <c r="C63" s="56" t="s">
        <v>221</v>
      </c>
      <c r="D63" s="56" t="s">
        <v>245</v>
      </c>
      <c r="E63" s="57" t="n">
        <v>36404</v>
      </c>
      <c r="F63" s="57" t="n">
        <v>36769</v>
      </c>
      <c r="G63" s="58" t="s">
        <v>246</v>
      </c>
      <c r="H63" s="58" t="s">
        <v>261</v>
      </c>
      <c r="I63" s="56" t="s">
        <v>19</v>
      </c>
      <c r="J63" s="72" t="n">
        <f aca="false">6.449/J$1</f>
        <v>0.208032258064516</v>
      </c>
      <c r="K63" s="61" t="n">
        <v>0.0132</v>
      </c>
      <c r="L63" s="61" t="n">
        <v>0.0022</v>
      </c>
      <c r="M63" s="61" t="n">
        <v>0.0072</v>
      </c>
      <c r="N63" s="61" t="n">
        <v>0</v>
      </c>
      <c r="O63" s="62" t="n">
        <v>0.02116</v>
      </c>
      <c r="P63" s="61" t="n">
        <f aca="false">SUM(J63:N63)</f>
        <v>0.230632258064516</v>
      </c>
      <c r="Q63" s="63" t="n">
        <v>64651</v>
      </c>
      <c r="R63" s="63" t="n">
        <v>64651</v>
      </c>
      <c r="S63" s="56" t="n">
        <v>64</v>
      </c>
      <c r="T63" s="58" t="s">
        <v>272</v>
      </c>
      <c r="U63" s="101" t="n">
        <f aca="false">J63*J$1*S63</f>
        <v>412.736</v>
      </c>
      <c r="V63" s="101"/>
      <c r="W63" s="102"/>
      <c r="X63" s="102" t="n">
        <v>156591</v>
      </c>
      <c r="Y63" s="58"/>
      <c r="Z63" s="89"/>
      <c r="AA63" s="89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</row>
    <row r="64" customFormat="false" ht="12.75" hidden="false" customHeight="false" outlineLevel="0" collapsed="false">
      <c r="A64" s="100"/>
      <c r="B64" s="58" t="s">
        <v>187</v>
      </c>
      <c r="C64" s="56" t="s">
        <v>221</v>
      </c>
      <c r="D64" s="56" t="s">
        <v>245</v>
      </c>
      <c r="E64" s="57" t="n">
        <v>36434</v>
      </c>
      <c r="F64" s="57" t="n">
        <v>36799</v>
      </c>
      <c r="G64" s="58" t="s">
        <v>246</v>
      </c>
      <c r="H64" s="58" t="s">
        <v>247</v>
      </c>
      <c r="I64" s="56" t="s">
        <v>19</v>
      </c>
      <c r="J64" s="72" t="n">
        <f aca="false">6.449/J$1</f>
        <v>0.208032258064516</v>
      </c>
      <c r="K64" s="61" t="n">
        <v>0.0132</v>
      </c>
      <c r="L64" s="61" t="n">
        <v>0.0022</v>
      </c>
      <c r="M64" s="61" t="n">
        <v>0.0072</v>
      </c>
      <c r="N64" s="61" t="n">
        <v>0</v>
      </c>
      <c r="O64" s="62" t="n">
        <v>0.02116</v>
      </c>
      <c r="P64" s="61" t="n">
        <f aca="false">SUM(J64:N64)</f>
        <v>0.230632258064516</v>
      </c>
      <c r="Q64" s="63" t="n">
        <v>64862</v>
      </c>
      <c r="R64" s="63" t="n">
        <v>64862</v>
      </c>
      <c r="S64" s="56" t="n">
        <v>13</v>
      </c>
      <c r="T64" s="58" t="s">
        <v>273</v>
      </c>
      <c r="U64" s="101" t="n">
        <f aca="false">J64*J$1*S64</f>
        <v>83.837</v>
      </c>
      <c r="V64" s="101"/>
      <c r="W64" s="102"/>
      <c r="X64" s="102" t="n">
        <v>156592</v>
      </c>
      <c r="Y64" s="58"/>
      <c r="Z64" s="89"/>
      <c r="AA64" s="89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X64" s="100"/>
      <c r="FY64" s="100"/>
      <c r="FZ64" s="100"/>
      <c r="GA64" s="100"/>
      <c r="GB64" s="100"/>
      <c r="GC64" s="100"/>
      <c r="GD64" s="100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  <c r="IU64" s="100"/>
      <c r="IV64" s="100"/>
      <c r="IW64" s="100"/>
    </row>
    <row r="65" customFormat="false" ht="12.75" hidden="false" customHeight="false" outlineLevel="0" collapsed="false">
      <c r="A65" s="100"/>
      <c r="B65" s="58" t="s">
        <v>187</v>
      </c>
      <c r="C65" s="56" t="s">
        <v>221</v>
      </c>
      <c r="D65" s="56" t="s">
        <v>226</v>
      </c>
      <c r="E65" s="57" t="n">
        <v>36434</v>
      </c>
      <c r="F65" s="57" t="n">
        <v>36799</v>
      </c>
      <c r="G65" s="58" t="s">
        <v>246</v>
      </c>
      <c r="H65" s="58" t="s">
        <v>274</v>
      </c>
      <c r="I65" s="56" t="s">
        <v>19</v>
      </c>
      <c r="J65" s="72" t="n">
        <f aca="false">6.372/J$1</f>
        <v>0.205548387096774</v>
      </c>
      <c r="K65" s="61" t="n">
        <v>0.0132</v>
      </c>
      <c r="L65" s="61" t="n">
        <v>0.0022</v>
      </c>
      <c r="M65" s="61" t="n">
        <v>0.0072</v>
      </c>
      <c r="N65" s="61" t="n">
        <v>0</v>
      </c>
      <c r="O65" s="62" t="n">
        <v>0.02116</v>
      </c>
      <c r="P65" s="61" t="n">
        <f aca="false">SUM(J65:N65)</f>
        <v>0.228148387096774</v>
      </c>
      <c r="Q65" s="63" t="n">
        <v>64939</v>
      </c>
      <c r="R65" s="63" t="n">
        <v>64939</v>
      </c>
      <c r="S65" s="56" t="n">
        <v>2300</v>
      </c>
      <c r="T65" s="58" t="s">
        <v>275</v>
      </c>
      <c r="U65" s="101" t="n">
        <f aca="false">J65*J$1*S65</f>
        <v>14655.6</v>
      </c>
      <c r="V65" s="101"/>
      <c r="W65" s="102"/>
      <c r="X65" s="102" t="n">
        <v>156593</v>
      </c>
      <c r="Y65" s="58"/>
      <c r="Z65" s="89"/>
      <c r="AA65" s="89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  <c r="IW65" s="100"/>
    </row>
    <row r="66" customFormat="false" ht="12.75" hidden="false" customHeight="false" outlineLevel="0" collapsed="false">
      <c r="A66" s="100"/>
      <c r="B66" s="58" t="s">
        <v>187</v>
      </c>
      <c r="C66" s="56" t="s">
        <v>221</v>
      </c>
      <c r="D66" s="56" t="s">
        <v>245</v>
      </c>
      <c r="E66" s="57" t="n">
        <v>36465</v>
      </c>
      <c r="F66" s="57" t="n">
        <v>36830</v>
      </c>
      <c r="G66" s="58" t="s">
        <v>246</v>
      </c>
      <c r="H66" s="58" t="s">
        <v>261</v>
      </c>
      <c r="I66" s="56" t="s">
        <v>19</v>
      </c>
      <c r="J66" s="72" t="n">
        <f aca="false">6.449/J$1</f>
        <v>0.208032258064516</v>
      </c>
      <c r="K66" s="61" t="n">
        <v>0.0132</v>
      </c>
      <c r="L66" s="61" t="n">
        <v>0.0022</v>
      </c>
      <c r="M66" s="61" t="n">
        <v>0.0072</v>
      </c>
      <c r="N66" s="61" t="n">
        <v>0</v>
      </c>
      <c r="O66" s="62" t="n">
        <v>0.02116</v>
      </c>
      <c r="P66" s="61" t="n">
        <f aca="false">SUM(J66:N66)</f>
        <v>0.230632258064516</v>
      </c>
      <c r="Q66" s="63" t="n">
        <v>65026</v>
      </c>
      <c r="R66" s="63" t="n">
        <v>65026</v>
      </c>
      <c r="S66" s="56" t="n">
        <v>128</v>
      </c>
      <c r="T66" s="58" t="s">
        <v>276</v>
      </c>
      <c r="U66" s="101" t="n">
        <f aca="false">J66*J$1*S66</f>
        <v>825.472</v>
      </c>
      <c r="V66" s="101"/>
      <c r="W66" s="102"/>
      <c r="X66" s="102" t="n">
        <v>162286</v>
      </c>
      <c r="Y66" s="58"/>
      <c r="Z66" s="89"/>
      <c r="AA66" s="89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</row>
    <row r="67" customFormat="false" ht="12.75" hidden="false" customHeight="false" outlineLevel="0" collapsed="false">
      <c r="A67" s="100"/>
      <c r="B67" s="58" t="s">
        <v>187</v>
      </c>
      <c r="C67" s="56" t="s">
        <v>221</v>
      </c>
      <c r="D67" s="56" t="s">
        <v>277</v>
      </c>
      <c r="E67" s="57" t="n">
        <v>36465</v>
      </c>
      <c r="F67" s="57" t="n">
        <v>36830</v>
      </c>
      <c r="G67" s="58" t="s">
        <v>246</v>
      </c>
      <c r="H67" s="58" t="s">
        <v>278</v>
      </c>
      <c r="I67" s="56" t="s">
        <v>19</v>
      </c>
      <c r="J67" s="72" t="n">
        <f aca="false">6.449/J$1</f>
        <v>0.208032258064516</v>
      </c>
      <c r="K67" s="61" t="n">
        <v>0.0132</v>
      </c>
      <c r="L67" s="61" t="n">
        <v>0.0022</v>
      </c>
      <c r="M67" s="61" t="n">
        <v>0.0072</v>
      </c>
      <c r="N67" s="61" t="n">
        <v>0</v>
      </c>
      <c r="O67" s="62" t="n">
        <v>0.02116</v>
      </c>
      <c r="P67" s="61" t="n">
        <f aca="false">SUM(J67:N67)</f>
        <v>0.230632258064516</v>
      </c>
      <c r="Q67" s="63" t="n">
        <v>65041</v>
      </c>
      <c r="R67" s="63" t="n">
        <v>65041</v>
      </c>
      <c r="S67" s="56" t="n">
        <v>9619</v>
      </c>
      <c r="T67" s="58" t="s">
        <v>279</v>
      </c>
      <c r="U67" s="101" t="n">
        <f aca="false">J67*J$1*S67</f>
        <v>62032.931</v>
      </c>
      <c r="V67" s="101"/>
      <c r="W67" s="102"/>
      <c r="X67" s="102" t="n">
        <v>162285</v>
      </c>
      <c r="Y67" s="58"/>
      <c r="Z67" s="89"/>
      <c r="AA67" s="89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</row>
    <row r="68" customFormat="false" ht="12.75" hidden="false" customHeight="false" outlineLevel="0" collapsed="false">
      <c r="A68" s="100"/>
      <c r="B68" s="58" t="s">
        <v>187</v>
      </c>
      <c r="C68" s="56" t="s">
        <v>221</v>
      </c>
      <c r="D68" s="56" t="s">
        <v>277</v>
      </c>
      <c r="E68" s="57" t="n">
        <v>36465</v>
      </c>
      <c r="F68" s="57" t="n">
        <v>36830</v>
      </c>
      <c r="G68" s="58" t="s">
        <v>246</v>
      </c>
      <c r="H68" s="58" t="s">
        <v>280</v>
      </c>
      <c r="I68" s="56" t="s">
        <v>19</v>
      </c>
      <c r="J68" s="72" t="n">
        <f aca="false">6.449/J$1</f>
        <v>0.208032258064516</v>
      </c>
      <c r="K68" s="61" t="n">
        <v>0.0132</v>
      </c>
      <c r="L68" s="61" t="n">
        <v>0.0022</v>
      </c>
      <c r="M68" s="61" t="n">
        <v>0.0072</v>
      </c>
      <c r="N68" s="61" t="n">
        <v>0</v>
      </c>
      <c r="O68" s="62" t="n">
        <v>0.02116</v>
      </c>
      <c r="P68" s="61" t="n">
        <f aca="false">SUM(J68:N68)</f>
        <v>0.230632258064516</v>
      </c>
      <c r="Q68" s="63" t="n">
        <v>65042</v>
      </c>
      <c r="R68" s="63" t="n">
        <v>65042</v>
      </c>
      <c r="S68" s="56" t="n">
        <v>4427</v>
      </c>
      <c r="T68" s="58" t="s">
        <v>281</v>
      </c>
      <c r="U68" s="101" t="n">
        <f aca="false">J68*J$1*S68</f>
        <v>28549.723</v>
      </c>
      <c r="V68" s="101"/>
      <c r="W68" s="102"/>
      <c r="X68" s="102" t="n">
        <v>162287</v>
      </c>
      <c r="Y68" s="58"/>
      <c r="Z68" s="89"/>
      <c r="AA68" s="89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0"/>
      <c r="FG68" s="100"/>
      <c r="FH68" s="100"/>
      <c r="FI68" s="100"/>
      <c r="FJ68" s="100"/>
      <c r="FK68" s="100"/>
      <c r="FL68" s="100"/>
      <c r="FM68" s="100"/>
      <c r="FN68" s="100"/>
      <c r="FO68" s="100"/>
      <c r="FP68" s="100"/>
      <c r="FQ68" s="100"/>
      <c r="FR68" s="100"/>
      <c r="FS68" s="100"/>
      <c r="FT68" s="100"/>
      <c r="FU68" s="100"/>
      <c r="FV68" s="100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</row>
    <row r="69" customFormat="false" ht="12.75" hidden="false" customHeight="false" outlineLevel="0" collapsed="false">
      <c r="A69" s="100"/>
      <c r="B69" s="58" t="s">
        <v>187</v>
      </c>
      <c r="C69" s="56" t="s">
        <v>221</v>
      </c>
      <c r="D69" s="56" t="s">
        <v>282</v>
      </c>
      <c r="E69" s="57" t="n">
        <v>36465</v>
      </c>
      <c r="F69" s="57" t="n">
        <v>37011</v>
      </c>
      <c r="G69" s="58" t="s">
        <v>246</v>
      </c>
      <c r="H69" s="58" t="s">
        <v>283</v>
      </c>
      <c r="I69" s="56" t="s">
        <v>19</v>
      </c>
      <c r="J69" s="72" t="n">
        <f aca="false">6.449/J$1</f>
        <v>0.208032258064516</v>
      </c>
      <c r="K69" s="61" t="n">
        <v>0.0132</v>
      </c>
      <c r="L69" s="61" t="n">
        <v>0.0022</v>
      </c>
      <c r="M69" s="61" t="n">
        <v>0.0072</v>
      </c>
      <c r="N69" s="61" t="n">
        <v>0</v>
      </c>
      <c r="O69" s="62" t="n">
        <v>0.02116</v>
      </c>
      <c r="P69" s="61" t="n">
        <f aca="false">SUM(J69:N69)</f>
        <v>0.230632258064516</v>
      </c>
      <c r="Q69" s="63" t="n">
        <v>65108</v>
      </c>
      <c r="R69" s="63" t="n">
        <v>65108</v>
      </c>
      <c r="S69" s="56" t="n">
        <v>5000</v>
      </c>
      <c r="T69" s="58" t="s">
        <v>284</v>
      </c>
      <c r="U69" s="101" t="n">
        <f aca="false">J69*J$1*S69</f>
        <v>32245</v>
      </c>
      <c r="V69" s="101"/>
      <c r="W69" s="102"/>
      <c r="X69" s="102" t="n">
        <v>163001</v>
      </c>
      <c r="Y69" s="58"/>
      <c r="Z69" s="89"/>
      <c r="AA69" s="89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0"/>
      <c r="FF69" s="100"/>
      <c r="FG69" s="100"/>
      <c r="FH69" s="100"/>
      <c r="FI69" s="100"/>
      <c r="FJ69" s="100"/>
      <c r="FK69" s="100"/>
      <c r="FL69" s="100"/>
      <c r="FM69" s="100"/>
      <c r="FN69" s="100"/>
      <c r="FO69" s="100"/>
      <c r="FP69" s="100"/>
      <c r="FQ69" s="100"/>
      <c r="FR69" s="100"/>
      <c r="FS69" s="100"/>
      <c r="FT69" s="100"/>
      <c r="FU69" s="100"/>
      <c r="FV69" s="100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</row>
    <row r="70" customFormat="false" ht="12.75" hidden="false" customHeight="false" outlineLevel="0" collapsed="false">
      <c r="A70" s="90"/>
      <c r="B70" s="69" t="s">
        <v>187</v>
      </c>
      <c r="C70" s="91" t="s">
        <v>221</v>
      </c>
      <c r="D70" s="91" t="s">
        <v>18</v>
      </c>
      <c r="E70" s="92" t="n">
        <v>36465</v>
      </c>
      <c r="F70" s="92" t="n">
        <v>36830</v>
      </c>
      <c r="G70" s="69" t="s">
        <v>234</v>
      </c>
      <c r="H70" s="69" t="s">
        <v>285</v>
      </c>
      <c r="I70" s="91" t="s">
        <v>19</v>
      </c>
      <c r="J70" s="93" t="n">
        <f aca="false">3.65/J$1</f>
        <v>0.117741935483871</v>
      </c>
      <c r="K70" s="94" t="n">
        <v>0.0132</v>
      </c>
      <c r="L70" s="94" t="n">
        <v>0.0022</v>
      </c>
      <c r="M70" s="94" t="n">
        <v>0.0075</v>
      </c>
      <c r="N70" s="94" t="n">
        <v>0</v>
      </c>
      <c r="O70" s="95" t="n">
        <v>0.02116</v>
      </c>
      <c r="P70" s="94" t="n">
        <f aca="false">SUM(J70:N70)</f>
        <v>0.140641935483871</v>
      </c>
      <c r="Q70" s="96" t="n">
        <v>65402</v>
      </c>
      <c r="R70" s="96" t="n">
        <v>65402</v>
      </c>
      <c r="S70" s="91" t="n">
        <v>20000</v>
      </c>
      <c r="T70" s="69" t="s">
        <v>286</v>
      </c>
      <c r="U70" s="97" t="n">
        <f aca="false">J70*J$1*S70</f>
        <v>73000</v>
      </c>
      <c r="V70" s="97"/>
      <c r="W70" s="98"/>
      <c r="X70" s="98" t="n">
        <v>156596</v>
      </c>
      <c r="Y70" s="69"/>
      <c r="Z70" s="99"/>
      <c r="AA70" s="99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90"/>
      <c r="IA70" s="90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90"/>
      <c r="IM70" s="90"/>
      <c r="IN70" s="90"/>
      <c r="IO70" s="90"/>
      <c r="IP70" s="90"/>
      <c r="IQ70" s="90"/>
      <c r="IR70" s="90"/>
      <c r="IS70" s="90"/>
      <c r="IT70" s="90"/>
      <c r="IU70" s="90"/>
      <c r="IV70" s="90"/>
      <c r="IW70" s="90"/>
    </row>
    <row r="71" customFormat="false" ht="12.75" hidden="false" customHeight="false" outlineLevel="0" collapsed="false">
      <c r="A71" s="100"/>
      <c r="B71" s="58" t="s">
        <v>187</v>
      </c>
      <c r="C71" s="56" t="s">
        <v>221</v>
      </c>
      <c r="D71" s="56"/>
      <c r="E71" s="57" t="n">
        <v>36465</v>
      </c>
      <c r="F71" s="57" t="n">
        <v>37011</v>
      </c>
      <c r="G71" s="58"/>
      <c r="H71" s="58"/>
      <c r="I71" s="56" t="s">
        <v>19</v>
      </c>
      <c r="J71" s="93" t="n">
        <f aca="false">4.8621/+J$1</f>
        <v>0.156841935483871</v>
      </c>
      <c r="K71" s="61"/>
      <c r="L71" s="61"/>
      <c r="M71" s="61"/>
      <c r="N71" s="61"/>
      <c r="O71" s="62"/>
      <c r="P71" s="61"/>
      <c r="Q71" s="63" t="n">
        <v>65403</v>
      </c>
      <c r="R71" s="63" t="n">
        <v>65403</v>
      </c>
      <c r="S71" s="56" t="n">
        <v>19293</v>
      </c>
      <c r="T71" s="58" t="s">
        <v>287</v>
      </c>
      <c r="U71" s="101" t="n">
        <f aca="false">J71*J$1*S71</f>
        <v>93804.4953</v>
      </c>
      <c r="V71" s="101"/>
      <c r="W71" s="102"/>
      <c r="X71" s="102" t="s">
        <v>288</v>
      </c>
      <c r="Y71" s="58"/>
      <c r="Z71" s="89"/>
      <c r="AA71" s="89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0"/>
      <c r="FF71" s="100"/>
      <c r="FG71" s="100"/>
      <c r="FH71" s="100"/>
      <c r="FI71" s="100"/>
      <c r="FJ71" s="100"/>
      <c r="FK71" s="100"/>
      <c r="FL71" s="100"/>
      <c r="FM71" s="100"/>
      <c r="FN71" s="100"/>
      <c r="FO71" s="100"/>
      <c r="FP71" s="100"/>
      <c r="FQ71" s="100"/>
      <c r="FR71" s="100"/>
      <c r="FS71" s="100"/>
      <c r="FT71" s="100"/>
      <c r="FU71" s="100"/>
      <c r="FV71" s="100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  <c r="IU71" s="100"/>
      <c r="IV71" s="100"/>
      <c r="IW71" s="100"/>
    </row>
    <row r="72" customFormat="false" ht="12.75" hidden="false" customHeight="false" outlineLevel="0" collapsed="false">
      <c r="A72" s="100"/>
      <c r="B72" s="58" t="s">
        <v>187</v>
      </c>
      <c r="C72" s="56" t="s">
        <v>221</v>
      </c>
      <c r="D72" s="56" t="s">
        <v>184</v>
      </c>
      <c r="E72" s="57" t="n">
        <v>36557</v>
      </c>
      <c r="F72" s="57" t="n">
        <v>36677</v>
      </c>
      <c r="G72" s="58" t="s">
        <v>289</v>
      </c>
      <c r="H72" s="58" t="s">
        <v>290</v>
      </c>
      <c r="I72" s="56" t="s">
        <v>19</v>
      </c>
      <c r="J72" s="93" t="n">
        <f aca="false">6.423/J$1</f>
        <v>0.207193548387097</v>
      </c>
      <c r="K72" s="61" t="n">
        <v>0.0132</v>
      </c>
      <c r="L72" s="61" t="n">
        <v>0.0022</v>
      </c>
      <c r="M72" s="61" t="n">
        <v>0.0072</v>
      </c>
      <c r="N72" s="61" t="n">
        <v>0</v>
      </c>
      <c r="O72" s="62" t="n">
        <v>0.02116</v>
      </c>
      <c r="P72" s="61" t="n">
        <f aca="false">SUM(J72:N72)</f>
        <v>0.229793548387097</v>
      </c>
      <c r="Q72" s="63" t="n">
        <v>65404</v>
      </c>
      <c r="R72" s="63" t="n">
        <v>65404</v>
      </c>
      <c r="S72" s="56" t="n">
        <v>34</v>
      </c>
      <c r="T72" s="58" t="s">
        <v>291</v>
      </c>
      <c r="U72" s="101" t="n">
        <f aca="false">J72*J$1*S72</f>
        <v>218.382</v>
      </c>
      <c r="V72" s="101"/>
      <c r="W72" s="102"/>
      <c r="X72" s="102" t="n">
        <v>156597</v>
      </c>
      <c r="Y72" s="58"/>
      <c r="Z72" s="89"/>
      <c r="AA72" s="89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</row>
    <row r="73" customFormat="false" ht="12.75" hidden="false" customHeight="false" outlineLevel="0" collapsed="false">
      <c r="A73" s="100"/>
      <c r="B73" s="58" t="s">
        <v>187</v>
      </c>
      <c r="C73" s="56" t="s">
        <v>221</v>
      </c>
      <c r="D73" s="56"/>
      <c r="E73" s="57" t="n">
        <v>36557</v>
      </c>
      <c r="F73" s="57" t="n">
        <v>36830</v>
      </c>
      <c r="G73" s="58" t="s">
        <v>237</v>
      </c>
      <c r="H73" s="58" t="s">
        <v>224</v>
      </c>
      <c r="I73" s="56" t="s">
        <v>19</v>
      </c>
      <c r="J73" s="72" t="n">
        <f aca="false">4.563/J$1</f>
        <v>0.147193548387097</v>
      </c>
      <c r="K73" s="61" t="n">
        <v>0.0132</v>
      </c>
      <c r="L73" s="61" t="n">
        <v>0.0022</v>
      </c>
      <c r="M73" s="61" t="n">
        <v>0.0072</v>
      </c>
      <c r="N73" s="61" t="n">
        <v>0</v>
      </c>
      <c r="O73" s="62" t="n">
        <v>0.02116</v>
      </c>
      <c r="P73" s="61" t="n">
        <f aca="false">SUM(J73:N73)</f>
        <v>0.169793548387097</v>
      </c>
      <c r="Q73" s="63" t="n">
        <v>65418</v>
      </c>
      <c r="R73" s="63" t="n">
        <v>65418</v>
      </c>
      <c r="S73" s="56" t="n">
        <v>500</v>
      </c>
      <c r="T73" s="58" t="s">
        <v>292</v>
      </c>
      <c r="U73" s="101" t="n">
        <f aca="false">J73*J$1*S73</f>
        <v>2281.5</v>
      </c>
      <c r="V73" s="101"/>
      <c r="W73" s="102"/>
      <c r="X73" s="102" t="n">
        <v>156599</v>
      </c>
      <c r="Y73" s="58"/>
      <c r="Z73" s="89"/>
      <c r="AA73" s="89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</row>
    <row r="74" customFormat="false" ht="12.75" hidden="false" customHeight="false" outlineLevel="0" collapsed="false">
      <c r="A74" s="100"/>
      <c r="B74" s="58" t="s">
        <v>187</v>
      </c>
      <c r="C74" s="56" t="s">
        <v>221</v>
      </c>
      <c r="D74" s="56" t="s">
        <v>226</v>
      </c>
      <c r="E74" s="57" t="n">
        <v>36557</v>
      </c>
      <c r="F74" s="57" t="n">
        <v>36616</v>
      </c>
      <c r="G74" s="58" t="s">
        <v>227</v>
      </c>
      <c r="H74" s="58" t="s">
        <v>293</v>
      </c>
      <c r="I74" s="56" t="s">
        <v>258</v>
      </c>
      <c r="J74" s="72" t="n">
        <f aca="false">6.077/J$1</f>
        <v>0.196032258064516</v>
      </c>
      <c r="K74" s="61" t="n">
        <v>0.013</v>
      </c>
      <c r="L74" s="61" t="n">
        <v>0.0022</v>
      </c>
      <c r="M74" s="61" t="n">
        <v>0.0072</v>
      </c>
      <c r="N74" s="61" t="n">
        <v>0</v>
      </c>
      <c r="O74" s="62" t="n">
        <v>0.02116</v>
      </c>
      <c r="P74" s="61" t="n">
        <f aca="false">SUM(J74:N74)</f>
        <v>0.218432258064516</v>
      </c>
      <c r="Q74" s="63" t="n">
        <v>65458</v>
      </c>
      <c r="R74" s="63" t="n">
        <v>65458</v>
      </c>
      <c r="S74" s="56" t="n">
        <v>33</v>
      </c>
      <c r="T74" s="58" t="s">
        <v>294</v>
      </c>
      <c r="U74" s="101" t="n">
        <f aca="false">J74*J$1*S74</f>
        <v>200.541</v>
      </c>
      <c r="V74" s="101"/>
      <c r="W74" s="102"/>
      <c r="X74" s="102" t="n">
        <v>156600</v>
      </c>
      <c r="Y74" s="58"/>
      <c r="Z74" s="89"/>
      <c r="AA74" s="89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  <c r="IW74" s="100"/>
    </row>
    <row r="75" customFormat="false" ht="12.75" hidden="false" customHeight="false" outlineLevel="0" collapsed="false">
      <c r="A75" s="100"/>
      <c r="B75" s="58" t="s">
        <v>187</v>
      </c>
      <c r="C75" s="56" t="s">
        <v>221</v>
      </c>
      <c r="D75" s="56"/>
      <c r="E75" s="57" t="n">
        <v>36557</v>
      </c>
      <c r="F75" s="57" t="n">
        <v>36677</v>
      </c>
      <c r="G75" s="58" t="s">
        <v>289</v>
      </c>
      <c r="H75" s="58" t="s">
        <v>290</v>
      </c>
      <c r="I75" s="56" t="s">
        <v>19</v>
      </c>
      <c r="J75" s="72" t="n">
        <f aca="false">6.372/J$1</f>
        <v>0.205548387096774</v>
      </c>
      <c r="K75" s="61"/>
      <c r="L75" s="61"/>
      <c r="M75" s="61"/>
      <c r="N75" s="61"/>
      <c r="O75" s="62"/>
      <c r="P75" s="61"/>
      <c r="Q75" s="63" t="n">
        <v>65534</v>
      </c>
      <c r="R75" s="63" t="n">
        <v>65534</v>
      </c>
      <c r="S75" s="56" t="n">
        <v>3</v>
      </c>
      <c r="T75" s="58" t="s">
        <v>295</v>
      </c>
      <c r="U75" s="101" t="n">
        <f aca="false">J75*J$1*S75</f>
        <v>19.116</v>
      </c>
      <c r="V75" s="101"/>
      <c r="W75" s="102"/>
      <c r="X75" s="102" t="n">
        <v>149349</v>
      </c>
      <c r="Y75" s="58"/>
      <c r="Z75" s="89"/>
      <c r="AA75" s="89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</row>
    <row r="76" customFormat="false" ht="12.75" hidden="false" customHeight="false" outlineLevel="0" collapsed="false">
      <c r="A76" s="100"/>
      <c r="B76" s="58" t="s">
        <v>187</v>
      </c>
      <c r="C76" s="56" t="s">
        <v>221</v>
      </c>
      <c r="D76" s="56" t="s">
        <v>245</v>
      </c>
      <c r="E76" s="57" t="n">
        <v>36557</v>
      </c>
      <c r="F76" s="57" t="n">
        <v>36860</v>
      </c>
      <c r="G76" s="58" t="s">
        <v>246</v>
      </c>
      <c r="H76" s="58" t="s">
        <v>261</v>
      </c>
      <c r="I76" s="56" t="s">
        <v>19</v>
      </c>
      <c r="J76" s="72" t="n">
        <f aca="false">6.449/J$1</f>
        <v>0.208032258064516</v>
      </c>
      <c r="K76" s="61" t="n">
        <v>0.0132</v>
      </c>
      <c r="L76" s="61" t="n">
        <v>0.0022</v>
      </c>
      <c r="M76" s="61" t="n">
        <v>0.0072</v>
      </c>
      <c r="N76" s="61" t="n">
        <v>0</v>
      </c>
      <c r="O76" s="62" t="n">
        <v>0.02116</v>
      </c>
      <c r="P76" s="61" t="n">
        <f aca="false">SUM(J76:N76)</f>
        <v>0.230632258064516</v>
      </c>
      <c r="Q76" s="63" t="n">
        <v>65556</v>
      </c>
      <c r="R76" s="63" t="n">
        <v>65556</v>
      </c>
      <c r="S76" s="56" t="n">
        <v>3</v>
      </c>
      <c r="T76" s="58" t="s">
        <v>296</v>
      </c>
      <c r="U76" s="101" t="n">
        <f aca="false">J76*J$1*S76</f>
        <v>19.347</v>
      </c>
      <c r="V76" s="101"/>
      <c r="W76" s="102"/>
      <c r="X76" s="102" t="n">
        <v>156602</v>
      </c>
      <c r="Y76" s="58"/>
      <c r="Z76" s="89"/>
      <c r="AA76" s="89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  <c r="IW76" s="100"/>
    </row>
    <row r="77" customFormat="false" ht="12.75" hidden="false" customHeight="false" outlineLevel="0" collapsed="false">
      <c r="A77" s="90"/>
      <c r="B77" s="69" t="s">
        <v>187</v>
      </c>
      <c r="C77" s="91" t="s">
        <v>221</v>
      </c>
      <c r="D77" s="91" t="s">
        <v>184</v>
      </c>
      <c r="E77" s="92" t="n">
        <v>36557</v>
      </c>
      <c r="F77" s="92" t="n">
        <v>36616</v>
      </c>
      <c r="G77" s="69" t="s">
        <v>289</v>
      </c>
      <c r="H77" s="69" t="s">
        <v>290</v>
      </c>
      <c r="I77" s="91" t="s">
        <v>19</v>
      </c>
      <c r="J77" s="93" t="n">
        <f aca="false">6.372/J$1</f>
        <v>0.205548387096774</v>
      </c>
      <c r="K77" s="94" t="n">
        <v>0.0132</v>
      </c>
      <c r="L77" s="94" t="n">
        <v>0.0022</v>
      </c>
      <c r="M77" s="94" t="n">
        <v>0.0072</v>
      </c>
      <c r="N77" s="94" t="n">
        <v>0</v>
      </c>
      <c r="O77" s="95" t="n">
        <v>0.02116</v>
      </c>
      <c r="P77" s="94" t="n">
        <f aca="false">SUM(J77:N77)</f>
        <v>0.228148387096774</v>
      </c>
      <c r="Q77" s="96" t="n">
        <v>65659</v>
      </c>
      <c r="R77" s="96" t="n">
        <v>65659</v>
      </c>
      <c r="S77" s="91" t="n">
        <v>3</v>
      </c>
      <c r="T77" s="69" t="s">
        <v>297</v>
      </c>
      <c r="U77" s="97" t="n">
        <f aca="false">J77*J$1*S77</f>
        <v>19.116</v>
      </c>
      <c r="V77" s="97"/>
      <c r="W77" s="98"/>
      <c r="X77" s="98" t="n">
        <v>156605</v>
      </c>
      <c r="Y77" s="69"/>
      <c r="Z77" s="99"/>
      <c r="AA77" s="99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90"/>
      <c r="IA77" s="90"/>
      <c r="IB77" s="90"/>
      <c r="IC77" s="90"/>
      <c r="ID77" s="90"/>
      <c r="IE77" s="90"/>
      <c r="IF77" s="90"/>
      <c r="IG77" s="90"/>
      <c r="IH77" s="90"/>
      <c r="II77" s="90"/>
      <c r="IJ77" s="90"/>
      <c r="IK77" s="90"/>
      <c r="IL77" s="90"/>
      <c r="IM77" s="90"/>
      <c r="IN77" s="90"/>
      <c r="IO77" s="90"/>
      <c r="IP77" s="90"/>
      <c r="IQ77" s="90"/>
      <c r="IR77" s="90"/>
      <c r="IS77" s="90"/>
      <c r="IT77" s="90"/>
      <c r="IU77" s="90"/>
      <c r="IV77" s="90"/>
      <c r="IW77" s="90"/>
    </row>
    <row r="78" customFormat="false" ht="12.75" hidden="false" customHeight="false" outlineLevel="0" collapsed="false">
      <c r="A78" s="117"/>
      <c r="B78" s="70" t="s">
        <v>187</v>
      </c>
      <c r="C78" s="118" t="s">
        <v>221</v>
      </c>
      <c r="D78" s="118" t="s">
        <v>298</v>
      </c>
      <c r="E78" s="119" t="n">
        <v>36586</v>
      </c>
      <c r="F78" s="119" t="n">
        <v>36616</v>
      </c>
      <c r="G78" s="70" t="s">
        <v>299</v>
      </c>
      <c r="H78" s="70" t="s">
        <v>300</v>
      </c>
      <c r="I78" s="118"/>
      <c r="J78" s="120" t="n">
        <f aca="false">3.72/J$1</f>
        <v>0.12</v>
      </c>
      <c r="K78" s="121" t="n">
        <v>0.0132</v>
      </c>
      <c r="L78" s="121" t="n">
        <v>0.0022</v>
      </c>
      <c r="M78" s="121" t="n">
        <v>0.0075</v>
      </c>
      <c r="N78" s="121" t="n">
        <v>0</v>
      </c>
      <c r="O78" s="122" t="n">
        <v>0.02116</v>
      </c>
      <c r="P78" s="121" t="n">
        <f aca="false">SUM(J78:N78)</f>
        <v>0.1429</v>
      </c>
      <c r="Q78" s="123" t="n">
        <v>66775</v>
      </c>
      <c r="R78" s="123" t="n">
        <v>66391</v>
      </c>
      <c r="S78" s="118" t="n">
        <v>2200</v>
      </c>
      <c r="T78" s="70" t="s">
        <v>301</v>
      </c>
      <c r="U78" s="124" t="n">
        <f aca="false">J78*J$1*S78</f>
        <v>8184</v>
      </c>
      <c r="V78" s="124"/>
      <c r="W78" s="125" t="n">
        <v>207942</v>
      </c>
      <c r="X78" s="125"/>
      <c r="Y78" s="70"/>
      <c r="Z78" s="126"/>
      <c r="AA78" s="126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  <c r="CK78" s="117"/>
      <c r="CL78" s="117"/>
      <c r="CM78" s="117"/>
      <c r="CN78" s="117"/>
      <c r="CO78" s="117"/>
      <c r="CP78" s="117"/>
      <c r="CQ78" s="117"/>
      <c r="CR78" s="117"/>
      <c r="CS78" s="117"/>
      <c r="CT78" s="117"/>
      <c r="CU78" s="117"/>
      <c r="CV78" s="117"/>
      <c r="CW78" s="117"/>
      <c r="CX78" s="117"/>
      <c r="CY78" s="117"/>
      <c r="CZ78" s="117"/>
      <c r="DA78" s="117"/>
      <c r="DB78" s="117"/>
      <c r="DC78" s="117"/>
      <c r="DD78" s="117"/>
      <c r="DE78" s="117"/>
      <c r="DF78" s="117"/>
      <c r="DG78" s="117"/>
      <c r="DH78" s="117"/>
      <c r="DI78" s="117"/>
      <c r="DJ78" s="117"/>
      <c r="DK78" s="117"/>
      <c r="DL78" s="117"/>
      <c r="DM78" s="117"/>
      <c r="DN78" s="117"/>
      <c r="DO78" s="117"/>
      <c r="DP78" s="117"/>
      <c r="DQ78" s="117"/>
      <c r="DR78" s="117"/>
      <c r="DS78" s="117"/>
      <c r="DT78" s="117"/>
      <c r="DU78" s="117"/>
      <c r="DV78" s="117"/>
      <c r="DW78" s="117"/>
      <c r="DX78" s="117"/>
      <c r="DY78" s="117"/>
      <c r="DZ78" s="117"/>
      <c r="EA78" s="117"/>
      <c r="EB78" s="117"/>
      <c r="EC78" s="117"/>
      <c r="ED78" s="117"/>
      <c r="EE78" s="117"/>
      <c r="EF78" s="117"/>
      <c r="EG78" s="117"/>
      <c r="EH78" s="117"/>
      <c r="EI78" s="117"/>
      <c r="EJ78" s="117"/>
      <c r="EK78" s="117"/>
      <c r="EL78" s="117"/>
      <c r="EM78" s="117"/>
      <c r="EN78" s="117"/>
      <c r="EO78" s="117"/>
      <c r="EP78" s="117"/>
      <c r="EQ78" s="117"/>
      <c r="ER78" s="117"/>
      <c r="ES78" s="117"/>
      <c r="ET78" s="117"/>
      <c r="EU78" s="117"/>
      <c r="EV78" s="117"/>
      <c r="EW78" s="117"/>
      <c r="EX78" s="117"/>
      <c r="EY78" s="117"/>
      <c r="EZ78" s="117"/>
      <c r="FA78" s="117"/>
      <c r="FB78" s="117"/>
      <c r="FC78" s="117"/>
      <c r="FD78" s="117"/>
      <c r="FE78" s="117"/>
      <c r="FF78" s="117"/>
      <c r="FG78" s="117"/>
      <c r="FH78" s="117"/>
      <c r="FI78" s="117"/>
      <c r="FJ78" s="117"/>
      <c r="FK78" s="117"/>
      <c r="FL78" s="117"/>
      <c r="FM78" s="117"/>
      <c r="FN78" s="117"/>
      <c r="FO78" s="117"/>
      <c r="FP78" s="117"/>
      <c r="FQ78" s="117"/>
      <c r="FR78" s="117"/>
      <c r="FS78" s="117"/>
      <c r="FT78" s="117"/>
      <c r="FU78" s="117"/>
      <c r="FV78" s="117"/>
      <c r="FW78" s="117"/>
      <c r="FX78" s="117"/>
      <c r="FY78" s="117"/>
      <c r="FZ78" s="117"/>
      <c r="GA78" s="117"/>
      <c r="GB78" s="117"/>
      <c r="GC78" s="117"/>
      <c r="GD78" s="117"/>
      <c r="GE78" s="117"/>
      <c r="GF78" s="117"/>
      <c r="GG78" s="117"/>
      <c r="GH78" s="117"/>
      <c r="GI78" s="117"/>
      <c r="GJ78" s="117"/>
      <c r="GK78" s="117"/>
      <c r="GL78" s="117"/>
      <c r="GM78" s="117"/>
      <c r="GN78" s="117"/>
      <c r="GO78" s="117"/>
      <c r="GP78" s="117"/>
      <c r="GQ78" s="117"/>
      <c r="GR78" s="117"/>
      <c r="GS78" s="117"/>
      <c r="GT78" s="117"/>
      <c r="GU78" s="117"/>
      <c r="GV78" s="117"/>
      <c r="GW78" s="117"/>
      <c r="GX78" s="117"/>
      <c r="GY78" s="117"/>
      <c r="GZ78" s="117"/>
      <c r="HA78" s="117"/>
      <c r="HB78" s="117"/>
      <c r="HC78" s="117"/>
      <c r="HD78" s="117"/>
      <c r="HE78" s="117"/>
      <c r="HF78" s="117"/>
      <c r="HG78" s="117"/>
      <c r="HH78" s="117"/>
      <c r="HI78" s="117"/>
      <c r="HJ78" s="117"/>
      <c r="HK78" s="117"/>
      <c r="HL78" s="117"/>
      <c r="HM78" s="117"/>
      <c r="HN78" s="117"/>
      <c r="HO78" s="117"/>
      <c r="HP78" s="117"/>
      <c r="HQ78" s="117"/>
      <c r="HR78" s="117"/>
      <c r="HS78" s="117"/>
      <c r="HT78" s="117"/>
      <c r="HU78" s="117"/>
      <c r="HV78" s="117"/>
      <c r="HW78" s="117"/>
      <c r="HX78" s="117"/>
      <c r="HY78" s="117"/>
      <c r="HZ78" s="117"/>
      <c r="IA78" s="117"/>
      <c r="IB78" s="117"/>
      <c r="IC78" s="117"/>
      <c r="ID78" s="117"/>
      <c r="IE78" s="117"/>
      <c r="IF78" s="117"/>
      <c r="IG78" s="117"/>
      <c r="IH78" s="117"/>
      <c r="II78" s="117"/>
      <c r="IJ78" s="117"/>
      <c r="IK78" s="117"/>
      <c r="IL78" s="117"/>
      <c r="IM78" s="117"/>
      <c r="IN78" s="117"/>
      <c r="IO78" s="117"/>
      <c r="IP78" s="117"/>
      <c r="IQ78" s="117"/>
      <c r="IR78" s="117"/>
      <c r="IS78" s="117"/>
      <c r="IT78" s="117"/>
      <c r="IU78" s="117"/>
      <c r="IV78" s="117"/>
      <c r="IW78" s="117"/>
    </row>
    <row r="79" customFormat="false" ht="12.75" hidden="false" customHeight="false" outlineLevel="0" collapsed="false">
      <c r="A79" s="117"/>
      <c r="B79" s="70" t="s">
        <v>187</v>
      </c>
      <c r="C79" s="118" t="s">
        <v>221</v>
      </c>
      <c r="D79" s="118" t="s">
        <v>302</v>
      </c>
      <c r="E79" s="119" t="n">
        <v>36557</v>
      </c>
      <c r="F79" s="119" t="n">
        <v>36922</v>
      </c>
      <c r="G79" s="70" t="s">
        <v>303</v>
      </c>
      <c r="H79" s="70" t="s">
        <v>304</v>
      </c>
      <c r="I79" s="118" t="s">
        <v>19</v>
      </c>
      <c r="J79" s="93" t="n">
        <f aca="false">6.449/J$1</f>
        <v>0.208032258064516</v>
      </c>
      <c r="K79" s="121"/>
      <c r="L79" s="121"/>
      <c r="M79" s="121"/>
      <c r="N79" s="121"/>
      <c r="O79" s="122"/>
      <c r="P79" s="121"/>
      <c r="Q79" s="123" t="n">
        <v>66280</v>
      </c>
      <c r="R79" s="123" t="n">
        <v>66280</v>
      </c>
      <c r="S79" s="118" t="n">
        <v>1</v>
      </c>
      <c r="T79" s="70" t="s">
        <v>305</v>
      </c>
      <c r="U79" s="124" t="n">
        <f aca="false">J79*J$1*S79</f>
        <v>6.449</v>
      </c>
      <c r="V79" s="124"/>
      <c r="W79" s="125"/>
      <c r="X79" s="125" t="n">
        <v>156606</v>
      </c>
      <c r="Y79" s="70"/>
      <c r="Z79" s="126"/>
      <c r="AA79" s="126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117"/>
      <c r="DS79" s="117"/>
      <c r="DT79" s="117"/>
      <c r="DU79" s="117"/>
      <c r="DV79" s="117"/>
      <c r="DW79" s="117"/>
      <c r="DX79" s="117"/>
      <c r="DY79" s="117"/>
      <c r="DZ79" s="117"/>
      <c r="EA79" s="117"/>
      <c r="EB79" s="117"/>
      <c r="EC79" s="117"/>
      <c r="ED79" s="117"/>
      <c r="EE79" s="117"/>
      <c r="EF79" s="117"/>
      <c r="EG79" s="117"/>
      <c r="EH79" s="117"/>
      <c r="EI79" s="117"/>
      <c r="EJ79" s="117"/>
      <c r="EK79" s="117"/>
      <c r="EL79" s="117"/>
      <c r="EM79" s="117"/>
      <c r="EN79" s="117"/>
      <c r="EO79" s="117"/>
      <c r="EP79" s="117"/>
      <c r="EQ79" s="117"/>
      <c r="ER79" s="117"/>
      <c r="ES79" s="117"/>
      <c r="ET79" s="117"/>
      <c r="EU79" s="117"/>
      <c r="EV79" s="117"/>
      <c r="EW79" s="117"/>
      <c r="EX79" s="117"/>
      <c r="EY79" s="117"/>
      <c r="EZ79" s="117"/>
      <c r="FA79" s="117"/>
      <c r="FB79" s="117"/>
      <c r="FC79" s="117"/>
      <c r="FD79" s="117"/>
      <c r="FE79" s="117"/>
      <c r="FF79" s="117"/>
      <c r="FG79" s="117"/>
      <c r="FH79" s="117"/>
      <c r="FI79" s="117"/>
      <c r="FJ79" s="117"/>
      <c r="FK79" s="117"/>
      <c r="FL79" s="117"/>
      <c r="FM79" s="117"/>
      <c r="FN79" s="117"/>
      <c r="FO79" s="117"/>
      <c r="FP79" s="117"/>
      <c r="FQ79" s="117"/>
      <c r="FR79" s="117"/>
      <c r="FS79" s="117"/>
      <c r="FT79" s="117"/>
      <c r="FU79" s="117"/>
      <c r="FV79" s="117"/>
      <c r="FW79" s="117"/>
      <c r="FX79" s="117"/>
      <c r="FY79" s="117"/>
      <c r="FZ79" s="117"/>
      <c r="GA79" s="117"/>
      <c r="GB79" s="117"/>
      <c r="GC79" s="117"/>
      <c r="GD79" s="117"/>
      <c r="GE79" s="117"/>
      <c r="GF79" s="117"/>
      <c r="GG79" s="117"/>
      <c r="GH79" s="117"/>
      <c r="GI79" s="117"/>
      <c r="GJ79" s="117"/>
      <c r="GK79" s="117"/>
      <c r="GL79" s="117"/>
      <c r="GM79" s="117"/>
      <c r="GN79" s="117"/>
      <c r="GO79" s="117"/>
      <c r="GP79" s="117"/>
      <c r="GQ79" s="117"/>
      <c r="GR79" s="117"/>
      <c r="GS79" s="117"/>
      <c r="GT79" s="117"/>
      <c r="GU79" s="117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  <c r="IV79" s="117"/>
      <c r="IW79" s="117"/>
    </row>
    <row r="80" customFormat="false" ht="12.75" hidden="false" customHeight="false" outlineLevel="0" collapsed="false">
      <c r="A80" s="117"/>
      <c r="B80" s="70" t="s">
        <v>187</v>
      </c>
      <c r="C80" s="118" t="s">
        <v>221</v>
      </c>
      <c r="D80" s="118" t="s">
        <v>302</v>
      </c>
      <c r="E80" s="119" t="n">
        <v>36557</v>
      </c>
      <c r="F80" s="119" t="n">
        <v>36922</v>
      </c>
      <c r="G80" s="70" t="s">
        <v>303</v>
      </c>
      <c r="H80" s="70" t="s">
        <v>306</v>
      </c>
      <c r="I80" s="118" t="s">
        <v>19</v>
      </c>
      <c r="J80" s="93" t="n">
        <f aca="false">6.449/J$1</f>
        <v>0.208032258064516</v>
      </c>
      <c r="K80" s="121"/>
      <c r="L80" s="121"/>
      <c r="M80" s="121"/>
      <c r="N80" s="121"/>
      <c r="O80" s="122"/>
      <c r="P80" s="121"/>
      <c r="Q80" s="123" t="n">
        <v>66280</v>
      </c>
      <c r="R80" s="123" t="n">
        <v>66280</v>
      </c>
      <c r="S80" s="118" t="n">
        <v>4</v>
      </c>
      <c r="T80" s="70" t="s">
        <v>305</v>
      </c>
      <c r="U80" s="124" t="n">
        <f aca="false">J80*J$1*S80</f>
        <v>25.796</v>
      </c>
      <c r="V80" s="124"/>
      <c r="W80" s="125"/>
      <c r="X80" s="125" t="n">
        <v>156606</v>
      </c>
      <c r="Y80" s="70"/>
      <c r="Z80" s="126"/>
      <c r="AA80" s="126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  <c r="DK80" s="117"/>
      <c r="DL80" s="117"/>
      <c r="DM80" s="117"/>
      <c r="DN80" s="117"/>
      <c r="DO80" s="117"/>
      <c r="DP80" s="117"/>
      <c r="DQ80" s="117"/>
      <c r="DR80" s="117"/>
      <c r="DS80" s="117"/>
      <c r="DT80" s="117"/>
      <c r="DU80" s="117"/>
      <c r="DV80" s="117"/>
      <c r="DW80" s="117"/>
      <c r="DX80" s="117"/>
      <c r="DY80" s="117"/>
      <c r="DZ80" s="117"/>
      <c r="EA80" s="117"/>
      <c r="EB80" s="117"/>
      <c r="EC80" s="117"/>
      <c r="ED80" s="117"/>
      <c r="EE80" s="117"/>
      <c r="EF80" s="117"/>
      <c r="EG80" s="117"/>
      <c r="EH80" s="117"/>
      <c r="EI80" s="117"/>
      <c r="EJ80" s="117"/>
      <c r="EK80" s="117"/>
      <c r="EL80" s="117"/>
      <c r="EM80" s="117"/>
      <c r="EN80" s="117"/>
      <c r="EO80" s="117"/>
      <c r="EP80" s="117"/>
      <c r="EQ80" s="117"/>
      <c r="ER80" s="117"/>
      <c r="ES80" s="117"/>
      <c r="ET80" s="117"/>
      <c r="EU80" s="117"/>
      <c r="EV80" s="117"/>
      <c r="EW80" s="117"/>
      <c r="EX80" s="117"/>
      <c r="EY80" s="117"/>
      <c r="EZ80" s="117"/>
      <c r="FA80" s="117"/>
      <c r="FB80" s="117"/>
      <c r="FC80" s="117"/>
      <c r="FD80" s="117"/>
      <c r="FE80" s="117"/>
      <c r="FF80" s="117"/>
      <c r="FG80" s="117"/>
      <c r="FH80" s="117"/>
      <c r="FI80" s="117"/>
      <c r="FJ80" s="117"/>
      <c r="FK80" s="117"/>
      <c r="FL80" s="117"/>
      <c r="FM80" s="117"/>
      <c r="FN80" s="117"/>
      <c r="FO80" s="117"/>
      <c r="FP80" s="117"/>
      <c r="FQ80" s="117"/>
      <c r="FR80" s="117"/>
      <c r="FS80" s="117"/>
      <c r="FT80" s="117"/>
      <c r="FU80" s="117"/>
      <c r="FV80" s="117"/>
      <c r="FW80" s="117"/>
      <c r="FX80" s="117"/>
      <c r="FY80" s="117"/>
      <c r="FZ80" s="117"/>
      <c r="GA80" s="117"/>
      <c r="GB80" s="117"/>
      <c r="GC80" s="117"/>
      <c r="GD80" s="117"/>
      <c r="GE80" s="117"/>
      <c r="GF80" s="117"/>
      <c r="GG80" s="117"/>
      <c r="GH80" s="117"/>
      <c r="GI80" s="117"/>
      <c r="GJ80" s="117"/>
      <c r="GK80" s="117"/>
      <c r="GL80" s="117"/>
      <c r="GM80" s="117"/>
      <c r="GN80" s="117"/>
      <c r="GO80" s="117"/>
      <c r="GP80" s="117"/>
      <c r="GQ80" s="117"/>
      <c r="GR80" s="117"/>
      <c r="GS80" s="117"/>
      <c r="GT80" s="117"/>
      <c r="GU80" s="117"/>
      <c r="GV80" s="117"/>
      <c r="GW80" s="117"/>
      <c r="GX80" s="117"/>
      <c r="GY80" s="117"/>
      <c r="GZ80" s="117"/>
      <c r="HA80" s="117"/>
      <c r="HB80" s="117"/>
      <c r="HC80" s="117"/>
      <c r="HD80" s="117"/>
      <c r="HE80" s="117"/>
      <c r="HF80" s="117"/>
      <c r="HG80" s="117"/>
      <c r="HH80" s="117"/>
      <c r="HI80" s="117"/>
      <c r="HJ80" s="117"/>
      <c r="HK80" s="117"/>
      <c r="HL80" s="117"/>
      <c r="HM80" s="117"/>
      <c r="HN80" s="117"/>
      <c r="HO80" s="117"/>
      <c r="HP80" s="117"/>
      <c r="HQ80" s="117"/>
      <c r="HR80" s="117"/>
      <c r="HS80" s="117"/>
      <c r="HT80" s="117"/>
      <c r="HU80" s="117"/>
      <c r="HV80" s="117"/>
      <c r="HW80" s="117"/>
      <c r="HX80" s="117"/>
      <c r="HY80" s="117"/>
      <c r="HZ80" s="117"/>
      <c r="IA80" s="117"/>
      <c r="IB80" s="117"/>
      <c r="IC80" s="117"/>
      <c r="ID80" s="117"/>
      <c r="IE80" s="117"/>
      <c r="IF80" s="117"/>
      <c r="IG80" s="117"/>
      <c r="IH80" s="117"/>
      <c r="II80" s="117"/>
      <c r="IJ80" s="117"/>
      <c r="IK80" s="117"/>
      <c r="IL80" s="117"/>
      <c r="IM80" s="117"/>
      <c r="IN80" s="117"/>
      <c r="IO80" s="117"/>
      <c r="IP80" s="117"/>
      <c r="IQ80" s="117"/>
      <c r="IR80" s="117"/>
      <c r="IS80" s="117"/>
      <c r="IT80" s="117"/>
      <c r="IU80" s="117"/>
      <c r="IV80" s="117"/>
      <c r="IW80" s="117"/>
    </row>
    <row r="81" customFormat="false" ht="12.75" hidden="false" customHeight="false" outlineLevel="0" collapsed="false">
      <c r="A81" s="117"/>
      <c r="B81" s="70" t="s">
        <v>187</v>
      </c>
      <c r="C81" s="118" t="s">
        <v>221</v>
      </c>
      <c r="D81" s="118"/>
      <c r="E81" s="119" t="n">
        <v>36557</v>
      </c>
      <c r="F81" s="119" t="n">
        <v>36616</v>
      </c>
      <c r="G81" s="70" t="s">
        <v>303</v>
      </c>
      <c r="H81" s="70" t="n">
        <v>21</v>
      </c>
      <c r="I81" s="118" t="s">
        <v>19</v>
      </c>
      <c r="J81" s="93" t="n">
        <f aca="false">6.372/J$1</f>
        <v>0.205548387096774</v>
      </c>
      <c r="K81" s="121"/>
      <c r="L81" s="121"/>
      <c r="M81" s="121"/>
      <c r="N81" s="121"/>
      <c r="O81" s="122"/>
      <c r="P81" s="121"/>
      <c r="Q81" s="123" t="n">
        <v>66444</v>
      </c>
      <c r="R81" s="123"/>
      <c r="S81" s="118" t="n">
        <v>7</v>
      </c>
      <c r="T81" s="70"/>
      <c r="U81" s="124" t="n">
        <f aca="false">J81*J$1*S81</f>
        <v>44.604</v>
      </c>
      <c r="V81" s="124"/>
      <c r="W81" s="125" t="n">
        <v>159995</v>
      </c>
      <c r="X81" s="125"/>
      <c r="Y81" s="70"/>
      <c r="Z81" s="126"/>
      <c r="AA81" s="126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  <c r="DH81" s="117"/>
      <c r="DI81" s="117"/>
      <c r="DJ81" s="117"/>
      <c r="DK81" s="117"/>
      <c r="DL81" s="117"/>
      <c r="DM81" s="117"/>
      <c r="DN81" s="117"/>
      <c r="DO81" s="117"/>
      <c r="DP81" s="117"/>
      <c r="DQ81" s="117"/>
      <c r="DR81" s="117"/>
      <c r="DS81" s="117"/>
      <c r="DT81" s="117"/>
      <c r="DU81" s="117"/>
      <c r="DV81" s="117"/>
      <c r="DW81" s="117"/>
      <c r="DX81" s="117"/>
      <c r="DY81" s="117"/>
      <c r="DZ81" s="117"/>
      <c r="EA81" s="117"/>
      <c r="EB81" s="117"/>
      <c r="EC81" s="117"/>
      <c r="ED81" s="117"/>
      <c r="EE81" s="117"/>
      <c r="EF81" s="117"/>
      <c r="EG81" s="117"/>
      <c r="EH81" s="117"/>
      <c r="EI81" s="117"/>
      <c r="EJ81" s="117"/>
      <c r="EK81" s="117"/>
      <c r="EL81" s="117"/>
      <c r="EM81" s="117"/>
      <c r="EN81" s="117"/>
      <c r="EO81" s="117"/>
      <c r="EP81" s="117"/>
      <c r="EQ81" s="117"/>
      <c r="ER81" s="117"/>
      <c r="ES81" s="117"/>
      <c r="ET81" s="117"/>
      <c r="EU81" s="117"/>
      <c r="EV81" s="117"/>
      <c r="EW81" s="117"/>
      <c r="EX81" s="117"/>
      <c r="EY81" s="117"/>
      <c r="EZ81" s="117"/>
      <c r="FA81" s="117"/>
      <c r="FB81" s="117"/>
      <c r="FC81" s="117"/>
      <c r="FD81" s="117"/>
      <c r="FE81" s="117"/>
      <c r="FF81" s="117"/>
      <c r="FG81" s="117"/>
      <c r="FH81" s="117"/>
      <c r="FI81" s="117"/>
      <c r="FJ81" s="117"/>
      <c r="FK81" s="117"/>
      <c r="FL81" s="117"/>
      <c r="FM81" s="117"/>
      <c r="FN81" s="117"/>
      <c r="FO81" s="117"/>
      <c r="FP81" s="117"/>
      <c r="FQ81" s="117"/>
      <c r="FR81" s="117"/>
      <c r="FS81" s="117"/>
      <c r="FT81" s="117"/>
      <c r="FU81" s="117"/>
      <c r="FV81" s="117"/>
      <c r="FW81" s="117"/>
      <c r="FX81" s="117"/>
      <c r="FY81" s="117"/>
      <c r="FZ81" s="117"/>
      <c r="GA81" s="117"/>
      <c r="GB81" s="117"/>
      <c r="GC81" s="117"/>
      <c r="GD81" s="117"/>
      <c r="GE81" s="117"/>
      <c r="GF81" s="117"/>
      <c r="GG81" s="117"/>
      <c r="GH81" s="117"/>
      <c r="GI81" s="117"/>
      <c r="GJ81" s="117"/>
      <c r="GK81" s="117"/>
      <c r="GL81" s="117"/>
      <c r="GM81" s="117"/>
      <c r="GN81" s="117"/>
      <c r="GO81" s="117"/>
      <c r="GP81" s="117"/>
      <c r="GQ81" s="117"/>
      <c r="GR81" s="117"/>
      <c r="GS81" s="117"/>
      <c r="GT81" s="117"/>
      <c r="GU81" s="117"/>
      <c r="GV81" s="117"/>
      <c r="GW81" s="117"/>
      <c r="GX81" s="117"/>
      <c r="GY81" s="117"/>
      <c r="GZ81" s="117"/>
      <c r="HA81" s="117"/>
      <c r="HB81" s="117"/>
      <c r="HC81" s="117"/>
      <c r="HD81" s="117"/>
      <c r="HE81" s="117"/>
      <c r="HF81" s="117"/>
      <c r="HG81" s="117"/>
      <c r="HH81" s="117"/>
      <c r="HI81" s="117"/>
      <c r="HJ81" s="117"/>
      <c r="HK81" s="117"/>
      <c r="HL81" s="117"/>
      <c r="HM81" s="117"/>
      <c r="HN81" s="117"/>
      <c r="HO81" s="117"/>
      <c r="HP81" s="117"/>
      <c r="HQ81" s="117"/>
      <c r="HR81" s="117"/>
      <c r="HS81" s="117"/>
      <c r="HT81" s="117"/>
      <c r="HU81" s="117"/>
      <c r="HV81" s="117"/>
      <c r="HW81" s="117"/>
      <c r="HX81" s="117"/>
      <c r="HY81" s="117"/>
      <c r="HZ81" s="117"/>
      <c r="IA81" s="117"/>
      <c r="IB81" s="117"/>
      <c r="IC81" s="117"/>
      <c r="ID81" s="117"/>
      <c r="IE81" s="117"/>
      <c r="IF81" s="117"/>
      <c r="IG81" s="117"/>
      <c r="IH81" s="117"/>
      <c r="II81" s="117"/>
      <c r="IJ81" s="117"/>
      <c r="IK81" s="117"/>
      <c r="IL81" s="117"/>
      <c r="IM81" s="117"/>
      <c r="IN81" s="117"/>
      <c r="IO81" s="117"/>
      <c r="IP81" s="117"/>
      <c r="IQ81" s="117"/>
      <c r="IR81" s="117"/>
      <c r="IS81" s="117"/>
      <c r="IT81" s="117"/>
      <c r="IU81" s="117"/>
      <c r="IV81" s="117"/>
      <c r="IW81" s="117"/>
    </row>
    <row r="82" customFormat="false" ht="12.75" hidden="false" customHeight="false" outlineLevel="0" collapsed="false">
      <c r="A82" s="117"/>
      <c r="B82" s="70" t="s">
        <v>187</v>
      </c>
      <c r="C82" s="118" t="s">
        <v>221</v>
      </c>
      <c r="D82" s="118" t="s">
        <v>307</v>
      </c>
      <c r="E82" s="119" t="n">
        <v>36586</v>
      </c>
      <c r="F82" s="119" t="n">
        <v>36616</v>
      </c>
      <c r="G82" s="70" t="s">
        <v>303</v>
      </c>
      <c r="H82" s="70" t="n">
        <v>54</v>
      </c>
      <c r="I82" s="118" t="s">
        <v>19</v>
      </c>
      <c r="J82" s="120" t="n">
        <v>6.449</v>
      </c>
      <c r="K82" s="121"/>
      <c r="L82" s="121"/>
      <c r="M82" s="121"/>
      <c r="N82" s="121"/>
      <c r="O82" s="122"/>
      <c r="P82" s="121"/>
      <c r="Q82" s="123" t="n">
        <v>66613</v>
      </c>
      <c r="R82" s="123" t="n">
        <v>66392</v>
      </c>
      <c r="S82" s="118" t="n">
        <v>167</v>
      </c>
      <c r="T82" s="70" t="s">
        <v>308</v>
      </c>
      <c r="U82" s="124" t="n">
        <f aca="false">+S82*J82</f>
        <v>1076.983</v>
      </c>
      <c r="V82" s="124"/>
      <c r="W82" s="125" t="n">
        <v>205627</v>
      </c>
      <c r="X82" s="125" t="n">
        <v>158527</v>
      </c>
      <c r="Y82" s="70"/>
      <c r="Z82" s="126"/>
      <c r="AA82" s="126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  <c r="CZ82" s="117"/>
      <c r="DA82" s="117"/>
      <c r="DB82" s="117"/>
      <c r="DC82" s="117"/>
      <c r="DD82" s="117"/>
      <c r="DE82" s="117"/>
      <c r="DF82" s="117"/>
      <c r="DG82" s="117"/>
      <c r="DH82" s="117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7"/>
      <c r="EU82" s="117"/>
      <c r="EV82" s="117"/>
      <c r="EW82" s="117"/>
      <c r="EX82" s="117"/>
      <c r="EY82" s="117"/>
      <c r="EZ82" s="117"/>
      <c r="FA82" s="117"/>
      <c r="FB82" s="117"/>
      <c r="FC82" s="117"/>
      <c r="FD82" s="117"/>
      <c r="FE82" s="117"/>
      <c r="FF82" s="117"/>
      <c r="FG82" s="117"/>
      <c r="FH82" s="117"/>
      <c r="FI82" s="117"/>
      <c r="FJ82" s="117"/>
      <c r="FK82" s="117"/>
      <c r="FL82" s="117"/>
      <c r="FM82" s="117"/>
      <c r="FN82" s="117"/>
      <c r="FO82" s="117"/>
      <c r="FP82" s="117"/>
      <c r="FQ82" s="117"/>
      <c r="FR82" s="117"/>
      <c r="FS82" s="117"/>
      <c r="FT82" s="117"/>
      <c r="FU82" s="117"/>
      <c r="FV82" s="117"/>
      <c r="FW82" s="117"/>
      <c r="FX82" s="117"/>
      <c r="FY82" s="117"/>
      <c r="FZ82" s="117"/>
      <c r="GA82" s="117"/>
      <c r="GB82" s="117"/>
      <c r="GC82" s="117"/>
      <c r="GD82" s="117"/>
      <c r="GE82" s="117"/>
      <c r="GF82" s="117"/>
      <c r="GG82" s="117"/>
      <c r="GH82" s="117"/>
      <c r="GI82" s="117"/>
      <c r="GJ82" s="117"/>
      <c r="GK82" s="117"/>
      <c r="GL82" s="117"/>
      <c r="GM82" s="117"/>
      <c r="GN82" s="117"/>
      <c r="GO82" s="117"/>
      <c r="GP82" s="117"/>
      <c r="GQ82" s="117"/>
      <c r="GR82" s="117"/>
      <c r="GS82" s="117"/>
      <c r="GT82" s="117"/>
      <c r="GU82" s="117"/>
      <c r="GV82" s="117"/>
      <c r="GW82" s="117"/>
      <c r="GX82" s="117"/>
      <c r="GY82" s="117"/>
      <c r="GZ82" s="117"/>
      <c r="HA82" s="117"/>
      <c r="HB82" s="117"/>
      <c r="HC82" s="117"/>
      <c r="HD82" s="117"/>
      <c r="HE82" s="117"/>
      <c r="HF82" s="117"/>
      <c r="HG82" s="117"/>
      <c r="HH82" s="117"/>
      <c r="HI82" s="117"/>
      <c r="HJ82" s="117"/>
      <c r="HK82" s="117"/>
      <c r="HL82" s="117"/>
      <c r="HM82" s="117"/>
      <c r="HN82" s="117"/>
      <c r="HO82" s="117"/>
      <c r="HP82" s="117"/>
      <c r="HQ82" s="117"/>
      <c r="HR82" s="117"/>
      <c r="HS82" s="117"/>
      <c r="HT82" s="117"/>
      <c r="HU82" s="117"/>
      <c r="HV82" s="117"/>
      <c r="HW82" s="117"/>
      <c r="HX82" s="117"/>
      <c r="HY82" s="117"/>
      <c r="HZ82" s="117"/>
      <c r="IA82" s="117"/>
      <c r="IB82" s="117"/>
      <c r="IC82" s="117"/>
      <c r="ID82" s="117"/>
      <c r="IE82" s="117"/>
      <c r="IF82" s="117"/>
      <c r="IG82" s="117"/>
      <c r="IH82" s="117"/>
      <c r="II82" s="117"/>
      <c r="IJ82" s="117"/>
      <c r="IK82" s="117"/>
      <c r="IL82" s="117"/>
      <c r="IM82" s="117"/>
      <c r="IN82" s="117"/>
      <c r="IO82" s="117"/>
      <c r="IP82" s="117"/>
      <c r="IQ82" s="117"/>
      <c r="IR82" s="117"/>
      <c r="IS82" s="117"/>
      <c r="IT82" s="117"/>
      <c r="IU82" s="117"/>
      <c r="IV82" s="117"/>
      <c r="IW82" s="117"/>
    </row>
    <row r="83" customFormat="false" ht="12.75" hidden="false" customHeight="false" outlineLevel="0" collapsed="false">
      <c r="A83" s="117"/>
      <c r="B83" s="70" t="s">
        <v>187</v>
      </c>
      <c r="C83" s="118" t="s">
        <v>221</v>
      </c>
      <c r="D83" s="118" t="s">
        <v>302</v>
      </c>
      <c r="E83" s="119" t="n">
        <v>36586</v>
      </c>
      <c r="F83" s="119" t="n">
        <v>36950</v>
      </c>
      <c r="G83" s="70" t="s">
        <v>303</v>
      </c>
      <c r="H83" s="70" t="s">
        <v>304</v>
      </c>
      <c r="I83" s="118" t="s">
        <v>19</v>
      </c>
      <c r="J83" s="120" t="n">
        <v>6.449</v>
      </c>
      <c r="K83" s="121"/>
      <c r="L83" s="121"/>
      <c r="M83" s="121"/>
      <c r="N83" s="121"/>
      <c r="O83" s="122"/>
      <c r="P83" s="121"/>
      <c r="Q83" s="123" t="n">
        <v>66679</v>
      </c>
      <c r="R83" s="123"/>
      <c r="S83" s="118" t="n">
        <v>5</v>
      </c>
      <c r="T83" s="70" t="s">
        <v>309</v>
      </c>
      <c r="U83" s="124" t="n">
        <f aca="false">+S83*J83</f>
        <v>32.245</v>
      </c>
      <c r="V83" s="124"/>
      <c r="W83" s="125" t="n">
        <v>205617</v>
      </c>
      <c r="X83" s="125"/>
      <c r="Y83" s="70"/>
      <c r="Z83" s="126"/>
      <c r="AA83" s="126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  <c r="DE83" s="117"/>
      <c r="DF83" s="117"/>
      <c r="DG83" s="117"/>
      <c r="DH83" s="117"/>
      <c r="DI83" s="117"/>
      <c r="DJ83" s="117"/>
      <c r="DK83" s="117"/>
      <c r="DL83" s="117"/>
      <c r="DM83" s="117"/>
      <c r="DN83" s="117"/>
      <c r="DO83" s="117"/>
      <c r="DP83" s="117"/>
      <c r="DQ83" s="117"/>
      <c r="DR83" s="117"/>
      <c r="DS83" s="117"/>
      <c r="DT83" s="117"/>
      <c r="DU83" s="117"/>
      <c r="DV83" s="117"/>
      <c r="DW83" s="117"/>
      <c r="DX83" s="117"/>
      <c r="DY83" s="117"/>
      <c r="DZ83" s="117"/>
      <c r="EA83" s="117"/>
      <c r="EB83" s="117"/>
      <c r="EC83" s="117"/>
      <c r="ED83" s="117"/>
      <c r="EE83" s="117"/>
      <c r="EF83" s="117"/>
      <c r="EG83" s="117"/>
      <c r="EH83" s="117"/>
      <c r="EI83" s="117"/>
      <c r="EJ83" s="117"/>
      <c r="EK83" s="117"/>
      <c r="EL83" s="117"/>
      <c r="EM83" s="117"/>
      <c r="EN83" s="117"/>
      <c r="EO83" s="117"/>
      <c r="EP83" s="117"/>
      <c r="EQ83" s="117"/>
      <c r="ER83" s="117"/>
      <c r="ES83" s="117"/>
      <c r="ET83" s="117"/>
      <c r="EU83" s="117"/>
      <c r="EV83" s="117"/>
      <c r="EW83" s="117"/>
      <c r="EX83" s="117"/>
      <c r="EY83" s="117"/>
      <c r="EZ83" s="117"/>
      <c r="FA83" s="117"/>
      <c r="FB83" s="117"/>
      <c r="FC83" s="117"/>
      <c r="FD83" s="117"/>
      <c r="FE83" s="117"/>
      <c r="FF83" s="117"/>
      <c r="FG83" s="117"/>
      <c r="FH83" s="117"/>
      <c r="FI83" s="117"/>
      <c r="FJ83" s="117"/>
      <c r="FK83" s="117"/>
      <c r="FL83" s="117"/>
      <c r="FM83" s="117"/>
      <c r="FN83" s="117"/>
      <c r="FO83" s="117"/>
      <c r="FP83" s="117"/>
      <c r="FQ83" s="117"/>
      <c r="FR83" s="117"/>
      <c r="FS83" s="117"/>
      <c r="FT83" s="117"/>
      <c r="FU83" s="117"/>
      <c r="FV83" s="117"/>
      <c r="FW83" s="117"/>
      <c r="FX83" s="117"/>
      <c r="FY83" s="117"/>
      <c r="FZ83" s="117"/>
      <c r="GA83" s="117"/>
      <c r="GB83" s="117"/>
      <c r="GC83" s="117"/>
      <c r="GD83" s="117"/>
      <c r="GE83" s="117"/>
      <c r="GF83" s="117"/>
      <c r="GG83" s="117"/>
      <c r="GH83" s="117"/>
      <c r="GI83" s="117"/>
      <c r="GJ83" s="117"/>
      <c r="GK83" s="117"/>
      <c r="GL83" s="117"/>
      <c r="GM83" s="117"/>
      <c r="GN83" s="117"/>
      <c r="GO83" s="117"/>
      <c r="GP83" s="117"/>
      <c r="GQ83" s="117"/>
      <c r="GR83" s="117"/>
      <c r="GS83" s="117"/>
      <c r="GT83" s="117"/>
      <c r="GU83" s="117"/>
      <c r="GV83" s="117"/>
      <c r="GW83" s="117"/>
      <c r="GX83" s="117"/>
      <c r="GY83" s="117"/>
      <c r="GZ83" s="117"/>
      <c r="HA83" s="117"/>
      <c r="HB83" s="117"/>
      <c r="HC83" s="117"/>
      <c r="HD83" s="117"/>
      <c r="HE83" s="117"/>
      <c r="HF83" s="117"/>
      <c r="HG83" s="117"/>
      <c r="HH83" s="117"/>
      <c r="HI83" s="117"/>
      <c r="HJ83" s="117"/>
      <c r="HK83" s="117"/>
      <c r="HL83" s="117"/>
      <c r="HM83" s="117"/>
      <c r="HN83" s="117"/>
      <c r="HO83" s="117"/>
      <c r="HP83" s="117"/>
      <c r="HQ83" s="117"/>
      <c r="HR83" s="117"/>
      <c r="HS83" s="117"/>
      <c r="HT83" s="117"/>
      <c r="HU83" s="117"/>
      <c r="HV83" s="117"/>
      <c r="HW83" s="117"/>
      <c r="HX83" s="117"/>
      <c r="HY83" s="117"/>
      <c r="HZ83" s="117"/>
      <c r="IA83" s="117"/>
      <c r="IB83" s="117"/>
      <c r="IC83" s="117"/>
      <c r="ID83" s="117"/>
      <c r="IE83" s="117"/>
      <c r="IF83" s="117"/>
      <c r="IG83" s="117"/>
      <c r="IH83" s="117"/>
      <c r="II83" s="117"/>
      <c r="IJ83" s="117"/>
      <c r="IK83" s="117"/>
      <c r="IL83" s="117"/>
      <c r="IM83" s="117"/>
      <c r="IN83" s="117"/>
      <c r="IO83" s="117"/>
      <c r="IP83" s="117"/>
      <c r="IQ83" s="117"/>
      <c r="IR83" s="117"/>
      <c r="IS83" s="117"/>
      <c r="IT83" s="117"/>
      <c r="IU83" s="117"/>
      <c r="IV83" s="117"/>
      <c r="IW83" s="117"/>
    </row>
    <row r="84" customFormat="false" ht="12.75" hidden="false" customHeight="false" outlineLevel="0" collapsed="false">
      <c r="A84" s="117"/>
      <c r="B84" s="70" t="s">
        <v>187</v>
      </c>
      <c r="C84" s="118" t="s">
        <v>221</v>
      </c>
      <c r="D84" s="118" t="s">
        <v>302</v>
      </c>
      <c r="E84" s="119" t="n">
        <v>36586</v>
      </c>
      <c r="F84" s="119" t="n">
        <v>36950</v>
      </c>
      <c r="G84" s="70" t="s">
        <v>303</v>
      </c>
      <c r="H84" s="70" t="s">
        <v>306</v>
      </c>
      <c r="I84" s="118" t="s">
        <v>19</v>
      </c>
      <c r="J84" s="120" t="n">
        <v>6.449</v>
      </c>
      <c r="K84" s="121"/>
      <c r="L84" s="121"/>
      <c r="M84" s="121"/>
      <c r="N84" s="121"/>
      <c r="O84" s="122"/>
      <c r="P84" s="121"/>
      <c r="Q84" s="123" t="n">
        <v>66679</v>
      </c>
      <c r="R84" s="123"/>
      <c r="S84" s="118" t="n">
        <v>4</v>
      </c>
      <c r="T84" s="70" t="s">
        <v>309</v>
      </c>
      <c r="U84" s="124" t="n">
        <f aca="false">+S84*J84</f>
        <v>25.796</v>
      </c>
      <c r="V84" s="124"/>
      <c r="W84" s="125" t="n">
        <v>205617</v>
      </c>
      <c r="X84" s="125"/>
      <c r="Y84" s="70"/>
      <c r="Z84" s="126"/>
      <c r="AA84" s="126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7"/>
      <c r="CI84" s="117"/>
      <c r="CJ84" s="117"/>
      <c r="CK84" s="117"/>
      <c r="CL84" s="117"/>
      <c r="CM84" s="117"/>
      <c r="CN84" s="117"/>
      <c r="CO84" s="117"/>
      <c r="CP84" s="117"/>
      <c r="CQ84" s="117"/>
      <c r="CR84" s="117"/>
      <c r="CS84" s="117"/>
      <c r="CT84" s="117"/>
      <c r="CU84" s="117"/>
      <c r="CV84" s="117"/>
      <c r="CW84" s="117"/>
      <c r="CX84" s="117"/>
      <c r="CY84" s="117"/>
      <c r="CZ84" s="117"/>
      <c r="DA84" s="117"/>
      <c r="DB84" s="117"/>
      <c r="DC84" s="117"/>
      <c r="DD84" s="117"/>
      <c r="DE84" s="117"/>
      <c r="DF84" s="117"/>
      <c r="DG84" s="117"/>
      <c r="DH84" s="117"/>
      <c r="DI84" s="117"/>
      <c r="DJ84" s="117"/>
      <c r="DK84" s="117"/>
      <c r="DL84" s="117"/>
      <c r="DM84" s="117"/>
      <c r="DN84" s="117"/>
      <c r="DO84" s="117"/>
      <c r="DP84" s="117"/>
      <c r="DQ84" s="117"/>
      <c r="DR84" s="117"/>
      <c r="DS84" s="117"/>
      <c r="DT84" s="117"/>
      <c r="DU84" s="117"/>
      <c r="DV84" s="117"/>
      <c r="DW84" s="117"/>
      <c r="DX84" s="117"/>
      <c r="DY84" s="117"/>
      <c r="DZ84" s="117"/>
      <c r="EA84" s="117"/>
      <c r="EB84" s="117"/>
      <c r="EC84" s="117"/>
      <c r="ED84" s="117"/>
      <c r="EE84" s="117"/>
      <c r="EF84" s="117"/>
      <c r="EG84" s="117"/>
      <c r="EH84" s="117"/>
      <c r="EI84" s="117"/>
      <c r="EJ84" s="117"/>
      <c r="EK84" s="117"/>
      <c r="EL84" s="117"/>
      <c r="EM84" s="117"/>
      <c r="EN84" s="117"/>
      <c r="EO84" s="117"/>
      <c r="EP84" s="117"/>
      <c r="EQ84" s="117"/>
      <c r="ER84" s="117"/>
      <c r="ES84" s="117"/>
      <c r="ET84" s="117"/>
      <c r="EU84" s="117"/>
      <c r="EV84" s="117"/>
      <c r="EW84" s="117"/>
      <c r="EX84" s="117"/>
      <c r="EY84" s="117"/>
      <c r="EZ84" s="117"/>
      <c r="FA84" s="117"/>
      <c r="FB84" s="117"/>
      <c r="FC84" s="117"/>
      <c r="FD84" s="117"/>
      <c r="FE84" s="117"/>
      <c r="FF84" s="117"/>
      <c r="FG84" s="117"/>
      <c r="FH84" s="117"/>
      <c r="FI84" s="117"/>
      <c r="FJ84" s="117"/>
      <c r="FK84" s="117"/>
      <c r="FL84" s="117"/>
      <c r="FM84" s="117"/>
      <c r="FN84" s="117"/>
      <c r="FO84" s="117"/>
      <c r="FP84" s="117"/>
      <c r="FQ84" s="117"/>
      <c r="FR84" s="117"/>
      <c r="FS84" s="117"/>
      <c r="FT84" s="117"/>
      <c r="FU84" s="117"/>
      <c r="FV84" s="117"/>
      <c r="FW84" s="117"/>
      <c r="FX84" s="117"/>
      <c r="FY84" s="117"/>
      <c r="FZ84" s="117"/>
      <c r="GA84" s="117"/>
      <c r="GB84" s="117"/>
      <c r="GC84" s="117"/>
      <c r="GD84" s="117"/>
      <c r="GE84" s="117"/>
      <c r="GF84" s="117"/>
      <c r="GG84" s="117"/>
      <c r="GH84" s="117"/>
      <c r="GI84" s="117"/>
      <c r="GJ84" s="117"/>
      <c r="GK84" s="117"/>
      <c r="GL84" s="117"/>
      <c r="GM84" s="117"/>
      <c r="GN84" s="117"/>
      <c r="GO84" s="117"/>
      <c r="GP84" s="117"/>
      <c r="GQ84" s="117"/>
      <c r="GR84" s="117"/>
      <c r="GS84" s="117"/>
      <c r="GT84" s="117"/>
      <c r="GU84" s="117"/>
      <c r="GV84" s="117"/>
      <c r="GW84" s="117"/>
      <c r="GX84" s="117"/>
      <c r="GY84" s="117"/>
      <c r="GZ84" s="117"/>
      <c r="HA84" s="117"/>
      <c r="HB84" s="117"/>
      <c r="HC84" s="117"/>
      <c r="HD84" s="117"/>
      <c r="HE84" s="117"/>
      <c r="HF84" s="117"/>
      <c r="HG84" s="117"/>
      <c r="HH84" s="117"/>
      <c r="HI84" s="117"/>
      <c r="HJ84" s="117"/>
      <c r="HK84" s="117"/>
      <c r="HL84" s="117"/>
      <c r="HM84" s="117"/>
      <c r="HN84" s="117"/>
      <c r="HO84" s="117"/>
      <c r="HP84" s="117"/>
      <c r="HQ84" s="117"/>
      <c r="HR84" s="117"/>
      <c r="HS84" s="117"/>
      <c r="HT84" s="117"/>
      <c r="HU84" s="117"/>
      <c r="HV84" s="117"/>
      <c r="HW84" s="117"/>
      <c r="HX84" s="117"/>
      <c r="HY84" s="117"/>
      <c r="HZ84" s="117"/>
      <c r="IA84" s="117"/>
      <c r="IB84" s="117"/>
      <c r="IC84" s="117"/>
      <c r="ID84" s="117"/>
      <c r="IE84" s="117"/>
      <c r="IF84" s="117"/>
      <c r="IG84" s="117"/>
      <c r="IH84" s="117"/>
      <c r="II84" s="117"/>
      <c r="IJ84" s="117"/>
      <c r="IK84" s="117"/>
      <c r="IL84" s="117"/>
      <c r="IM84" s="117"/>
      <c r="IN84" s="117"/>
      <c r="IO84" s="117"/>
      <c r="IP84" s="117"/>
      <c r="IQ84" s="117"/>
      <c r="IR84" s="117"/>
      <c r="IS84" s="117"/>
      <c r="IT84" s="117"/>
      <c r="IU84" s="117"/>
      <c r="IV84" s="117"/>
      <c r="IW84" s="117"/>
    </row>
    <row r="85" customFormat="false" ht="12.75" hidden="false" customHeight="false" outlineLevel="0" collapsed="false">
      <c r="B85" s="104" t="s">
        <v>142</v>
      </c>
      <c r="C85" s="105" t="s">
        <v>142</v>
      </c>
      <c r="D85" s="105" t="s">
        <v>142</v>
      </c>
      <c r="E85" s="107" t="s">
        <v>142</v>
      </c>
      <c r="F85" s="107" t="s">
        <v>142</v>
      </c>
      <c r="G85" s="104" t="s">
        <v>142</v>
      </c>
      <c r="H85" s="108" t="s">
        <v>142</v>
      </c>
      <c r="I85" s="105" t="s">
        <v>142</v>
      </c>
      <c r="J85" s="109"/>
      <c r="K85" s="110"/>
      <c r="L85" s="110"/>
      <c r="M85" s="110"/>
      <c r="N85" s="110"/>
      <c r="O85" s="111"/>
      <c r="P85" s="110"/>
      <c r="Q85" s="112" t="s">
        <v>142</v>
      </c>
      <c r="R85" s="112" t="s">
        <v>142</v>
      </c>
      <c r="S85" s="105" t="n">
        <f aca="false">SUM(S51:S84)</f>
        <v>7713965</v>
      </c>
      <c r="T85" s="104" t="s">
        <v>142</v>
      </c>
      <c r="U85" s="113" t="n">
        <f aca="false">SUM(U36:U84)</f>
        <v>1680021.0797</v>
      </c>
      <c r="V85" s="113" t="n">
        <f aca="false">SUM(V51)</f>
        <v>0</v>
      </c>
      <c r="W85" s="114"/>
      <c r="X85" s="114"/>
      <c r="Y85" s="108"/>
      <c r="Z85" s="89"/>
      <c r="AA85" s="89"/>
    </row>
    <row r="86" customFormat="false" ht="12.75" hidden="false" customHeight="false" outlineLevel="0" collapsed="false">
      <c r="B86" s="80" t="s">
        <v>145</v>
      </c>
      <c r="C86" s="81" t="s">
        <v>146</v>
      </c>
      <c r="D86" s="81" t="s">
        <v>220</v>
      </c>
      <c r="E86" s="82" t="s">
        <v>148</v>
      </c>
      <c r="F86" s="82"/>
      <c r="G86" s="80" t="s">
        <v>149</v>
      </c>
      <c r="H86" s="80" t="s">
        <v>150</v>
      </c>
      <c r="I86" s="81" t="s">
        <v>151</v>
      </c>
      <c r="J86" s="83" t="s">
        <v>152</v>
      </c>
      <c r="K86" s="81" t="s">
        <v>153</v>
      </c>
      <c r="L86" s="81" t="s">
        <v>154</v>
      </c>
      <c r="M86" s="81" t="s">
        <v>155</v>
      </c>
      <c r="N86" s="81" t="s">
        <v>156</v>
      </c>
      <c r="O86" s="84" t="s">
        <v>157</v>
      </c>
      <c r="P86" s="81" t="s">
        <v>158</v>
      </c>
      <c r="Q86" s="85" t="s">
        <v>159</v>
      </c>
      <c r="R86" s="85" t="s">
        <v>160</v>
      </c>
      <c r="S86" s="81" t="s">
        <v>161</v>
      </c>
      <c r="T86" s="80" t="s">
        <v>162</v>
      </c>
      <c r="U86" s="86" t="s">
        <v>163</v>
      </c>
      <c r="V86" s="86" t="s">
        <v>164</v>
      </c>
      <c r="W86" s="87" t="s">
        <v>165</v>
      </c>
      <c r="X86" s="87" t="s">
        <v>166</v>
      </c>
      <c r="Y86" s="88" t="n">
        <f aca="false">+Y58</f>
        <v>0</v>
      </c>
      <c r="Z86" s="89"/>
      <c r="AA86" s="89"/>
    </row>
    <row r="87" customFormat="false" ht="12.75" hidden="false" customHeight="false" outlineLevel="0" collapsed="false">
      <c r="A87" s="100"/>
      <c r="B87" s="58" t="s">
        <v>187</v>
      </c>
      <c r="C87" s="56" t="s">
        <v>310</v>
      </c>
      <c r="D87" s="56" t="s">
        <v>302</v>
      </c>
      <c r="E87" s="57" t="n">
        <v>36192</v>
      </c>
      <c r="F87" s="57" t="n">
        <v>36556</v>
      </c>
      <c r="G87" s="58" t="s">
        <v>311</v>
      </c>
      <c r="H87" s="58" t="s">
        <v>312</v>
      </c>
      <c r="I87" s="56" t="s">
        <v>313</v>
      </c>
      <c r="J87" s="72" t="n">
        <f aca="false">3.145/J$1</f>
        <v>0.101451612903226</v>
      </c>
      <c r="K87" s="61" t="n">
        <v>0.0132</v>
      </c>
      <c r="L87" s="61" t="n">
        <v>0.0022</v>
      </c>
      <c r="M87" s="61" t="n">
        <v>0</v>
      </c>
      <c r="N87" s="61" t="n">
        <v>0</v>
      </c>
      <c r="O87" s="62" t="n">
        <v>0.02116</v>
      </c>
      <c r="P87" s="61" t="n">
        <f aca="false">SUM(J87:N87)</f>
        <v>0.116851612903226</v>
      </c>
      <c r="Q87" s="63" t="n">
        <v>62741</v>
      </c>
      <c r="R87" s="63" t="n">
        <v>62741</v>
      </c>
      <c r="S87" s="56" t="n">
        <v>2</v>
      </c>
      <c r="T87" s="58"/>
      <c r="U87" s="101" t="n">
        <v>0</v>
      </c>
      <c r="V87" s="101"/>
      <c r="W87" s="102"/>
      <c r="X87" s="102" t="n">
        <v>140449</v>
      </c>
      <c r="Y87" s="58" t="s">
        <v>314</v>
      </c>
      <c r="Z87" s="89"/>
      <c r="AA87" s="89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.75" hidden="false" customHeight="false" outlineLevel="0" collapsed="false">
      <c r="A88" s="100"/>
      <c r="B88" s="58" t="s">
        <v>187</v>
      </c>
      <c r="C88" s="56" t="s">
        <v>310</v>
      </c>
      <c r="D88" s="56" t="s">
        <v>302</v>
      </c>
      <c r="E88" s="57" t="n">
        <v>36220</v>
      </c>
      <c r="F88" s="57" t="n">
        <v>36584</v>
      </c>
      <c r="G88" s="58" t="s">
        <v>311</v>
      </c>
      <c r="H88" s="58" t="s">
        <v>312</v>
      </c>
      <c r="I88" s="56" t="s">
        <v>313</v>
      </c>
      <c r="J88" s="72" t="n">
        <f aca="false">3.145/J$1</f>
        <v>0.101451612903226</v>
      </c>
      <c r="K88" s="61" t="n">
        <v>0.0132</v>
      </c>
      <c r="L88" s="61" t="n">
        <v>0.0022</v>
      </c>
      <c r="M88" s="61" t="n">
        <v>0</v>
      </c>
      <c r="N88" s="61" t="n">
        <v>0</v>
      </c>
      <c r="O88" s="62" t="n">
        <v>0.02116</v>
      </c>
      <c r="P88" s="61" t="n">
        <f aca="false">SUM(J88:N88)</f>
        <v>0.116851612903226</v>
      </c>
      <c r="Q88" s="63" t="n">
        <v>62979</v>
      </c>
      <c r="R88" s="63" t="n">
        <v>62979</v>
      </c>
      <c r="S88" s="56" t="n">
        <v>2</v>
      </c>
      <c r="T88" s="58"/>
      <c r="U88" s="101" t="n">
        <v>0</v>
      </c>
      <c r="V88" s="101"/>
      <c r="W88" s="102"/>
      <c r="X88" s="102" t="n">
        <v>156607</v>
      </c>
      <c r="Y88" s="58" t="s">
        <v>314</v>
      </c>
      <c r="Z88" s="89"/>
      <c r="AA88" s="89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.75" hidden="false" customHeight="false" outlineLevel="0" collapsed="false">
      <c r="A89" s="100"/>
      <c r="B89" s="58" t="s">
        <v>187</v>
      </c>
      <c r="C89" s="56" t="s">
        <v>310</v>
      </c>
      <c r="D89" s="56" t="s">
        <v>315</v>
      </c>
      <c r="E89" s="57" t="n">
        <v>36220</v>
      </c>
      <c r="F89" s="57" t="n">
        <v>36585</v>
      </c>
      <c r="G89" s="58" t="s">
        <v>311</v>
      </c>
      <c r="H89" s="58" t="s">
        <v>312</v>
      </c>
      <c r="I89" s="56" t="s">
        <v>313</v>
      </c>
      <c r="J89" s="72" t="n">
        <f aca="false">3.145/J$1</f>
        <v>0.101451612903226</v>
      </c>
      <c r="K89" s="61" t="n">
        <v>0.0132</v>
      </c>
      <c r="L89" s="61" t="n">
        <v>0.0022</v>
      </c>
      <c r="M89" s="61" t="n">
        <v>0</v>
      </c>
      <c r="N89" s="61" t="n">
        <v>0</v>
      </c>
      <c r="O89" s="62" t="n">
        <v>0.02116</v>
      </c>
      <c r="P89" s="61" t="n">
        <f aca="false">SUM(J89:N89)</f>
        <v>0.116851612903226</v>
      </c>
      <c r="Q89" s="63" t="n">
        <v>62981</v>
      </c>
      <c r="R89" s="63" t="n">
        <v>62981</v>
      </c>
      <c r="S89" s="56" t="n">
        <v>2</v>
      </c>
      <c r="T89" s="58"/>
      <c r="U89" s="101" t="n">
        <v>0</v>
      </c>
      <c r="V89" s="101"/>
      <c r="W89" s="102"/>
      <c r="X89" s="102" t="n">
        <v>156609</v>
      </c>
      <c r="Y89" s="58" t="s">
        <v>314</v>
      </c>
      <c r="Z89" s="89"/>
      <c r="AA89" s="89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.75" hidden="false" customHeight="false" outlineLevel="0" collapsed="false">
      <c r="A90" s="100"/>
      <c r="B90" s="58" t="s">
        <v>187</v>
      </c>
      <c r="C90" s="56" t="s">
        <v>310</v>
      </c>
      <c r="D90" s="56" t="s">
        <v>315</v>
      </c>
      <c r="E90" s="57" t="n">
        <v>36251</v>
      </c>
      <c r="F90" s="57" t="n">
        <v>36616</v>
      </c>
      <c r="G90" s="58" t="s">
        <v>311</v>
      </c>
      <c r="H90" s="58" t="s">
        <v>312</v>
      </c>
      <c r="I90" s="56" t="s">
        <v>313</v>
      </c>
      <c r="J90" s="72" t="n">
        <f aca="false">3.145/J$1</f>
        <v>0.101451612903226</v>
      </c>
      <c r="K90" s="61" t="n">
        <v>0.0132</v>
      </c>
      <c r="L90" s="61" t="n">
        <v>0.0022</v>
      </c>
      <c r="M90" s="61" t="n">
        <v>0</v>
      </c>
      <c r="N90" s="61" t="n">
        <v>0</v>
      </c>
      <c r="O90" s="62" t="n">
        <v>0.02116</v>
      </c>
      <c r="P90" s="61" t="n">
        <f aca="false">SUM(J90:N90)</f>
        <v>0.116851612903226</v>
      </c>
      <c r="Q90" s="63" t="n">
        <v>63285</v>
      </c>
      <c r="R90" s="63" t="n">
        <v>63285</v>
      </c>
      <c r="S90" s="56" t="n">
        <v>6</v>
      </c>
      <c r="T90" s="58"/>
      <c r="U90" s="101" t="n">
        <f aca="false">J90*J$1*S90</f>
        <v>18.87</v>
      </c>
      <c r="V90" s="101"/>
      <c r="W90" s="102"/>
      <c r="X90" s="102" t="n">
        <v>156610</v>
      </c>
      <c r="Y90" s="58"/>
      <c r="Z90" s="89"/>
      <c r="AA90" s="89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100"/>
      <c r="FG90" s="100"/>
      <c r="FH90" s="100"/>
      <c r="FI90" s="100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100"/>
      <c r="FU90" s="100"/>
      <c r="FV90" s="100"/>
      <c r="FW90" s="100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100"/>
      <c r="GI90" s="100"/>
      <c r="GJ90" s="100"/>
      <c r="GK90" s="100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100"/>
      <c r="HK90" s="100"/>
      <c r="HL90" s="100"/>
      <c r="HM90" s="100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100"/>
      <c r="HY90" s="100"/>
      <c r="HZ90" s="100"/>
      <c r="IA90" s="100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100"/>
      <c r="IM90" s="100"/>
      <c r="IN90" s="100"/>
      <c r="IO90" s="100"/>
      <c r="IP90" s="100"/>
      <c r="IQ90" s="100"/>
      <c r="IR90" s="100"/>
      <c r="IS90" s="100"/>
      <c r="IT90" s="100"/>
      <c r="IU90" s="100"/>
      <c r="IV90" s="100"/>
      <c r="IW90" s="100"/>
    </row>
    <row r="91" customFormat="false" ht="12.75" hidden="false" customHeight="false" outlineLevel="0" collapsed="false">
      <c r="A91" s="100"/>
      <c r="B91" s="58" t="s">
        <v>187</v>
      </c>
      <c r="C91" s="56" t="s">
        <v>310</v>
      </c>
      <c r="D91" s="56" t="s">
        <v>302</v>
      </c>
      <c r="E91" s="57" t="n">
        <v>36251</v>
      </c>
      <c r="F91" s="57" t="n">
        <v>36616</v>
      </c>
      <c r="G91" s="58" t="s">
        <v>311</v>
      </c>
      <c r="H91" s="58" t="s">
        <v>312</v>
      </c>
      <c r="I91" s="56" t="s">
        <v>313</v>
      </c>
      <c r="J91" s="72" t="n">
        <f aca="false">3.145/J$1</f>
        <v>0.101451612903226</v>
      </c>
      <c r="K91" s="61" t="n">
        <v>0.0132</v>
      </c>
      <c r="L91" s="61" t="n">
        <v>0.0022</v>
      </c>
      <c r="M91" s="61" t="n">
        <v>0</v>
      </c>
      <c r="N91" s="61" t="n">
        <v>0</v>
      </c>
      <c r="O91" s="62" t="n">
        <v>0.02116</v>
      </c>
      <c r="P91" s="61" t="n">
        <f aca="false">SUM(J91:N91)</f>
        <v>0.116851612903226</v>
      </c>
      <c r="Q91" s="63" t="n">
        <v>63287</v>
      </c>
      <c r="R91" s="63" t="n">
        <v>63287</v>
      </c>
      <c r="S91" s="56" t="n">
        <v>47</v>
      </c>
      <c r="T91" s="58"/>
      <c r="U91" s="101" t="n">
        <f aca="false">J91*J$1*S91</f>
        <v>147.815</v>
      </c>
      <c r="V91" s="101"/>
      <c r="W91" s="102"/>
      <c r="X91" s="102" t="n">
        <v>156612</v>
      </c>
      <c r="Y91" s="58"/>
      <c r="Z91" s="89"/>
      <c r="AA91" s="89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100"/>
      <c r="FG91" s="100"/>
      <c r="FH91" s="100"/>
      <c r="FI91" s="100"/>
      <c r="FJ91" s="100"/>
      <c r="FK91" s="100"/>
      <c r="FL91" s="100"/>
      <c r="FM91" s="100"/>
      <c r="FN91" s="100"/>
      <c r="FO91" s="100"/>
      <c r="FP91" s="100"/>
      <c r="FQ91" s="100"/>
      <c r="FR91" s="100"/>
      <c r="FS91" s="100"/>
      <c r="FT91" s="100"/>
      <c r="FU91" s="100"/>
      <c r="FV91" s="100"/>
      <c r="FW91" s="100"/>
      <c r="FX91" s="100"/>
      <c r="FY91" s="100"/>
      <c r="FZ91" s="100"/>
      <c r="GA91" s="100"/>
      <c r="GB91" s="100"/>
      <c r="GC91" s="100"/>
      <c r="GD91" s="100"/>
      <c r="GE91" s="100"/>
      <c r="GF91" s="100"/>
      <c r="GG91" s="100"/>
      <c r="GH91" s="100"/>
      <c r="GI91" s="100"/>
      <c r="GJ91" s="100"/>
      <c r="GK91" s="100"/>
      <c r="GL91" s="100"/>
      <c r="GM91" s="100"/>
      <c r="GN91" s="100"/>
      <c r="GO91" s="100"/>
      <c r="GP91" s="100"/>
      <c r="GQ91" s="100"/>
      <c r="GR91" s="100"/>
      <c r="GS91" s="100"/>
      <c r="GT91" s="100"/>
      <c r="GU91" s="100"/>
      <c r="GV91" s="100"/>
      <c r="GW91" s="100"/>
      <c r="GX91" s="100"/>
      <c r="GY91" s="100"/>
      <c r="GZ91" s="100"/>
      <c r="HA91" s="100"/>
      <c r="HB91" s="100"/>
      <c r="HC91" s="100"/>
      <c r="HD91" s="100"/>
      <c r="HE91" s="100"/>
      <c r="HF91" s="100"/>
      <c r="HG91" s="100"/>
      <c r="HH91" s="100"/>
      <c r="HI91" s="100"/>
      <c r="HJ91" s="100"/>
      <c r="HK91" s="100"/>
      <c r="HL91" s="100"/>
      <c r="HM91" s="100"/>
      <c r="HN91" s="100"/>
      <c r="HO91" s="100"/>
      <c r="HP91" s="100"/>
      <c r="HQ91" s="100"/>
      <c r="HR91" s="100"/>
      <c r="HS91" s="100"/>
      <c r="HT91" s="100"/>
      <c r="HU91" s="100"/>
      <c r="HV91" s="100"/>
      <c r="HW91" s="100"/>
      <c r="HX91" s="100"/>
      <c r="HY91" s="100"/>
      <c r="HZ91" s="100"/>
      <c r="IA91" s="100"/>
      <c r="IB91" s="100"/>
      <c r="IC91" s="100"/>
      <c r="ID91" s="100"/>
      <c r="IE91" s="100"/>
      <c r="IF91" s="100"/>
      <c r="IG91" s="100"/>
      <c r="IH91" s="100"/>
      <c r="II91" s="100"/>
      <c r="IJ91" s="100"/>
      <c r="IK91" s="100"/>
      <c r="IL91" s="100"/>
      <c r="IM91" s="100"/>
      <c r="IN91" s="100"/>
      <c r="IO91" s="100"/>
      <c r="IP91" s="100"/>
      <c r="IQ91" s="100"/>
      <c r="IR91" s="100"/>
      <c r="IS91" s="100"/>
      <c r="IT91" s="100"/>
      <c r="IU91" s="100"/>
      <c r="IV91" s="100"/>
      <c r="IW91" s="100"/>
    </row>
    <row r="92" customFormat="false" ht="12.75" hidden="false" customHeight="false" outlineLevel="0" collapsed="false">
      <c r="A92" s="100"/>
      <c r="B92" s="58" t="s">
        <v>187</v>
      </c>
      <c r="C92" s="56" t="s">
        <v>310</v>
      </c>
      <c r="D92" s="56" t="s">
        <v>315</v>
      </c>
      <c r="E92" s="57" t="n">
        <v>36281</v>
      </c>
      <c r="F92" s="57" t="n">
        <v>36646</v>
      </c>
      <c r="G92" s="58" t="s">
        <v>311</v>
      </c>
      <c r="H92" s="58" t="s">
        <v>312</v>
      </c>
      <c r="I92" s="56" t="s">
        <v>313</v>
      </c>
      <c r="J92" s="72" t="n">
        <f aca="false">3.145/J$1</f>
        <v>0.101451612903226</v>
      </c>
      <c r="K92" s="61" t="n">
        <v>0.0132</v>
      </c>
      <c r="L92" s="61" t="n">
        <v>0.0022</v>
      </c>
      <c r="M92" s="61" t="n">
        <v>0</v>
      </c>
      <c r="N92" s="61" t="n">
        <v>0</v>
      </c>
      <c r="O92" s="62" t="n">
        <v>0.02116</v>
      </c>
      <c r="P92" s="61" t="n">
        <f aca="false">SUM(J92:N92)</f>
        <v>0.116851612903226</v>
      </c>
      <c r="Q92" s="63" t="n">
        <v>63562</v>
      </c>
      <c r="R92" s="63" t="n">
        <v>63562</v>
      </c>
      <c r="S92" s="56" t="n">
        <v>34</v>
      </c>
      <c r="T92" s="58"/>
      <c r="U92" s="101" t="n">
        <f aca="false">J92*J$1*S92</f>
        <v>106.93</v>
      </c>
      <c r="V92" s="101"/>
      <c r="W92" s="102"/>
      <c r="X92" s="102" t="n">
        <v>156613</v>
      </c>
      <c r="Y92" s="58"/>
      <c r="Z92" s="89"/>
      <c r="AA92" s="89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100"/>
      <c r="FD92" s="100"/>
      <c r="FE92" s="100"/>
      <c r="FF92" s="100"/>
      <c r="FG92" s="100"/>
      <c r="FH92" s="100"/>
      <c r="FI92" s="100"/>
      <c r="FJ92" s="100"/>
      <c r="FK92" s="100"/>
      <c r="FL92" s="100"/>
      <c r="FM92" s="100"/>
      <c r="FN92" s="100"/>
      <c r="FO92" s="100"/>
      <c r="FP92" s="100"/>
      <c r="FQ92" s="100"/>
      <c r="FR92" s="100"/>
      <c r="FS92" s="100"/>
      <c r="FT92" s="100"/>
      <c r="FU92" s="100"/>
      <c r="FV92" s="100"/>
      <c r="FW92" s="100"/>
      <c r="FX92" s="100"/>
      <c r="FY92" s="100"/>
      <c r="FZ92" s="100"/>
      <c r="GA92" s="100"/>
      <c r="GB92" s="100"/>
      <c r="GC92" s="100"/>
      <c r="GD92" s="100"/>
      <c r="GE92" s="100"/>
      <c r="GF92" s="100"/>
      <c r="GG92" s="100"/>
      <c r="GH92" s="100"/>
      <c r="GI92" s="100"/>
      <c r="GJ92" s="100"/>
      <c r="GK92" s="100"/>
      <c r="GL92" s="100"/>
      <c r="GM92" s="100"/>
      <c r="GN92" s="100"/>
      <c r="GO92" s="100"/>
      <c r="GP92" s="100"/>
      <c r="GQ92" s="100"/>
      <c r="GR92" s="100"/>
      <c r="GS92" s="100"/>
      <c r="GT92" s="100"/>
      <c r="GU92" s="100"/>
      <c r="GV92" s="100"/>
      <c r="GW92" s="100"/>
      <c r="GX92" s="100"/>
      <c r="GY92" s="100"/>
      <c r="GZ92" s="100"/>
      <c r="HA92" s="100"/>
      <c r="HB92" s="100"/>
      <c r="HC92" s="100"/>
      <c r="HD92" s="100"/>
      <c r="HE92" s="100"/>
      <c r="HF92" s="100"/>
      <c r="HG92" s="100"/>
      <c r="HH92" s="100"/>
      <c r="HI92" s="100"/>
      <c r="HJ92" s="100"/>
      <c r="HK92" s="100"/>
      <c r="HL92" s="100"/>
      <c r="HM92" s="100"/>
      <c r="HN92" s="100"/>
      <c r="HO92" s="100"/>
      <c r="HP92" s="100"/>
      <c r="HQ92" s="100"/>
      <c r="HR92" s="100"/>
      <c r="HS92" s="100"/>
      <c r="HT92" s="100"/>
      <c r="HU92" s="100"/>
      <c r="HV92" s="100"/>
      <c r="HW92" s="100"/>
      <c r="HX92" s="100"/>
      <c r="HY92" s="100"/>
      <c r="HZ92" s="100"/>
      <c r="IA92" s="100"/>
      <c r="IB92" s="100"/>
      <c r="IC92" s="100"/>
      <c r="ID92" s="100"/>
      <c r="IE92" s="100"/>
      <c r="IF92" s="100"/>
      <c r="IG92" s="100"/>
      <c r="IH92" s="100"/>
      <c r="II92" s="100"/>
      <c r="IJ92" s="100"/>
      <c r="IK92" s="100"/>
      <c r="IL92" s="100"/>
      <c r="IM92" s="100"/>
      <c r="IN92" s="100"/>
      <c r="IO92" s="100"/>
      <c r="IP92" s="100"/>
      <c r="IQ92" s="100"/>
      <c r="IR92" s="100"/>
      <c r="IS92" s="100"/>
      <c r="IT92" s="100"/>
      <c r="IU92" s="100"/>
      <c r="IV92" s="100"/>
      <c r="IW92" s="100"/>
    </row>
    <row r="93" customFormat="false" ht="12.75" hidden="false" customHeight="false" outlineLevel="0" collapsed="false">
      <c r="A93" s="100"/>
      <c r="B93" s="58" t="s">
        <v>187</v>
      </c>
      <c r="C93" s="56" t="s">
        <v>310</v>
      </c>
      <c r="D93" s="56" t="s">
        <v>315</v>
      </c>
      <c r="E93" s="57" t="n">
        <v>36312</v>
      </c>
      <c r="F93" s="57" t="n">
        <v>36677</v>
      </c>
      <c r="G93" s="58" t="s">
        <v>311</v>
      </c>
      <c r="H93" s="58" t="s">
        <v>312</v>
      </c>
      <c r="I93" s="56" t="s">
        <v>313</v>
      </c>
      <c r="J93" s="72" t="n">
        <f aca="false">3.145/J$1</f>
        <v>0.101451612903226</v>
      </c>
      <c r="K93" s="61" t="n">
        <v>0.0132</v>
      </c>
      <c r="L93" s="61" t="n">
        <v>0.0022</v>
      </c>
      <c r="M93" s="61" t="n">
        <v>0</v>
      </c>
      <c r="N93" s="61" t="n">
        <v>0</v>
      </c>
      <c r="O93" s="62" t="n">
        <v>0.02116</v>
      </c>
      <c r="P93" s="61" t="n">
        <f aca="false">SUM(J93:N93)</f>
        <v>0.116851612903226</v>
      </c>
      <c r="Q93" s="63" t="n">
        <v>63823</v>
      </c>
      <c r="R93" s="63" t="n">
        <v>63823</v>
      </c>
      <c r="S93" s="56" t="n">
        <v>310</v>
      </c>
      <c r="T93" s="58"/>
      <c r="U93" s="101" t="n">
        <f aca="false">J93*J$1*S93</f>
        <v>974.95</v>
      </c>
      <c r="V93" s="101"/>
      <c r="W93" s="102"/>
      <c r="X93" s="102" t="n">
        <v>156615</v>
      </c>
      <c r="Y93" s="58"/>
      <c r="Z93" s="89"/>
      <c r="AA93" s="89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  <c r="GD93" s="100"/>
      <c r="GE93" s="100"/>
      <c r="GF93" s="100"/>
      <c r="GG93" s="100"/>
      <c r="GH93" s="100"/>
      <c r="GI93" s="100"/>
      <c r="GJ93" s="100"/>
      <c r="GK93" s="100"/>
      <c r="GL93" s="100"/>
      <c r="GM93" s="100"/>
      <c r="GN93" s="100"/>
      <c r="GO93" s="100"/>
      <c r="GP93" s="100"/>
      <c r="GQ93" s="100"/>
      <c r="GR93" s="100"/>
      <c r="GS93" s="100"/>
      <c r="GT93" s="100"/>
      <c r="GU93" s="100"/>
      <c r="GV93" s="100"/>
      <c r="GW93" s="100"/>
      <c r="GX93" s="100"/>
      <c r="GY93" s="100"/>
      <c r="GZ93" s="100"/>
      <c r="HA93" s="100"/>
      <c r="HB93" s="100"/>
      <c r="HC93" s="100"/>
      <c r="HD93" s="100"/>
      <c r="HE93" s="100"/>
      <c r="HF93" s="100"/>
      <c r="HG93" s="100"/>
      <c r="HH93" s="100"/>
      <c r="HI93" s="100"/>
      <c r="HJ93" s="100"/>
      <c r="HK93" s="100"/>
      <c r="HL93" s="100"/>
      <c r="HM93" s="100"/>
      <c r="HN93" s="100"/>
      <c r="HO93" s="100"/>
      <c r="HP93" s="100"/>
      <c r="HQ93" s="100"/>
      <c r="HR93" s="100"/>
      <c r="HS93" s="100"/>
      <c r="HT93" s="100"/>
      <c r="HU93" s="100"/>
      <c r="HV93" s="100"/>
      <c r="HW93" s="100"/>
      <c r="HX93" s="100"/>
      <c r="HY93" s="100"/>
      <c r="HZ93" s="100"/>
      <c r="IA93" s="100"/>
      <c r="IB93" s="100"/>
      <c r="IC93" s="100"/>
      <c r="ID93" s="100"/>
      <c r="IE93" s="100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  <c r="IU93" s="100"/>
      <c r="IV93" s="100"/>
      <c r="IW93" s="100"/>
    </row>
    <row r="94" customFormat="false" ht="12.75" hidden="false" customHeight="false" outlineLevel="0" collapsed="false">
      <c r="A94" s="100"/>
      <c r="B94" s="58" t="s">
        <v>187</v>
      </c>
      <c r="C94" s="56" t="s">
        <v>310</v>
      </c>
      <c r="D94" s="56" t="s">
        <v>302</v>
      </c>
      <c r="E94" s="57" t="n">
        <v>36312</v>
      </c>
      <c r="F94" s="57" t="n">
        <v>36677</v>
      </c>
      <c r="G94" s="58" t="s">
        <v>311</v>
      </c>
      <c r="H94" s="58" t="s">
        <v>312</v>
      </c>
      <c r="I94" s="56" t="s">
        <v>313</v>
      </c>
      <c r="J94" s="72" t="n">
        <f aca="false">3.145/J$1</f>
        <v>0.101451612903226</v>
      </c>
      <c r="K94" s="61" t="n">
        <v>0.0132</v>
      </c>
      <c r="L94" s="61" t="n">
        <v>0.0022</v>
      </c>
      <c r="M94" s="61" t="n">
        <v>0</v>
      </c>
      <c r="N94" s="61" t="n">
        <v>0</v>
      </c>
      <c r="O94" s="62" t="n">
        <v>0.02116</v>
      </c>
      <c r="P94" s="61" t="n">
        <f aca="false">SUM(J94:N94)</f>
        <v>0.116851612903226</v>
      </c>
      <c r="Q94" s="63" t="n">
        <v>63826</v>
      </c>
      <c r="R94" s="63" t="n">
        <v>63826</v>
      </c>
      <c r="S94" s="56" t="n">
        <v>218</v>
      </c>
      <c r="T94" s="58"/>
      <c r="U94" s="101" t="n">
        <f aca="false">J94*J$1*S94</f>
        <v>685.61</v>
      </c>
      <c r="V94" s="101"/>
      <c r="W94" s="102"/>
      <c r="X94" s="102" t="n">
        <v>156617</v>
      </c>
      <c r="Y94" s="58"/>
      <c r="Z94" s="89"/>
      <c r="AA94" s="89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100"/>
      <c r="GI94" s="100"/>
      <c r="GJ94" s="100"/>
      <c r="GK94" s="100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100"/>
      <c r="GW94" s="100"/>
      <c r="GX94" s="100"/>
      <c r="GY94" s="100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100"/>
      <c r="HK94" s="100"/>
      <c r="HL94" s="100"/>
      <c r="HM94" s="100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0"/>
      <c r="IH94" s="100"/>
      <c r="II94" s="100"/>
      <c r="IJ94" s="100"/>
      <c r="IK94" s="100"/>
      <c r="IL94" s="100"/>
      <c r="IM94" s="100"/>
      <c r="IN94" s="100"/>
      <c r="IO94" s="100"/>
      <c r="IP94" s="100"/>
      <c r="IQ94" s="100"/>
      <c r="IR94" s="100"/>
      <c r="IS94" s="100"/>
      <c r="IT94" s="100"/>
      <c r="IU94" s="100"/>
      <c r="IV94" s="100"/>
      <c r="IW94" s="100"/>
    </row>
    <row r="95" customFormat="false" ht="12.75" hidden="false" customHeight="false" outlineLevel="0" collapsed="false">
      <c r="A95" s="100"/>
      <c r="B95" s="58" t="s">
        <v>187</v>
      </c>
      <c r="C95" s="56" t="s">
        <v>310</v>
      </c>
      <c r="D95" s="56" t="s">
        <v>302</v>
      </c>
      <c r="E95" s="57" t="n">
        <v>36342</v>
      </c>
      <c r="F95" s="57" t="n">
        <v>36707</v>
      </c>
      <c r="G95" s="58" t="s">
        <v>311</v>
      </c>
      <c r="H95" s="58" t="s">
        <v>312</v>
      </c>
      <c r="I95" s="56" t="s">
        <v>313</v>
      </c>
      <c r="J95" s="72" t="n">
        <f aca="false">3.145/J$1</f>
        <v>0.101451612903226</v>
      </c>
      <c r="K95" s="61" t="n">
        <v>0.0132</v>
      </c>
      <c r="L95" s="61" t="n">
        <v>0.0022</v>
      </c>
      <c r="M95" s="61" t="n">
        <v>0</v>
      </c>
      <c r="N95" s="61" t="n">
        <v>0</v>
      </c>
      <c r="O95" s="62" t="n">
        <v>0.02116</v>
      </c>
      <c r="P95" s="61" t="n">
        <f aca="false">SUM(J95:N95)</f>
        <v>0.116851612903226</v>
      </c>
      <c r="Q95" s="63" t="n">
        <v>64033</v>
      </c>
      <c r="R95" s="63" t="n">
        <v>64033</v>
      </c>
      <c r="S95" s="56" t="n">
        <v>1</v>
      </c>
      <c r="T95" s="58"/>
      <c r="U95" s="101" t="n">
        <f aca="false">J95*J$1*S95</f>
        <v>3.145</v>
      </c>
      <c r="V95" s="101"/>
      <c r="W95" s="102"/>
      <c r="X95" s="102" t="n">
        <v>156618</v>
      </c>
      <c r="Y95" s="58"/>
      <c r="Z95" s="89"/>
      <c r="AA95" s="89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100"/>
      <c r="GE95" s="100"/>
      <c r="GF95" s="100"/>
      <c r="GG95" s="100"/>
      <c r="GH95" s="100"/>
      <c r="GI95" s="100"/>
      <c r="GJ95" s="100"/>
      <c r="GK95" s="100"/>
      <c r="GL95" s="100"/>
      <c r="GM95" s="100"/>
      <c r="GN95" s="100"/>
      <c r="GO95" s="100"/>
      <c r="GP95" s="100"/>
      <c r="GQ95" s="100"/>
      <c r="GR95" s="100"/>
      <c r="GS95" s="100"/>
      <c r="GT95" s="100"/>
      <c r="GU95" s="100"/>
      <c r="GV95" s="100"/>
      <c r="GW95" s="100"/>
      <c r="GX95" s="100"/>
      <c r="GY95" s="100"/>
      <c r="GZ95" s="100"/>
      <c r="HA95" s="100"/>
      <c r="HB95" s="100"/>
      <c r="HC95" s="100"/>
      <c r="HD95" s="100"/>
      <c r="HE95" s="100"/>
      <c r="HF95" s="100"/>
      <c r="HG95" s="100"/>
      <c r="HH95" s="100"/>
      <c r="HI95" s="100"/>
      <c r="HJ95" s="100"/>
      <c r="HK95" s="100"/>
      <c r="HL95" s="100"/>
      <c r="HM95" s="100"/>
      <c r="HN95" s="100"/>
      <c r="HO95" s="100"/>
      <c r="HP95" s="100"/>
      <c r="HQ95" s="100"/>
      <c r="HR95" s="100"/>
      <c r="HS95" s="100"/>
      <c r="HT95" s="100"/>
      <c r="HU95" s="100"/>
      <c r="HV95" s="100"/>
      <c r="HW95" s="100"/>
      <c r="HX95" s="100"/>
      <c r="HY95" s="100"/>
      <c r="HZ95" s="100"/>
      <c r="IA95" s="100"/>
      <c r="IB95" s="100"/>
      <c r="IC95" s="100"/>
      <c r="ID95" s="100"/>
      <c r="IE95" s="100"/>
      <c r="IF95" s="100"/>
      <c r="IG95" s="100"/>
      <c r="IH95" s="100"/>
      <c r="II95" s="100"/>
      <c r="IJ95" s="100"/>
      <c r="IK95" s="100"/>
      <c r="IL95" s="100"/>
      <c r="IM95" s="100"/>
      <c r="IN95" s="100"/>
      <c r="IO95" s="100"/>
      <c r="IP95" s="100"/>
      <c r="IQ95" s="100"/>
      <c r="IR95" s="100"/>
      <c r="IS95" s="100"/>
      <c r="IT95" s="100"/>
      <c r="IU95" s="100"/>
      <c r="IV95" s="100"/>
      <c r="IW95" s="100"/>
    </row>
    <row r="96" customFormat="false" ht="12.75" hidden="false" customHeight="false" outlineLevel="0" collapsed="false">
      <c r="A96" s="100"/>
      <c r="B96" s="58" t="s">
        <v>187</v>
      </c>
      <c r="C96" s="56" t="s">
        <v>310</v>
      </c>
      <c r="D96" s="56" t="s">
        <v>315</v>
      </c>
      <c r="E96" s="57" t="n">
        <v>36342</v>
      </c>
      <c r="F96" s="57" t="n">
        <v>36707</v>
      </c>
      <c r="G96" s="58" t="s">
        <v>311</v>
      </c>
      <c r="H96" s="58" t="s">
        <v>312</v>
      </c>
      <c r="I96" s="56" t="s">
        <v>313</v>
      </c>
      <c r="J96" s="72" t="n">
        <f aca="false">3.145/J$1</f>
        <v>0.101451612903226</v>
      </c>
      <c r="K96" s="61" t="n">
        <v>0.0132</v>
      </c>
      <c r="L96" s="61" t="n">
        <v>0.0022</v>
      </c>
      <c r="M96" s="61" t="n">
        <v>0</v>
      </c>
      <c r="N96" s="61" t="n">
        <v>0</v>
      </c>
      <c r="O96" s="62" t="n">
        <v>0.02116</v>
      </c>
      <c r="P96" s="61" t="n">
        <f aca="false">SUM(J96:N96)</f>
        <v>0.116851612903226</v>
      </c>
      <c r="Q96" s="63" t="n">
        <v>64035</v>
      </c>
      <c r="R96" s="63" t="n">
        <v>64035</v>
      </c>
      <c r="S96" s="56" t="n">
        <v>931</v>
      </c>
      <c r="T96" s="58"/>
      <c r="U96" s="101" t="n">
        <f aca="false">J96*J$1*S96</f>
        <v>2927.995</v>
      </c>
      <c r="V96" s="101"/>
      <c r="W96" s="102"/>
      <c r="X96" s="102" t="n">
        <v>156620</v>
      </c>
      <c r="Y96" s="58"/>
      <c r="Z96" s="89"/>
      <c r="AA96" s="89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100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100"/>
      <c r="FJ96" s="100"/>
      <c r="FK96" s="100"/>
      <c r="FL96" s="100"/>
      <c r="FM96" s="100"/>
      <c r="FN96" s="100"/>
      <c r="FO96" s="100"/>
      <c r="FP96" s="100"/>
      <c r="FQ96" s="100"/>
      <c r="FR96" s="100"/>
      <c r="FS96" s="100"/>
      <c r="FT96" s="100"/>
      <c r="FU96" s="100"/>
      <c r="FV96" s="100"/>
      <c r="FW96" s="100"/>
      <c r="FX96" s="100"/>
      <c r="FY96" s="100"/>
      <c r="FZ96" s="100"/>
      <c r="GA96" s="100"/>
      <c r="GB96" s="100"/>
      <c r="GC96" s="100"/>
      <c r="GD96" s="100"/>
      <c r="GE96" s="100"/>
      <c r="GF96" s="100"/>
      <c r="GG96" s="100"/>
      <c r="GH96" s="100"/>
      <c r="GI96" s="100"/>
      <c r="GJ96" s="100"/>
      <c r="GK96" s="100"/>
      <c r="GL96" s="100"/>
      <c r="GM96" s="100"/>
      <c r="GN96" s="100"/>
      <c r="GO96" s="100"/>
      <c r="GP96" s="100"/>
      <c r="GQ96" s="100"/>
      <c r="GR96" s="100"/>
      <c r="GS96" s="100"/>
      <c r="GT96" s="100"/>
      <c r="GU96" s="100"/>
      <c r="GV96" s="100"/>
      <c r="GW96" s="100"/>
      <c r="GX96" s="100"/>
      <c r="GY96" s="100"/>
      <c r="GZ96" s="100"/>
      <c r="HA96" s="100"/>
      <c r="HB96" s="100"/>
      <c r="HC96" s="100"/>
      <c r="HD96" s="100"/>
      <c r="HE96" s="100"/>
      <c r="HF96" s="100"/>
      <c r="HG96" s="100"/>
      <c r="HH96" s="100"/>
      <c r="HI96" s="100"/>
      <c r="HJ96" s="100"/>
      <c r="HK96" s="100"/>
      <c r="HL96" s="100"/>
      <c r="HM96" s="100"/>
      <c r="HN96" s="100"/>
      <c r="HO96" s="100"/>
      <c r="HP96" s="100"/>
      <c r="HQ96" s="100"/>
      <c r="HR96" s="100"/>
      <c r="HS96" s="100"/>
      <c r="HT96" s="100"/>
      <c r="HU96" s="100"/>
      <c r="HV96" s="100"/>
      <c r="HW96" s="100"/>
      <c r="HX96" s="100"/>
      <c r="HY96" s="100"/>
      <c r="HZ96" s="100"/>
      <c r="IA96" s="100"/>
      <c r="IB96" s="100"/>
      <c r="IC96" s="100"/>
      <c r="ID96" s="100"/>
      <c r="IE96" s="100"/>
      <c r="IF96" s="100"/>
      <c r="IG96" s="100"/>
      <c r="IH96" s="100"/>
      <c r="II96" s="100"/>
      <c r="IJ96" s="100"/>
      <c r="IK96" s="100"/>
      <c r="IL96" s="100"/>
      <c r="IM96" s="100"/>
      <c r="IN96" s="100"/>
      <c r="IO96" s="100"/>
      <c r="IP96" s="100"/>
      <c r="IQ96" s="100"/>
      <c r="IR96" s="100"/>
      <c r="IS96" s="100"/>
      <c r="IT96" s="100"/>
      <c r="IU96" s="100"/>
      <c r="IV96" s="100"/>
      <c r="IW96" s="100"/>
    </row>
    <row r="97" customFormat="false" ht="12.75" hidden="false" customHeight="false" outlineLevel="0" collapsed="false">
      <c r="A97" s="100"/>
      <c r="B97" s="58" t="s">
        <v>187</v>
      </c>
      <c r="C97" s="56" t="s">
        <v>310</v>
      </c>
      <c r="D97" s="56" t="s">
        <v>302</v>
      </c>
      <c r="E97" s="57" t="n">
        <v>36373</v>
      </c>
      <c r="F97" s="57" t="n">
        <v>36738</v>
      </c>
      <c r="G97" s="58" t="s">
        <v>311</v>
      </c>
      <c r="H97" s="58" t="s">
        <v>312</v>
      </c>
      <c r="I97" s="56" t="s">
        <v>313</v>
      </c>
      <c r="J97" s="72" t="n">
        <f aca="false">3.145/J$1</f>
        <v>0.101451612903226</v>
      </c>
      <c r="K97" s="61" t="n">
        <v>0.0132</v>
      </c>
      <c r="L97" s="61" t="n">
        <v>0.0022</v>
      </c>
      <c r="M97" s="61" t="n">
        <v>0</v>
      </c>
      <c r="N97" s="61" t="n">
        <v>0</v>
      </c>
      <c r="O97" s="62" t="n">
        <v>0.02116</v>
      </c>
      <c r="P97" s="61" t="n">
        <f aca="false">SUM(J97:N97)</f>
        <v>0.116851612903226</v>
      </c>
      <c r="Q97" s="63" t="n">
        <v>64332</v>
      </c>
      <c r="R97" s="63" t="n">
        <v>64332</v>
      </c>
      <c r="S97" s="56" t="n">
        <v>12</v>
      </c>
      <c r="T97" s="58"/>
      <c r="U97" s="101" t="n">
        <f aca="false">J97*J$1*S97</f>
        <v>37.74</v>
      </c>
      <c r="V97" s="101"/>
      <c r="W97" s="102"/>
      <c r="X97" s="102" t="n">
        <v>156621</v>
      </c>
      <c r="Y97" s="58"/>
      <c r="Z97" s="89"/>
      <c r="AA97" s="89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100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  <c r="FQ97" s="100"/>
      <c r="FR97" s="100"/>
      <c r="FS97" s="100"/>
      <c r="FT97" s="100"/>
      <c r="FU97" s="100"/>
      <c r="FV97" s="100"/>
      <c r="FW97" s="100"/>
      <c r="FX97" s="100"/>
      <c r="FY97" s="100"/>
      <c r="FZ97" s="100"/>
      <c r="GA97" s="100"/>
      <c r="GB97" s="100"/>
      <c r="GC97" s="100"/>
      <c r="GD97" s="100"/>
      <c r="GE97" s="100"/>
      <c r="GF97" s="100"/>
      <c r="GG97" s="100"/>
      <c r="GH97" s="100"/>
      <c r="GI97" s="100"/>
      <c r="GJ97" s="100"/>
      <c r="GK97" s="100"/>
      <c r="GL97" s="100"/>
      <c r="GM97" s="100"/>
      <c r="GN97" s="100"/>
      <c r="GO97" s="100"/>
      <c r="GP97" s="100"/>
      <c r="GQ97" s="100"/>
      <c r="GR97" s="100"/>
      <c r="GS97" s="100"/>
      <c r="GT97" s="100"/>
      <c r="GU97" s="100"/>
      <c r="GV97" s="100"/>
      <c r="GW97" s="100"/>
      <c r="GX97" s="100"/>
      <c r="GY97" s="100"/>
      <c r="GZ97" s="100"/>
      <c r="HA97" s="100"/>
      <c r="HB97" s="100"/>
      <c r="HC97" s="100"/>
      <c r="HD97" s="100"/>
      <c r="HE97" s="100"/>
      <c r="HF97" s="100"/>
      <c r="HG97" s="100"/>
      <c r="HH97" s="100"/>
      <c r="HI97" s="100"/>
      <c r="HJ97" s="100"/>
      <c r="HK97" s="100"/>
      <c r="HL97" s="100"/>
      <c r="HM97" s="100"/>
      <c r="HN97" s="100"/>
      <c r="HO97" s="100"/>
      <c r="HP97" s="100"/>
      <c r="HQ97" s="100"/>
      <c r="HR97" s="100"/>
      <c r="HS97" s="100"/>
      <c r="HT97" s="100"/>
      <c r="HU97" s="100"/>
      <c r="HV97" s="100"/>
      <c r="HW97" s="100"/>
      <c r="HX97" s="100"/>
      <c r="HY97" s="100"/>
      <c r="HZ97" s="100"/>
      <c r="IA97" s="100"/>
      <c r="IB97" s="100"/>
      <c r="IC97" s="100"/>
      <c r="ID97" s="100"/>
      <c r="IE97" s="100"/>
      <c r="IF97" s="100"/>
      <c r="IG97" s="100"/>
      <c r="IH97" s="100"/>
      <c r="II97" s="100"/>
      <c r="IJ97" s="100"/>
      <c r="IK97" s="100"/>
      <c r="IL97" s="100"/>
      <c r="IM97" s="100"/>
      <c r="IN97" s="100"/>
      <c r="IO97" s="100"/>
      <c r="IP97" s="100"/>
      <c r="IQ97" s="100"/>
      <c r="IR97" s="100"/>
      <c r="IS97" s="100"/>
      <c r="IT97" s="100"/>
      <c r="IU97" s="100"/>
      <c r="IV97" s="100"/>
      <c r="IW97" s="100"/>
    </row>
    <row r="98" customFormat="false" ht="12.75" hidden="false" customHeight="false" outlineLevel="0" collapsed="false">
      <c r="A98" s="100"/>
      <c r="B98" s="58" t="s">
        <v>187</v>
      </c>
      <c r="C98" s="56" t="s">
        <v>310</v>
      </c>
      <c r="D98" s="56" t="s">
        <v>315</v>
      </c>
      <c r="E98" s="57" t="n">
        <v>36373</v>
      </c>
      <c r="F98" s="57" t="n">
        <v>36738</v>
      </c>
      <c r="G98" s="58" t="s">
        <v>311</v>
      </c>
      <c r="H98" s="58" t="s">
        <v>312</v>
      </c>
      <c r="I98" s="56" t="s">
        <v>313</v>
      </c>
      <c r="J98" s="72" t="n">
        <f aca="false">3.145/J$1</f>
        <v>0.101451612903226</v>
      </c>
      <c r="K98" s="61" t="n">
        <v>0.0132</v>
      </c>
      <c r="L98" s="61" t="n">
        <v>0.0022</v>
      </c>
      <c r="M98" s="61" t="n">
        <v>0</v>
      </c>
      <c r="N98" s="61" t="n">
        <v>0</v>
      </c>
      <c r="O98" s="62" t="n">
        <v>0.02116</v>
      </c>
      <c r="P98" s="61" t="n">
        <f aca="false">SUM(J98:N98)</f>
        <v>0.116851612903226</v>
      </c>
      <c r="Q98" s="63" t="n">
        <v>64334</v>
      </c>
      <c r="R98" s="63" t="n">
        <v>64334</v>
      </c>
      <c r="S98" s="56" t="n">
        <v>52</v>
      </c>
      <c r="T98" s="58"/>
      <c r="U98" s="101" t="n">
        <f aca="false">J98*J$1*S98</f>
        <v>163.54</v>
      </c>
      <c r="V98" s="101"/>
      <c r="W98" s="102" t="n">
        <v>221878</v>
      </c>
      <c r="X98" s="102"/>
      <c r="Y98" s="58"/>
      <c r="Z98" s="89"/>
      <c r="AA98" s="89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100"/>
      <c r="GE98" s="100"/>
      <c r="GF98" s="100"/>
      <c r="GG98" s="100"/>
      <c r="GH98" s="100"/>
      <c r="GI98" s="100"/>
      <c r="GJ98" s="100"/>
      <c r="GK98" s="100"/>
      <c r="GL98" s="100"/>
      <c r="GM98" s="100"/>
      <c r="GN98" s="100"/>
      <c r="GO98" s="100"/>
      <c r="GP98" s="100"/>
      <c r="GQ98" s="100"/>
      <c r="GR98" s="100"/>
      <c r="GS98" s="100"/>
      <c r="GT98" s="100"/>
      <c r="GU98" s="100"/>
      <c r="GV98" s="100"/>
      <c r="GW98" s="100"/>
      <c r="GX98" s="100"/>
      <c r="GY98" s="100"/>
      <c r="GZ98" s="100"/>
      <c r="HA98" s="100"/>
      <c r="HB98" s="100"/>
      <c r="HC98" s="100"/>
      <c r="HD98" s="100"/>
      <c r="HE98" s="100"/>
      <c r="HF98" s="100"/>
      <c r="HG98" s="100"/>
      <c r="HH98" s="100"/>
      <c r="HI98" s="100"/>
      <c r="HJ98" s="100"/>
      <c r="HK98" s="100"/>
      <c r="HL98" s="100"/>
      <c r="HM98" s="100"/>
      <c r="HN98" s="100"/>
      <c r="HO98" s="100"/>
      <c r="HP98" s="100"/>
      <c r="HQ98" s="100"/>
      <c r="HR98" s="100"/>
      <c r="HS98" s="100"/>
      <c r="HT98" s="100"/>
      <c r="HU98" s="100"/>
      <c r="HV98" s="100"/>
      <c r="HW98" s="100"/>
      <c r="HX98" s="100"/>
      <c r="HY98" s="100"/>
      <c r="HZ98" s="100"/>
      <c r="IA98" s="100"/>
      <c r="IB98" s="100"/>
      <c r="IC98" s="100"/>
      <c r="ID98" s="100"/>
      <c r="IE98" s="100"/>
      <c r="IF98" s="100"/>
      <c r="IG98" s="100"/>
      <c r="IH98" s="100"/>
      <c r="II98" s="100"/>
      <c r="IJ98" s="100"/>
      <c r="IK98" s="100"/>
      <c r="IL98" s="100"/>
      <c r="IM98" s="100"/>
      <c r="IN98" s="100"/>
      <c r="IO98" s="100"/>
      <c r="IP98" s="100"/>
      <c r="IQ98" s="100"/>
      <c r="IR98" s="100"/>
      <c r="IS98" s="100"/>
      <c r="IT98" s="100"/>
      <c r="IU98" s="100"/>
      <c r="IV98" s="100"/>
      <c r="IW98" s="100"/>
    </row>
    <row r="99" customFormat="false" ht="12.75" hidden="false" customHeight="false" outlineLevel="0" collapsed="false">
      <c r="A99" s="100"/>
      <c r="B99" s="58" t="s">
        <v>187</v>
      </c>
      <c r="C99" s="56" t="s">
        <v>310</v>
      </c>
      <c r="D99" s="56"/>
      <c r="E99" s="57" t="n">
        <v>36373</v>
      </c>
      <c r="F99" s="57" t="n">
        <v>36738</v>
      </c>
      <c r="G99" s="58" t="s">
        <v>311</v>
      </c>
      <c r="H99" s="58" t="s">
        <v>316</v>
      </c>
      <c r="I99" s="56" t="s">
        <v>313</v>
      </c>
      <c r="J99" s="72" t="n">
        <f aca="false">3.145/J$1</f>
        <v>0.101451612903226</v>
      </c>
      <c r="K99" s="61" t="n">
        <v>0.0132</v>
      </c>
      <c r="L99" s="61" t="n">
        <v>0.0022</v>
      </c>
      <c r="M99" s="61" t="n">
        <v>0</v>
      </c>
      <c r="N99" s="61" t="n">
        <v>0</v>
      </c>
      <c r="O99" s="62" t="n">
        <v>0.02116</v>
      </c>
      <c r="P99" s="61" t="n">
        <f aca="false">SUM(J99:N99)</f>
        <v>0.116851612903226</v>
      </c>
      <c r="Q99" s="63" t="n">
        <v>64446</v>
      </c>
      <c r="R99" s="63"/>
      <c r="S99" s="56" t="n">
        <v>142</v>
      </c>
      <c r="T99" s="58"/>
      <c r="U99" s="101" t="n">
        <f aca="false">J99*J$1*S99</f>
        <v>446.59</v>
      </c>
      <c r="V99" s="101"/>
      <c r="W99" s="102" t="n">
        <v>221881</v>
      </c>
      <c r="X99" s="102"/>
      <c r="Y99" s="58"/>
      <c r="Z99" s="89"/>
      <c r="AA99" s="89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100"/>
      <c r="DK99" s="100"/>
      <c r="DL99" s="100"/>
      <c r="DM99" s="100"/>
      <c r="DN99" s="100"/>
      <c r="DO99" s="100"/>
      <c r="DP99" s="100"/>
      <c r="DQ99" s="100"/>
      <c r="DR99" s="100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100"/>
      <c r="FS99" s="100"/>
      <c r="FT99" s="100"/>
      <c r="FU99" s="100"/>
      <c r="FV99" s="100"/>
      <c r="FW99" s="100"/>
      <c r="FX99" s="100"/>
      <c r="FY99" s="100"/>
      <c r="FZ99" s="100"/>
      <c r="GA99" s="100"/>
      <c r="GB99" s="100"/>
      <c r="GC99" s="100"/>
      <c r="GD99" s="100"/>
      <c r="GE99" s="100"/>
      <c r="GF99" s="100"/>
      <c r="GG99" s="100"/>
      <c r="GH99" s="100"/>
      <c r="GI99" s="100"/>
      <c r="GJ99" s="100"/>
      <c r="GK99" s="100"/>
      <c r="GL99" s="100"/>
      <c r="GM99" s="100"/>
      <c r="GN99" s="100"/>
      <c r="GO99" s="100"/>
      <c r="GP99" s="100"/>
      <c r="GQ99" s="100"/>
      <c r="GR99" s="100"/>
      <c r="GS99" s="100"/>
      <c r="GT99" s="100"/>
      <c r="GU99" s="100"/>
      <c r="GV99" s="100"/>
      <c r="GW99" s="100"/>
      <c r="GX99" s="100"/>
      <c r="GY99" s="100"/>
      <c r="GZ99" s="100"/>
      <c r="HA99" s="100"/>
      <c r="HB99" s="100"/>
      <c r="HC99" s="100"/>
      <c r="HD99" s="100"/>
      <c r="HE99" s="100"/>
      <c r="HF99" s="100"/>
      <c r="HG99" s="100"/>
      <c r="HH99" s="100"/>
      <c r="HI99" s="100"/>
      <c r="HJ99" s="100"/>
      <c r="HK99" s="100"/>
      <c r="HL99" s="100"/>
      <c r="HM99" s="100"/>
      <c r="HN99" s="100"/>
      <c r="HO99" s="100"/>
      <c r="HP99" s="100"/>
      <c r="HQ99" s="100"/>
      <c r="HR99" s="100"/>
      <c r="HS99" s="100"/>
      <c r="HT99" s="100"/>
      <c r="HU99" s="100"/>
      <c r="HV99" s="100"/>
      <c r="HW99" s="100"/>
      <c r="HX99" s="100"/>
      <c r="HY99" s="100"/>
      <c r="HZ99" s="100"/>
      <c r="IA99" s="100"/>
      <c r="IB99" s="100"/>
      <c r="IC99" s="100"/>
      <c r="ID99" s="100"/>
      <c r="IE99" s="100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  <c r="IU99" s="100"/>
      <c r="IV99" s="100"/>
      <c r="IW99" s="100"/>
    </row>
    <row r="100" customFormat="false" ht="12.75" hidden="false" customHeight="false" outlineLevel="0" collapsed="false">
      <c r="A100" s="100"/>
      <c r="B100" s="58" t="s">
        <v>187</v>
      </c>
      <c r="C100" s="56" t="s">
        <v>310</v>
      </c>
      <c r="D100" s="56" t="s">
        <v>302</v>
      </c>
      <c r="E100" s="57" t="n">
        <v>36404</v>
      </c>
      <c r="F100" s="57" t="n">
        <v>36769</v>
      </c>
      <c r="G100" s="58" t="s">
        <v>311</v>
      </c>
      <c r="H100" s="58" t="s">
        <v>312</v>
      </c>
      <c r="I100" s="56" t="s">
        <v>313</v>
      </c>
      <c r="J100" s="72" t="n">
        <f aca="false">3.145/J$1</f>
        <v>0.101451612903226</v>
      </c>
      <c r="K100" s="61" t="n">
        <v>0.0132</v>
      </c>
      <c r="L100" s="61" t="n">
        <v>0.0022</v>
      </c>
      <c r="M100" s="61" t="n">
        <v>0</v>
      </c>
      <c r="N100" s="61" t="n">
        <v>0</v>
      </c>
      <c r="O100" s="62" t="n">
        <v>0.02116</v>
      </c>
      <c r="P100" s="61" t="n">
        <f aca="false">SUM(J100:N100)</f>
        <v>0.116851612903226</v>
      </c>
      <c r="Q100" s="63" t="n">
        <v>64652</v>
      </c>
      <c r="R100" s="63" t="n">
        <v>64652</v>
      </c>
      <c r="S100" s="56" t="n">
        <v>65</v>
      </c>
      <c r="T100" s="58"/>
      <c r="U100" s="101" t="n">
        <f aca="false">J100*J$1*S100</f>
        <v>204.425</v>
      </c>
      <c r="V100" s="101"/>
      <c r="W100" s="102"/>
      <c r="X100" s="102" t="n">
        <v>156623</v>
      </c>
      <c r="Y100" s="58"/>
      <c r="Z100" s="89"/>
      <c r="AA100" s="89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100"/>
      <c r="DK100" s="100"/>
      <c r="DL100" s="100"/>
      <c r="DM100" s="100"/>
      <c r="DN100" s="100"/>
      <c r="DO100" s="100"/>
      <c r="DP100" s="100"/>
      <c r="DQ100" s="100"/>
      <c r="DR100" s="100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100"/>
      <c r="FS100" s="100"/>
      <c r="FT100" s="100"/>
      <c r="FU100" s="100"/>
      <c r="FV100" s="100"/>
      <c r="FW100" s="100"/>
      <c r="FX100" s="100"/>
      <c r="FY100" s="100"/>
      <c r="FZ100" s="100"/>
      <c r="GA100" s="100"/>
      <c r="GB100" s="100"/>
      <c r="GC100" s="100"/>
      <c r="GD100" s="100"/>
      <c r="GE100" s="100"/>
      <c r="GF100" s="100"/>
      <c r="GG100" s="100"/>
      <c r="GH100" s="100"/>
      <c r="GI100" s="100"/>
      <c r="GJ100" s="100"/>
      <c r="GK100" s="100"/>
      <c r="GL100" s="100"/>
      <c r="GM100" s="100"/>
      <c r="GN100" s="100"/>
      <c r="GO100" s="100"/>
      <c r="GP100" s="100"/>
      <c r="GQ100" s="100"/>
      <c r="GR100" s="100"/>
      <c r="GS100" s="100"/>
      <c r="GT100" s="100"/>
      <c r="GU100" s="100"/>
      <c r="GV100" s="100"/>
      <c r="GW100" s="100"/>
      <c r="GX100" s="100"/>
      <c r="GY100" s="100"/>
      <c r="GZ100" s="100"/>
      <c r="HA100" s="100"/>
      <c r="HB100" s="100"/>
      <c r="HC100" s="100"/>
      <c r="HD100" s="100"/>
      <c r="HE100" s="100"/>
      <c r="HF100" s="100"/>
      <c r="HG100" s="100"/>
      <c r="HH100" s="100"/>
      <c r="HI100" s="100"/>
      <c r="HJ100" s="100"/>
      <c r="HK100" s="100"/>
      <c r="HL100" s="100"/>
      <c r="HM100" s="100"/>
      <c r="HN100" s="100"/>
      <c r="HO100" s="100"/>
      <c r="HP100" s="100"/>
      <c r="HQ100" s="100"/>
      <c r="HR100" s="100"/>
      <c r="HS100" s="100"/>
      <c r="HT100" s="100"/>
      <c r="HU100" s="100"/>
      <c r="HV100" s="100"/>
      <c r="HW100" s="100"/>
      <c r="HX100" s="100"/>
      <c r="HY100" s="100"/>
      <c r="HZ100" s="100"/>
      <c r="IA100" s="100"/>
      <c r="IB100" s="100"/>
      <c r="IC100" s="100"/>
      <c r="ID100" s="100"/>
      <c r="IE100" s="100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  <c r="IU100" s="100"/>
      <c r="IV100" s="100"/>
      <c r="IW100" s="100"/>
    </row>
    <row r="101" customFormat="false" ht="12.75" hidden="false" customHeight="false" outlineLevel="0" collapsed="false">
      <c r="A101" s="100"/>
      <c r="B101" s="58" t="s">
        <v>187</v>
      </c>
      <c r="C101" s="56" t="s">
        <v>310</v>
      </c>
      <c r="D101" s="56" t="s">
        <v>302</v>
      </c>
      <c r="E101" s="57" t="n">
        <v>36434</v>
      </c>
      <c r="F101" s="57" t="n">
        <v>36799</v>
      </c>
      <c r="G101" s="58" t="s">
        <v>311</v>
      </c>
      <c r="H101" s="58" t="s">
        <v>312</v>
      </c>
      <c r="I101" s="56" t="s">
        <v>313</v>
      </c>
      <c r="J101" s="72" t="n">
        <f aca="false">3.145/J$1</f>
        <v>0.101451612903226</v>
      </c>
      <c r="K101" s="61" t="n">
        <v>0.0132</v>
      </c>
      <c r="L101" s="61" t="n">
        <v>0.0022</v>
      </c>
      <c r="M101" s="61" t="n">
        <v>0</v>
      </c>
      <c r="N101" s="61" t="n">
        <v>0</v>
      </c>
      <c r="O101" s="62" t="n">
        <v>0.02116</v>
      </c>
      <c r="P101" s="61" t="n">
        <f aca="false">SUM(J101:N101)</f>
        <v>0.116851612903226</v>
      </c>
      <c r="Q101" s="63" t="n">
        <v>64863</v>
      </c>
      <c r="R101" s="63" t="n">
        <v>64863</v>
      </c>
      <c r="S101" s="56" t="n">
        <v>13</v>
      </c>
      <c r="T101" s="58"/>
      <c r="U101" s="101" t="n">
        <f aca="false">J101*J$1*S101</f>
        <v>40.885</v>
      </c>
      <c r="V101" s="101"/>
      <c r="W101" s="102"/>
      <c r="X101" s="102" t="n">
        <v>156625</v>
      </c>
      <c r="Y101" s="58"/>
      <c r="Z101" s="89"/>
      <c r="AA101" s="89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/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/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100"/>
      <c r="GE101" s="100"/>
      <c r="GF101" s="100"/>
      <c r="GG101" s="100"/>
      <c r="GH101" s="100"/>
      <c r="GI101" s="100"/>
      <c r="GJ101" s="100"/>
      <c r="GK101" s="100"/>
      <c r="GL101" s="100"/>
      <c r="GM101" s="100"/>
      <c r="GN101" s="100"/>
      <c r="GO101" s="100"/>
      <c r="GP101" s="100"/>
      <c r="GQ101" s="100"/>
      <c r="GR101" s="100"/>
      <c r="GS101" s="100"/>
      <c r="GT101" s="100"/>
      <c r="GU101" s="100"/>
      <c r="GV101" s="100"/>
      <c r="GW101" s="100"/>
      <c r="GX101" s="100"/>
      <c r="GY101" s="100"/>
      <c r="GZ101" s="100"/>
      <c r="HA101" s="100"/>
      <c r="HB101" s="100"/>
      <c r="HC101" s="100"/>
      <c r="HD101" s="100"/>
      <c r="HE101" s="100"/>
      <c r="HF101" s="100"/>
      <c r="HG101" s="100"/>
      <c r="HH101" s="100"/>
      <c r="HI101" s="100"/>
      <c r="HJ101" s="100"/>
      <c r="HK101" s="100"/>
      <c r="HL101" s="100"/>
      <c r="HM101" s="100"/>
      <c r="HN101" s="100"/>
      <c r="HO101" s="100"/>
      <c r="HP101" s="100"/>
      <c r="HQ101" s="100"/>
      <c r="HR101" s="100"/>
      <c r="HS101" s="100"/>
      <c r="HT101" s="100"/>
      <c r="HU101" s="100"/>
      <c r="HV101" s="100"/>
      <c r="HW101" s="100"/>
      <c r="HX101" s="100"/>
      <c r="HY101" s="100"/>
      <c r="HZ101" s="100"/>
      <c r="IA101" s="100"/>
      <c r="IB101" s="100"/>
      <c r="IC101" s="100"/>
      <c r="ID101" s="100"/>
      <c r="IE101" s="100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  <c r="IU101" s="100"/>
      <c r="IV101" s="100"/>
      <c r="IW101" s="100"/>
    </row>
    <row r="102" customFormat="false" ht="12.75" hidden="false" customHeight="false" outlineLevel="0" collapsed="false">
      <c r="A102" s="100"/>
      <c r="B102" s="58" t="s">
        <v>187</v>
      </c>
      <c r="C102" s="56" t="s">
        <v>310</v>
      </c>
      <c r="D102" s="56" t="s">
        <v>302</v>
      </c>
      <c r="E102" s="57" t="n">
        <v>36465</v>
      </c>
      <c r="F102" s="57" t="n">
        <v>36830</v>
      </c>
      <c r="G102" s="58" t="s">
        <v>311</v>
      </c>
      <c r="H102" s="58" t="s">
        <v>312</v>
      </c>
      <c r="I102" s="56" t="s">
        <v>313</v>
      </c>
      <c r="J102" s="72" t="n">
        <f aca="false">3.145/J$1</f>
        <v>0.101451612903226</v>
      </c>
      <c r="K102" s="61" t="n">
        <v>0.0132</v>
      </c>
      <c r="L102" s="61" t="n">
        <v>0.0022</v>
      </c>
      <c r="M102" s="61" t="n">
        <v>0</v>
      </c>
      <c r="N102" s="61" t="n">
        <v>0</v>
      </c>
      <c r="O102" s="62" t="n">
        <v>0.02116</v>
      </c>
      <c r="P102" s="61" t="n">
        <f aca="false">SUM(J102:N102)</f>
        <v>0.116851612903226</v>
      </c>
      <c r="Q102" s="63" t="n">
        <v>65027</v>
      </c>
      <c r="R102" s="63" t="n">
        <v>65027</v>
      </c>
      <c r="S102" s="56" t="n">
        <v>131</v>
      </c>
      <c r="T102" s="58" t="s">
        <v>317</v>
      </c>
      <c r="U102" s="101" t="n">
        <f aca="false">J102*J$1*S102</f>
        <v>411.995</v>
      </c>
      <c r="V102" s="101"/>
      <c r="W102" s="102"/>
      <c r="X102" s="102" t="n">
        <v>156666</v>
      </c>
      <c r="Y102" s="58" t="s">
        <v>318</v>
      </c>
      <c r="Z102" s="89"/>
      <c r="AA102" s="89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  <c r="CJ102" s="100"/>
      <c r="CK102" s="100"/>
      <c r="CL102" s="100"/>
      <c r="CM102" s="100"/>
      <c r="CN102" s="100"/>
      <c r="CO102" s="100"/>
      <c r="CP102" s="100"/>
      <c r="CQ102" s="100"/>
      <c r="CR102" s="100"/>
      <c r="CS102" s="100"/>
      <c r="CT102" s="100"/>
      <c r="CU102" s="100"/>
      <c r="CV102" s="100"/>
      <c r="CW102" s="100"/>
      <c r="CX102" s="100"/>
      <c r="CY102" s="100"/>
      <c r="CZ102" s="100"/>
      <c r="DA102" s="100"/>
      <c r="DB102" s="100"/>
      <c r="DC102" s="100"/>
      <c r="DD102" s="100"/>
      <c r="DE102" s="100"/>
      <c r="DF102" s="100"/>
      <c r="DG102" s="100"/>
      <c r="DH102" s="100"/>
      <c r="DI102" s="100"/>
      <c r="DJ102" s="100"/>
      <c r="DK102" s="100"/>
      <c r="DL102" s="100"/>
      <c r="DM102" s="100"/>
      <c r="DN102" s="100"/>
      <c r="DO102" s="100"/>
      <c r="DP102" s="100"/>
      <c r="DQ102" s="100"/>
      <c r="DR102" s="100"/>
      <c r="DS102" s="100"/>
      <c r="DT102" s="100"/>
      <c r="DU102" s="100"/>
      <c r="DV102" s="100"/>
      <c r="DW102" s="100"/>
      <c r="DX102" s="100"/>
      <c r="DY102" s="100"/>
      <c r="DZ102" s="100"/>
      <c r="EA102" s="100"/>
      <c r="EB102" s="100"/>
      <c r="EC102" s="100"/>
      <c r="ED102" s="100"/>
      <c r="EE102" s="100"/>
      <c r="EF102" s="100"/>
      <c r="EG102" s="100"/>
      <c r="EH102" s="100"/>
      <c r="EI102" s="100"/>
      <c r="EJ102" s="100"/>
      <c r="EK102" s="100"/>
      <c r="EL102" s="100"/>
      <c r="EM102" s="100"/>
      <c r="EN102" s="100"/>
      <c r="EO102" s="100"/>
      <c r="EP102" s="100"/>
      <c r="EQ102" s="100"/>
      <c r="ER102" s="100"/>
      <c r="ES102" s="100"/>
      <c r="ET102" s="100"/>
      <c r="EU102" s="100"/>
      <c r="EV102" s="100"/>
      <c r="EW102" s="100"/>
      <c r="EX102" s="100"/>
      <c r="EY102" s="100"/>
      <c r="EZ102" s="100"/>
      <c r="FA102" s="100"/>
      <c r="FB102" s="100"/>
      <c r="FC102" s="100"/>
      <c r="FD102" s="100"/>
      <c r="FE102" s="100"/>
      <c r="FF102" s="100"/>
      <c r="FG102" s="100"/>
      <c r="FH102" s="100"/>
      <c r="FI102" s="10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100"/>
      <c r="FU102" s="100"/>
      <c r="FV102" s="100"/>
      <c r="FW102" s="100"/>
      <c r="FX102" s="100"/>
      <c r="FY102" s="100"/>
      <c r="FZ102" s="100"/>
      <c r="GA102" s="100"/>
      <c r="GB102" s="100"/>
      <c r="GC102" s="100"/>
      <c r="GD102" s="100"/>
      <c r="GE102" s="100"/>
      <c r="GF102" s="100"/>
      <c r="GG102" s="100"/>
      <c r="GH102" s="100"/>
      <c r="GI102" s="100"/>
      <c r="GJ102" s="100"/>
      <c r="GK102" s="100"/>
      <c r="GL102" s="100"/>
      <c r="GM102" s="100"/>
      <c r="GN102" s="100"/>
      <c r="GO102" s="100"/>
      <c r="GP102" s="100"/>
      <c r="GQ102" s="100"/>
      <c r="GR102" s="100"/>
      <c r="GS102" s="100"/>
      <c r="GT102" s="100"/>
      <c r="GU102" s="100"/>
      <c r="GV102" s="100"/>
      <c r="GW102" s="100"/>
      <c r="GX102" s="100"/>
      <c r="GY102" s="100"/>
      <c r="GZ102" s="100"/>
      <c r="HA102" s="100"/>
      <c r="HB102" s="100"/>
      <c r="HC102" s="100"/>
      <c r="HD102" s="100"/>
      <c r="HE102" s="100"/>
      <c r="HF102" s="100"/>
      <c r="HG102" s="100"/>
      <c r="HH102" s="100"/>
      <c r="HI102" s="100"/>
      <c r="HJ102" s="100"/>
      <c r="HK102" s="100"/>
      <c r="HL102" s="100"/>
      <c r="HM102" s="100"/>
      <c r="HN102" s="100"/>
      <c r="HO102" s="100"/>
      <c r="HP102" s="100"/>
      <c r="HQ102" s="100"/>
      <c r="HR102" s="100"/>
      <c r="HS102" s="100"/>
      <c r="HT102" s="100"/>
      <c r="HU102" s="100"/>
      <c r="HV102" s="100"/>
      <c r="HW102" s="100"/>
      <c r="HX102" s="100"/>
      <c r="HY102" s="100"/>
      <c r="HZ102" s="100"/>
      <c r="IA102" s="100"/>
      <c r="IB102" s="100"/>
      <c r="IC102" s="100"/>
      <c r="ID102" s="100"/>
      <c r="IE102" s="100"/>
      <c r="IF102" s="100"/>
      <c r="IG102" s="100"/>
      <c r="IH102" s="100"/>
      <c r="II102" s="100"/>
      <c r="IJ102" s="100"/>
      <c r="IK102" s="100"/>
      <c r="IL102" s="100"/>
      <c r="IM102" s="100"/>
      <c r="IN102" s="100"/>
      <c r="IO102" s="100"/>
      <c r="IP102" s="100"/>
      <c r="IQ102" s="100"/>
      <c r="IR102" s="100"/>
      <c r="IS102" s="100"/>
      <c r="IT102" s="100"/>
      <c r="IU102" s="100"/>
      <c r="IV102" s="100"/>
      <c r="IW102" s="100"/>
    </row>
    <row r="103" customFormat="false" ht="12.75" hidden="false" customHeight="false" outlineLevel="0" collapsed="false">
      <c r="A103" s="100"/>
      <c r="B103" s="58" t="s">
        <v>187</v>
      </c>
      <c r="C103" s="56" t="s">
        <v>310</v>
      </c>
      <c r="D103" s="56" t="s">
        <v>302</v>
      </c>
      <c r="E103" s="57" t="n">
        <v>36495</v>
      </c>
      <c r="F103" s="57" t="n">
        <v>36860</v>
      </c>
      <c r="G103" s="58" t="s">
        <v>311</v>
      </c>
      <c r="H103" s="58" t="s">
        <v>312</v>
      </c>
      <c r="I103" s="56" t="s">
        <v>313</v>
      </c>
      <c r="J103" s="72" t="n">
        <f aca="false">3.145/J$1</f>
        <v>0.101451612903226</v>
      </c>
      <c r="K103" s="61" t="n">
        <v>0.0132</v>
      </c>
      <c r="L103" s="61" t="n">
        <v>0.0022</v>
      </c>
      <c r="M103" s="61" t="n">
        <v>0</v>
      </c>
      <c r="N103" s="61" t="n">
        <v>0</v>
      </c>
      <c r="O103" s="62" t="n">
        <v>0.02116</v>
      </c>
      <c r="P103" s="61" t="n">
        <f aca="false">SUM(J103:N103)</f>
        <v>0.116851612903226</v>
      </c>
      <c r="Q103" s="63" t="n">
        <v>65557</v>
      </c>
      <c r="R103" s="63" t="n">
        <v>65557</v>
      </c>
      <c r="S103" s="56" t="n">
        <v>3</v>
      </c>
      <c r="T103" s="58"/>
      <c r="U103" s="101" t="n">
        <f aca="false">J103*J$1*S103</f>
        <v>9.435</v>
      </c>
      <c r="V103" s="101"/>
      <c r="W103" s="102"/>
      <c r="X103" s="102" t="n">
        <v>156669</v>
      </c>
      <c r="Y103" s="58"/>
      <c r="Z103" s="89"/>
      <c r="AA103" s="89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100"/>
      <c r="DQ103" s="100"/>
      <c r="DR103" s="100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100"/>
      <c r="GI103" s="100"/>
      <c r="GJ103" s="100"/>
      <c r="GK103" s="100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100"/>
      <c r="GW103" s="100"/>
      <c r="GX103" s="100"/>
      <c r="GY103" s="100"/>
      <c r="GZ103" s="100"/>
      <c r="HA103" s="100"/>
      <c r="HB103" s="100"/>
      <c r="HC103" s="100"/>
      <c r="HD103" s="100"/>
      <c r="HE103" s="100"/>
      <c r="HF103" s="100"/>
      <c r="HG103" s="100"/>
      <c r="HH103" s="100"/>
      <c r="HI103" s="100"/>
      <c r="HJ103" s="100"/>
      <c r="HK103" s="100"/>
      <c r="HL103" s="100"/>
      <c r="HM103" s="100"/>
      <c r="HN103" s="100"/>
      <c r="HO103" s="100"/>
      <c r="HP103" s="100"/>
      <c r="HQ103" s="100"/>
      <c r="HR103" s="100"/>
      <c r="HS103" s="100"/>
      <c r="HT103" s="100"/>
      <c r="HU103" s="100"/>
      <c r="HV103" s="100"/>
      <c r="HW103" s="100"/>
      <c r="HX103" s="100"/>
      <c r="HY103" s="100"/>
      <c r="HZ103" s="100"/>
      <c r="IA103" s="100"/>
      <c r="IB103" s="100"/>
      <c r="IC103" s="100"/>
      <c r="ID103" s="100"/>
      <c r="IE103" s="100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  <c r="IU103" s="100"/>
      <c r="IV103" s="100"/>
      <c r="IW103" s="100"/>
    </row>
    <row r="104" customFormat="false" ht="12.75" hidden="false" customHeight="false" outlineLevel="0" collapsed="false">
      <c r="A104" s="90"/>
      <c r="B104" s="69" t="s">
        <v>187</v>
      </c>
      <c r="C104" s="91" t="s">
        <v>310</v>
      </c>
      <c r="D104" s="91" t="s">
        <v>307</v>
      </c>
      <c r="E104" s="92" t="n">
        <v>36586</v>
      </c>
      <c r="F104" s="92" t="n">
        <v>36616</v>
      </c>
      <c r="G104" s="69" t="s">
        <v>319</v>
      </c>
      <c r="H104" s="69" t="s">
        <v>320</v>
      </c>
      <c r="I104" s="91" t="s">
        <v>321</v>
      </c>
      <c r="J104" s="93" t="n">
        <f aca="false">1.0603/31</f>
        <v>0.0342032258064516</v>
      </c>
      <c r="K104" s="94" t="n">
        <v>0</v>
      </c>
      <c r="L104" s="94" t="n">
        <v>0.0022</v>
      </c>
      <c r="M104" s="94" t="n">
        <v>0.0072</v>
      </c>
      <c r="N104" s="94" t="n">
        <v>0</v>
      </c>
      <c r="O104" s="95" t="n">
        <v>0</v>
      </c>
      <c r="P104" s="94" t="n">
        <f aca="false">SUM(J104:N104)</f>
        <v>0.0436032258064516</v>
      </c>
      <c r="Q104" s="96" t="n">
        <v>66680</v>
      </c>
      <c r="R104" s="96" t="n">
        <v>66386</v>
      </c>
      <c r="S104" s="91" t="n">
        <v>176</v>
      </c>
      <c r="T104" s="69"/>
      <c r="U104" s="97" t="n">
        <f aca="false">J104*J$1*S104</f>
        <v>186.6128</v>
      </c>
      <c r="V104" s="97"/>
      <c r="W104" s="98" t="n">
        <v>205613</v>
      </c>
      <c r="X104" s="98" t="n">
        <v>158501</v>
      </c>
      <c r="Y104" s="69" t="s">
        <v>322</v>
      </c>
      <c r="Z104" s="99"/>
      <c r="AA104" s="99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  <c r="EN104" s="90"/>
      <c r="EO104" s="90"/>
      <c r="EP104" s="90"/>
      <c r="EQ104" s="90"/>
      <c r="ER104" s="90"/>
      <c r="ES104" s="90"/>
      <c r="ET104" s="90"/>
      <c r="EU104" s="90"/>
      <c r="EV104" s="90"/>
      <c r="EW104" s="90"/>
      <c r="EX104" s="90"/>
      <c r="EY104" s="90"/>
      <c r="EZ104" s="90"/>
      <c r="FA104" s="90"/>
      <c r="FB104" s="90"/>
      <c r="FC104" s="90"/>
      <c r="FD104" s="90"/>
      <c r="FE104" s="90"/>
      <c r="FF104" s="90"/>
      <c r="FG104" s="90"/>
      <c r="FH104" s="90"/>
      <c r="FI104" s="90"/>
      <c r="FJ104" s="90"/>
      <c r="FK104" s="90"/>
      <c r="FL104" s="90"/>
      <c r="FM104" s="90"/>
      <c r="FN104" s="90"/>
      <c r="FO104" s="90"/>
      <c r="FP104" s="90"/>
      <c r="FQ104" s="90"/>
      <c r="FR104" s="90"/>
      <c r="FS104" s="90"/>
      <c r="FT104" s="90"/>
      <c r="FU104" s="90"/>
      <c r="FV104" s="90"/>
      <c r="FW104" s="90"/>
      <c r="FX104" s="90"/>
      <c r="FY104" s="90"/>
      <c r="FZ104" s="90"/>
      <c r="GA104" s="90"/>
      <c r="GB104" s="90"/>
      <c r="GC104" s="90"/>
      <c r="GD104" s="90"/>
      <c r="GE104" s="90"/>
      <c r="GF104" s="90"/>
      <c r="GG104" s="90"/>
      <c r="GH104" s="90"/>
      <c r="GI104" s="90"/>
      <c r="GJ104" s="90"/>
      <c r="GK104" s="90"/>
      <c r="GL104" s="90"/>
      <c r="GM104" s="90"/>
      <c r="GN104" s="90"/>
      <c r="GO104" s="90"/>
      <c r="GP104" s="90"/>
      <c r="GQ104" s="90"/>
      <c r="GR104" s="90"/>
      <c r="GS104" s="90"/>
      <c r="GT104" s="90"/>
      <c r="GU104" s="90"/>
      <c r="GV104" s="90"/>
      <c r="GW104" s="90"/>
      <c r="GX104" s="90"/>
      <c r="GY104" s="90"/>
      <c r="GZ104" s="90"/>
      <c r="HA104" s="90"/>
      <c r="HB104" s="90"/>
      <c r="HC104" s="90"/>
      <c r="HD104" s="90"/>
      <c r="HE104" s="90"/>
      <c r="HF104" s="90"/>
      <c r="HG104" s="90"/>
      <c r="HH104" s="90"/>
      <c r="HI104" s="90"/>
      <c r="HJ104" s="90"/>
      <c r="HK104" s="90"/>
      <c r="HL104" s="90"/>
      <c r="HM104" s="90"/>
      <c r="HN104" s="90"/>
      <c r="HO104" s="90"/>
      <c r="HP104" s="90"/>
      <c r="HQ104" s="90"/>
      <c r="HR104" s="90"/>
      <c r="HS104" s="90"/>
      <c r="HT104" s="90"/>
      <c r="HU104" s="90"/>
      <c r="HV104" s="90"/>
      <c r="HW104" s="90"/>
      <c r="HX104" s="90"/>
      <c r="HY104" s="90"/>
      <c r="HZ104" s="90"/>
      <c r="IA104" s="90"/>
      <c r="IB104" s="90"/>
      <c r="IC104" s="90"/>
      <c r="ID104" s="90"/>
      <c r="IE104" s="90"/>
      <c r="IF104" s="90"/>
      <c r="IG104" s="90"/>
      <c r="IH104" s="90"/>
      <c r="II104" s="90"/>
      <c r="IJ104" s="90"/>
      <c r="IK104" s="90"/>
      <c r="IL104" s="90"/>
      <c r="IM104" s="90"/>
      <c r="IN104" s="90"/>
      <c r="IO104" s="90"/>
      <c r="IP104" s="90"/>
      <c r="IQ104" s="90"/>
      <c r="IR104" s="90"/>
      <c r="IS104" s="90"/>
      <c r="IT104" s="90"/>
      <c r="IU104" s="90"/>
      <c r="IV104" s="90"/>
      <c r="IW104" s="90"/>
    </row>
    <row r="105" customFormat="false" ht="12.75" hidden="false" customHeight="false" outlineLevel="0" collapsed="false">
      <c r="A105" s="90"/>
      <c r="B105" s="69" t="s">
        <v>187</v>
      </c>
      <c r="C105" s="91" t="s">
        <v>310</v>
      </c>
      <c r="D105" s="91" t="s">
        <v>307</v>
      </c>
      <c r="E105" s="92" t="n">
        <v>36586</v>
      </c>
      <c r="F105" s="92" t="n">
        <v>36616</v>
      </c>
      <c r="G105" s="69" t="s">
        <v>311</v>
      </c>
      <c r="H105" s="69" t="s">
        <v>312</v>
      </c>
      <c r="I105" s="91" t="s">
        <v>313</v>
      </c>
      <c r="J105" s="93" t="n">
        <f aca="false">3.145/31</f>
        <v>0.101451612903226</v>
      </c>
      <c r="K105" s="94" t="n">
        <v>0</v>
      </c>
      <c r="L105" s="94" t="n">
        <v>0.0022</v>
      </c>
      <c r="M105" s="94" t="n">
        <v>0.0072</v>
      </c>
      <c r="N105" s="94" t="n">
        <v>0</v>
      </c>
      <c r="O105" s="95" t="n">
        <v>0</v>
      </c>
      <c r="P105" s="94" t="n">
        <f aca="false">SUM(J105:N105)</f>
        <v>0.110851612903226</v>
      </c>
      <c r="Q105" s="96" t="n">
        <v>66681</v>
      </c>
      <c r="R105" s="96" t="n">
        <v>66385</v>
      </c>
      <c r="S105" s="91" t="n">
        <v>171</v>
      </c>
      <c r="T105" s="69"/>
      <c r="U105" s="97" t="n">
        <f aca="false">J105*J$1*S105</f>
        <v>537.795</v>
      </c>
      <c r="V105" s="97"/>
      <c r="W105" s="98" t="n">
        <v>205609</v>
      </c>
      <c r="X105" s="98" t="n">
        <v>158507</v>
      </c>
      <c r="Y105" s="69" t="s">
        <v>323</v>
      </c>
      <c r="Z105" s="99"/>
      <c r="AA105" s="99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90"/>
      <c r="CM105" s="90"/>
      <c r="CN105" s="90"/>
      <c r="CO105" s="90"/>
      <c r="CP105" s="90"/>
      <c r="CQ105" s="90"/>
      <c r="CR105" s="90"/>
      <c r="CS105" s="90"/>
      <c r="CT105" s="90"/>
      <c r="CU105" s="90"/>
      <c r="CV105" s="90"/>
      <c r="CW105" s="90"/>
      <c r="CX105" s="90"/>
      <c r="CY105" s="90"/>
      <c r="CZ105" s="90"/>
      <c r="DA105" s="90"/>
      <c r="DB105" s="90"/>
      <c r="DC105" s="90"/>
      <c r="DD105" s="90"/>
      <c r="DE105" s="90"/>
      <c r="DF105" s="90"/>
      <c r="DG105" s="90"/>
      <c r="DH105" s="90"/>
      <c r="DI105" s="90"/>
      <c r="DJ105" s="90"/>
      <c r="DK105" s="90"/>
      <c r="DL105" s="90"/>
      <c r="DM105" s="90"/>
      <c r="DN105" s="90"/>
      <c r="DO105" s="90"/>
      <c r="DP105" s="90"/>
      <c r="DQ105" s="90"/>
      <c r="DR105" s="90"/>
      <c r="DS105" s="90"/>
      <c r="DT105" s="90"/>
      <c r="DU105" s="90"/>
      <c r="DV105" s="90"/>
      <c r="DW105" s="90"/>
      <c r="DX105" s="90"/>
      <c r="DY105" s="90"/>
      <c r="DZ105" s="90"/>
      <c r="EA105" s="90"/>
      <c r="EB105" s="90"/>
      <c r="EC105" s="90"/>
      <c r="ED105" s="90"/>
      <c r="EE105" s="90"/>
      <c r="EF105" s="90"/>
      <c r="EG105" s="90"/>
      <c r="EH105" s="90"/>
      <c r="EI105" s="90"/>
      <c r="EJ105" s="90"/>
      <c r="EK105" s="90"/>
      <c r="EL105" s="90"/>
      <c r="EM105" s="90"/>
      <c r="EN105" s="90"/>
      <c r="EO105" s="90"/>
      <c r="EP105" s="90"/>
      <c r="EQ105" s="90"/>
      <c r="ER105" s="90"/>
      <c r="ES105" s="90"/>
      <c r="ET105" s="90"/>
      <c r="EU105" s="90"/>
      <c r="EV105" s="90"/>
      <c r="EW105" s="90"/>
      <c r="EX105" s="90"/>
      <c r="EY105" s="90"/>
      <c r="EZ105" s="90"/>
      <c r="FA105" s="90"/>
      <c r="FB105" s="90"/>
      <c r="FC105" s="90"/>
      <c r="FD105" s="90"/>
      <c r="FE105" s="90"/>
      <c r="FF105" s="90"/>
      <c r="FG105" s="90"/>
      <c r="FH105" s="90"/>
      <c r="FI105" s="90"/>
      <c r="FJ105" s="90"/>
      <c r="FK105" s="90"/>
      <c r="FL105" s="90"/>
      <c r="FM105" s="90"/>
      <c r="FN105" s="90"/>
      <c r="FO105" s="90"/>
      <c r="FP105" s="90"/>
      <c r="FQ105" s="90"/>
      <c r="FR105" s="90"/>
      <c r="FS105" s="90"/>
      <c r="FT105" s="90"/>
      <c r="FU105" s="90"/>
      <c r="FV105" s="90"/>
      <c r="FW105" s="90"/>
      <c r="FX105" s="90"/>
      <c r="FY105" s="90"/>
      <c r="FZ105" s="90"/>
      <c r="GA105" s="90"/>
      <c r="GB105" s="90"/>
      <c r="GC105" s="90"/>
      <c r="GD105" s="90"/>
      <c r="GE105" s="90"/>
      <c r="GF105" s="90"/>
      <c r="GG105" s="90"/>
      <c r="GH105" s="90"/>
      <c r="GI105" s="90"/>
      <c r="GJ105" s="90"/>
      <c r="GK105" s="90"/>
      <c r="GL105" s="90"/>
      <c r="GM105" s="90"/>
      <c r="GN105" s="90"/>
      <c r="GO105" s="90"/>
      <c r="GP105" s="90"/>
      <c r="GQ105" s="90"/>
      <c r="GR105" s="90"/>
      <c r="GS105" s="90"/>
      <c r="GT105" s="90"/>
      <c r="GU105" s="90"/>
      <c r="GV105" s="90"/>
      <c r="GW105" s="90"/>
      <c r="GX105" s="90"/>
      <c r="GY105" s="90"/>
      <c r="GZ105" s="90"/>
      <c r="HA105" s="90"/>
      <c r="HB105" s="90"/>
      <c r="HC105" s="90"/>
      <c r="HD105" s="90"/>
      <c r="HE105" s="90"/>
      <c r="HF105" s="90"/>
      <c r="HG105" s="90"/>
      <c r="HH105" s="90"/>
      <c r="HI105" s="90"/>
      <c r="HJ105" s="90"/>
      <c r="HK105" s="90"/>
      <c r="HL105" s="90"/>
      <c r="HM105" s="90"/>
      <c r="HN105" s="90"/>
      <c r="HO105" s="90"/>
      <c r="HP105" s="90"/>
      <c r="HQ105" s="90"/>
      <c r="HR105" s="90"/>
      <c r="HS105" s="90"/>
      <c r="HT105" s="90"/>
      <c r="HU105" s="90"/>
      <c r="HV105" s="90"/>
      <c r="HW105" s="90"/>
      <c r="HX105" s="90"/>
      <c r="HY105" s="90"/>
      <c r="HZ105" s="90"/>
      <c r="IA105" s="90"/>
      <c r="IB105" s="90"/>
      <c r="IC105" s="90"/>
      <c r="ID105" s="90"/>
      <c r="IE105" s="90"/>
      <c r="IF105" s="90"/>
      <c r="IG105" s="90"/>
      <c r="IH105" s="90"/>
      <c r="II105" s="90"/>
      <c r="IJ105" s="90"/>
      <c r="IK105" s="90"/>
      <c r="IL105" s="90"/>
      <c r="IM105" s="90"/>
      <c r="IN105" s="90"/>
      <c r="IO105" s="90"/>
      <c r="IP105" s="90"/>
      <c r="IQ105" s="90"/>
      <c r="IR105" s="90"/>
      <c r="IS105" s="90"/>
      <c r="IT105" s="90"/>
      <c r="IU105" s="90"/>
      <c r="IV105" s="90"/>
      <c r="IW105" s="90"/>
    </row>
    <row r="106" customFormat="false" ht="12.75" hidden="false" customHeight="false" outlineLevel="0" collapsed="false">
      <c r="A106" s="100"/>
      <c r="B106" s="58" t="s">
        <v>187</v>
      </c>
      <c r="C106" s="56" t="s">
        <v>310</v>
      </c>
      <c r="D106" s="56" t="s">
        <v>302</v>
      </c>
      <c r="E106" s="57" t="n">
        <v>36557</v>
      </c>
      <c r="F106" s="57" t="n">
        <v>36922</v>
      </c>
      <c r="G106" s="58" t="s">
        <v>311</v>
      </c>
      <c r="H106" s="58" t="s">
        <v>312</v>
      </c>
      <c r="I106" s="56" t="s">
        <v>313</v>
      </c>
      <c r="J106" s="72" t="n">
        <f aca="false">3.145/31</f>
        <v>0.101451612903226</v>
      </c>
      <c r="K106" s="61"/>
      <c r="L106" s="61"/>
      <c r="M106" s="61"/>
      <c r="N106" s="61"/>
      <c r="O106" s="62"/>
      <c r="P106" s="61"/>
      <c r="Q106" s="63" t="n">
        <v>66283</v>
      </c>
      <c r="R106" s="63"/>
      <c r="S106" s="56" t="n">
        <v>5</v>
      </c>
      <c r="T106" s="58"/>
      <c r="U106" s="127" t="n">
        <f aca="false">+J106*S106*31</f>
        <v>15.725</v>
      </c>
      <c r="V106" s="101"/>
      <c r="W106" s="102"/>
      <c r="X106" s="102" t="n">
        <v>156674</v>
      </c>
      <c r="Y106" s="58"/>
      <c r="Z106" s="89"/>
      <c r="AA106" s="89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100"/>
      <c r="CF106" s="100"/>
      <c r="CG106" s="100"/>
      <c r="CH106" s="100"/>
      <c r="CI106" s="100"/>
      <c r="CJ106" s="100"/>
      <c r="CK106" s="100"/>
      <c r="CL106" s="100"/>
      <c r="CM106" s="100"/>
      <c r="CN106" s="100"/>
      <c r="CO106" s="100"/>
      <c r="CP106" s="100"/>
      <c r="CQ106" s="100"/>
      <c r="CR106" s="100"/>
      <c r="CS106" s="100"/>
      <c r="CT106" s="100"/>
      <c r="CU106" s="100"/>
      <c r="CV106" s="100"/>
      <c r="CW106" s="100"/>
      <c r="CX106" s="100"/>
      <c r="CY106" s="100"/>
      <c r="CZ106" s="100"/>
      <c r="DA106" s="100"/>
      <c r="DB106" s="100"/>
      <c r="DC106" s="100"/>
      <c r="DD106" s="100"/>
      <c r="DE106" s="100"/>
      <c r="DF106" s="100"/>
      <c r="DG106" s="100"/>
      <c r="DH106" s="100"/>
      <c r="DI106" s="100"/>
      <c r="DJ106" s="100"/>
      <c r="DK106" s="100"/>
      <c r="DL106" s="100"/>
      <c r="DM106" s="100"/>
      <c r="DN106" s="100"/>
      <c r="DO106" s="100"/>
      <c r="DP106" s="100"/>
      <c r="DQ106" s="100"/>
      <c r="DR106" s="100"/>
      <c r="DS106" s="100"/>
      <c r="DT106" s="100"/>
      <c r="DU106" s="100"/>
      <c r="DV106" s="100"/>
      <c r="DW106" s="100"/>
      <c r="DX106" s="100"/>
      <c r="DY106" s="100"/>
      <c r="DZ106" s="100"/>
      <c r="EA106" s="100"/>
      <c r="EB106" s="100"/>
      <c r="EC106" s="100"/>
      <c r="ED106" s="100"/>
      <c r="EE106" s="100"/>
      <c r="EF106" s="100"/>
      <c r="EG106" s="100"/>
      <c r="EH106" s="100"/>
      <c r="EI106" s="100"/>
      <c r="EJ106" s="100"/>
      <c r="EK106" s="100"/>
      <c r="EL106" s="100"/>
      <c r="EM106" s="100"/>
      <c r="EN106" s="100"/>
      <c r="EO106" s="100"/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100"/>
      <c r="FG106" s="100"/>
      <c r="FH106" s="100"/>
      <c r="FI106" s="100"/>
      <c r="FJ106" s="100"/>
      <c r="FK106" s="100"/>
      <c r="FL106" s="100"/>
      <c r="FM106" s="100"/>
      <c r="FN106" s="100"/>
      <c r="FO106" s="100"/>
      <c r="FP106" s="100"/>
      <c r="FQ106" s="100"/>
      <c r="FR106" s="100"/>
      <c r="FS106" s="100"/>
      <c r="FT106" s="100"/>
      <c r="FU106" s="100"/>
      <c r="FV106" s="100"/>
      <c r="FW106" s="100"/>
      <c r="FX106" s="100"/>
      <c r="FY106" s="100"/>
      <c r="FZ106" s="100"/>
      <c r="GA106" s="100"/>
      <c r="GB106" s="100"/>
      <c r="GC106" s="100"/>
      <c r="GD106" s="100"/>
      <c r="GE106" s="100"/>
      <c r="GF106" s="100"/>
      <c r="GG106" s="100"/>
      <c r="GH106" s="100"/>
      <c r="GI106" s="100"/>
      <c r="GJ106" s="100"/>
      <c r="GK106" s="100"/>
      <c r="GL106" s="100"/>
      <c r="GM106" s="100"/>
      <c r="GN106" s="100"/>
      <c r="GO106" s="100"/>
      <c r="GP106" s="100"/>
      <c r="GQ106" s="100"/>
      <c r="GR106" s="100"/>
      <c r="GS106" s="100"/>
      <c r="GT106" s="100"/>
      <c r="GU106" s="100"/>
      <c r="GV106" s="100"/>
      <c r="GW106" s="100"/>
      <c r="GX106" s="100"/>
      <c r="GY106" s="100"/>
      <c r="GZ106" s="100"/>
      <c r="HA106" s="100"/>
      <c r="HB106" s="100"/>
      <c r="HC106" s="100"/>
      <c r="HD106" s="100"/>
      <c r="HE106" s="100"/>
      <c r="HF106" s="100"/>
      <c r="HG106" s="100"/>
      <c r="HH106" s="100"/>
      <c r="HI106" s="100"/>
      <c r="HJ106" s="100"/>
      <c r="HK106" s="100"/>
      <c r="HL106" s="100"/>
      <c r="HM106" s="100"/>
      <c r="HN106" s="100"/>
      <c r="HO106" s="100"/>
      <c r="HP106" s="100"/>
      <c r="HQ106" s="100"/>
      <c r="HR106" s="100"/>
      <c r="HS106" s="100"/>
      <c r="HT106" s="100"/>
      <c r="HU106" s="100"/>
      <c r="HV106" s="100"/>
      <c r="HW106" s="100"/>
      <c r="HX106" s="100"/>
      <c r="HY106" s="100"/>
      <c r="HZ106" s="100"/>
      <c r="IA106" s="100"/>
      <c r="IB106" s="100"/>
      <c r="IC106" s="100"/>
      <c r="ID106" s="100"/>
      <c r="IE106" s="100"/>
      <c r="IF106" s="100"/>
      <c r="IG106" s="100"/>
      <c r="IH106" s="100"/>
      <c r="II106" s="100"/>
      <c r="IJ106" s="100"/>
      <c r="IK106" s="100"/>
      <c r="IL106" s="100"/>
      <c r="IM106" s="100"/>
      <c r="IN106" s="100"/>
      <c r="IO106" s="100"/>
      <c r="IP106" s="100"/>
      <c r="IQ106" s="100"/>
      <c r="IR106" s="100"/>
      <c r="IS106" s="100"/>
      <c r="IT106" s="100"/>
      <c r="IU106" s="100"/>
      <c r="IV106" s="100"/>
      <c r="IW106" s="100"/>
    </row>
    <row r="107" customFormat="false" ht="12.75" hidden="false" customHeight="false" outlineLevel="0" collapsed="false">
      <c r="A107" s="90"/>
      <c r="B107" s="69" t="s">
        <v>187</v>
      </c>
      <c r="C107" s="91" t="s">
        <v>310</v>
      </c>
      <c r="D107" s="91" t="s">
        <v>302</v>
      </c>
      <c r="E107" s="92" t="n">
        <v>36586</v>
      </c>
      <c r="F107" s="92" t="n">
        <v>36950</v>
      </c>
      <c r="G107" s="69" t="s">
        <v>311</v>
      </c>
      <c r="H107" s="69" t="s">
        <v>312</v>
      </c>
      <c r="I107" s="91" t="s">
        <v>313</v>
      </c>
      <c r="J107" s="93" t="n">
        <v>3.145</v>
      </c>
      <c r="K107" s="94"/>
      <c r="L107" s="94"/>
      <c r="M107" s="94"/>
      <c r="N107" s="94"/>
      <c r="O107" s="95"/>
      <c r="P107" s="94"/>
      <c r="Q107" s="96" t="n">
        <v>66682</v>
      </c>
      <c r="R107" s="96"/>
      <c r="S107" s="91" t="n">
        <v>9</v>
      </c>
      <c r="T107" s="69"/>
      <c r="U107" s="97" t="n">
        <f aca="false">+J107*S107</f>
        <v>28.305</v>
      </c>
      <c r="V107" s="97"/>
      <c r="W107" s="98" t="n">
        <v>205604</v>
      </c>
      <c r="X107" s="98"/>
      <c r="Y107" s="69" t="s">
        <v>324</v>
      </c>
      <c r="Z107" s="99"/>
      <c r="AA107" s="99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90"/>
      <c r="CM107" s="90"/>
      <c r="CN107" s="90"/>
      <c r="CO107" s="90"/>
      <c r="CP107" s="90"/>
      <c r="CQ107" s="90"/>
      <c r="CR107" s="90"/>
      <c r="CS107" s="90"/>
      <c r="CT107" s="90"/>
      <c r="CU107" s="90"/>
      <c r="CV107" s="90"/>
      <c r="CW107" s="90"/>
      <c r="CX107" s="90"/>
      <c r="CY107" s="90"/>
      <c r="CZ107" s="90"/>
      <c r="DA107" s="90"/>
      <c r="DB107" s="90"/>
      <c r="DC107" s="90"/>
      <c r="DD107" s="90"/>
      <c r="DE107" s="90"/>
      <c r="DF107" s="90"/>
      <c r="DG107" s="90"/>
      <c r="DH107" s="90"/>
      <c r="DI107" s="90"/>
      <c r="DJ107" s="90"/>
      <c r="DK107" s="90"/>
      <c r="DL107" s="90"/>
      <c r="DM107" s="90"/>
      <c r="DN107" s="90"/>
      <c r="DO107" s="90"/>
      <c r="DP107" s="90"/>
      <c r="DQ107" s="90"/>
      <c r="DR107" s="90"/>
      <c r="DS107" s="90"/>
      <c r="DT107" s="90"/>
      <c r="DU107" s="90"/>
      <c r="DV107" s="90"/>
      <c r="DW107" s="90"/>
      <c r="DX107" s="90"/>
      <c r="DY107" s="90"/>
      <c r="DZ107" s="90"/>
      <c r="EA107" s="90"/>
      <c r="EB107" s="90"/>
      <c r="EC107" s="90"/>
      <c r="ED107" s="90"/>
      <c r="EE107" s="90"/>
      <c r="EF107" s="90"/>
      <c r="EG107" s="90"/>
      <c r="EH107" s="90"/>
      <c r="EI107" s="90"/>
      <c r="EJ107" s="90"/>
      <c r="EK107" s="90"/>
      <c r="EL107" s="90"/>
      <c r="EM107" s="90"/>
      <c r="EN107" s="90"/>
      <c r="EO107" s="90"/>
      <c r="EP107" s="90"/>
      <c r="EQ107" s="90"/>
      <c r="ER107" s="90"/>
      <c r="ES107" s="90"/>
      <c r="ET107" s="90"/>
      <c r="EU107" s="90"/>
      <c r="EV107" s="90"/>
      <c r="EW107" s="90"/>
      <c r="EX107" s="90"/>
      <c r="EY107" s="90"/>
      <c r="EZ107" s="90"/>
      <c r="FA107" s="90"/>
      <c r="FB107" s="90"/>
      <c r="FC107" s="90"/>
      <c r="FD107" s="90"/>
      <c r="FE107" s="90"/>
      <c r="FF107" s="90"/>
      <c r="FG107" s="90"/>
      <c r="FH107" s="90"/>
      <c r="FI107" s="90"/>
      <c r="FJ107" s="90"/>
      <c r="FK107" s="90"/>
      <c r="FL107" s="90"/>
      <c r="FM107" s="90"/>
      <c r="FN107" s="90"/>
      <c r="FO107" s="90"/>
      <c r="FP107" s="90"/>
      <c r="FQ107" s="90"/>
      <c r="FR107" s="90"/>
      <c r="FS107" s="90"/>
      <c r="FT107" s="90"/>
      <c r="FU107" s="90"/>
      <c r="FV107" s="90"/>
      <c r="FW107" s="90"/>
      <c r="FX107" s="90"/>
      <c r="FY107" s="90"/>
      <c r="FZ107" s="90"/>
      <c r="GA107" s="90"/>
      <c r="GB107" s="90"/>
      <c r="GC107" s="90"/>
      <c r="GD107" s="90"/>
      <c r="GE107" s="90"/>
      <c r="GF107" s="90"/>
      <c r="GG107" s="90"/>
      <c r="GH107" s="90"/>
      <c r="GI107" s="90"/>
      <c r="GJ107" s="90"/>
      <c r="GK107" s="90"/>
      <c r="GL107" s="90"/>
      <c r="GM107" s="90"/>
      <c r="GN107" s="90"/>
      <c r="GO107" s="90"/>
      <c r="GP107" s="90"/>
      <c r="GQ107" s="90"/>
      <c r="GR107" s="90"/>
      <c r="GS107" s="90"/>
      <c r="GT107" s="90"/>
      <c r="GU107" s="90"/>
      <c r="GV107" s="90"/>
      <c r="GW107" s="90"/>
      <c r="GX107" s="90"/>
      <c r="GY107" s="90"/>
      <c r="GZ107" s="90"/>
      <c r="HA107" s="90"/>
      <c r="HB107" s="90"/>
      <c r="HC107" s="90"/>
      <c r="HD107" s="90"/>
      <c r="HE107" s="90"/>
      <c r="HF107" s="90"/>
      <c r="HG107" s="90"/>
      <c r="HH107" s="90"/>
      <c r="HI107" s="90"/>
      <c r="HJ107" s="90"/>
      <c r="HK107" s="90"/>
      <c r="HL107" s="90"/>
      <c r="HM107" s="90"/>
      <c r="HN107" s="90"/>
      <c r="HO107" s="90"/>
      <c r="HP107" s="90"/>
      <c r="HQ107" s="90"/>
      <c r="HR107" s="90"/>
      <c r="HS107" s="90"/>
      <c r="HT107" s="90"/>
      <c r="HU107" s="90"/>
      <c r="HV107" s="90"/>
      <c r="HW107" s="90"/>
      <c r="HX107" s="90"/>
      <c r="HY107" s="90"/>
      <c r="HZ107" s="90"/>
      <c r="IA107" s="90"/>
      <c r="IB107" s="90"/>
      <c r="IC107" s="90"/>
      <c r="ID107" s="90"/>
      <c r="IE107" s="90"/>
      <c r="IF107" s="90"/>
      <c r="IG107" s="90"/>
      <c r="IH107" s="90"/>
      <c r="II107" s="90"/>
      <c r="IJ107" s="90"/>
      <c r="IK107" s="90"/>
      <c r="IL107" s="90"/>
      <c r="IM107" s="90"/>
      <c r="IN107" s="90"/>
      <c r="IO107" s="90"/>
      <c r="IP107" s="90"/>
      <c r="IQ107" s="90"/>
      <c r="IR107" s="90"/>
      <c r="IS107" s="90"/>
      <c r="IT107" s="90"/>
      <c r="IU107" s="90"/>
      <c r="IV107" s="90"/>
      <c r="IW107" s="90"/>
    </row>
    <row r="109" customFormat="false" ht="12.75" hidden="false" customHeight="false" outlineLevel="0" collapsed="false">
      <c r="A109" s="100"/>
      <c r="B109" s="58"/>
      <c r="C109" s="56"/>
      <c r="D109" s="56"/>
      <c r="E109" s="57"/>
      <c r="F109" s="57"/>
      <c r="G109" s="58"/>
      <c r="H109" s="58"/>
      <c r="I109" s="56"/>
      <c r="J109" s="72"/>
      <c r="K109" s="61"/>
      <c r="L109" s="61"/>
      <c r="M109" s="61"/>
      <c r="N109" s="61"/>
      <c r="O109" s="62"/>
      <c r="P109" s="61"/>
      <c r="Q109" s="63"/>
      <c r="R109" s="63"/>
      <c r="S109" s="56"/>
      <c r="T109" s="58"/>
      <c r="U109" s="101"/>
      <c r="V109" s="101"/>
      <c r="W109" s="102"/>
      <c r="X109" s="102"/>
      <c r="Y109" s="58"/>
      <c r="Z109" s="89"/>
      <c r="AA109" s="89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  <c r="FJ109" s="100"/>
      <c r="FK109" s="100"/>
      <c r="FL109" s="100"/>
      <c r="FM109" s="100"/>
      <c r="FN109" s="100"/>
      <c r="FO109" s="100"/>
      <c r="FP109" s="100"/>
      <c r="FQ109" s="100"/>
      <c r="FR109" s="100"/>
      <c r="FS109" s="100"/>
      <c r="FT109" s="100"/>
      <c r="FU109" s="100"/>
      <c r="FV109" s="100"/>
      <c r="FW109" s="100"/>
      <c r="FX109" s="100"/>
      <c r="FY109" s="100"/>
      <c r="FZ109" s="100"/>
      <c r="GA109" s="100"/>
      <c r="GB109" s="100"/>
      <c r="GC109" s="100"/>
      <c r="GD109" s="100"/>
      <c r="GE109" s="100"/>
      <c r="GF109" s="100"/>
      <c r="GG109" s="100"/>
      <c r="GH109" s="100"/>
      <c r="GI109" s="100"/>
      <c r="GJ109" s="100"/>
      <c r="GK109" s="100"/>
      <c r="GL109" s="100"/>
      <c r="GM109" s="100"/>
      <c r="GN109" s="100"/>
      <c r="GO109" s="100"/>
      <c r="GP109" s="100"/>
      <c r="GQ109" s="100"/>
      <c r="GR109" s="100"/>
      <c r="GS109" s="100"/>
      <c r="GT109" s="100"/>
      <c r="GU109" s="100"/>
      <c r="GV109" s="100"/>
      <c r="GW109" s="100"/>
      <c r="GX109" s="100"/>
      <c r="GY109" s="100"/>
      <c r="GZ109" s="100"/>
      <c r="HA109" s="100"/>
      <c r="HB109" s="100"/>
      <c r="HC109" s="100"/>
      <c r="HD109" s="100"/>
      <c r="HE109" s="100"/>
      <c r="HF109" s="100"/>
      <c r="HG109" s="100"/>
      <c r="HH109" s="100"/>
      <c r="HI109" s="100"/>
      <c r="HJ109" s="100"/>
      <c r="HK109" s="100"/>
      <c r="HL109" s="100"/>
      <c r="HM109" s="100"/>
      <c r="HN109" s="100"/>
      <c r="HO109" s="100"/>
      <c r="HP109" s="100"/>
      <c r="HQ109" s="100"/>
      <c r="HR109" s="100"/>
      <c r="HS109" s="100"/>
      <c r="HT109" s="100"/>
      <c r="HU109" s="100"/>
      <c r="HV109" s="100"/>
      <c r="HW109" s="100"/>
      <c r="HX109" s="100"/>
      <c r="HY109" s="100"/>
      <c r="HZ109" s="100"/>
      <c r="IA109" s="100"/>
      <c r="IB109" s="100"/>
      <c r="IC109" s="100"/>
      <c r="ID109" s="100"/>
      <c r="IE109" s="100"/>
      <c r="IF109" s="100"/>
      <c r="IG109" s="100"/>
      <c r="IH109" s="100"/>
      <c r="II109" s="100"/>
      <c r="IJ109" s="100"/>
      <c r="IK109" s="100"/>
      <c r="IL109" s="100"/>
      <c r="IM109" s="100"/>
      <c r="IN109" s="100"/>
      <c r="IO109" s="100"/>
      <c r="IP109" s="100"/>
      <c r="IQ109" s="100"/>
      <c r="IR109" s="100"/>
      <c r="IS109" s="100"/>
      <c r="IT109" s="100"/>
      <c r="IU109" s="100"/>
      <c r="IV109" s="100"/>
      <c r="IW109" s="100"/>
    </row>
    <row r="110" customFormat="false" ht="12.75" hidden="false" customHeight="false" outlineLevel="0" collapsed="false">
      <c r="B110" s="58"/>
      <c r="C110" s="56"/>
      <c r="D110" s="56"/>
      <c r="E110" s="57"/>
      <c r="F110" s="57"/>
      <c r="G110" s="58"/>
      <c r="H110" s="58"/>
      <c r="I110" s="56"/>
      <c r="J110" s="72"/>
      <c r="K110" s="61"/>
      <c r="L110" s="128"/>
      <c r="M110" s="61"/>
      <c r="N110" s="61"/>
      <c r="O110" s="62"/>
      <c r="P110" s="61"/>
      <c r="Q110" s="63"/>
      <c r="R110" s="63"/>
      <c r="S110" s="64" t="n">
        <f aca="false">SUM(S87:S105)</f>
        <v>2318</v>
      </c>
      <c r="T110" s="56"/>
      <c r="U110" s="101" t="n">
        <f aca="false">SUM(U87:U109)</f>
        <v>6948.3628</v>
      </c>
      <c r="V110" s="101"/>
      <c r="W110" s="102"/>
      <c r="X110" s="102"/>
      <c r="Y110" s="58"/>
      <c r="Z110" s="89"/>
      <c r="AA110" s="89"/>
    </row>
    <row r="111" customFormat="false" ht="12.75" hidden="false" customHeight="false" outlineLevel="0" collapsed="false">
      <c r="B111" s="80" t="s">
        <v>145</v>
      </c>
      <c r="C111" s="81" t="s">
        <v>146</v>
      </c>
      <c r="D111" s="81" t="s">
        <v>220</v>
      </c>
      <c r="E111" s="82" t="s">
        <v>148</v>
      </c>
      <c r="F111" s="82"/>
      <c r="G111" s="80" t="s">
        <v>149</v>
      </c>
      <c r="H111" s="80" t="s">
        <v>150</v>
      </c>
      <c r="I111" s="81" t="s">
        <v>151</v>
      </c>
      <c r="J111" s="83" t="s">
        <v>152</v>
      </c>
      <c r="K111" s="81" t="s">
        <v>153</v>
      </c>
      <c r="L111" s="81" t="s">
        <v>154</v>
      </c>
      <c r="M111" s="81" t="s">
        <v>155</v>
      </c>
      <c r="N111" s="81" t="s">
        <v>156</v>
      </c>
      <c r="O111" s="84" t="s">
        <v>157</v>
      </c>
      <c r="P111" s="81" t="s">
        <v>158</v>
      </c>
      <c r="Q111" s="85" t="s">
        <v>159</v>
      </c>
      <c r="R111" s="85" t="s">
        <v>160</v>
      </c>
      <c r="S111" s="81" t="s">
        <v>161</v>
      </c>
      <c r="T111" s="80" t="s">
        <v>162</v>
      </c>
      <c r="U111" s="86" t="s">
        <v>163</v>
      </c>
      <c r="V111" s="86" t="s">
        <v>164</v>
      </c>
      <c r="W111" s="87" t="s">
        <v>165</v>
      </c>
      <c r="X111" s="87" t="s">
        <v>166</v>
      </c>
      <c r="Y111" s="88" t="n">
        <f aca="false">+Y62</f>
        <v>0</v>
      </c>
      <c r="Z111" s="89"/>
      <c r="AA111" s="89"/>
    </row>
    <row r="112" customFormat="false" ht="12" hidden="false" customHeight="true" outlineLevel="0" collapsed="false">
      <c r="A112" s="100"/>
      <c r="B112" s="58" t="s">
        <v>187</v>
      </c>
      <c r="C112" s="56" t="s">
        <v>325</v>
      </c>
      <c r="D112" s="56" t="s">
        <v>326</v>
      </c>
      <c r="E112" s="57" t="n">
        <v>35612</v>
      </c>
      <c r="F112" s="57" t="n">
        <v>37437</v>
      </c>
      <c r="G112" s="58" t="s">
        <v>327</v>
      </c>
      <c r="H112" s="58" t="s">
        <v>328</v>
      </c>
      <c r="I112" s="56" t="s">
        <v>19</v>
      </c>
      <c r="J112" s="93" t="n">
        <f aca="false">+(5.6195+1.3875+0.2)/J$1</f>
        <v>0.232483870967742</v>
      </c>
      <c r="K112" s="61" t="n">
        <v>0</v>
      </c>
      <c r="L112" s="61" t="n">
        <v>0.0022</v>
      </c>
      <c r="M112" s="61" t="n">
        <v>0.0072</v>
      </c>
      <c r="N112" s="61" t="n">
        <v>0</v>
      </c>
      <c r="O112" s="62" t="n">
        <v>0</v>
      </c>
      <c r="P112" s="61" t="n">
        <f aca="false">SUM(J112:N112)</f>
        <v>0.241883870967742</v>
      </c>
      <c r="Q112" s="63" t="n">
        <v>270</v>
      </c>
      <c r="R112" s="63"/>
      <c r="S112" s="56" t="n">
        <v>1000</v>
      </c>
      <c r="T112" s="58"/>
      <c r="U112" s="101" t="n">
        <f aca="false">J112*J$1*S112</f>
        <v>7207</v>
      </c>
      <c r="V112" s="101"/>
      <c r="W112" s="102" t="n">
        <v>149901</v>
      </c>
      <c r="X112" s="102"/>
      <c r="Y112" s="58"/>
      <c r="Z112" s="89"/>
      <c r="AA112" s="89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0"/>
      <c r="CE112" s="100"/>
      <c r="CF112" s="100"/>
      <c r="CG112" s="100"/>
      <c r="CH112" s="100"/>
      <c r="CI112" s="100"/>
      <c r="CJ112" s="100"/>
      <c r="CK112" s="100"/>
      <c r="CL112" s="100"/>
      <c r="CM112" s="100"/>
      <c r="CN112" s="100"/>
      <c r="CO112" s="100"/>
      <c r="CP112" s="100"/>
      <c r="CQ112" s="100"/>
      <c r="CR112" s="100"/>
      <c r="CS112" s="100"/>
      <c r="CT112" s="100"/>
      <c r="CU112" s="100"/>
      <c r="CV112" s="100"/>
      <c r="CW112" s="100"/>
      <c r="CX112" s="100"/>
      <c r="CY112" s="100"/>
      <c r="CZ112" s="100"/>
      <c r="DA112" s="100"/>
      <c r="DB112" s="100"/>
      <c r="DC112" s="100"/>
      <c r="DD112" s="100"/>
      <c r="DE112" s="100"/>
      <c r="DF112" s="100"/>
      <c r="DG112" s="100"/>
      <c r="DH112" s="100"/>
      <c r="DI112" s="100"/>
      <c r="DJ112" s="100"/>
      <c r="DK112" s="100"/>
      <c r="DL112" s="100"/>
      <c r="DM112" s="100"/>
      <c r="DN112" s="100"/>
      <c r="DO112" s="100"/>
      <c r="DP112" s="100"/>
      <c r="DQ112" s="100"/>
      <c r="DR112" s="100"/>
      <c r="DS112" s="100"/>
      <c r="DT112" s="100"/>
      <c r="DU112" s="100"/>
      <c r="DV112" s="100"/>
      <c r="DW112" s="100"/>
      <c r="DX112" s="100"/>
      <c r="DY112" s="100"/>
      <c r="DZ112" s="100"/>
      <c r="EA112" s="100"/>
      <c r="EB112" s="100"/>
      <c r="EC112" s="100"/>
      <c r="ED112" s="100"/>
      <c r="EE112" s="100"/>
      <c r="EF112" s="100"/>
      <c r="EG112" s="100"/>
      <c r="EH112" s="100"/>
      <c r="EI112" s="100"/>
      <c r="EJ112" s="100"/>
      <c r="EK112" s="100"/>
      <c r="EL112" s="100"/>
      <c r="EM112" s="100"/>
      <c r="EN112" s="100"/>
      <c r="EO112" s="100"/>
      <c r="EP112" s="100"/>
      <c r="EQ112" s="100"/>
      <c r="ER112" s="100"/>
      <c r="ES112" s="100"/>
      <c r="ET112" s="100"/>
      <c r="EU112" s="100"/>
      <c r="EV112" s="100"/>
      <c r="EW112" s="100"/>
      <c r="EX112" s="100"/>
      <c r="EY112" s="100"/>
      <c r="EZ112" s="100"/>
      <c r="FA112" s="100"/>
      <c r="FB112" s="100"/>
      <c r="FC112" s="100"/>
      <c r="FD112" s="100"/>
      <c r="FE112" s="100"/>
      <c r="FF112" s="100"/>
      <c r="FG112" s="100"/>
      <c r="FH112" s="100"/>
      <c r="FI112" s="100"/>
      <c r="FJ112" s="100"/>
      <c r="FK112" s="100"/>
      <c r="FL112" s="100"/>
      <c r="FM112" s="100"/>
      <c r="FN112" s="100"/>
      <c r="FO112" s="100"/>
      <c r="FP112" s="100"/>
      <c r="FQ112" s="100"/>
      <c r="FR112" s="100"/>
      <c r="FS112" s="100"/>
      <c r="FT112" s="100"/>
      <c r="FU112" s="100"/>
      <c r="FV112" s="100"/>
      <c r="FW112" s="100"/>
      <c r="FX112" s="100"/>
      <c r="FY112" s="100"/>
      <c r="FZ112" s="100"/>
      <c r="GA112" s="100"/>
      <c r="GB112" s="100"/>
      <c r="GC112" s="100"/>
      <c r="GD112" s="100"/>
      <c r="GE112" s="100"/>
      <c r="GF112" s="100"/>
      <c r="GG112" s="100"/>
      <c r="GH112" s="100"/>
      <c r="GI112" s="100"/>
      <c r="GJ112" s="100"/>
      <c r="GK112" s="100"/>
      <c r="GL112" s="100"/>
      <c r="GM112" s="100"/>
      <c r="GN112" s="100"/>
      <c r="GO112" s="100"/>
      <c r="GP112" s="100"/>
      <c r="GQ112" s="100"/>
      <c r="GR112" s="100"/>
      <c r="GS112" s="100"/>
      <c r="GT112" s="100"/>
      <c r="GU112" s="100"/>
      <c r="GV112" s="100"/>
      <c r="GW112" s="100"/>
      <c r="GX112" s="100"/>
      <c r="GY112" s="100"/>
      <c r="GZ112" s="100"/>
      <c r="HA112" s="100"/>
      <c r="HB112" s="100"/>
      <c r="HC112" s="100"/>
      <c r="HD112" s="100"/>
      <c r="HE112" s="100"/>
      <c r="HF112" s="100"/>
      <c r="HG112" s="100"/>
      <c r="HH112" s="100"/>
      <c r="HI112" s="100"/>
      <c r="HJ112" s="100"/>
      <c r="HK112" s="100"/>
      <c r="HL112" s="100"/>
      <c r="HM112" s="100"/>
      <c r="HN112" s="100"/>
      <c r="HO112" s="100"/>
      <c r="HP112" s="100"/>
      <c r="HQ112" s="100"/>
      <c r="HR112" s="100"/>
      <c r="HS112" s="100"/>
      <c r="HT112" s="100"/>
      <c r="HU112" s="100"/>
      <c r="HV112" s="100"/>
      <c r="HW112" s="100"/>
      <c r="HX112" s="100"/>
      <c r="HY112" s="100"/>
      <c r="HZ112" s="100"/>
      <c r="IA112" s="100"/>
      <c r="IB112" s="100"/>
      <c r="IC112" s="100"/>
      <c r="ID112" s="100"/>
      <c r="IE112" s="100"/>
      <c r="IF112" s="100"/>
      <c r="IG112" s="100"/>
      <c r="IH112" s="100"/>
      <c r="II112" s="100"/>
      <c r="IJ112" s="100"/>
      <c r="IK112" s="100"/>
      <c r="IL112" s="100"/>
      <c r="IM112" s="100"/>
      <c r="IN112" s="100"/>
      <c r="IO112" s="100"/>
      <c r="IP112" s="100"/>
      <c r="IQ112" s="100"/>
      <c r="IR112" s="100"/>
      <c r="IS112" s="100"/>
      <c r="IT112" s="100"/>
      <c r="IU112" s="100"/>
      <c r="IV112" s="100"/>
      <c r="IW112" s="100"/>
    </row>
    <row r="113" customFormat="false" ht="12" hidden="false" customHeight="true" outlineLevel="0" collapsed="false">
      <c r="A113" s="100"/>
      <c r="B113" s="58"/>
      <c r="C113" s="56"/>
      <c r="D113" s="56"/>
      <c r="E113" s="57"/>
      <c r="F113" s="57"/>
      <c r="G113" s="58"/>
      <c r="H113" s="58"/>
      <c r="I113" s="56"/>
      <c r="J113" s="72"/>
      <c r="K113" s="61"/>
      <c r="L113" s="61"/>
      <c r="M113" s="61"/>
      <c r="N113" s="61"/>
      <c r="O113" s="62"/>
      <c r="P113" s="61"/>
      <c r="Q113" s="63"/>
      <c r="R113" s="63"/>
      <c r="S113" s="56"/>
      <c r="T113" s="58"/>
      <c r="U113" s="101" t="n">
        <f aca="false">SUM(U112)</f>
        <v>7207</v>
      </c>
      <c r="V113" s="101"/>
      <c r="W113" s="102"/>
      <c r="X113" s="102"/>
      <c r="Y113" s="58"/>
      <c r="Z113" s="89"/>
      <c r="AA113" s="89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100"/>
      <c r="CO113" s="100"/>
      <c r="CP113" s="100"/>
      <c r="CQ113" s="100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100"/>
      <c r="DC113" s="100"/>
      <c r="DD113" s="100"/>
      <c r="DE113" s="100"/>
      <c r="DF113" s="100"/>
      <c r="DG113" s="100"/>
      <c r="DH113" s="100"/>
      <c r="DI113" s="100"/>
      <c r="DJ113" s="100"/>
      <c r="DK113" s="100"/>
      <c r="DL113" s="100"/>
      <c r="DM113" s="100"/>
      <c r="DN113" s="100"/>
      <c r="DO113" s="100"/>
      <c r="DP113" s="100"/>
      <c r="DQ113" s="100"/>
      <c r="DR113" s="100"/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  <c r="FJ113" s="100"/>
      <c r="FK113" s="100"/>
      <c r="FL113" s="100"/>
      <c r="FM113" s="100"/>
      <c r="FN113" s="100"/>
      <c r="FO113" s="100"/>
      <c r="FP113" s="100"/>
      <c r="FQ113" s="100"/>
      <c r="FR113" s="100"/>
      <c r="FS113" s="100"/>
      <c r="FT113" s="100"/>
      <c r="FU113" s="100"/>
      <c r="FV113" s="100"/>
      <c r="FW113" s="100"/>
      <c r="FX113" s="100"/>
      <c r="FY113" s="100"/>
      <c r="FZ113" s="100"/>
      <c r="GA113" s="100"/>
      <c r="GB113" s="100"/>
      <c r="GC113" s="100"/>
      <c r="GD113" s="100"/>
      <c r="GE113" s="100"/>
      <c r="GF113" s="100"/>
      <c r="GG113" s="100"/>
      <c r="GH113" s="100"/>
      <c r="GI113" s="100"/>
      <c r="GJ113" s="100"/>
      <c r="GK113" s="100"/>
      <c r="GL113" s="100"/>
      <c r="GM113" s="100"/>
      <c r="GN113" s="100"/>
      <c r="GO113" s="100"/>
      <c r="GP113" s="100"/>
      <c r="GQ113" s="100"/>
      <c r="GR113" s="100"/>
      <c r="GS113" s="100"/>
      <c r="GT113" s="100"/>
      <c r="GU113" s="100"/>
      <c r="GV113" s="100"/>
      <c r="GW113" s="100"/>
      <c r="GX113" s="100"/>
      <c r="GY113" s="100"/>
      <c r="GZ113" s="100"/>
      <c r="HA113" s="100"/>
      <c r="HB113" s="100"/>
      <c r="HC113" s="100"/>
      <c r="HD113" s="100"/>
      <c r="HE113" s="100"/>
      <c r="HF113" s="100"/>
      <c r="HG113" s="100"/>
      <c r="HH113" s="100"/>
      <c r="HI113" s="100"/>
      <c r="HJ113" s="100"/>
      <c r="HK113" s="100"/>
      <c r="HL113" s="100"/>
      <c r="HM113" s="100"/>
      <c r="HN113" s="100"/>
      <c r="HO113" s="100"/>
      <c r="HP113" s="100"/>
      <c r="HQ113" s="100"/>
      <c r="HR113" s="100"/>
      <c r="HS113" s="100"/>
      <c r="HT113" s="100"/>
      <c r="HU113" s="100"/>
      <c r="HV113" s="100"/>
      <c r="HW113" s="100"/>
      <c r="HX113" s="100"/>
      <c r="HY113" s="100"/>
      <c r="HZ113" s="100"/>
      <c r="IA113" s="100"/>
      <c r="IB113" s="100"/>
      <c r="IC113" s="100"/>
      <c r="ID113" s="100"/>
      <c r="IE113" s="100"/>
      <c r="IF113" s="100"/>
      <c r="IG113" s="100"/>
      <c r="IH113" s="100"/>
      <c r="II113" s="100"/>
      <c r="IJ113" s="100"/>
      <c r="IK113" s="100"/>
      <c r="IL113" s="100"/>
      <c r="IM113" s="100"/>
      <c r="IN113" s="100"/>
      <c r="IO113" s="100"/>
      <c r="IP113" s="100"/>
      <c r="IQ113" s="100"/>
      <c r="IR113" s="100"/>
      <c r="IS113" s="100"/>
      <c r="IT113" s="100"/>
      <c r="IU113" s="100"/>
      <c r="IV113" s="100"/>
      <c r="IW113" s="100"/>
    </row>
    <row r="114" customFormat="false" ht="12.75" hidden="false" customHeight="false" outlineLevel="0" collapsed="false">
      <c r="B114" s="80" t="s">
        <v>145</v>
      </c>
      <c r="C114" s="81" t="s">
        <v>146</v>
      </c>
      <c r="D114" s="81" t="s">
        <v>220</v>
      </c>
      <c r="E114" s="82" t="s">
        <v>148</v>
      </c>
      <c r="F114" s="82"/>
      <c r="G114" s="80" t="s">
        <v>149</v>
      </c>
      <c r="H114" s="80" t="s">
        <v>150</v>
      </c>
      <c r="I114" s="81" t="s">
        <v>151</v>
      </c>
      <c r="J114" s="83" t="s">
        <v>152</v>
      </c>
      <c r="K114" s="81" t="s">
        <v>153</v>
      </c>
      <c r="L114" s="81" t="s">
        <v>154</v>
      </c>
      <c r="M114" s="81" t="s">
        <v>155</v>
      </c>
      <c r="N114" s="81" t="s">
        <v>156</v>
      </c>
      <c r="O114" s="84" t="s">
        <v>157</v>
      </c>
      <c r="P114" s="81" t="s">
        <v>158</v>
      </c>
      <c r="Q114" s="85" t="s">
        <v>159</v>
      </c>
      <c r="R114" s="85" t="s">
        <v>160</v>
      </c>
      <c r="S114" s="81" t="s">
        <v>161</v>
      </c>
      <c r="T114" s="80" t="s">
        <v>162</v>
      </c>
      <c r="U114" s="86" t="s">
        <v>163</v>
      </c>
      <c r="V114" s="86" t="s">
        <v>164</v>
      </c>
      <c r="W114" s="87" t="s">
        <v>165</v>
      </c>
      <c r="X114" s="87" t="s">
        <v>166</v>
      </c>
      <c r="Y114" s="88" t="n">
        <f aca="false">+Y65</f>
        <v>0</v>
      </c>
      <c r="Z114" s="89"/>
      <c r="AA114" s="89"/>
    </row>
    <row r="115" customFormat="false" ht="12" hidden="false" customHeight="true" outlineLevel="0" collapsed="false">
      <c r="A115" s="90"/>
      <c r="B115" s="69" t="s">
        <v>187</v>
      </c>
      <c r="C115" s="91" t="s">
        <v>329</v>
      </c>
      <c r="D115" s="91" t="s">
        <v>330</v>
      </c>
      <c r="E115" s="92" t="n">
        <v>36586</v>
      </c>
      <c r="F115" s="92" t="n">
        <v>36616</v>
      </c>
      <c r="G115" s="69"/>
      <c r="H115" s="69"/>
      <c r="I115" s="91" t="s">
        <v>331</v>
      </c>
      <c r="J115" s="93" t="n">
        <v>0.03026</v>
      </c>
      <c r="K115" s="94" t="n">
        <v>0</v>
      </c>
      <c r="L115" s="94" t="n">
        <v>0.0022</v>
      </c>
      <c r="M115" s="94" t="n">
        <v>0.0072</v>
      </c>
      <c r="N115" s="94" t="n">
        <v>0</v>
      </c>
      <c r="O115" s="95" t="n">
        <v>0</v>
      </c>
      <c r="P115" s="94" t="n">
        <f aca="false">SUM(J115:N115)</f>
        <v>0.03966</v>
      </c>
      <c r="Q115" s="96" t="s">
        <v>332</v>
      </c>
      <c r="R115" s="96"/>
      <c r="S115" s="91" t="n">
        <v>841904</v>
      </c>
      <c r="T115" s="69"/>
      <c r="U115" s="97" t="n">
        <f aca="false">+S115*J115</f>
        <v>25476.01504</v>
      </c>
      <c r="V115" s="97"/>
      <c r="W115" s="98" t="n">
        <v>212249</v>
      </c>
      <c r="X115" s="98" t="n">
        <v>158583</v>
      </c>
      <c r="Y115" s="69" t="s">
        <v>333</v>
      </c>
      <c r="Z115" s="99"/>
      <c r="AA115" s="99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90"/>
      <c r="DF115" s="90"/>
      <c r="DG115" s="90"/>
      <c r="DH115" s="90"/>
      <c r="DI115" s="90"/>
      <c r="DJ115" s="90"/>
      <c r="DK115" s="90"/>
      <c r="DL115" s="90"/>
      <c r="DM115" s="90"/>
      <c r="DN115" s="90"/>
      <c r="DO115" s="90"/>
      <c r="DP115" s="90"/>
      <c r="DQ115" s="90"/>
      <c r="DR115" s="90"/>
      <c r="DS115" s="90"/>
      <c r="DT115" s="90"/>
      <c r="DU115" s="90"/>
      <c r="DV115" s="90"/>
      <c r="DW115" s="90"/>
      <c r="DX115" s="90"/>
      <c r="DY115" s="90"/>
      <c r="DZ115" s="90"/>
      <c r="EA115" s="90"/>
      <c r="EB115" s="90"/>
      <c r="EC115" s="90"/>
      <c r="ED115" s="90"/>
      <c r="EE115" s="90"/>
      <c r="EF115" s="90"/>
      <c r="EG115" s="90"/>
      <c r="EH115" s="90"/>
      <c r="EI115" s="90"/>
      <c r="EJ115" s="90"/>
      <c r="EK115" s="90"/>
      <c r="EL115" s="90"/>
      <c r="EM115" s="90"/>
      <c r="EN115" s="90"/>
      <c r="EO115" s="90"/>
      <c r="EP115" s="90"/>
      <c r="EQ115" s="90"/>
      <c r="ER115" s="90"/>
      <c r="ES115" s="90"/>
      <c r="ET115" s="90"/>
      <c r="EU115" s="90"/>
      <c r="EV115" s="90"/>
      <c r="EW115" s="90"/>
      <c r="EX115" s="90"/>
      <c r="EY115" s="90"/>
      <c r="EZ115" s="90"/>
      <c r="FA115" s="90"/>
      <c r="FB115" s="90"/>
      <c r="FC115" s="90"/>
      <c r="FD115" s="90"/>
      <c r="FE115" s="90"/>
      <c r="FF115" s="90"/>
      <c r="FG115" s="90"/>
      <c r="FH115" s="90"/>
      <c r="FI115" s="90"/>
      <c r="FJ115" s="90"/>
      <c r="FK115" s="90"/>
      <c r="FL115" s="90"/>
      <c r="FM115" s="90"/>
      <c r="FN115" s="90"/>
      <c r="FO115" s="90"/>
      <c r="FP115" s="90"/>
      <c r="FQ115" s="90"/>
      <c r="FR115" s="90"/>
      <c r="FS115" s="90"/>
      <c r="FT115" s="90"/>
      <c r="FU115" s="90"/>
      <c r="FV115" s="90"/>
      <c r="FW115" s="90"/>
      <c r="FX115" s="90"/>
      <c r="FY115" s="90"/>
      <c r="FZ115" s="90"/>
      <c r="GA115" s="90"/>
      <c r="GB115" s="90"/>
      <c r="GC115" s="90"/>
      <c r="GD115" s="90"/>
      <c r="GE115" s="90"/>
      <c r="GF115" s="90"/>
      <c r="GG115" s="90"/>
      <c r="GH115" s="90"/>
      <c r="GI115" s="90"/>
      <c r="GJ115" s="90"/>
      <c r="GK115" s="90"/>
      <c r="GL115" s="90"/>
      <c r="GM115" s="90"/>
      <c r="GN115" s="90"/>
      <c r="GO115" s="90"/>
      <c r="GP115" s="90"/>
      <c r="GQ115" s="90"/>
      <c r="GR115" s="90"/>
      <c r="GS115" s="90"/>
      <c r="GT115" s="90"/>
      <c r="GU115" s="90"/>
      <c r="GV115" s="90"/>
      <c r="GW115" s="90"/>
      <c r="GX115" s="90"/>
      <c r="GY115" s="90"/>
      <c r="GZ115" s="90"/>
      <c r="HA115" s="90"/>
      <c r="HB115" s="90"/>
      <c r="HC115" s="90"/>
      <c r="HD115" s="90"/>
      <c r="HE115" s="90"/>
      <c r="HF115" s="90"/>
      <c r="HG115" s="90"/>
      <c r="HH115" s="90"/>
      <c r="HI115" s="90"/>
      <c r="HJ115" s="90"/>
      <c r="HK115" s="90"/>
      <c r="HL115" s="90"/>
      <c r="HM115" s="90"/>
      <c r="HN115" s="90"/>
      <c r="HO115" s="90"/>
      <c r="HP115" s="90"/>
      <c r="HQ115" s="90"/>
      <c r="HR115" s="90"/>
      <c r="HS115" s="90"/>
      <c r="HT115" s="90"/>
      <c r="HU115" s="90"/>
      <c r="HV115" s="90"/>
      <c r="HW115" s="90"/>
      <c r="HX115" s="90"/>
      <c r="HY115" s="90"/>
      <c r="HZ115" s="90"/>
      <c r="IA115" s="90"/>
      <c r="IB115" s="90"/>
      <c r="IC115" s="90"/>
      <c r="ID115" s="90"/>
      <c r="IE115" s="90"/>
      <c r="IF115" s="90"/>
      <c r="IG115" s="90"/>
      <c r="IH115" s="90"/>
      <c r="II115" s="90"/>
      <c r="IJ115" s="90"/>
      <c r="IK115" s="90"/>
      <c r="IL115" s="90"/>
      <c r="IM115" s="90"/>
      <c r="IN115" s="90"/>
      <c r="IO115" s="90"/>
      <c r="IP115" s="90"/>
      <c r="IQ115" s="90"/>
      <c r="IR115" s="90"/>
      <c r="IS115" s="90"/>
      <c r="IT115" s="90"/>
      <c r="IU115" s="90"/>
      <c r="IV115" s="90"/>
      <c r="IW115" s="90"/>
    </row>
    <row r="116" customFormat="false" ht="12" hidden="false" customHeight="true" outlineLevel="0" collapsed="false">
      <c r="A116" s="90"/>
      <c r="B116" s="69" t="s">
        <v>187</v>
      </c>
      <c r="C116" s="91" t="s">
        <v>329</v>
      </c>
      <c r="D116" s="91" t="s">
        <v>330</v>
      </c>
      <c r="E116" s="92" t="n">
        <v>36586</v>
      </c>
      <c r="F116" s="92" t="n">
        <v>36616</v>
      </c>
      <c r="G116" s="69"/>
      <c r="H116" s="69"/>
      <c r="I116" s="91" t="s">
        <v>331</v>
      </c>
      <c r="J116" s="93" t="n">
        <v>1.446</v>
      </c>
      <c r="K116" s="94" t="n">
        <v>0</v>
      </c>
      <c r="L116" s="94" t="n">
        <v>0.0022</v>
      </c>
      <c r="M116" s="94" t="n">
        <v>0.0072</v>
      </c>
      <c r="N116" s="94" t="n">
        <v>0</v>
      </c>
      <c r="O116" s="95" t="n">
        <v>0</v>
      </c>
      <c r="P116" s="94" t="n">
        <f aca="false">SUM(J116:N116)</f>
        <v>1.4554</v>
      </c>
      <c r="Q116" s="96" t="s">
        <v>332</v>
      </c>
      <c r="R116" s="96"/>
      <c r="S116" s="91" t="n">
        <v>16998</v>
      </c>
      <c r="T116" s="69"/>
      <c r="U116" s="97" t="n">
        <f aca="false">+S116*J116</f>
        <v>24579.108</v>
      </c>
      <c r="V116" s="97"/>
      <c r="W116" s="98" t="n">
        <v>212249</v>
      </c>
      <c r="X116" s="98" t="n">
        <v>158583</v>
      </c>
      <c r="Y116" s="69" t="s">
        <v>333</v>
      </c>
      <c r="Z116" s="99"/>
      <c r="AA116" s="99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  <c r="DE116" s="90"/>
      <c r="DF116" s="90"/>
      <c r="DG116" s="90"/>
      <c r="DH116" s="90"/>
      <c r="DI116" s="90"/>
      <c r="DJ116" s="90"/>
      <c r="DK116" s="90"/>
      <c r="DL116" s="90"/>
      <c r="DM116" s="90"/>
      <c r="DN116" s="90"/>
      <c r="DO116" s="90"/>
      <c r="DP116" s="90"/>
      <c r="DQ116" s="90"/>
      <c r="DR116" s="90"/>
      <c r="DS116" s="90"/>
      <c r="DT116" s="90"/>
      <c r="DU116" s="90"/>
      <c r="DV116" s="90"/>
      <c r="DW116" s="90"/>
      <c r="DX116" s="90"/>
      <c r="DY116" s="90"/>
      <c r="DZ116" s="90"/>
      <c r="EA116" s="90"/>
      <c r="EB116" s="90"/>
      <c r="EC116" s="90"/>
      <c r="ED116" s="90"/>
      <c r="EE116" s="90"/>
      <c r="EF116" s="90"/>
      <c r="EG116" s="90"/>
      <c r="EH116" s="90"/>
      <c r="EI116" s="90"/>
      <c r="EJ116" s="90"/>
      <c r="EK116" s="90"/>
      <c r="EL116" s="90"/>
      <c r="EM116" s="90"/>
      <c r="EN116" s="90"/>
      <c r="EO116" s="90"/>
      <c r="EP116" s="90"/>
      <c r="EQ116" s="90"/>
      <c r="ER116" s="90"/>
      <c r="ES116" s="90"/>
      <c r="ET116" s="90"/>
      <c r="EU116" s="90"/>
      <c r="EV116" s="90"/>
      <c r="EW116" s="90"/>
      <c r="EX116" s="90"/>
      <c r="EY116" s="90"/>
      <c r="EZ116" s="90"/>
      <c r="FA116" s="90"/>
      <c r="FB116" s="90"/>
      <c r="FC116" s="90"/>
      <c r="FD116" s="90"/>
      <c r="FE116" s="90"/>
      <c r="FF116" s="90"/>
      <c r="FG116" s="90"/>
      <c r="FH116" s="90"/>
      <c r="FI116" s="90"/>
      <c r="FJ116" s="90"/>
      <c r="FK116" s="90"/>
      <c r="FL116" s="90"/>
      <c r="FM116" s="90"/>
      <c r="FN116" s="90"/>
      <c r="FO116" s="90"/>
      <c r="FP116" s="90"/>
      <c r="FQ116" s="90"/>
      <c r="FR116" s="90"/>
      <c r="FS116" s="90"/>
      <c r="FT116" s="90"/>
      <c r="FU116" s="90"/>
      <c r="FV116" s="90"/>
      <c r="FW116" s="90"/>
      <c r="FX116" s="90"/>
      <c r="FY116" s="90"/>
      <c r="FZ116" s="90"/>
      <c r="GA116" s="90"/>
      <c r="GB116" s="90"/>
      <c r="GC116" s="90"/>
      <c r="GD116" s="90"/>
      <c r="GE116" s="90"/>
      <c r="GF116" s="90"/>
      <c r="GG116" s="90"/>
      <c r="GH116" s="90"/>
      <c r="GI116" s="90"/>
      <c r="GJ116" s="90"/>
      <c r="GK116" s="90"/>
      <c r="GL116" s="90"/>
      <c r="GM116" s="90"/>
      <c r="GN116" s="90"/>
      <c r="GO116" s="90"/>
      <c r="GP116" s="90"/>
      <c r="GQ116" s="90"/>
      <c r="GR116" s="90"/>
      <c r="GS116" s="90"/>
      <c r="GT116" s="90"/>
      <c r="GU116" s="90"/>
      <c r="GV116" s="90"/>
      <c r="GW116" s="90"/>
      <c r="GX116" s="90"/>
      <c r="GY116" s="90"/>
      <c r="GZ116" s="90"/>
      <c r="HA116" s="90"/>
      <c r="HB116" s="90"/>
      <c r="HC116" s="90"/>
      <c r="HD116" s="90"/>
      <c r="HE116" s="90"/>
      <c r="HF116" s="90"/>
      <c r="HG116" s="90"/>
      <c r="HH116" s="90"/>
      <c r="HI116" s="90"/>
      <c r="HJ116" s="90"/>
      <c r="HK116" s="90"/>
      <c r="HL116" s="90"/>
      <c r="HM116" s="90"/>
      <c r="HN116" s="90"/>
      <c r="HO116" s="90"/>
      <c r="HP116" s="90"/>
      <c r="HQ116" s="90"/>
      <c r="HR116" s="90"/>
      <c r="HS116" s="90"/>
      <c r="HT116" s="90"/>
      <c r="HU116" s="90"/>
      <c r="HV116" s="90"/>
      <c r="HW116" s="90"/>
      <c r="HX116" s="90"/>
      <c r="HY116" s="90"/>
      <c r="HZ116" s="90"/>
      <c r="IA116" s="90"/>
      <c r="IB116" s="90"/>
      <c r="IC116" s="90"/>
      <c r="ID116" s="90"/>
      <c r="IE116" s="90"/>
      <c r="IF116" s="90"/>
      <c r="IG116" s="90"/>
      <c r="IH116" s="90"/>
      <c r="II116" s="90"/>
      <c r="IJ116" s="90"/>
      <c r="IK116" s="90"/>
      <c r="IL116" s="90"/>
      <c r="IM116" s="90"/>
      <c r="IN116" s="90"/>
      <c r="IO116" s="90"/>
      <c r="IP116" s="90"/>
      <c r="IQ116" s="90"/>
      <c r="IR116" s="90"/>
      <c r="IS116" s="90"/>
      <c r="IT116" s="90"/>
      <c r="IU116" s="90"/>
      <c r="IV116" s="90"/>
      <c r="IW116" s="90"/>
    </row>
    <row r="117" customFormat="false" ht="12" hidden="false" customHeight="true" outlineLevel="0" collapsed="false">
      <c r="A117" s="100"/>
      <c r="B117" s="58" t="s">
        <v>187</v>
      </c>
      <c r="C117" s="56" t="s">
        <v>329</v>
      </c>
      <c r="D117" s="56" t="s">
        <v>330</v>
      </c>
      <c r="E117" s="57" t="n">
        <v>36586</v>
      </c>
      <c r="F117" s="57" t="n">
        <v>36616</v>
      </c>
      <c r="G117" s="58"/>
      <c r="H117" s="58"/>
      <c r="I117" s="56" t="s">
        <v>334</v>
      </c>
      <c r="J117" s="72" t="n">
        <f aca="false">12.9509/31</f>
        <v>0.417770967741936</v>
      </c>
      <c r="K117" s="61"/>
      <c r="L117" s="61"/>
      <c r="M117" s="61"/>
      <c r="N117" s="61"/>
      <c r="O117" s="62"/>
      <c r="P117" s="61"/>
      <c r="Q117" s="63" t="s">
        <v>335</v>
      </c>
      <c r="R117" s="63"/>
      <c r="S117" s="56" t="n">
        <v>31979</v>
      </c>
      <c r="T117" s="58"/>
      <c r="U117" s="97" t="n">
        <f aca="false">J117*J$1*S117</f>
        <v>414156.8311</v>
      </c>
      <c r="V117" s="101"/>
      <c r="W117" s="102"/>
      <c r="X117" s="102"/>
      <c r="Y117" s="58" t="s">
        <v>336</v>
      </c>
      <c r="Z117" s="89"/>
      <c r="AA117" s="89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100"/>
      <c r="CF117" s="100"/>
      <c r="CG117" s="100"/>
      <c r="CH117" s="100"/>
      <c r="CI117" s="100"/>
      <c r="CJ117" s="100"/>
      <c r="CK117" s="100"/>
      <c r="CL117" s="100"/>
      <c r="CM117" s="100"/>
      <c r="CN117" s="100"/>
      <c r="CO117" s="100"/>
      <c r="CP117" s="100"/>
      <c r="CQ117" s="100"/>
      <c r="CR117" s="100"/>
      <c r="CS117" s="100"/>
      <c r="CT117" s="100"/>
      <c r="CU117" s="100"/>
      <c r="CV117" s="100"/>
      <c r="CW117" s="100"/>
      <c r="CX117" s="100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100"/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100"/>
      <c r="EP117" s="100"/>
      <c r="EQ117" s="100"/>
      <c r="ER117" s="100"/>
      <c r="ES117" s="100"/>
      <c r="ET117" s="100"/>
      <c r="EU117" s="100"/>
      <c r="EV117" s="100"/>
      <c r="EW117" s="100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  <c r="FJ117" s="100"/>
      <c r="FK117" s="100"/>
      <c r="FL117" s="100"/>
      <c r="FM117" s="100"/>
      <c r="FN117" s="100"/>
      <c r="FO117" s="100"/>
      <c r="FP117" s="100"/>
      <c r="FQ117" s="100"/>
      <c r="FR117" s="100"/>
      <c r="FS117" s="100"/>
      <c r="FT117" s="100"/>
      <c r="FU117" s="100"/>
      <c r="FV117" s="100"/>
      <c r="FW117" s="100"/>
      <c r="FX117" s="100"/>
      <c r="FY117" s="100"/>
      <c r="FZ117" s="100"/>
      <c r="GA117" s="100"/>
      <c r="GB117" s="100"/>
      <c r="GC117" s="100"/>
      <c r="GD117" s="100"/>
      <c r="GE117" s="100"/>
      <c r="GF117" s="100"/>
      <c r="GG117" s="100"/>
      <c r="GH117" s="100"/>
      <c r="GI117" s="100"/>
      <c r="GJ117" s="100"/>
      <c r="GK117" s="100"/>
      <c r="GL117" s="100"/>
      <c r="GM117" s="100"/>
      <c r="GN117" s="100"/>
      <c r="GO117" s="100"/>
      <c r="GP117" s="100"/>
      <c r="GQ117" s="100"/>
      <c r="GR117" s="100"/>
      <c r="GS117" s="100"/>
      <c r="GT117" s="100"/>
      <c r="GU117" s="100"/>
      <c r="GV117" s="100"/>
      <c r="GW117" s="100"/>
      <c r="GX117" s="100"/>
      <c r="GY117" s="100"/>
      <c r="GZ117" s="100"/>
      <c r="HA117" s="100"/>
      <c r="HB117" s="100"/>
      <c r="HC117" s="100"/>
      <c r="HD117" s="100"/>
      <c r="HE117" s="100"/>
      <c r="HF117" s="100"/>
      <c r="HG117" s="100"/>
      <c r="HH117" s="100"/>
      <c r="HI117" s="100"/>
      <c r="HJ117" s="100"/>
      <c r="HK117" s="100"/>
      <c r="HL117" s="100"/>
      <c r="HM117" s="100"/>
      <c r="HN117" s="100"/>
      <c r="HO117" s="100"/>
      <c r="HP117" s="100"/>
      <c r="HQ117" s="100"/>
      <c r="HR117" s="100"/>
      <c r="HS117" s="100"/>
      <c r="HT117" s="100"/>
      <c r="HU117" s="100"/>
      <c r="HV117" s="100"/>
      <c r="HW117" s="100"/>
      <c r="HX117" s="100"/>
      <c r="HY117" s="100"/>
      <c r="HZ117" s="100"/>
      <c r="IA117" s="100"/>
      <c r="IB117" s="100"/>
      <c r="IC117" s="100"/>
      <c r="ID117" s="100"/>
      <c r="IE117" s="100"/>
      <c r="IF117" s="100"/>
      <c r="IG117" s="100"/>
      <c r="IH117" s="100"/>
      <c r="II117" s="100"/>
      <c r="IJ117" s="100"/>
      <c r="IK117" s="100"/>
      <c r="IL117" s="100"/>
      <c r="IM117" s="100"/>
      <c r="IN117" s="100"/>
      <c r="IO117" s="100"/>
      <c r="IP117" s="100"/>
      <c r="IQ117" s="100"/>
      <c r="IR117" s="100"/>
      <c r="IS117" s="100"/>
      <c r="IT117" s="100"/>
      <c r="IU117" s="100"/>
      <c r="IV117" s="100"/>
      <c r="IW117" s="100"/>
    </row>
    <row r="118" customFormat="false" ht="12" hidden="false" customHeight="true" outlineLevel="0" collapsed="false">
      <c r="A118" s="100"/>
      <c r="B118" s="58"/>
      <c r="C118" s="56"/>
      <c r="D118" s="56"/>
      <c r="E118" s="57"/>
      <c r="F118" s="57"/>
      <c r="G118" s="58"/>
      <c r="H118" s="58"/>
      <c r="I118" s="56"/>
      <c r="J118" s="72" t="n">
        <f aca="false">9.8771/31</f>
        <v>0.318616129032258</v>
      </c>
      <c r="K118" s="61"/>
      <c r="L118" s="61"/>
      <c r="M118" s="61"/>
      <c r="N118" s="61"/>
      <c r="O118" s="62"/>
      <c r="P118" s="61"/>
      <c r="Q118" s="63" t="s">
        <v>335</v>
      </c>
      <c r="R118" s="63"/>
      <c r="S118" s="56" t="n">
        <f aca="false">509*1.02</f>
        <v>519.18</v>
      </c>
      <c r="T118" s="58"/>
      <c r="U118" s="97" t="n">
        <f aca="false">J118*J$1*S118</f>
        <v>5127.992778</v>
      </c>
      <c r="V118" s="101"/>
      <c r="W118" s="102"/>
      <c r="X118" s="102"/>
      <c r="Y118" s="58" t="s">
        <v>337</v>
      </c>
      <c r="Z118" s="89"/>
      <c r="AA118" s="89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100"/>
      <c r="CF118" s="100"/>
      <c r="CG118" s="100"/>
      <c r="CH118" s="100"/>
      <c r="CI118" s="100"/>
      <c r="CJ118" s="100"/>
      <c r="CK118" s="100"/>
      <c r="CL118" s="100"/>
      <c r="CM118" s="100"/>
      <c r="CN118" s="100"/>
      <c r="CO118" s="100"/>
      <c r="CP118" s="100"/>
      <c r="CQ118" s="100"/>
      <c r="CR118" s="100"/>
      <c r="CS118" s="100"/>
      <c r="CT118" s="100"/>
      <c r="CU118" s="100"/>
      <c r="CV118" s="100"/>
      <c r="CW118" s="100"/>
      <c r="CX118" s="100"/>
      <c r="CY118" s="100"/>
      <c r="CZ118" s="100"/>
      <c r="DA118" s="100"/>
      <c r="DB118" s="100"/>
      <c r="DC118" s="100"/>
      <c r="DD118" s="100"/>
      <c r="DE118" s="100"/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100"/>
      <c r="DS118" s="100"/>
      <c r="DT118" s="100"/>
      <c r="DU118" s="100"/>
      <c r="DV118" s="100"/>
      <c r="DW118" s="100"/>
      <c r="DX118" s="100"/>
      <c r="DY118" s="100"/>
      <c r="DZ118" s="100"/>
      <c r="EA118" s="100"/>
      <c r="EB118" s="100"/>
      <c r="EC118" s="100"/>
      <c r="ED118" s="100"/>
      <c r="EE118" s="100"/>
      <c r="EF118" s="100"/>
      <c r="EG118" s="100"/>
      <c r="EH118" s="100"/>
      <c r="EI118" s="100"/>
      <c r="EJ118" s="100"/>
      <c r="EK118" s="100"/>
      <c r="EL118" s="100"/>
      <c r="EM118" s="100"/>
      <c r="EN118" s="100"/>
      <c r="EO118" s="100"/>
      <c r="EP118" s="100"/>
      <c r="EQ118" s="100"/>
      <c r="ER118" s="100"/>
      <c r="ES118" s="100"/>
      <c r="ET118" s="100"/>
      <c r="EU118" s="100"/>
      <c r="EV118" s="100"/>
      <c r="EW118" s="100"/>
      <c r="EX118" s="100"/>
      <c r="EY118" s="100"/>
      <c r="EZ118" s="100"/>
      <c r="FA118" s="100"/>
      <c r="FB118" s="100"/>
      <c r="FC118" s="100"/>
      <c r="FD118" s="100"/>
      <c r="FE118" s="100"/>
      <c r="FF118" s="100"/>
      <c r="FG118" s="100"/>
      <c r="FH118" s="100"/>
      <c r="FI118" s="100"/>
      <c r="FJ118" s="100"/>
      <c r="FK118" s="100"/>
      <c r="FL118" s="100"/>
      <c r="FM118" s="100"/>
      <c r="FN118" s="100"/>
      <c r="FO118" s="100"/>
      <c r="FP118" s="100"/>
      <c r="FQ118" s="100"/>
      <c r="FR118" s="100"/>
      <c r="FS118" s="100"/>
      <c r="FT118" s="100"/>
      <c r="FU118" s="100"/>
      <c r="FV118" s="100"/>
      <c r="FW118" s="100"/>
      <c r="FX118" s="100"/>
      <c r="FY118" s="100"/>
      <c r="FZ118" s="100"/>
      <c r="GA118" s="100"/>
      <c r="GB118" s="100"/>
      <c r="GC118" s="100"/>
      <c r="GD118" s="100"/>
      <c r="GE118" s="100"/>
      <c r="GF118" s="100"/>
      <c r="GG118" s="100"/>
      <c r="GH118" s="100"/>
      <c r="GI118" s="100"/>
      <c r="GJ118" s="100"/>
      <c r="GK118" s="100"/>
      <c r="GL118" s="100"/>
      <c r="GM118" s="100"/>
      <c r="GN118" s="100"/>
      <c r="GO118" s="100"/>
      <c r="GP118" s="100"/>
      <c r="GQ118" s="100"/>
      <c r="GR118" s="100"/>
      <c r="GS118" s="100"/>
      <c r="GT118" s="100"/>
      <c r="GU118" s="100"/>
      <c r="GV118" s="100"/>
      <c r="GW118" s="100"/>
      <c r="GX118" s="100"/>
      <c r="GY118" s="100"/>
      <c r="GZ118" s="100"/>
      <c r="HA118" s="100"/>
      <c r="HB118" s="100"/>
      <c r="HC118" s="100"/>
      <c r="HD118" s="100"/>
      <c r="HE118" s="100"/>
      <c r="HF118" s="100"/>
      <c r="HG118" s="100"/>
      <c r="HH118" s="100"/>
      <c r="HI118" s="100"/>
      <c r="HJ118" s="100"/>
      <c r="HK118" s="100"/>
      <c r="HL118" s="100"/>
      <c r="HM118" s="100"/>
      <c r="HN118" s="100"/>
      <c r="HO118" s="100"/>
      <c r="HP118" s="100"/>
      <c r="HQ118" s="100"/>
      <c r="HR118" s="100"/>
      <c r="HS118" s="100"/>
      <c r="HT118" s="100"/>
      <c r="HU118" s="100"/>
      <c r="HV118" s="100"/>
      <c r="HW118" s="100"/>
      <c r="HX118" s="100"/>
      <c r="HY118" s="100"/>
      <c r="HZ118" s="100"/>
      <c r="IA118" s="100"/>
      <c r="IB118" s="100"/>
      <c r="IC118" s="100"/>
      <c r="ID118" s="100"/>
      <c r="IE118" s="100"/>
      <c r="IF118" s="100"/>
      <c r="IG118" s="100"/>
      <c r="IH118" s="100"/>
      <c r="II118" s="100"/>
      <c r="IJ118" s="100"/>
      <c r="IK118" s="100"/>
      <c r="IL118" s="100"/>
      <c r="IM118" s="100"/>
      <c r="IN118" s="100"/>
      <c r="IO118" s="100"/>
      <c r="IP118" s="100"/>
      <c r="IQ118" s="100"/>
      <c r="IR118" s="100"/>
      <c r="IS118" s="100"/>
      <c r="IT118" s="100"/>
      <c r="IU118" s="100"/>
      <c r="IV118" s="100"/>
      <c r="IW118" s="100"/>
    </row>
    <row r="119" customFormat="false" ht="12" hidden="false" customHeight="true" outlineLevel="0" collapsed="false">
      <c r="A119" s="100"/>
      <c r="B119" s="58"/>
      <c r="C119" s="56"/>
      <c r="D119" s="56"/>
      <c r="E119" s="57"/>
      <c r="F119" s="57"/>
      <c r="G119" s="58"/>
      <c r="H119" s="58"/>
      <c r="I119" s="56"/>
      <c r="J119" s="72"/>
      <c r="K119" s="61"/>
      <c r="L119" s="61"/>
      <c r="M119" s="61"/>
      <c r="N119" s="61"/>
      <c r="O119" s="62"/>
      <c r="P119" s="61"/>
      <c r="Q119" s="63"/>
      <c r="R119" s="63"/>
      <c r="S119" s="56"/>
      <c r="T119" s="58"/>
      <c r="U119" s="97"/>
      <c r="V119" s="101"/>
      <c r="W119" s="102"/>
      <c r="X119" s="102"/>
      <c r="Y119" s="58"/>
      <c r="Z119" s="89"/>
      <c r="AA119" s="89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100"/>
      <c r="CF119" s="100"/>
      <c r="CG119" s="100"/>
      <c r="CH119" s="100"/>
      <c r="CI119" s="100"/>
      <c r="CJ119" s="100"/>
      <c r="CK119" s="100"/>
      <c r="CL119" s="100"/>
      <c r="CM119" s="100"/>
      <c r="CN119" s="100"/>
      <c r="CO119" s="100"/>
      <c r="CP119" s="100"/>
      <c r="CQ119" s="100"/>
      <c r="CR119" s="100"/>
      <c r="CS119" s="100"/>
      <c r="CT119" s="100"/>
      <c r="CU119" s="100"/>
      <c r="CV119" s="100"/>
      <c r="CW119" s="100"/>
      <c r="CX119" s="100"/>
      <c r="CY119" s="100"/>
      <c r="CZ119" s="100"/>
      <c r="DA119" s="100"/>
      <c r="DB119" s="100"/>
      <c r="DC119" s="100"/>
      <c r="DD119" s="100"/>
      <c r="DE119" s="100"/>
      <c r="DF119" s="100"/>
      <c r="DG119" s="100"/>
      <c r="DH119" s="100"/>
      <c r="DI119" s="100"/>
      <c r="DJ119" s="100"/>
      <c r="DK119" s="100"/>
      <c r="DL119" s="100"/>
      <c r="DM119" s="100"/>
      <c r="DN119" s="100"/>
      <c r="DO119" s="100"/>
      <c r="DP119" s="100"/>
      <c r="DQ119" s="100"/>
      <c r="DR119" s="100"/>
      <c r="DS119" s="100"/>
      <c r="DT119" s="100"/>
      <c r="DU119" s="100"/>
      <c r="DV119" s="100"/>
      <c r="DW119" s="100"/>
      <c r="DX119" s="100"/>
      <c r="DY119" s="100"/>
      <c r="DZ119" s="100"/>
      <c r="EA119" s="100"/>
      <c r="EB119" s="100"/>
      <c r="EC119" s="100"/>
      <c r="ED119" s="100"/>
      <c r="EE119" s="100"/>
      <c r="EF119" s="100"/>
      <c r="EG119" s="100"/>
      <c r="EH119" s="100"/>
      <c r="EI119" s="100"/>
      <c r="EJ119" s="100"/>
      <c r="EK119" s="100"/>
      <c r="EL119" s="100"/>
      <c r="EM119" s="100"/>
      <c r="EN119" s="100"/>
      <c r="EO119" s="100"/>
      <c r="EP119" s="100"/>
      <c r="EQ119" s="100"/>
      <c r="ER119" s="100"/>
      <c r="ES119" s="100"/>
      <c r="ET119" s="100"/>
      <c r="EU119" s="100"/>
      <c r="EV119" s="100"/>
      <c r="EW119" s="100"/>
      <c r="EX119" s="100"/>
      <c r="EY119" s="100"/>
      <c r="EZ119" s="100"/>
      <c r="FA119" s="100"/>
      <c r="FB119" s="100"/>
      <c r="FC119" s="100"/>
      <c r="FD119" s="100"/>
      <c r="FE119" s="100"/>
      <c r="FF119" s="100"/>
      <c r="FG119" s="100"/>
      <c r="FH119" s="100"/>
      <c r="FI119" s="100"/>
      <c r="FJ119" s="100"/>
      <c r="FK119" s="100"/>
      <c r="FL119" s="100"/>
      <c r="FM119" s="100"/>
      <c r="FN119" s="100"/>
      <c r="FO119" s="100"/>
      <c r="FP119" s="100"/>
      <c r="FQ119" s="100"/>
      <c r="FR119" s="100"/>
      <c r="FS119" s="100"/>
      <c r="FT119" s="100"/>
      <c r="FU119" s="100"/>
      <c r="FV119" s="100"/>
      <c r="FW119" s="100"/>
      <c r="FX119" s="100"/>
      <c r="FY119" s="100"/>
      <c r="FZ119" s="100"/>
      <c r="GA119" s="100"/>
      <c r="GB119" s="100"/>
      <c r="GC119" s="100"/>
      <c r="GD119" s="100"/>
      <c r="GE119" s="100"/>
      <c r="GF119" s="100"/>
      <c r="GG119" s="100"/>
      <c r="GH119" s="100"/>
      <c r="GI119" s="100"/>
      <c r="GJ119" s="100"/>
      <c r="GK119" s="100"/>
      <c r="GL119" s="100"/>
      <c r="GM119" s="100"/>
      <c r="GN119" s="100"/>
      <c r="GO119" s="100"/>
      <c r="GP119" s="100"/>
      <c r="GQ119" s="100"/>
      <c r="GR119" s="100"/>
      <c r="GS119" s="100"/>
      <c r="GT119" s="100"/>
      <c r="GU119" s="100"/>
      <c r="GV119" s="100"/>
      <c r="GW119" s="100"/>
      <c r="GX119" s="100"/>
      <c r="GY119" s="100"/>
      <c r="GZ119" s="100"/>
      <c r="HA119" s="100"/>
      <c r="HB119" s="100"/>
      <c r="HC119" s="100"/>
      <c r="HD119" s="100"/>
      <c r="HE119" s="100"/>
      <c r="HF119" s="100"/>
      <c r="HG119" s="100"/>
      <c r="HH119" s="100"/>
      <c r="HI119" s="100"/>
      <c r="HJ119" s="100"/>
      <c r="HK119" s="100"/>
      <c r="HL119" s="100"/>
      <c r="HM119" s="100"/>
      <c r="HN119" s="100"/>
      <c r="HO119" s="100"/>
      <c r="HP119" s="100"/>
      <c r="HQ119" s="100"/>
      <c r="HR119" s="100"/>
      <c r="HS119" s="100"/>
      <c r="HT119" s="100"/>
      <c r="HU119" s="100"/>
      <c r="HV119" s="100"/>
      <c r="HW119" s="100"/>
      <c r="HX119" s="100"/>
      <c r="HY119" s="100"/>
      <c r="HZ119" s="100"/>
      <c r="IA119" s="100"/>
      <c r="IB119" s="100"/>
      <c r="IC119" s="100"/>
      <c r="ID119" s="100"/>
      <c r="IE119" s="100"/>
      <c r="IF119" s="100"/>
      <c r="IG119" s="100"/>
      <c r="IH119" s="100"/>
      <c r="II119" s="100"/>
      <c r="IJ119" s="100"/>
      <c r="IK119" s="100"/>
      <c r="IL119" s="100"/>
      <c r="IM119" s="100"/>
      <c r="IN119" s="100"/>
      <c r="IO119" s="100"/>
      <c r="IP119" s="100"/>
      <c r="IQ119" s="100"/>
      <c r="IR119" s="100"/>
      <c r="IS119" s="100"/>
      <c r="IT119" s="100"/>
      <c r="IU119" s="100"/>
      <c r="IV119" s="100"/>
      <c r="IW119" s="100"/>
    </row>
    <row r="120" customFormat="false" ht="12" hidden="false" customHeight="true" outlineLevel="0" collapsed="false">
      <c r="A120" s="100"/>
      <c r="B120" s="58" t="s">
        <v>187</v>
      </c>
      <c r="C120" s="56" t="s">
        <v>338</v>
      </c>
      <c r="D120" s="56" t="s">
        <v>330</v>
      </c>
      <c r="E120" s="57" t="n">
        <v>36586</v>
      </c>
      <c r="F120" s="57" t="n">
        <v>36616</v>
      </c>
      <c r="G120" s="58" t="s">
        <v>45</v>
      </c>
      <c r="H120" s="58" t="s">
        <v>45</v>
      </c>
      <c r="I120" s="56" t="s">
        <v>334</v>
      </c>
      <c r="J120" s="72" t="n">
        <v>0.17439</v>
      </c>
      <c r="K120" s="61"/>
      <c r="L120" s="61"/>
      <c r="M120" s="61"/>
      <c r="N120" s="61"/>
      <c r="O120" s="62"/>
      <c r="P120" s="61"/>
      <c r="Q120" s="63" t="s">
        <v>339</v>
      </c>
      <c r="R120" s="63"/>
      <c r="S120" s="56" t="n">
        <v>517</v>
      </c>
      <c r="T120" s="58"/>
      <c r="U120" s="97" t="n">
        <f aca="false">J120*J$1*S120</f>
        <v>2794.94853</v>
      </c>
      <c r="V120" s="101"/>
      <c r="W120" s="102"/>
      <c r="X120" s="102"/>
      <c r="Y120" s="58" t="s">
        <v>340</v>
      </c>
      <c r="Z120" s="89"/>
      <c r="AA120" s="89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0"/>
      <c r="CE120" s="100"/>
      <c r="CF120" s="100"/>
      <c r="CG120" s="100"/>
      <c r="CH120" s="100"/>
      <c r="CI120" s="100"/>
      <c r="CJ120" s="100"/>
      <c r="CK120" s="100"/>
      <c r="CL120" s="100"/>
      <c r="CM120" s="100"/>
      <c r="CN120" s="100"/>
      <c r="CO120" s="100"/>
      <c r="CP120" s="100"/>
      <c r="CQ120" s="100"/>
      <c r="CR120" s="100"/>
      <c r="CS120" s="100"/>
      <c r="CT120" s="100"/>
      <c r="CU120" s="100"/>
      <c r="CV120" s="100"/>
      <c r="CW120" s="100"/>
      <c r="CX120" s="100"/>
      <c r="CY120" s="100"/>
      <c r="CZ120" s="100"/>
      <c r="DA120" s="100"/>
      <c r="DB120" s="100"/>
      <c r="DC120" s="100"/>
      <c r="DD120" s="100"/>
      <c r="DE120" s="100"/>
      <c r="DF120" s="100"/>
      <c r="DG120" s="100"/>
      <c r="DH120" s="100"/>
      <c r="DI120" s="100"/>
      <c r="DJ120" s="100"/>
      <c r="DK120" s="100"/>
      <c r="DL120" s="100"/>
      <c r="DM120" s="100"/>
      <c r="DN120" s="100"/>
      <c r="DO120" s="100"/>
      <c r="DP120" s="100"/>
      <c r="DQ120" s="100"/>
      <c r="DR120" s="100"/>
      <c r="DS120" s="100"/>
      <c r="DT120" s="100"/>
      <c r="DU120" s="100"/>
      <c r="DV120" s="100"/>
      <c r="DW120" s="100"/>
      <c r="DX120" s="100"/>
      <c r="DY120" s="100"/>
      <c r="DZ120" s="100"/>
      <c r="EA120" s="100"/>
      <c r="EB120" s="100"/>
      <c r="EC120" s="100"/>
      <c r="ED120" s="100"/>
      <c r="EE120" s="100"/>
      <c r="EF120" s="100"/>
      <c r="EG120" s="100"/>
      <c r="EH120" s="100"/>
      <c r="EI120" s="100"/>
      <c r="EJ120" s="100"/>
      <c r="EK120" s="100"/>
      <c r="EL120" s="100"/>
      <c r="EM120" s="100"/>
      <c r="EN120" s="100"/>
      <c r="EO120" s="100"/>
      <c r="EP120" s="100"/>
      <c r="EQ120" s="100"/>
      <c r="ER120" s="100"/>
      <c r="ES120" s="100"/>
      <c r="ET120" s="100"/>
      <c r="EU120" s="100"/>
      <c r="EV120" s="100"/>
      <c r="EW120" s="100"/>
      <c r="EX120" s="100"/>
      <c r="EY120" s="100"/>
      <c r="EZ120" s="100"/>
      <c r="FA120" s="100"/>
      <c r="FB120" s="100"/>
      <c r="FC120" s="100"/>
      <c r="FD120" s="100"/>
      <c r="FE120" s="100"/>
      <c r="FF120" s="100"/>
      <c r="FG120" s="100"/>
      <c r="FH120" s="100"/>
      <c r="FI120" s="100"/>
      <c r="FJ120" s="100"/>
      <c r="FK120" s="100"/>
      <c r="FL120" s="100"/>
      <c r="FM120" s="100"/>
      <c r="FN120" s="100"/>
      <c r="FO120" s="100"/>
      <c r="FP120" s="100"/>
      <c r="FQ120" s="100"/>
      <c r="FR120" s="100"/>
      <c r="FS120" s="100"/>
      <c r="FT120" s="100"/>
      <c r="FU120" s="100"/>
      <c r="FV120" s="100"/>
      <c r="FW120" s="100"/>
      <c r="FX120" s="100"/>
      <c r="FY120" s="100"/>
      <c r="FZ120" s="100"/>
      <c r="GA120" s="100"/>
      <c r="GB120" s="100"/>
      <c r="GC120" s="100"/>
      <c r="GD120" s="100"/>
      <c r="GE120" s="100"/>
      <c r="GF120" s="100"/>
      <c r="GG120" s="100"/>
      <c r="GH120" s="100"/>
      <c r="GI120" s="100"/>
      <c r="GJ120" s="100"/>
      <c r="GK120" s="100"/>
      <c r="GL120" s="100"/>
      <c r="GM120" s="100"/>
      <c r="GN120" s="100"/>
      <c r="GO120" s="100"/>
      <c r="GP120" s="100"/>
      <c r="GQ120" s="100"/>
      <c r="GR120" s="100"/>
      <c r="GS120" s="100"/>
      <c r="GT120" s="100"/>
      <c r="GU120" s="100"/>
      <c r="GV120" s="100"/>
      <c r="GW120" s="100"/>
      <c r="GX120" s="100"/>
      <c r="GY120" s="100"/>
      <c r="GZ120" s="100"/>
      <c r="HA120" s="100"/>
      <c r="HB120" s="100"/>
      <c r="HC120" s="100"/>
      <c r="HD120" s="100"/>
      <c r="HE120" s="100"/>
      <c r="HF120" s="100"/>
      <c r="HG120" s="100"/>
      <c r="HH120" s="100"/>
      <c r="HI120" s="100"/>
      <c r="HJ120" s="100"/>
      <c r="HK120" s="100"/>
      <c r="HL120" s="100"/>
      <c r="HM120" s="100"/>
      <c r="HN120" s="100"/>
      <c r="HO120" s="100"/>
      <c r="HP120" s="100"/>
      <c r="HQ120" s="100"/>
      <c r="HR120" s="100"/>
      <c r="HS120" s="100"/>
      <c r="HT120" s="100"/>
      <c r="HU120" s="100"/>
      <c r="HV120" s="100"/>
      <c r="HW120" s="100"/>
      <c r="HX120" s="100"/>
      <c r="HY120" s="100"/>
      <c r="HZ120" s="100"/>
      <c r="IA120" s="100"/>
      <c r="IB120" s="100"/>
      <c r="IC120" s="100"/>
      <c r="ID120" s="100"/>
      <c r="IE120" s="100"/>
      <c r="IF120" s="100"/>
      <c r="IG120" s="100"/>
      <c r="IH120" s="100"/>
      <c r="II120" s="100"/>
      <c r="IJ120" s="100"/>
      <c r="IK120" s="100"/>
      <c r="IL120" s="100"/>
      <c r="IM120" s="100"/>
      <c r="IN120" s="100"/>
      <c r="IO120" s="100"/>
      <c r="IP120" s="100"/>
      <c r="IQ120" s="100"/>
      <c r="IR120" s="100"/>
      <c r="IS120" s="100"/>
      <c r="IT120" s="100"/>
      <c r="IU120" s="100"/>
      <c r="IV120" s="100"/>
      <c r="IW120" s="100"/>
    </row>
    <row r="121" customFormat="false" ht="12.75" hidden="false" customHeight="false" outlineLevel="0" collapsed="false">
      <c r="A121" s="100"/>
      <c r="B121" s="58"/>
      <c r="C121" s="56"/>
      <c r="D121" s="56"/>
      <c r="E121" s="57"/>
      <c r="F121" s="57"/>
      <c r="G121" s="58"/>
      <c r="H121" s="58"/>
      <c r="I121" s="56"/>
      <c r="J121" s="72"/>
      <c r="K121" s="61"/>
      <c r="L121" s="61"/>
      <c r="M121" s="61"/>
      <c r="N121" s="61"/>
      <c r="O121" s="62"/>
      <c r="P121" s="61"/>
      <c r="Q121" s="63"/>
      <c r="R121" s="63"/>
      <c r="S121" s="56"/>
      <c r="T121" s="58"/>
      <c r="U121" s="101" t="n">
        <f aca="false">SUM(U115:U120)</f>
        <v>472134.895448</v>
      </c>
      <c r="V121" s="101"/>
      <c r="W121" s="102"/>
      <c r="X121" s="102"/>
      <c r="Y121" s="58"/>
      <c r="Z121" s="89"/>
      <c r="AA121" s="89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0"/>
      <c r="CE121" s="100"/>
      <c r="CF121" s="100"/>
      <c r="CG121" s="100"/>
      <c r="CH121" s="100"/>
      <c r="CI121" s="100"/>
      <c r="CJ121" s="100"/>
      <c r="CK121" s="100"/>
      <c r="CL121" s="100"/>
      <c r="CM121" s="100"/>
      <c r="CN121" s="100"/>
      <c r="CO121" s="100"/>
      <c r="CP121" s="100"/>
      <c r="CQ121" s="100"/>
      <c r="CR121" s="100"/>
      <c r="CS121" s="100"/>
      <c r="CT121" s="100"/>
      <c r="CU121" s="100"/>
      <c r="CV121" s="100"/>
      <c r="CW121" s="100"/>
      <c r="CX121" s="100"/>
      <c r="CY121" s="100"/>
      <c r="CZ121" s="100"/>
      <c r="DA121" s="100"/>
      <c r="DB121" s="100"/>
      <c r="DC121" s="100"/>
      <c r="DD121" s="100"/>
      <c r="DE121" s="100"/>
      <c r="DF121" s="100"/>
      <c r="DG121" s="100"/>
      <c r="DH121" s="100"/>
      <c r="DI121" s="100"/>
      <c r="DJ121" s="100"/>
      <c r="DK121" s="100"/>
      <c r="DL121" s="100"/>
      <c r="DM121" s="100"/>
      <c r="DN121" s="100"/>
      <c r="DO121" s="100"/>
      <c r="DP121" s="100"/>
      <c r="DQ121" s="100"/>
      <c r="DR121" s="100"/>
      <c r="DS121" s="100"/>
      <c r="DT121" s="100"/>
      <c r="DU121" s="100"/>
      <c r="DV121" s="100"/>
      <c r="DW121" s="100"/>
      <c r="DX121" s="100"/>
      <c r="DY121" s="100"/>
      <c r="DZ121" s="100"/>
      <c r="EA121" s="100"/>
      <c r="EB121" s="100"/>
      <c r="EC121" s="100"/>
      <c r="ED121" s="100"/>
      <c r="EE121" s="100"/>
      <c r="EF121" s="100"/>
      <c r="EG121" s="100"/>
      <c r="EH121" s="100"/>
      <c r="EI121" s="100"/>
      <c r="EJ121" s="100"/>
      <c r="EK121" s="100"/>
      <c r="EL121" s="100"/>
      <c r="EM121" s="100"/>
      <c r="EN121" s="100"/>
      <c r="EO121" s="100"/>
      <c r="EP121" s="100"/>
      <c r="EQ121" s="100"/>
      <c r="ER121" s="100"/>
      <c r="ES121" s="100"/>
      <c r="ET121" s="100"/>
      <c r="EU121" s="100"/>
      <c r="EV121" s="100"/>
      <c r="EW121" s="100"/>
      <c r="EX121" s="100"/>
      <c r="EY121" s="100"/>
      <c r="EZ121" s="100"/>
      <c r="FA121" s="100"/>
      <c r="FB121" s="100"/>
      <c r="FC121" s="100"/>
      <c r="FD121" s="100"/>
      <c r="FE121" s="100"/>
      <c r="FF121" s="100"/>
      <c r="FG121" s="100"/>
      <c r="FH121" s="100"/>
      <c r="FI121" s="100"/>
      <c r="FJ121" s="100"/>
      <c r="FK121" s="100"/>
      <c r="FL121" s="100"/>
      <c r="FM121" s="100"/>
      <c r="FN121" s="100"/>
      <c r="FO121" s="100"/>
      <c r="FP121" s="100"/>
      <c r="FQ121" s="100"/>
      <c r="FR121" s="100"/>
      <c r="FS121" s="100"/>
      <c r="FT121" s="100"/>
      <c r="FU121" s="100"/>
      <c r="FV121" s="100"/>
      <c r="FW121" s="100"/>
      <c r="FX121" s="100"/>
      <c r="FY121" s="100"/>
      <c r="FZ121" s="100"/>
      <c r="GA121" s="100"/>
      <c r="GB121" s="100"/>
      <c r="GC121" s="100"/>
      <c r="GD121" s="100"/>
      <c r="GE121" s="100"/>
      <c r="GF121" s="100"/>
      <c r="GG121" s="100"/>
      <c r="GH121" s="100"/>
      <c r="GI121" s="100"/>
      <c r="GJ121" s="100"/>
      <c r="GK121" s="100"/>
      <c r="GL121" s="100"/>
      <c r="GM121" s="100"/>
      <c r="GN121" s="100"/>
      <c r="GO121" s="100"/>
      <c r="GP121" s="100"/>
      <c r="GQ121" s="100"/>
      <c r="GR121" s="100"/>
      <c r="GS121" s="100"/>
      <c r="GT121" s="100"/>
      <c r="GU121" s="100"/>
      <c r="GV121" s="100"/>
      <c r="GW121" s="100"/>
      <c r="GX121" s="100"/>
      <c r="GY121" s="100"/>
      <c r="GZ121" s="100"/>
      <c r="HA121" s="100"/>
      <c r="HB121" s="100"/>
      <c r="HC121" s="100"/>
      <c r="HD121" s="100"/>
      <c r="HE121" s="100"/>
      <c r="HF121" s="100"/>
      <c r="HG121" s="100"/>
      <c r="HH121" s="100"/>
      <c r="HI121" s="100"/>
      <c r="HJ121" s="100"/>
      <c r="HK121" s="100"/>
      <c r="HL121" s="100"/>
      <c r="HM121" s="100"/>
      <c r="HN121" s="100"/>
      <c r="HO121" s="100"/>
      <c r="HP121" s="100"/>
      <c r="HQ121" s="100"/>
      <c r="HR121" s="100"/>
      <c r="HS121" s="100"/>
      <c r="HT121" s="100"/>
      <c r="HU121" s="100"/>
      <c r="HV121" s="100"/>
      <c r="HW121" s="100"/>
      <c r="HX121" s="100"/>
      <c r="HY121" s="100"/>
      <c r="HZ121" s="100"/>
      <c r="IA121" s="100"/>
      <c r="IB121" s="100"/>
      <c r="IC121" s="100"/>
      <c r="ID121" s="100"/>
      <c r="IE121" s="100"/>
      <c r="IF121" s="100"/>
      <c r="IG121" s="100"/>
      <c r="IH121" s="100"/>
      <c r="II121" s="100"/>
      <c r="IJ121" s="100"/>
      <c r="IK121" s="100"/>
      <c r="IL121" s="100"/>
      <c r="IM121" s="100"/>
      <c r="IN121" s="100"/>
      <c r="IO121" s="100"/>
      <c r="IP121" s="100"/>
      <c r="IQ121" s="100"/>
      <c r="IR121" s="100"/>
      <c r="IS121" s="100"/>
      <c r="IT121" s="100"/>
      <c r="IU121" s="100"/>
      <c r="IV121" s="100"/>
      <c r="IW121" s="100"/>
    </row>
    <row r="122" customFormat="false" ht="12.75" hidden="false" customHeight="false" outlineLevel="0" collapsed="false">
      <c r="B122" s="80" t="s">
        <v>145</v>
      </c>
      <c r="C122" s="81" t="s">
        <v>146</v>
      </c>
      <c r="D122" s="81" t="s">
        <v>220</v>
      </c>
      <c r="E122" s="82" t="s">
        <v>148</v>
      </c>
      <c r="F122" s="82"/>
      <c r="G122" s="80" t="s">
        <v>149</v>
      </c>
      <c r="H122" s="80" t="s">
        <v>150</v>
      </c>
      <c r="I122" s="81" t="s">
        <v>151</v>
      </c>
      <c r="J122" s="83" t="s">
        <v>152</v>
      </c>
      <c r="K122" s="81" t="s">
        <v>153</v>
      </c>
      <c r="L122" s="81" t="s">
        <v>154</v>
      </c>
      <c r="M122" s="81" t="s">
        <v>155</v>
      </c>
      <c r="N122" s="81" t="s">
        <v>156</v>
      </c>
      <c r="O122" s="84" t="s">
        <v>157</v>
      </c>
      <c r="P122" s="81" t="s">
        <v>158</v>
      </c>
      <c r="Q122" s="85" t="s">
        <v>159</v>
      </c>
      <c r="R122" s="85" t="s">
        <v>160</v>
      </c>
      <c r="S122" s="81" t="s">
        <v>161</v>
      </c>
      <c r="T122" s="80" t="s">
        <v>162</v>
      </c>
      <c r="U122" s="86" t="s">
        <v>163</v>
      </c>
      <c r="V122" s="86" t="s">
        <v>164</v>
      </c>
      <c r="W122" s="87" t="s">
        <v>165</v>
      </c>
      <c r="X122" s="87" t="s">
        <v>166</v>
      </c>
      <c r="Y122" s="88" t="n">
        <f aca="false">+Y68</f>
        <v>0</v>
      </c>
      <c r="Z122" s="89"/>
      <c r="AA122" s="89"/>
    </row>
    <row r="123" customFormat="false" ht="12.75" hidden="false" customHeight="false" outlineLevel="0" collapsed="false">
      <c r="A123" s="100" t="s">
        <v>341</v>
      </c>
      <c r="B123" s="58" t="s">
        <v>187</v>
      </c>
      <c r="C123" s="56" t="s">
        <v>342</v>
      </c>
      <c r="D123" s="56" t="s">
        <v>307</v>
      </c>
      <c r="E123" s="57" t="n">
        <v>36557</v>
      </c>
      <c r="F123" s="57" t="n">
        <v>36677</v>
      </c>
      <c r="G123" s="58" t="s">
        <v>343</v>
      </c>
      <c r="H123" s="58" t="s">
        <v>344</v>
      </c>
      <c r="I123" s="56" t="s">
        <v>345</v>
      </c>
      <c r="J123" s="93" t="n">
        <f aca="false">14.76/J$1</f>
        <v>0.476129032258065</v>
      </c>
      <c r="K123" s="61" t="n">
        <v>0</v>
      </c>
      <c r="L123" s="61" t="n">
        <v>0.0022</v>
      </c>
      <c r="M123" s="61" t="n">
        <v>0.0072</v>
      </c>
      <c r="N123" s="61" t="n">
        <v>0</v>
      </c>
      <c r="O123" s="62" t="n">
        <v>0</v>
      </c>
      <c r="P123" s="61" t="n">
        <f aca="false">SUM(J123:N123)</f>
        <v>0.485529032258065</v>
      </c>
      <c r="Q123" s="63" t="n">
        <v>32337</v>
      </c>
      <c r="R123" s="63" t="n">
        <v>31372</v>
      </c>
      <c r="S123" s="56" t="n">
        <v>431</v>
      </c>
      <c r="T123" s="58" t="s">
        <v>346</v>
      </c>
      <c r="U123" s="101" t="n">
        <f aca="false">J123*J$1*S123</f>
        <v>6361.56</v>
      </c>
      <c r="V123" s="101"/>
      <c r="W123" s="102"/>
      <c r="X123" s="102" t="n">
        <v>157612</v>
      </c>
      <c r="Y123" s="58"/>
      <c r="Z123" s="89"/>
      <c r="AA123" s="89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100"/>
      <c r="CF123" s="100"/>
      <c r="CG123" s="100"/>
      <c r="CH123" s="100"/>
      <c r="CI123" s="100"/>
      <c r="CJ123" s="100"/>
      <c r="CK123" s="100"/>
      <c r="CL123" s="100"/>
      <c r="CM123" s="100"/>
      <c r="CN123" s="100"/>
      <c r="CO123" s="100"/>
      <c r="CP123" s="100"/>
      <c r="CQ123" s="100"/>
      <c r="CR123" s="100"/>
      <c r="CS123" s="100"/>
      <c r="CT123" s="100"/>
      <c r="CU123" s="100"/>
      <c r="CV123" s="100"/>
      <c r="CW123" s="100"/>
      <c r="CX123" s="100"/>
      <c r="CY123" s="100"/>
      <c r="CZ123" s="100"/>
      <c r="DA123" s="100"/>
      <c r="DB123" s="100"/>
      <c r="DC123" s="100"/>
      <c r="DD123" s="100"/>
      <c r="DE123" s="100"/>
      <c r="DF123" s="100"/>
      <c r="DG123" s="100"/>
      <c r="DH123" s="100"/>
      <c r="DI123" s="100"/>
      <c r="DJ123" s="100"/>
      <c r="DK123" s="100"/>
      <c r="DL123" s="100"/>
      <c r="DM123" s="100"/>
      <c r="DN123" s="100"/>
      <c r="DO123" s="100"/>
      <c r="DP123" s="100"/>
      <c r="DQ123" s="100"/>
      <c r="DR123" s="100"/>
      <c r="DS123" s="100"/>
      <c r="DT123" s="100"/>
      <c r="DU123" s="100"/>
      <c r="DV123" s="100"/>
      <c r="DW123" s="100"/>
      <c r="DX123" s="100"/>
      <c r="DY123" s="100"/>
      <c r="DZ123" s="100"/>
      <c r="EA123" s="100"/>
      <c r="EB123" s="100"/>
      <c r="EC123" s="100"/>
      <c r="ED123" s="100"/>
      <c r="EE123" s="100"/>
      <c r="EF123" s="100"/>
      <c r="EG123" s="100"/>
      <c r="EH123" s="100"/>
      <c r="EI123" s="100"/>
      <c r="EJ123" s="100"/>
      <c r="EK123" s="100"/>
      <c r="EL123" s="100"/>
      <c r="EM123" s="100"/>
      <c r="EN123" s="100"/>
      <c r="EO123" s="100"/>
      <c r="EP123" s="100"/>
      <c r="EQ123" s="100"/>
      <c r="ER123" s="100"/>
      <c r="ES123" s="100"/>
      <c r="ET123" s="100"/>
      <c r="EU123" s="100"/>
      <c r="EV123" s="100"/>
      <c r="EW123" s="100"/>
      <c r="EX123" s="100"/>
      <c r="EY123" s="100"/>
      <c r="EZ123" s="100"/>
      <c r="FA123" s="100"/>
      <c r="FB123" s="100"/>
      <c r="FC123" s="100"/>
      <c r="FD123" s="100"/>
      <c r="FE123" s="100"/>
      <c r="FF123" s="100"/>
      <c r="FG123" s="100"/>
      <c r="FH123" s="100"/>
      <c r="FI123" s="100"/>
      <c r="FJ123" s="100"/>
      <c r="FK123" s="100"/>
      <c r="FL123" s="100"/>
      <c r="FM123" s="100"/>
      <c r="FN123" s="100"/>
      <c r="FO123" s="100"/>
      <c r="FP123" s="100"/>
      <c r="FQ123" s="100"/>
      <c r="FR123" s="100"/>
      <c r="FS123" s="100"/>
      <c r="FT123" s="100"/>
      <c r="FU123" s="100"/>
      <c r="FV123" s="100"/>
      <c r="FW123" s="100"/>
      <c r="FX123" s="100"/>
      <c r="FY123" s="100"/>
      <c r="FZ123" s="100"/>
      <c r="GA123" s="100"/>
      <c r="GB123" s="100"/>
      <c r="GC123" s="100"/>
      <c r="GD123" s="100"/>
      <c r="GE123" s="100"/>
      <c r="GF123" s="100"/>
      <c r="GG123" s="100"/>
      <c r="GH123" s="100"/>
      <c r="GI123" s="100"/>
      <c r="GJ123" s="100"/>
      <c r="GK123" s="100"/>
      <c r="GL123" s="100"/>
      <c r="GM123" s="100"/>
      <c r="GN123" s="100"/>
      <c r="GO123" s="100"/>
      <c r="GP123" s="100"/>
      <c r="GQ123" s="100"/>
      <c r="GR123" s="100"/>
      <c r="GS123" s="100"/>
      <c r="GT123" s="100"/>
      <c r="GU123" s="100"/>
      <c r="GV123" s="100"/>
      <c r="GW123" s="100"/>
      <c r="GX123" s="100"/>
      <c r="GY123" s="100"/>
      <c r="GZ123" s="100"/>
      <c r="HA123" s="100"/>
      <c r="HB123" s="100"/>
      <c r="HC123" s="100"/>
      <c r="HD123" s="100"/>
      <c r="HE123" s="100"/>
      <c r="HF123" s="100"/>
      <c r="HG123" s="100"/>
      <c r="HH123" s="100"/>
      <c r="HI123" s="100"/>
      <c r="HJ123" s="100"/>
      <c r="HK123" s="100"/>
      <c r="HL123" s="100"/>
      <c r="HM123" s="100"/>
      <c r="HN123" s="100"/>
      <c r="HO123" s="100"/>
      <c r="HP123" s="100"/>
      <c r="HQ123" s="100"/>
      <c r="HR123" s="100"/>
      <c r="HS123" s="100"/>
      <c r="HT123" s="100"/>
      <c r="HU123" s="100"/>
      <c r="HV123" s="100"/>
      <c r="HW123" s="100"/>
      <c r="HX123" s="100"/>
      <c r="HY123" s="100"/>
      <c r="HZ123" s="100"/>
      <c r="IA123" s="100"/>
      <c r="IB123" s="100"/>
      <c r="IC123" s="100"/>
      <c r="ID123" s="100"/>
      <c r="IE123" s="100"/>
      <c r="IF123" s="100"/>
      <c r="IG123" s="100"/>
      <c r="IH123" s="100"/>
      <c r="II123" s="100"/>
      <c r="IJ123" s="100"/>
      <c r="IK123" s="100"/>
      <c r="IL123" s="100"/>
      <c r="IM123" s="100"/>
      <c r="IN123" s="100"/>
      <c r="IO123" s="100"/>
      <c r="IP123" s="100"/>
      <c r="IQ123" s="100"/>
      <c r="IR123" s="100"/>
      <c r="IS123" s="100"/>
      <c r="IT123" s="100"/>
      <c r="IU123" s="100"/>
      <c r="IV123" s="100"/>
      <c r="IW123" s="100"/>
    </row>
    <row r="124" customFormat="false" ht="12.75" hidden="false" customHeight="false" outlineLevel="0" collapsed="false">
      <c r="A124" s="100" t="s">
        <v>341</v>
      </c>
      <c r="B124" s="58" t="s">
        <v>187</v>
      </c>
      <c r="C124" s="56" t="s">
        <v>342</v>
      </c>
      <c r="D124" s="56" t="s">
        <v>184</v>
      </c>
      <c r="E124" s="57" t="n">
        <v>36557</v>
      </c>
      <c r="F124" s="57" t="n">
        <v>36677</v>
      </c>
      <c r="G124" s="58" t="s">
        <v>347</v>
      </c>
      <c r="H124" s="58" t="s">
        <v>348</v>
      </c>
      <c r="I124" s="56" t="s">
        <v>345</v>
      </c>
      <c r="J124" s="93" t="n">
        <f aca="false">13.28/J$1</f>
        <v>0.428387096774194</v>
      </c>
      <c r="K124" s="61" t="n">
        <v>0</v>
      </c>
      <c r="L124" s="61" t="n">
        <v>0.0022</v>
      </c>
      <c r="M124" s="61" t="n">
        <v>0.0072</v>
      </c>
      <c r="N124" s="61" t="n">
        <v>0</v>
      </c>
      <c r="O124" s="62" t="n">
        <v>0</v>
      </c>
      <c r="P124" s="61" t="n">
        <f aca="false">SUM(J124:N124)</f>
        <v>0.437787096774194</v>
      </c>
      <c r="Q124" s="63" t="n">
        <v>32336</v>
      </c>
      <c r="R124" s="63" t="n">
        <v>31533</v>
      </c>
      <c r="S124" s="56" t="n">
        <v>48</v>
      </c>
      <c r="T124" s="58" t="s">
        <v>346</v>
      </c>
      <c r="U124" s="101" t="n">
        <f aca="false">J124*J$1*S124</f>
        <v>637.44</v>
      </c>
      <c r="V124" s="101"/>
      <c r="W124" s="102"/>
      <c r="X124" s="102" t="n">
        <v>157613</v>
      </c>
      <c r="Y124" s="58"/>
      <c r="Z124" s="89"/>
      <c r="AA124" s="89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100"/>
      <c r="CF124" s="100"/>
      <c r="CG124" s="100"/>
      <c r="CH124" s="100"/>
      <c r="CI124" s="100"/>
      <c r="CJ124" s="100"/>
      <c r="CK124" s="100"/>
      <c r="CL124" s="100"/>
      <c r="CM124" s="100"/>
      <c r="CN124" s="100"/>
      <c r="CO124" s="100"/>
      <c r="CP124" s="100"/>
      <c r="CQ124" s="100"/>
      <c r="CR124" s="100"/>
      <c r="CS124" s="100"/>
      <c r="CT124" s="100"/>
      <c r="CU124" s="100"/>
      <c r="CV124" s="100"/>
      <c r="CW124" s="100"/>
      <c r="CX124" s="100"/>
      <c r="CY124" s="100"/>
      <c r="CZ124" s="100"/>
      <c r="DA124" s="100"/>
      <c r="DB124" s="100"/>
      <c r="DC124" s="100"/>
      <c r="DD124" s="100"/>
      <c r="DE124" s="100"/>
      <c r="DF124" s="100"/>
      <c r="DG124" s="100"/>
      <c r="DH124" s="100"/>
      <c r="DI124" s="100"/>
      <c r="DJ124" s="100"/>
      <c r="DK124" s="100"/>
      <c r="DL124" s="100"/>
      <c r="DM124" s="100"/>
      <c r="DN124" s="100"/>
      <c r="DO124" s="100"/>
      <c r="DP124" s="100"/>
      <c r="DQ124" s="100"/>
      <c r="DR124" s="100"/>
      <c r="DS124" s="100"/>
      <c r="DT124" s="100"/>
      <c r="DU124" s="100"/>
      <c r="DV124" s="100"/>
      <c r="DW124" s="100"/>
      <c r="DX124" s="100"/>
      <c r="DY124" s="100"/>
      <c r="DZ124" s="100"/>
      <c r="EA124" s="100"/>
      <c r="EB124" s="100"/>
      <c r="EC124" s="100"/>
      <c r="ED124" s="100"/>
      <c r="EE124" s="100"/>
      <c r="EF124" s="100"/>
      <c r="EG124" s="100"/>
      <c r="EH124" s="100"/>
      <c r="EI124" s="100"/>
      <c r="EJ124" s="100"/>
      <c r="EK124" s="100"/>
      <c r="EL124" s="100"/>
      <c r="EM124" s="100"/>
      <c r="EN124" s="100"/>
      <c r="EO124" s="100"/>
      <c r="EP124" s="100"/>
      <c r="EQ124" s="100"/>
      <c r="ER124" s="100"/>
      <c r="ES124" s="100"/>
      <c r="ET124" s="100"/>
      <c r="EU124" s="100"/>
      <c r="EV124" s="100"/>
      <c r="EW124" s="100"/>
      <c r="EX124" s="100"/>
      <c r="EY124" s="100"/>
      <c r="EZ124" s="100"/>
      <c r="FA124" s="100"/>
      <c r="FB124" s="100"/>
      <c r="FC124" s="100"/>
      <c r="FD124" s="100"/>
      <c r="FE124" s="100"/>
      <c r="FF124" s="100"/>
      <c r="FG124" s="100"/>
      <c r="FH124" s="100"/>
      <c r="FI124" s="100"/>
      <c r="FJ124" s="100"/>
      <c r="FK124" s="100"/>
      <c r="FL124" s="100"/>
      <c r="FM124" s="100"/>
      <c r="FN124" s="100"/>
      <c r="FO124" s="100"/>
      <c r="FP124" s="100"/>
      <c r="FQ124" s="100"/>
      <c r="FR124" s="100"/>
      <c r="FS124" s="100"/>
      <c r="FT124" s="100"/>
      <c r="FU124" s="100"/>
      <c r="FV124" s="100"/>
      <c r="FW124" s="100"/>
      <c r="FX124" s="100"/>
      <c r="FY124" s="100"/>
      <c r="FZ124" s="100"/>
      <c r="GA124" s="100"/>
      <c r="GB124" s="100"/>
      <c r="GC124" s="100"/>
      <c r="GD124" s="100"/>
      <c r="GE124" s="100"/>
      <c r="GF124" s="100"/>
      <c r="GG124" s="100"/>
      <c r="GH124" s="100"/>
      <c r="GI124" s="100"/>
      <c r="GJ124" s="100"/>
      <c r="GK124" s="100"/>
      <c r="GL124" s="100"/>
      <c r="GM124" s="100"/>
      <c r="GN124" s="100"/>
      <c r="GO124" s="100"/>
      <c r="GP124" s="100"/>
      <c r="GQ124" s="100"/>
      <c r="GR124" s="100"/>
      <c r="GS124" s="100"/>
      <c r="GT124" s="100"/>
      <c r="GU124" s="100"/>
      <c r="GV124" s="100"/>
      <c r="GW124" s="100"/>
      <c r="GX124" s="100"/>
      <c r="GY124" s="100"/>
      <c r="GZ124" s="100"/>
      <c r="HA124" s="100"/>
      <c r="HB124" s="100"/>
      <c r="HC124" s="100"/>
      <c r="HD124" s="100"/>
      <c r="HE124" s="100"/>
      <c r="HF124" s="100"/>
      <c r="HG124" s="100"/>
      <c r="HH124" s="100"/>
      <c r="HI124" s="100"/>
      <c r="HJ124" s="100"/>
      <c r="HK124" s="100"/>
      <c r="HL124" s="100"/>
      <c r="HM124" s="100"/>
      <c r="HN124" s="100"/>
      <c r="HO124" s="100"/>
      <c r="HP124" s="100"/>
      <c r="HQ124" s="100"/>
      <c r="HR124" s="100"/>
      <c r="HS124" s="100"/>
      <c r="HT124" s="100"/>
      <c r="HU124" s="100"/>
      <c r="HV124" s="100"/>
      <c r="HW124" s="100"/>
      <c r="HX124" s="100"/>
      <c r="HY124" s="100"/>
      <c r="HZ124" s="100"/>
      <c r="IA124" s="100"/>
      <c r="IB124" s="100"/>
      <c r="IC124" s="100"/>
      <c r="ID124" s="100"/>
      <c r="IE124" s="100"/>
      <c r="IF124" s="100"/>
      <c r="IG124" s="100"/>
      <c r="IH124" s="100"/>
      <c r="II124" s="100"/>
      <c r="IJ124" s="100"/>
      <c r="IK124" s="100"/>
      <c r="IL124" s="100"/>
      <c r="IM124" s="100"/>
      <c r="IN124" s="100"/>
      <c r="IO124" s="100"/>
      <c r="IP124" s="100"/>
      <c r="IQ124" s="100"/>
      <c r="IR124" s="100"/>
      <c r="IS124" s="100"/>
      <c r="IT124" s="100"/>
      <c r="IU124" s="100"/>
      <c r="IV124" s="100"/>
      <c r="IW124" s="100"/>
    </row>
    <row r="125" customFormat="false" ht="12.75" hidden="false" customHeight="false" outlineLevel="0" collapsed="false">
      <c r="A125" s="90"/>
      <c r="B125" s="69" t="s">
        <v>187</v>
      </c>
      <c r="C125" s="91" t="s">
        <v>342</v>
      </c>
      <c r="D125" s="91" t="s">
        <v>218</v>
      </c>
      <c r="E125" s="92" t="n">
        <v>36586</v>
      </c>
      <c r="F125" s="92" t="n">
        <v>36616</v>
      </c>
      <c r="G125" s="69" t="s">
        <v>349</v>
      </c>
      <c r="H125" s="69" t="s">
        <v>350</v>
      </c>
      <c r="I125" s="91" t="s">
        <v>345</v>
      </c>
      <c r="J125" s="93" t="n">
        <f aca="false">5.61/31</f>
        <v>0.180967741935484</v>
      </c>
      <c r="K125" s="94" t="n">
        <v>0.0763</v>
      </c>
      <c r="L125" s="94" t="n">
        <v>0.0022</v>
      </c>
      <c r="M125" s="94" t="n">
        <v>0.0072</v>
      </c>
      <c r="N125" s="94" t="n">
        <v>0</v>
      </c>
      <c r="O125" s="95" t="n">
        <v>0.0279</v>
      </c>
      <c r="P125" s="94" t="n">
        <f aca="false">SUM(J125:N125)</f>
        <v>0.266667741935484</v>
      </c>
      <c r="Q125" s="96" t="n">
        <v>32541</v>
      </c>
      <c r="R125" s="96" t="n">
        <v>32398</v>
      </c>
      <c r="S125" s="91" t="n">
        <v>3659</v>
      </c>
      <c r="T125" s="69" t="s">
        <v>346</v>
      </c>
      <c r="U125" s="97" t="n">
        <f aca="false">J125*J$1*S125</f>
        <v>20526.99</v>
      </c>
      <c r="V125" s="97"/>
      <c r="W125" s="98" t="n">
        <v>204555</v>
      </c>
      <c r="X125" s="98" t="n">
        <v>158613</v>
      </c>
      <c r="Y125" s="69" t="s">
        <v>351</v>
      </c>
      <c r="Z125" s="89"/>
      <c r="AA125" s="89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0"/>
      <c r="CE125" s="100"/>
      <c r="CF125" s="100"/>
      <c r="CG125" s="100"/>
      <c r="CH125" s="100"/>
      <c r="CI125" s="100"/>
      <c r="CJ125" s="100"/>
      <c r="CK125" s="100"/>
      <c r="CL125" s="100"/>
      <c r="CM125" s="100"/>
      <c r="CN125" s="100"/>
      <c r="CO125" s="100"/>
      <c r="CP125" s="100"/>
      <c r="CQ125" s="100"/>
      <c r="CR125" s="100"/>
      <c r="CS125" s="100"/>
      <c r="CT125" s="100"/>
      <c r="CU125" s="100"/>
      <c r="CV125" s="100"/>
      <c r="CW125" s="100"/>
      <c r="CX125" s="100"/>
      <c r="CY125" s="100"/>
      <c r="CZ125" s="100"/>
      <c r="DA125" s="100"/>
      <c r="DB125" s="100"/>
      <c r="DC125" s="100"/>
      <c r="DD125" s="100"/>
      <c r="DE125" s="100"/>
      <c r="DF125" s="100"/>
      <c r="DG125" s="100"/>
      <c r="DH125" s="100"/>
      <c r="DI125" s="100"/>
      <c r="DJ125" s="100"/>
      <c r="DK125" s="100"/>
      <c r="DL125" s="100"/>
      <c r="DM125" s="100"/>
      <c r="DN125" s="100"/>
      <c r="DO125" s="100"/>
      <c r="DP125" s="100"/>
      <c r="DQ125" s="100"/>
      <c r="DR125" s="100"/>
      <c r="DS125" s="100"/>
      <c r="DT125" s="100"/>
      <c r="DU125" s="100"/>
      <c r="DV125" s="100"/>
      <c r="DW125" s="100"/>
      <c r="DX125" s="100"/>
      <c r="DY125" s="100"/>
      <c r="DZ125" s="100"/>
      <c r="EA125" s="100"/>
      <c r="EB125" s="100"/>
      <c r="EC125" s="100"/>
      <c r="ED125" s="100"/>
      <c r="EE125" s="100"/>
      <c r="EF125" s="100"/>
      <c r="EG125" s="100"/>
      <c r="EH125" s="100"/>
      <c r="EI125" s="100"/>
      <c r="EJ125" s="100"/>
      <c r="EK125" s="100"/>
      <c r="EL125" s="100"/>
      <c r="EM125" s="100"/>
      <c r="EN125" s="100"/>
      <c r="EO125" s="100"/>
      <c r="EP125" s="100"/>
      <c r="EQ125" s="100"/>
      <c r="ER125" s="100"/>
      <c r="ES125" s="100"/>
      <c r="ET125" s="100"/>
      <c r="EU125" s="100"/>
      <c r="EV125" s="100"/>
      <c r="EW125" s="100"/>
      <c r="EX125" s="100"/>
      <c r="EY125" s="100"/>
      <c r="EZ125" s="100"/>
      <c r="FA125" s="100"/>
      <c r="FB125" s="100"/>
      <c r="FC125" s="100"/>
      <c r="FD125" s="100"/>
      <c r="FE125" s="100"/>
      <c r="FF125" s="100"/>
      <c r="FG125" s="100"/>
      <c r="FH125" s="100"/>
      <c r="FI125" s="100"/>
      <c r="FJ125" s="100"/>
      <c r="FK125" s="100"/>
      <c r="FL125" s="100"/>
      <c r="FM125" s="100"/>
      <c r="FN125" s="100"/>
      <c r="FO125" s="100"/>
      <c r="FP125" s="100"/>
      <c r="FQ125" s="100"/>
      <c r="FR125" s="100"/>
      <c r="FS125" s="100"/>
      <c r="FT125" s="100"/>
      <c r="FU125" s="100"/>
      <c r="FV125" s="100"/>
      <c r="FW125" s="100"/>
      <c r="FX125" s="100"/>
      <c r="FY125" s="100"/>
      <c r="FZ125" s="100"/>
      <c r="GA125" s="100"/>
      <c r="GB125" s="100"/>
      <c r="GC125" s="100"/>
      <c r="GD125" s="100"/>
      <c r="GE125" s="100"/>
      <c r="GF125" s="100"/>
      <c r="GG125" s="100"/>
      <c r="GH125" s="100"/>
      <c r="GI125" s="100"/>
      <c r="GJ125" s="100"/>
      <c r="GK125" s="100"/>
      <c r="GL125" s="100"/>
      <c r="GM125" s="100"/>
      <c r="GN125" s="100"/>
      <c r="GO125" s="100"/>
      <c r="GP125" s="100"/>
      <c r="GQ125" s="100"/>
      <c r="GR125" s="100"/>
      <c r="GS125" s="100"/>
      <c r="GT125" s="100"/>
      <c r="GU125" s="100"/>
      <c r="GV125" s="100"/>
      <c r="GW125" s="100"/>
      <c r="GX125" s="100"/>
      <c r="GY125" s="100"/>
      <c r="GZ125" s="100"/>
      <c r="HA125" s="100"/>
      <c r="HB125" s="100"/>
      <c r="HC125" s="100"/>
      <c r="HD125" s="100"/>
      <c r="HE125" s="100"/>
      <c r="HF125" s="100"/>
      <c r="HG125" s="100"/>
      <c r="HH125" s="100"/>
      <c r="HI125" s="100"/>
      <c r="HJ125" s="100"/>
      <c r="HK125" s="100"/>
      <c r="HL125" s="100"/>
      <c r="HM125" s="100"/>
      <c r="HN125" s="100"/>
      <c r="HO125" s="100"/>
      <c r="HP125" s="100"/>
      <c r="HQ125" s="100"/>
      <c r="HR125" s="100"/>
      <c r="HS125" s="100"/>
      <c r="HT125" s="100"/>
      <c r="HU125" s="100"/>
      <c r="HV125" s="100"/>
      <c r="HW125" s="100"/>
      <c r="HX125" s="100"/>
      <c r="HY125" s="100"/>
      <c r="HZ125" s="100"/>
      <c r="IA125" s="100"/>
      <c r="IB125" s="100"/>
      <c r="IC125" s="100"/>
      <c r="ID125" s="100"/>
      <c r="IE125" s="100"/>
      <c r="IF125" s="100"/>
      <c r="IG125" s="100"/>
      <c r="IH125" s="100"/>
      <c r="II125" s="100"/>
      <c r="IJ125" s="100"/>
      <c r="IK125" s="100"/>
      <c r="IL125" s="100"/>
      <c r="IM125" s="100"/>
      <c r="IN125" s="100"/>
      <c r="IO125" s="100"/>
      <c r="IP125" s="100"/>
      <c r="IQ125" s="100"/>
      <c r="IR125" s="100"/>
      <c r="IS125" s="100"/>
      <c r="IT125" s="100"/>
      <c r="IU125" s="100"/>
      <c r="IV125" s="100"/>
      <c r="IW125" s="100"/>
    </row>
    <row r="126" customFormat="false" ht="12.75" hidden="false" customHeight="false" outlineLevel="0" collapsed="false">
      <c r="A126" s="90"/>
      <c r="B126" s="69" t="s">
        <v>187</v>
      </c>
      <c r="C126" s="91" t="s">
        <v>342</v>
      </c>
      <c r="D126" s="91"/>
      <c r="E126" s="92" t="n">
        <v>36586</v>
      </c>
      <c r="F126" s="92" t="n">
        <v>36616</v>
      </c>
      <c r="G126" s="69" t="s">
        <v>352</v>
      </c>
      <c r="H126" s="69" t="s">
        <v>353</v>
      </c>
      <c r="I126" s="91" t="s">
        <v>345</v>
      </c>
      <c r="J126" s="93" t="n">
        <v>0</v>
      </c>
      <c r="K126" s="94" t="n">
        <v>0</v>
      </c>
      <c r="L126" s="94" t="n">
        <v>0.0022</v>
      </c>
      <c r="M126" s="94" t="n">
        <v>0.0072</v>
      </c>
      <c r="N126" s="94" t="n">
        <v>0</v>
      </c>
      <c r="O126" s="95" t="n">
        <v>0</v>
      </c>
      <c r="P126" s="94" t="n">
        <f aca="false">SUM(J126:N126)</f>
        <v>0.0094</v>
      </c>
      <c r="Q126" s="96" t="n">
        <v>32645</v>
      </c>
      <c r="R126" s="96" t="n">
        <v>31957</v>
      </c>
      <c r="S126" s="91" t="n">
        <v>769</v>
      </c>
      <c r="T126" s="69" t="s">
        <v>346</v>
      </c>
      <c r="U126" s="97" t="n">
        <f aca="false">J126*J$1*S126</f>
        <v>0</v>
      </c>
      <c r="V126" s="97"/>
      <c r="W126" s="98" t="n">
        <v>204715</v>
      </c>
      <c r="X126" s="98"/>
      <c r="Y126" s="69" t="s">
        <v>351</v>
      </c>
      <c r="Z126" s="99"/>
      <c r="AA126" s="99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0"/>
      <c r="CQ126" s="90"/>
      <c r="CR126" s="90"/>
      <c r="CS126" s="90"/>
      <c r="CT126" s="90"/>
      <c r="CU126" s="90"/>
      <c r="CV126" s="90"/>
      <c r="CW126" s="90"/>
      <c r="CX126" s="90"/>
      <c r="CY126" s="90"/>
      <c r="CZ126" s="90"/>
      <c r="DA126" s="90"/>
      <c r="DB126" s="90"/>
      <c r="DC126" s="90"/>
      <c r="DD126" s="90"/>
      <c r="DE126" s="90"/>
      <c r="DF126" s="90"/>
      <c r="DG126" s="90"/>
      <c r="DH126" s="90"/>
      <c r="DI126" s="90"/>
      <c r="DJ126" s="90"/>
      <c r="DK126" s="90"/>
      <c r="DL126" s="90"/>
      <c r="DM126" s="90"/>
      <c r="DN126" s="90"/>
      <c r="DO126" s="90"/>
      <c r="DP126" s="90"/>
      <c r="DQ126" s="90"/>
      <c r="DR126" s="90"/>
      <c r="DS126" s="90"/>
      <c r="DT126" s="90"/>
      <c r="DU126" s="90"/>
      <c r="DV126" s="90"/>
      <c r="DW126" s="90"/>
      <c r="DX126" s="90"/>
      <c r="DY126" s="90"/>
      <c r="DZ126" s="90"/>
      <c r="EA126" s="90"/>
      <c r="EB126" s="90"/>
      <c r="EC126" s="90"/>
      <c r="ED126" s="90"/>
      <c r="EE126" s="90"/>
      <c r="EF126" s="90"/>
      <c r="EG126" s="90"/>
      <c r="EH126" s="90"/>
      <c r="EI126" s="90"/>
      <c r="EJ126" s="90"/>
      <c r="EK126" s="90"/>
      <c r="EL126" s="90"/>
      <c r="EM126" s="90"/>
      <c r="EN126" s="90"/>
      <c r="EO126" s="90"/>
      <c r="EP126" s="90"/>
      <c r="EQ126" s="90"/>
      <c r="ER126" s="90"/>
      <c r="ES126" s="90"/>
      <c r="ET126" s="90"/>
      <c r="EU126" s="90"/>
      <c r="EV126" s="90"/>
      <c r="EW126" s="90"/>
      <c r="EX126" s="90"/>
      <c r="EY126" s="90"/>
      <c r="EZ126" s="90"/>
      <c r="FA126" s="90"/>
      <c r="FB126" s="90"/>
      <c r="FC126" s="90"/>
      <c r="FD126" s="90"/>
      <c r="FE126" s="90"/>
      <c r="FF126" s="90"/>
      <c r="FG126" s="90"/>
      <c r="FH126" s="90"/>
      <c r="FI126" s="90"/>
      <c r="FJ126" s="90"/>
      <c r="FK126" s="90"/>
      <c r="FL126" s="90"/>
      <c r="FM126" s="90"/>
      <c r="FN126" s="90"/>
      <c r="FO126" s="90"/>
      <c r="FP126" s="90"/>
      <c r="FQ126" s="90"/>
      <c r="FR126" s="90"/>
      <c r="FS126" s="90"/>
      <c r="FT126" s="90"/>
      <c r="FU126" s="90"/>
      <c r="FV126" s="90"/>
      <c r="FW126" s="90"/>
      <c r="FX126" s="90"/>
      <c r="FY126" s="90"/>
      <c r="FZ126" s="90"/>
      <c r="GA126" s="90"/>
      <c r="GB126" s="90"/>
      <c r="GC126" s="90"/>
      <c r="GD126" s="90"/>
      <c r="GE126" s="90"/>
      <c r="GF126" s="90"/>
      <c r="GG126" s="90"/>
      <c r="GH126" s="90"/>
      <c r="GI126" s="90"/>
      <c r="GJ126" s="90"/>
      <c r="GK126" s="90"/>
      <c r="GL126" s="90"/>
      <c r="GM126" s="90"/>
      <c r="GN126" s="90"/>
      <c r="GO126" s="90"/>
      <c r="GP126" s="90"/>
      <c r="GQ126" s="90"/>
      <c r="GR126" s="90"/>
      <c r="GS126" s="90"/>
      <c r="GT126" s="90"/>
      <c r="GU126" s="90"/>
      <c r="GV126" s="90"/>
      <c r="GW126" s="90"/>
      <c r="GX126" s="90"/>
      <c r="GY126" s="90"/>
      <c r="GZ126" s="90"/>
      <c r="HA126" s="90"/>
      <c r="HB126" s="90"/>
      <c r="HC126" s="90"/>
      <c r="HD126" s="90"/>
      <c r="HE126" s="90"/>
      <c r="HF126" s="90"/>
      <c r="HG126" s="90"/>
      <c r="HH126" s="90"/>
      <c r="HI126" s="90"/>
      <c r="HJ126" s="90"/>
      <c r="HK126" s="90"/>
      <c r="HL126" s="90"/>
      <c r="HM126" s="90"/>
      <c r="HN126" s="90"/>
      <c r="HO126" s="90"/>
      <c r="HP126" s="90"/>
      <c r="HQ126" s="90"/>
      <c r="HR126" s="90"/>
      <c r="HS126" s="90"/>
      <c r="HT126" s="90"/>
      <c r="HU126" s="90"/>
      <c r="HV126" s="90"/>
      <c r="HW126" s="90"/>
      <c r="HX126" s="90"/>
      <c r="HY126" s="90"/>
      <c r="HZ126" s="90"/>
      <c r="IA126" s="90"/>
      <c r="IB126" s="90"/>
      <c r="IC126" s="90"/>
      <c r="ID126" s="90"/>
      <c r="IE126" s="90"/>
      <c r="IF126" s="90"/>
      <c r="IG126" s="90"/>
      <c r="IH126" s="90"/>
      <c r="II126" s="90"/>
      <c r="IJ126" s="90"/>
      <c r="IK126" s="90"/>
      <c r="IL126" s="90"/>
      <c r="IM126" s="90"/>
      <c r="IN126" s="90"/>
      <c r="IO126" s="90"/>
      <c r="IP126" s="90"/>
      <c r="IQ126" s="90"/>
      <c r="IR126" s="90"/>
      <c r="IS126" s="90"/>
      <c r="IT126" s="90"/>
      <c r="IU126" s="90"/>
      <c r="IV126" s="90"/>
      <c r="IW126" s="90"/>
    </row>
    <row r="127" customFormat="false" ht="12.75" hidden="false" customHeight="false" outlineLevel="0" collapsed="false">
      <c r="A127" s="90"/>
      <c r="B127" s="69" t="s">
        <v>187</v>
      </c>
      <c r="C127" s="91" t="s">
        <v>354</v>
      </c>
      <c r="D127" s="91" t="s">
        <v>218</v>
      </c>
      <c r="E127" s="92" t="n">
        <v>36586</v>
      </c>
      <c r="F127" s="92" t="n">
        <v>36616</v>
      </c>
      <c r="G127" s="69" t="s">
        <v>355</v>
      </c>
      <c r="H127" s="69" t="s">
        <v>218</v>
      </c>
      <c r="I127" s="91" t="s">
        <v>345</v>
      </c>
      <c r="J127" s="93" t="n">
        <v>0.3845</v>
      </c>
      <c r="K127" s="94" t="n">
        <v>0</v>
      </c>
      <c r="L127" s="94" t="n">
        <v>0.0022</v>
      </c>
      <c r="M127" s="94" t="n">
        <v>0.0072</v>
      </c>
      <c r="N127" s="94" t="n">
        <v>0</v>
      </c>
      <c r="O127" s="95" t="n">
        <v>0.0222</v>
      </c>
      <c r="P127" s="94" t="n">
        <f aca="false">SUM(J127:N127)</f>
        <v>0.3939</v>
      </c>
      <c r="Q127" s="96" t="n">
        <v>32542</v>
      </c>
      <c r="R127" s="96" t="n">
        <v>32391</v>
      </c>
      <c r="S127" s="91" t="n">
        <v>4083</v>
      </c>
      <c r="T127" s="69" t="s">
        <v>346</v>
      </c>
      <c r="U127" s="97" t="n">
        <f aca="false">J127*J$1*S127</f>
        <v>48667.3185</v>
      </c>
      <c r="V127" s="97"/>
      <c r="W127" s="98" t="n">
        <v>203535</v>
      </c>
      <c r="X127" s="98" t="n">
        <v>158454</v>
      </c>
      <c r="Y127" s="69" t="s">
        <v>351</v>
      </c>
      <c r="Z127" s="99"/>
      <c r="AA127" s="99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0"/>
      <c r="CV127" s="90"/>
      <c r="CW127" s="90"/>
      <c r="CX127" s="90"/>
      <c r="CY127" s="90"/>
      <c r="CZ127" s="90"/>
      <c r="DA127" s="90"/>
      <c r="DB127" s="90"/>
      <c r="DC127" s="90"/>
      <c r="DD127" s="90"/>
      <c r="DE127" s="90"/>
      <c r="DF127" s="90"/>
      <c r="DG127" s="90"/>
      <c r="DH127" s="90"/>
      <c r="DI127" s="90"/>
      <c r="DJ127" s="90"/>
      <c r="DK127" s="90"/>
      <c r="DL127" s="90"/>
      <c r="DM127" s="90"/>
      <c r="DN127" s="90"/>
      <c r="DO127" s="90"/>
      <c r="DP127" s="90"/>
      <c r="DQ127" s="90"/>
      <c r="DR127" s="90"/>
      <c r="DS127" s="90"/>
      <c r="DT127" s="90"/>
      <c r="DU127" s="90"/>
      <c r="DV127" s="90"/>
      <c r="DW127" s="90"/>
      <c r="DX127" s="90"/>
      <c r="DY127" s="90"/>
      <c r="DZ127" s="90"/>
      <c r="EA127" s="90"/>
      <c r="EB127" s="90"/>
      <c r="EC127" s="90"/>
      <c r="ED127" s="90"/>
      <c r="EE127" s="90"/>
      <c r="EF127" s="90"/>
      <c r="EG127" s="90"/>
      <c r="EH127" s="90"/>
      <c r="EI127" s="90"/>
      <c r="EJ127" s="90"/>
      <c r="EK127" s="90"/>
      <c r="EL127" s="90"/>
      <c r="EM127" s="90"/>
      <c r="EN127" s="90"/>
      <c r="EO127" s="90"/>
      <c r="EP127" s="90"/>
      <c r="EQ127" s="90"/>
      <c r="ER127" s="90"/>
      <c r="ES127" s="90"/>
      <c r="ET127" s="90"/>
      <c r="EU127" s="90"/>
      <c r="EV127" s="90"/>
      <c r="EW127" s="90"/>
      <c r="EX127" s="90"/>
      <c r="EY127" s="90"/>
      <c r="EZ127" s="90"/>
      <c r="FA127" s="90"/>
      <c r="FB127" s="90"/>
      <c r="FC127" s="90"/>
      <c r="FD127" s="90"/>
      <c r="FE127" s="90"/>
      <c r="FF127" s="90"/>
      <c r="FG127" s="90"/>
      <c r="FH127" s="90"/>
      <c r="FI127" s="90"/>
      <c r="FJ127" s="90"/>
      <c r="FK127" s="90"/>
      <c r="FL127" s="90"/>
      <c r="FM127" s="90"/>
      <c r="FN127" s="90"/>
      <c r="FO127" s="90"/>
      <c r="FP127" s="90"/>
      <c r="FQ127" s="90"/>
      <c r="FR127" s="90"/>
      <c r="FS127" s="90"/>
      <c r="FT127" s="90"/>
      <c r="FU127" s="90"/>
      <c r="FV127" s="90"/>
      <c r="FW127" s="90"/>
      <c r="FX127" s="90"/>
      <c r="FY127" s="90"/>
      <c r="FZ127" s="90"/>
      <c r="GA127" s="90"/>
      <c r="GB127" s="90"/>
      <c r="GC127" s="90"/>
      <c r="GD127" s="90"/>
      <c r="GE127" s="90"/>
      <c r="GF127" s="90"/>
      <c r="GG127" s="90"/>
      <c r="GH127" s="90"/>
      <c r="GI127" s="90"/>
      <c r="GJ127" s="90"/>
      <c r="GK127" s="90"/>
      <c r="GL127" s="90"/>
      <c r="GM127" s="90"/>
      <c r="GN127" s="90"/>
      <c r="GO127" s="90"/>
      <c r="GP127" s="90"/>
      <c r="GQ127" s="90"/>
      <c r="GR127" s="90"/>
      <c r="GS127" s="90"/>
      <c r="GT127" s="90"/>
      <c r="GU127" s="90"/>
      <c r="GV127" s="90"/>
      <c r="GW127" s="90"/>
      <c r="GX127" s="90"/>
      <c r="GY127" s="90"/>
      <c r="GZ127" s="90"/>
      <c r="HA127" s="90"/>
      <c r="HB127" s="90"/>
      <c r="HC127" s="90"/>
      <c r="HD127" s="90"/>
      <c r="HE127" s="90"/>
      <c r="HF127" s="90"/>
      <c r="HG127" s="90"/>
      <c r="HH127" s="90"/>
      <c r="HI127" s="90"/>
      <c r="HJ127" s="90"/>
      <c r="HK127" s="90"/>
      <c r="HL127" s="90"/>
      <c r="HM127" s="90"/>
      <c r="HN127" s="90"/>
      <c r="HO127" s="90"/>
      <c r="HP127" s="90"/>
      <c r="HQ127" s="90"/>
      <c r="HR127" s="90"/>
      <c r="HS127" s="90"/>
      <c r="HT127" s="90"/>
      <c r="HU127" s="90"/>
      <c r="HV127" s="90"/>
      <c r="HW127" s="90"/>
      <c r="HX127" s="90"/>
      <c r="HY127" s="90"/>
      <c r="HZ127" s="90"/>
      <c r="IA127" s="90"/>
      <c r="IB127" s="90"/>
      <c r="IC127" s="90"/>
      <c r="ID127" s="90"/>
      <c r="IE127" s="90"/>
      <c r="IF127" s="90"/>
      <c r="IG127" s="90"/>
      <c r="IH127" s="90"/>
      <c r="II127" s="90"/>
      <c r="IJ127" s="90"/>
      <c r="IK127" s="90"/>
      <c r="IL127" s="90"/>
      <c r="IM127" s="90"/>
      <c r="IN127" s="90"/>
      <c r="IO127" s="90"/>
      <c r="IP127" s="90"/>
      <c r="IQ127" s="90"/>
      <c r="IR127" s="90"/>
      <c r="IS127" s="90"/>
      <c r="IT127" s="90"/>
      <c r="IU127" s="90"/>
      <c r="IV127" s="90"/>
      <c r="IW127" s="90"/>
    </row>
    <row r="128" customFormat="false" ht="12.75" hidden="false" customHeight="false" outlineLevel="0" collapsed="false">
      <c r="A128" s="90"/>
      <c r="B128" s="69" t="s">
        <v>187</v>
      </c>
      <c r="C128" s="91" t="s">
        <v>356</v>
      </c>
      <c r="D128" s="91" t="s">
        <v>357</v>
      </c>
      <c r="E128" s="92" t="n">
        <v>36586</v>
      </c>
      <c r="F128" s="92" t="n">
        <v>36616</v>
      </c>
      <c r="G128" s="69" t="s">
        <v>358</v>
      </c>
      <c r="H128" s="69" t="s">
        <v>359</v>
      </c>
      <c r="I128" s="91" t="s">
        <v>345</v>
      </c>
      <c r="J128" s="93" t="n">
        <f aca="false">1.5/31</f>
        <v>0.0483870967741936</v>
      </c>
      <c r="K128" s="94" t="n">
        <v>0.009</v>
      </c>
      <c r="L128" s="94" t="n">
        <v>0.0022</v>
      </c>
      <c r="M128" s="94" t="n">
        <v>0.0072</v>
      </c>
      <c r="N128" s="94" t="n">
        <v>0</v>
      </c>
      <c r="O128" s="95" t="n">
        <v>0</v>
      </c>
      <c r="P128" s="94" t="n">
        <f aca="false">SUM(J128:N128)</f>
        <v>0.0667870967741936</v>
      </c>
      <c r="Q128" s="96" t="n">
        <v>32576</v>
      </c>
      <c r="R128" s="96" t="n">
        <v>32425</v>
      </c>
      <c r="S128" s="91" t="n">
        <v>5000</v>
      </c>
      <c r="T128" s="69" t="s">
        <v>346</v>
      </c>
      <c r="U128" s="97" t="n">
        <f aca="false">J128*J$1*S128</f>
        <v>7500</v>
      </c>
      <c r="V128" s="97"/>
      <c r="W128" s="98" t="n">
        <v>203525</v>
      </c>
      <c r="X128" s="98"/>
      <c r="Y128" s="69" t="s">
        <v>351</v>
      </c>
      <c r="Z128" s="99"/>
      <c r="AA128" s="99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0"/>
      <c r="DA128" s="90"/>
      <c r="DB128" s="90"/>
      <c r="DC128" s="90"/>
      <c r="DD128" s="90"/>
      <c r="DE128" s="90"/>
      <c r="DF128" s="90"/>
      <c r="DG128" s="90"/>
      <c r="DH128" s="90"/>
      <c r="DI128" s="90"/>
      <c r="DJ128" s="90"/>
      <c r="DK128" s="90"/>
      <c r="DL128" s="90"/>
      <c r="DM128" s="90"/>
      <c r="DN128" s="90"/>
      <c r="DO128" s="90"/>
      <c r="DP128" s="90"/>
      <c r="DQ128" s="90"/>
      <c r="DR128" s="90"/>
      <c r="DS128" s="90"/>
      <c r="DT128" s="90"/>
      <c r="DU128" s="90"/>
      <c r="DV128" s="90"/>
      <c r="DW128" s="90"/>
      <c r="DX128" s="90"/>
      <c r="DY128" s="90"/>
      <c r="DZ128" s="90"/>
      <c r="EA128" s="90"/>
      <c r="EB128" s="90"/>
      <c r="EC128" s="90"/>
      <c r="ED128" s="90"/>
      <c r="EE128" s="90"/>
      <c r="EF128" s="90"/>
      <c r="EG128" s="90"/>
      <c r="EH128" s="90"/>
      <c r="EI128" s="90"/>
      <c r="EJ128" s="90"/>
      <c r="EK128" s="90"/>
      <c r="EL128" s="90"/>
      <c r="EM128" s="90"/>
      <c r="EN128" s="90"/>
      <c r="EO128" s="90"/>
      <c r="EP128" s="90"/>
      <c r="EQ128" s="90"/>
      <c r="ER128" s="90"/>
      <c r="ES128" s="90"/>
      <c r="ET128" s="90"/>
      <c r="EU128" s="90"/>
      <c r="EV128" s="90"/>
      <c r="EW128" s="90"/>
      <c r="EX128" s="90"/>
      <c r="EY128" s="90"/>
      <c r="EZ128" s="90"/>
      <c r="FA128" s="90"/>
      <c r="FB128" s="90"/>
      <c r="FC128" s="90"/>
      <c r="FD128" s="90"/>
      <c r="FE128" s="90"/>
      <c r="FF128" s="90"/>
      <c r="FG128" s="90"/>
      <c r="FH128" s="90"/>
      <c r="FI128" s="90"/>
      <c r="FJ128" s="90"/>
      <c r="FK128" s="90"/>
      <c r="FL128" s="90"/>
      <c r="FM128" s="90"/>
      <c r="FN128" s="90"/>
      <c r="FO128" s="90"/>
      <c r="FP128" s="90"/>
      <c r="FQ128" s="90"/>
      <c r="FR128" s="90"/>
      <c r="FS128" s="90"/>
      <c r="FT128" s="90"/>
      <c r="FU128" s="90"/>
      <c r="FV128" s="90"/>
      <c r="FW128" s="90"/>
      <c r="FX128" s="90"/>
      <c r="FY128" s="90"/>
      <c r="FZ128" s="90"/>
      <c r="GA128" s="90"/>
      <c r="GB128" s="90"/>
      <c r="GC128" s="90"/>
      <c r="GD128" s="90"/>
      <c r="GE128" s="90"/>
      <c r="GF128" s="90"/>
      <c r="GG128" s="90"/>
      <c r="GH128" s="90"/>
      <c r="GI128" s="90"/>
      <c r="GJ128" s="90"/>
      <c r="GK128" s="90"/>
      <c r="GL128" s="90"/>
      <c r="GM128" s="90"/>
      <c r="GN128" s="90"/>
      <c r="GO128" s="90"/>
      <c r="GP128" s="90"/>
      <c r="GQ128" s="90"/>
      <c r="GR128" s="90"/>
      <c r="GS128" s="90"/>
      <c r="GT128" s="90"/>
      <c r="GU128" s="90"/>
      <c r="GV128" s="90"/>
      <c r="GW128" s="90"/>
      <c r="GX128" s="90"/>
      <c r="GY128" s="90"/>
      <c r="GZ128" s="90"/>
      <c r="HA128" s="90"/>
      <c r="HB128" s="90"/>
      <c r="HC128" s="90"/>
      <c r="HD128" s="90"/>
      <c r="HE128" s="90"/>
      <c r="HF128" s="90"/>
      <c r="HG128" s="90"/>
      <c r="HH128" s="90"/>
      <c r="HI128" s="90"/>
      <c r="HJ128" s="90"/>
      <c r="HK128" s="90"/>
      <c r="HL128" s="90"/>
      <c r="HM128" s="90"/>
      <c r="HN128" s="90"/>
      <c r="HO128" s="90"/>
      <c r="HP128" s="90"/>
      <c r="HQ128" s="90"/>
      <c r="HR128" s="90"/>
      <c r="HS128" s="90"/>
      <c r="HT128" s="90"/>
      <c r="HU128" s="90"/>
      <c r="HV128" s="90"/>
      <c r="HW128" s="90"/>
      <c r="HX128" s="90"/>
      <c r="HY128" s="90"/>
      <c r="HZ128" s="90"/>
      <c r="IA128" s="90"/>
      <c r="IB128" s="90"/>
      <c r="IC128" s="90"/>
      <c r="ID128" s="90"/>
      <c r="IE128" s="90"/>
      <c r="IF128" s="90"/>
      <c r="IG128" s="90"/>
      <c r="IH128" s="90"/>
      <c r="II128" s="90"/>
      <c r="IJ128" s="90"/>
      <c r="IK128" s="90"/>
      <c r="IL128" s="90"/>
      <c r="IM128" s="90"/>
      <c r="IN128" s="90"/>
      <c r="IO128" s="90"/>
      <c r="IP128" s="90"/>
      <c r="IQ128" s="90"/>
      <c r="IR128" s="90"/>
      <c r="IS128" s="90"/>
      <c r="IT128" s="90"/>
      <c r="IU128" s="90"/>
      <c r="IV128" s="90"/>
      <c r="IW128" s="90"/>
    </row>
    <row r="129" customFormat="false" ht="12.75" hidden="false" customHeight="false" outlineLevel="0" collapsed="false">
      <c r="A129" s="90"/>
      <c r="B129" s="69" t="s">
        <v>187</v>
      </c>
      <c r="C129" s="91" t="s">
        <v>356</v>
      </c>
      <c r="D129" s="91" t="s">
        <v>357</v>
      </c>
      <c r="E129" s="92" t="n">
        <v>36557</v>
      </c>
      <c r="F129" s="92" t="n">
        <v>36585</v>
      </c>
      <c r="G129" s="69" t="s">
        <v>358</v>
      </c>
      <c r="H129" s="69" t="s">
        <v>359</v>
      </c>
      <c r="I129" s="91" t="s">
        <v>345</v>
      </c>
      <c r="J129" s="93" t="n">
        <v>0.0729</v>
      </c>
      <c r="K129" s="94" t="n">
        <v>0.009</v>
      </c>
      <c r="L129" s="94" t="n">
        <v>0.0022</v>
      </c>
      <c r="M129" s="94" t="n">
        <v>0.0072</v>
      </c>
      <c r="N129" s="94" t="n">
        <v>0</v>
      </c>
      <c r="O129" s="95" t="n">
        <v>0</v>
      </c>
      <c r="P129" s="94" t="n">
        <f aca="false">SUM(J129:N129)</f>
        <v>0.0913</v>
      </c>
      <c r="Q129" s="96" t="n">
        <v>32689</v>
      </c>
      <c r="R129" s="96" t="n">
        <v>32358</v>
      </c>
      <c r="S129" s="91" t="n">
        <v>761</v>
      </c>
      <c r="T129" s="69" t="s">
        <v>346</v>
      </c>
      <c r="U129" s="97" t="n">
        <f aca="false">J129*J$1*S129</f>
        <v>1719.7839</v>
      </c>
      <c r="V129" s="97"/>
      <c r="W129" s="98" t="n">
        <v>206605</v>
      </c>
      <c r="X129" s="98" t="n">
        <v>157203</v>
      </c>
      <c r="Y129" s="69" t="s">
        <v>351</v>
      </c>
      <c r="Z129" s="99"/>
      <c r="AA129" s="99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0"/>
      <c r="DA129" s="90"/>
      <c r="DB129" s="90"/>
      <c r="DC129" s="90"/>
      <c r="DD129" s="90"/>
      <c r="DE129" s="90"/>
      <c r="DF129" s="90"/>
      <c r="DG129" s="90"/>
      <c r="DH129" s="90"/>
      <c r="DI129" s="90"/>
      <c r="DJ129" s="90"/>
      <c r="DK129" s="90"/>
      <c r="DL129" s="90"/>
      <c r="DM129" s="90"/>
      <c r="DN129" s="90"/>
      <c r="DO129" s="90"/>
      <c r="DP129" s="90"/>
      <c r="DQ129" s="90"/>
      <c r="DR129" s="90"/>
      <c r="DS129" s="90"/>
      <c r="DT129" s="90"/>
      <c r="DU129" s="90"/>
      <c r="DV129" s="90"/>
      <c r="DW129" s="90"/>
      <c r="DX129" s="90"/>
      <c r="DY129" s="90"/>
      <c r="DZ129" s="90"/>
      <c r="EA129" s="90"/>
      <c r="EB129" s="90"/>
      <c r="EC129" s="90"/>
      <c r="ED129" s="90"/>
      <c r="EE129" s="90"/>
      <c r="EF129" s="90"/>
      <c r="EG129" s="90"/>
      <c r="EH129" s="90"/>
      <c r="EI129" s="90"/>
      <c r="EJ129" s="90"/>
      <c r="EK129" s="90"/>
      <c r="EL129" s="90"/>
      <c r="EM129" s="90"/>
      <c r="EN129" s="90"/>
      <c r="EO129" s="90"/>
      <c r="EP129" s="90"/>
      <c r="EQ129" s="90"/>
      <c r="ER129" s="90"/>
      <c r="ES129" s="90"/>
      <c r="ET129" s="90"/>
      <c r="EU129" s="90"/>
      <c r="EV129" s="90"/>
      <c r="EW129" s="90"/>
      <c r="EX129" s="90"/>
      <c r="EY129" s="90"/>
      <c r="EZ129" s="90"/>
      <c r="FA129" s="90"/>
      <c r="FB129" s="90"/>
      <c r="FC129" s="90"/>
      <c r="FD129" s="90"/>
      <c r="FE129" s="90"/>
      <c r="FF129" s="90"/>
      <c r="FG129" s="90"/>
      <c r="FH129" s="90"/>
      <c r="FI129" s="90"/>
      <c r="FJ129" s="90"/>
      <c r="FK129" s="90"/>
      <c r="FL129" s="90"/>
      <c r="FM129" s="90"/>
      <c r="FN129" s="90"/>
      <c r="FO129" s="90"/>
      <c r="FP129" s="90"/>
      <c r="FQ129" s="90"/>
      <c r="FR129" s="90"/>
      <c r="FS129" s="90"/>
      <c r="FT129" s="90"/>
      <c r="FU129" s="90"/>
      <c r="FV129" s="90"/>
      <c r="FW129" s="90"/>
      <c r="FX129" s="90"/>
      <c r="FY129" s="90"/>
      <c r="FZ129" s="90"/>
      <c r="GA129" s="90"/>
      <c r="GB129" s="90"/>
      <c r="GC129" s="90"/>
      <c r="GD129" s="90"/>
      <c r="GE129" s="90"/>
      <c r="GF129" s="90"/>
      <c r="GG129" s="90"/>
      <c r="GH129" s="90"/>
      <c r="GI129" s="90"/>
      <c r="GJ129" s="90"/>
      <c r="GK129" s="90"/>
      <c r="GL129" s="90"/>
      <c r="GM129" s="90"/>
      <c r="GN129" s="90"/>
      <c r="GO129" s="90"/>
      <c r="GP129" s="90"/>
      <c r="GQ129" s="90"/>
      <c r="GR129" s="90"/>
      <c r="GS129" s="90"/>
      <c r="GT129" s="90"/>
      <c r="GU129" s="90"/>
      <c r="GV129" s="90"/>
      <c r="GW129" s="90"/>
      <c r="GX129" s="90"/>
      <c r="GY129" s="90"/>
      <c r="GZ129" s="90"/>
      <c r="HA129" s="90"/>
      <c r="HB129" s="90"/>
      <c r="HC129" s="90"/>
      <c r="HD129" s="90"/>
      <c r="HE129" s="90"/>
      <c r="HF129" s="90"/>
      <c r="HG129" s="90"/>
      <c r="HH129" s="90"/>
      <c r="HI129" s="90"/>
      <c r="HJ129" s="90"/>
      <c r="HK129" s="90"/>
      <c r="HL129" s="90"/>
      <c r="HM129" s="90"/>
      <c r="HN129" s="90"/>
      <c r="HO129" s="90"/>
      <c r="HP129" s="90"/>
      <c r="HQ129" s="90"/>
      <c r="HR129" s="90"/>
      <c r="HS129" s="90"/>
      <c r="HT129" s="90"/>
      <c r="HU129" s="90"/>
      <c r="HV129" s="90"/>
      <c r="HW129" s="90"/>
      <c r="HX129" s="90"/>
      <c r="HY129" s="90"/>
      <c r="HZ129" s="90"/>
      <c r="IA129" s="90"/>
      <c r="IB129" s="90"/>
      <c r="IC129" s="90"/>
      <c r="ID129" s="90"/>
      <c r="IE129" s="90"/>
      <c r="IF129" s="90"/>
      <c r="IG129" s="90"/>
      <c r="IH129" s="90"/>
      <c r="II129" s="90"/>
      <c r="IJ129" s="90"/>
      <c r="IK129" s="90"/>
      <c r="IL129" s="90"/>
      <c r="IM129" s="90"/>
      <c r="IN129" s="90"/>
      <c r="IO129" s="90"/>
      <c r="IP129" s="90"/>
      <c r="IQ129" s="90"/>
      <c r="IR129" s="90"/>
      <c r="IS129" s="90"/>
      <c r="IT129" s="90"/>
      <c r="IU129" s="90"/>
      <c r="IV129" s="90"/>
      <c r="IW129" s="90"/>
    </row>
    <row r="130" customFormat="false" ht="12.75" hidden="false" customHeight="false" outlineLevel="0" collapsed="false">
      <c r="A130" s="90"/>
      <c r="B130" s="69" t="s">
        <v>187</v>
      </c>
      <c r="C130" s="91" t="s">
        <v>342</v>
      </c>
      <c r="D130" s="91" t="s">
        <v>218</v>
      </c>
      <c r="E130" s="92" t="n">
        <v>36586</v>
      </c>
      <c r="F130" s="92" t="n">
        <v>36616</v>
      </c>
      <c r="G130" s="69" t="s">
        <v>360</v>
      </c>
      <c r="H130" s="69"/>
      <c r="I130" s="91" t="s">
        <v>361</v>
      </c>
      <c r="J130" s="93"/>
      <c r="K130" s="94"/>
      <c r="L130" s="94"/>
      <c r="M130" s="94"/>
      <c r="N130" s="94"/>
      <c r="O130" s="95"/>
      <c r="P130" s="94"/>
      <c r="Q130" s="96" t="n">
        <v>32585</v>
      </c>
      <c r="R130" s="96"/>
      <c r="S130" s="91" t="n">
        <v>1460</v>
      </c>
      <c r="T130" s="69"/>
      <c r="U130" s="97"/>
      <c r="V130" s="97"/>
      <c r="W130" s="98" t="n">
        <v>206968</v>
      </c>
      <c r="X130" s="98"/>
      <c r="Y130" s="69"/>
      <c r="Z130" s="99"/>
      <c r="AA130" s="99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0"/>
      <c r="DA130" s="90"/>
      <c r="DB130" s="90"/>
      <c r="DC130" s="90"/>
      <c r="DD130" s="90"/>
      <c r="DE130" s="90"/>
      <c r="DF130" s="90"/>
      <c r="DG130" s="90"/>
      <c r="DH130" s="90"/>
      <c r="DI130" s="90"/>
      <c r="DJ130" s="90"/>
      <c r="DK130" s="90"/>
      <c r="DL130" s="90"/>
      <c r="DM130" s="90"/>
      <c r="DN130" s="90"/>
      <c r="DO130" s="90"/>
      <c r="DP130" s="90"/>
      <c r="DQ130" s="90"/>
      <c r="DR130" s="90"/>
      <c r="DS130" s="90"/>
      <c r="DT130" s="90"/>
      <c r="DU130" s="90"/>
      <c r="DV130" s="90"/>
      <c r="DW130" s="90"/>
      <c r="DX130" s="90"/>
      <c r="DY130" s="90"/>
      <c r="DZ130" s="90"/>
      <c r="EA130" s="90"/>
      <c r="EB130" s="90"/>
      <c r="EC130" s="90"/>
      <c r="ED130" s="90"/>
      <c r="EE130" s="90"/>
      <c r="EF130" s="90"/>
      <c r="EG130" s="90"/>
      <c r="EH130" s="90"/>
      <c r="EI130" s="90"/>
      <c r="EJ130" s="90"/>
      <c r="EK130" s="90"/>
      <c r="EL130" s="90"/>
      <c r="EM130" s="90"/>
      <c r="EN130" s="90"/>
      <c r="EO130" s="90"/>
      <c r="EP130" s="90"/>
      <c r="EQ130" s="90"/>
      <c r="ER130" s="90"/>
      <c r="ES130" s="90"/>
      <c r="ET130" s="90"/>
      <c r="EU130" s="90"/>
      <c r="EV130" s="90"/>
      <c r="EW130" s="90"/>
      <c r="EX130" s="90"/>
      <c r="EY130" s="90"/>
      <c r="EZ130" s="90"/>
      <c r="FA130" s="90"/>
      <c r="FB130" s="90"/>
      <c r="FC130" s="90"/>
      <c r="FD130" s="90"/>
      <c r="FE130" s="90"/>
      <c r="FF130" s="90"/>
      <c r="FG130" s="90"/>
      <c r="FH130" s="90"/>
      <c r="FI130" s="90"/>
      <c r="FJ130" s="90"/>
      <c r="FK130" s="90"/>
      <c r="FL130" s="90"/>
      <c r="FM130" s="90"/>
      <c r="FN130" s="90"/>
      <c r="FO130" s="90"/>
      <c r="FP130" s="90"/>
      <c r="FQ130" s="90"/>
      <c r="FR130" s="90"/>
      <c r="FS130" s="90"/>
      <c r="FT130" s="90"/>
      <c r="FU130" s="90"/>
      <c r="FV130" s="90"/>
      <c r="FW130" s="90"/>
      <c r="FX130" s="90"/>
      <c r="FY130" s="90"/>
      <c r="FZ130" s="90"/>
      <c r="GA130" s="90"/>
      <c r="GB130" s="90"/>
      <c r="GC130" s="90"/>
      <c r="GD130" s="90"/>
      <c r="GE130" s="90"/>
      <c r="GF130" s="90"/>
      <c r="GG130" s="90"/>
      <c r="GH130" s="90"/>
      <c r="GI130" s="90"/>
      <c r="GJ130" s="90"/>
      <c r="GK130" s="90"/>
      <c r="GL130" s="90"/>
      <c r="GM130" s="90"/>
      <c r="GN130" s="90"/>
      <c r="GO130" s="90"/>
      <c r="GP130" s="90"/>
      <c r="GQ130" s="90"/>
      <c r="GR130" s="90"/>
      <c r="GS130" s="90"/>
      <c r="GT130" s="90"/>
      <c r="GU130" s="90"/>
      <c r="GV130" s="90"/>
      <c r="GW130" s="90"/>
      <c r="GX130" s="90"/>
      <c r="GY130" s="90"/>
      <c r="GZ130" s="90"/>
      <c r="HA130" s="90"/>
      <c r="HB130" s="90"/>
      <c r="HC130" s="90"/>
      <c r="HD130" s="90"/>
      <c r="HE130" s="90"/>
      <c r="HF130" s="90"/>
      <c r="HG130" s="90"/>
      <c r="HH130" s="90"/>
      <c r="HI130" s="90"/>
      <c r="HJ130" s="90"/>
      <c r="HK130" s="90"/>
      <c r="HL130" s="90"/>
      <c r="HM130" s="90"/>
      <c r="HN130" s="90"/>
      <c r="HO130" s="90"/>
      <c r="HP130" s="90"/>
      <c r="HQ130" s="90"/>
      <c r="HR130" s="90"/>
      <c r="HS130" s="90"/>
      <c r="HT130" s="90"/>
      <c r="HU130" s="90"/>
      <c r="HV130" s="90"/>
      <c r="HW130" s="90"/>
      <c r="HX130" s="90"/>
      <c r="HY130" s="90"/>
      <c r="HZ130" s="90"/>
      <c r="IA130" s="90"/>
      <c r="IB130" s="90"/>
      <c r="IC130" s="90"/>
      <c r="ID130" s="90"/>
      <c r="IE130" s="90"/>
      <c r="IF130" s="90"/>
      <c r="IG130" s="90"/>
      <c r="IH130" s="90"/>
      <c r="II130" s="90"/>
      <c r="IJ130" s="90"/>
      <c r="IK130" s="90"/>
      <c r="IL130" s="90"/>
      <c r="IM130" s="90"/>
      <c r="IN130" s="90"/>
      <c r="IO130" s="90"/>
      <c r="IP130" s="90"/>
      <c r="IQ130" s="90"/>
      <c r="IR130" s="90"/>
      <c r="IS130" s="90"/>
      <c r="IT130" s="90"/>
      <c r="IU130" s="90"/>
      <c r="IV130" s="90"/>
      <c r="IW130" s="90"/>
    </row>
    <row r="131" customFormat="false" ht="12.75" hidden="false" customHeight="false" outlineLevel="0" collapsed="false">
      <c r="A131" s="90"/>
      <c r="B131" s="69" t="s">
        <v>187</v>
      </c>
      <c r="C131" s="91" t="s">
        <v>362</v>
      </c>
      <c r="D131" s="91" t="s">
        <v>218</v>
      </c>
      <c r="E131" s="92" t="n">
        <v>36586</v>
      </c>
      <c r="F131" s="92" t="n">
        <v>36616</v>
      </c>
      <c r="G131" s="69" t="s">
        <v>363</v>
      </c>
      <c r="H131" s="69"/>
      <c r="I131" s="91" t="s">
        <v>364</v>
      </c>
      <c r="J131" s="93" t="n">
        <v>0.0187</v>
      </c>
      <c r="K131" s="94"/>
      <c r="L131" s="94"/>
      <c r="M131" s="94"/>
      <c r="N131" s="94"/>
      <c r="O131" s="95"/>
      <c r="P131" s="94"/>
      <c r="Q131" s="96" t="n">
        <v>32607</v>
      </c>
      <c r="R131" s="96"/>
      <c r="S131" s="118" t="n">
        <v>78000</v>
      </c>
      <c r="T131" s="69"/>
      <c r="U131" s="97" t="n">
        <f aca="false">+S131*J131</f>
        <v>1458.6</v>
      </c>
      <c r="V131" s="97"/>
      <c r="W131" s="98" t="n">
        <v>206973</v>
      </c>
      <c r="X131" s="98"/>
      <c r="Y131" s="69"/>
      <c r="Z131" s="99"/>
      <c r="AA131" s="99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  <c r="DE131" s="90"/>
      <c r="DF131" s="90"/>
      <c r="DG131" s="90"/>
      <c r="DH131" s="90"/>
      <c r="DI131" s="90"/>
      <c r="DJ131" s="90"/>
      <c r="DK131" s="90"/>
      <c r="DL131" s="90"/>
      <c r="DM131" s="90"/>
      <c r="DN131" s="90"/>
      <c r="DO131" s="90"/>
      <c r="DP131" s="90"/>
      <c r="DQ131" s="90"/>
      <c r="DR131" s="90"/>
      <c r="DS131" s="90"/>
      <c r="DT131" s="90"/>
      <c r="DU131" s="90"/>
      <c r="DV131" s="90"/>
      <c r="DW131" s="90"/>
      <c r="DX131" s="90"/>
      <c r="DY131" s="90"/>
      <c r="DZ131" s="90"/>
      <c r="EA131" s="90"/>
      <c r="EB131" s="90"/>
      <c r="EC131" s="90"/>
      <c r="ED131" s="90"/>
      <c r="EE131" s="90"/>
      <c r="EF131" s="90"/>
      <c r="EG131" s="90"/>
      <c r="EH131" s="90"/>
      <c r="EI131" s="90"/>
      <c r="EJ131" s="90"/>
      <c r="EK131" s="90"/>
      <c r="EL131" s="90"/>
      <c r="EM131" s="90"/>
      <c r="EN131" s="90"/>
      <c r="EO131" s="90"/>
      <c r="EP131" s="90"/>
      <c r="EQ131" s="90"/>
      <c r="ER131" s="90"/>
      <c r="ES131" s="90"/>
      <c r="ET131" s="90"/>
      <c r="EU131" s="90"/>
      <c r="EV131" s="90"/>
      <c r="EW131" s="90"/>
      <c r="EX131" s="90"/>
      <c r="EY131" s="90"/>
      <c r="EZ131" s="90"/>
      <c r="FA131" s="90"/>
      <c r="FB131" s="90"/>
      <c r="FC131" s="90"/>
      <c r="FD131" s="90"/>
      <c r="FE131" s="90"/>
      <c r="FF131" s="90"/>
      <c r="FG131" s="90"/>
      <c r="FH131" s="90"/>
      <c r="FI131" s="90"/>
      <c r="FJ131" s="90"/>
      <c r="FK131" s="90"/>
      <c r="FL131" s="90"/>
      <c r="FM131" s="90"/>
      <c r="FN131" s="90"/>
      <c r="FO131" s="90"/>
      <c r="FP131" s="90"/>
      <c r="FQ131" s="90"/>
      <c r="FR131" s="90"/>
      <c r="FS131" s="90"/>
      <c r="FT131" s="90"/>
      <c r="FU131" s="90"/>
      <c r="FV131" s="90"/>
      <c r="FW131" s="90"/>
      <c r="FX131" s="90"/>
      <c r="FY131" s="90"/>
      <c r="FZ131" s="90"/>
      <c r="GA131" s="90"/>
      <c r="GB131" s="90"/>
      <c r="GC131" s="90"/>
      <c r="GD131" s="90"/>
      <c r="GE131" s="90"/>
      <c r="GF131" s="90"/>
      <c r="GG131" s="90"/>
      <c r="GH131" s="90"/>
      <c r="GI131" s="90"/>
      <c r="GJ131" s="90"/>
      <c r="GK131" s="90"/>
      <c r="GL131" s="90"/>
      <c r="GM131" s="90"/>
      <c r="GN131" s="90"/>
      <c r="GO131" s="90"/>
      <c r="GP131" s="90"/>
      <c r="GQ131" s="90"/>
      <c r="GR131" s="90"/>
      <c r="GS131" s="90"/>
      <c r="GT131" s="90"/>
      <c r="GU131" s="90"/>
      <c r="GV131" s="90"/>
      <c r="GW131" s="90"/>
      <c r="GX131" s="90"/>
      <c r="GY131" s="90"/>
      <c r="GZ131" s="90"/>
      <c r="HA131" s="90"/>
      <c r="HB131" s="90"/>
      <c r="HC131" s="90"/>
      <c r="HD131" s="90"/>
      <c r="HE131" s="90"/>
      <c r="HF131" s="90"/>
      <c r="HG131" s="90"/>
      <c r="HH131" s="90"/>
      <c r="HI131" s="90"/>
      <c r="HJ131" s="90"/>
      <c r="HK131" s="90"/>
      <c r="HL131" s="90"/>
      <c r="HM131" s="90"/>
      <c r="HN131" s="90"/>
      <c r="HO131" s="90"/>
      <c r="HP131" s="90"/>
      <c r="HQ131" s="90"/>
      <c r="HR131" s="90"/>
      <c r="HS131" s="90"/>
      <c r="HT131" s="90"/>
      <c r="HU131" s="90"/>
      <c r="HV131" s="90"/>
      <c r="HW131" s="90"/>
      <c r="HX131" s="90"/>
      <c r="HY131" s="90"/>
      <c r="HZ131" s="90"/>
      <c r="IA131" s="90"/>
      <c r="IB131" s="90"/>
      <c r="IC131" s="90"/>
      <c r="ID131" s="90"/>
      <c r="IE131" s="90"/>
      <c r="IF131" s="90"/>
      <c r="IG131" s="90"/>
      <c r="IH131" s="90"/>
      <c r="II131" s="90"/>
      <c r="IJ131" s="90"/>
      <c r="IK131" s="90"/>
      <c r="IL131" s="90"/>
      <c r="IM131" s="90"/>
      <c r="IN131" s="90"/>
      <c r="IO131" s="90"/>
      <c r="IP131" s="90"/>
      <c r="IQ131" s="90"/>
      <c r="IR131" s="90"/>
      <c r="IS131" s="90"/>
      <c r="IT131" s="90"/>
      <c r="IU131" s="90"/>
      <c r="IV131" s="90"/>
      <c r="IW131" s="90"/>
    </row>
    <row r="132" customFormat="false" ht="12.75" hidden="false" customHeight="false" outlineLevel="0" collapsed="false">
      <c r="A132" s="90"/>
      <c r="B132" s="69" t="s">
        <v>187</v>
      </c>
      <c r="C132" s="91" t="s">
        <v>362</v>
      </c>
      <c r="D132" s="91" t="s">
        <v>218</v>
      </c>
      <c r="E132" s="92" t="n">
        <v>36586</v>
      </c>
      <c r="F132" s="92" t="n">
        <v>36616</v>
      </c>
      <c r="G132" s="69" t="s">
        <v>363</v>
      </c>
      <c r="H132" s="69"/>
      <c r="I132" s="91" t="s">
        <v>364</v>
      </c>
      <c r="J132" s="93" t="n">
        <v>1.17</v>
      </c>
      <c r="K132" s="94"/>
      <c r="L132" s="94"/>
      <c r="M132" s="94"/>
      <c r="N132" s="94"/>
      <c r="O132" s="95"/>
      <c r="P132" s="94"/>
      <c r="Q132" s="96" t="n">
        <v>32607</v>
      </c>
      <c r="R132" s="96"/>
      <c r="S132" s="91" t="n">
        <v>571</v>
      </c>
      <c r="T132" s="69"/>
      <c r="U132" s="97" t="n">
        <f aca="false">+S132*J132</f>
        <v>668.07</v>
      </c>
      <c r="V132" s="97"/>
      <c r="W132" s="98" t="n">
        <v>206973</v>
      </c>
      <c r="X132" s="98"/>
      <c r="Y132" s="69"/>
      <c r="Z132" s="99"/>
      <c r="AA132" s="99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0"/>
      <c r="DE132" s="90"/>
      <c r="DF132" s="90"/>
      <c r="DG132" s="90"/>
      <c r="DH132" s="90"/>
      <c r="DI132" s="90"/>
      <c r="DJ132" s="90"/>
      <c r="DK132" s="90"/>
      <c r="DL132" s="90"/>
      <c r="DM132" s="90"/>
      <c r="DN132" s="90"/>
      <c r="DO132" s="90"/>
      <c r="DP132" s="90"/>
      <c r="DQ132" s="90"/>
      <c r="DR132" s="90"/>
      <c r="DS132" s="90"/>
      <c r="DT132" s="90"/>
      <c r="DU132" s="90"/>
      <c r="DV132" s="90"/>
      <c r="DW132" s="90"/>
      <c r="DX132" s="90"/>
      <c r="DY132" s="90"/>
      <c r="DZ132" s="90"/>
      <c r="EA132" s="90"/>
      <c r="EB132" s="90"/>
      <c r="EC132" s="90"/>
      <c r="ED132" s="90"/>
      <c r="EE132" s="90"/>
      <c r="EF132" s="90"/>
      <c r="EG132" s="90"/>
      <c r="EH132" s="90"/>
      <c r="EI132" s="90"/>
      <c r="EJ132" s="90"/>
      <c r="EK132" s="90"/>
      <c r="EL132" s="90"/>
      <c r="EM132" s="90"/>
      <c r="EN132" s="90"/>
      <c r="EO132" s="90"/>
      <c r="EP132" s="90"/>
      <c r="EQ132" s="90"/>
      <c r="ER132" s="90"/>
      <c r="ES132" s="90"/>
      <c r="ET132" s="90"/>
      <c r="EU132" s="90"/>
      <c r="EV132" s="90"/>
      <c r="EW132" s="90"/>
      <c r="EX132" s="90"/>
      <c r="EY132" s="90"/>
      <c r="EZ132" s="90"/>
      <c r="FA132" s="90"/>
      <c r="FB132" s="90"/>
      <c r="FC132" s="90"/>
      <c r="FD132" s="90"/>
      <c r="FE132" s="90"/>
      <c r="FF132" s="90"/>
      <c r="FG132" s="90"/>
      <c r="FH132" s="90"/>
      <c r="FI132" s="90"/>
      <c r="FJ132" s="90"/>
      <c r="FK132" s="90"/>
      <c r="FL132" s="90"/>
      <c r="FM132" s="90"/>
      <c r="FN132" s="90"/>
      <c r="FO132" s="90"/>
      <c r="FP132" s="90"/>
      <c r="FQ132" s="90"/>
      <c r="FR132" s="90"/>
      <c r="FS132" s="90"/>
      <c r="FT132" s="90"/>
      <c r="FU132" s="90"/>
      <c r="FV132" s="90"/>
      <c r="FW132" s="90"/>
      <c r="FX132" s="90"/>
      <c r="FY132" s="90"/>
      <c r="FZ132" s="90"/>
      <c r="GA132" s="90"/>
      <c r="GB132" s="90"/>
      <c r="GC132" s="90"/>
      <c r="GD132" s="90"/>
      <c r="GE132" s="90"/>
      <c r="GF132" s="90"/>
      <c r="GG132" s="90"/>
      <c r="GH132" s="90"/>
      <c r="GI132" s="90"/>
      <c r="GJ132" s="90"/>
      <c r="GK132" s="90"/>
      <c r="GL132" s="90"/>
      <c r="GM132" s="90"/>
      <c r="GN132" s="90"/>
      <c r="GO132" s="90"/>
      <c r="GP132" s="90"/>
      <c r="GQ132" s="90"/>
      <c r="GR132" s="90"/>
      <c r="GS132" s="90"/>
      <c r="GT132" s="90"/>
      <c r="GU132" s="90"/>
      <c r="GV132" s="90"/>
      <c r="GW132" s="90"/>
      <c r="GX132" s="90"/>
      <c r="GY132" s="90"/>
      <c r="GZ132" s="90"/>
      <c r="HA132" s="90"/>
      <c r="HB132" s="90"/>
      <c r="HC132" s="90"/>
      <c r="HD132" s="90"/>
      <c r="HE132" s="90"/>
      <c r="HF132" s="90"/>
      <c r="HG132" s="90"/>
      <c r="HH132" s="90"/>
      <c r="HI132" s="90"/>
      <c r="HJ132" s="90"/>
      <c r="HK132" s="90"/>
      <c r="HL132" s="90"/>
      <c r="HM132" s="90"/>
      <c r="HN132" s="90"/>
      <c r="HO132" s="90"/>
      <c r="HP132" s="90"/>
      <c r="HQ132" s="90"/>
      <c r="HR132" s="90"/>
      <c r="HS132" s="90"/>
      <c r="HT132" s="90"/>
      <c r="HU132" s="90"/>
      <c r="HV132" s="90"/>
      <c r="HW132" s="90"/>
      <c r="HX132" s="90"/>
      <c r="HY132" s="90"/>
      <c r="HZ132" s="90"/>
      <c r="IA132" s="90"/>
      <c r="IB132" s="90"/>
      <c r="IC132" s="90"/>
      <c r="ID132" s="90"/>
      <c r="IE132" s="90"/>
      <c r="IF132" s="90"/>
      <c r="IG132" s="90"/>
      <c r="IH132" s="90"/>
      <c r="II132" s="90"/>
      <c r="IJ132" s="90"/>
      <c r="IK132" s="90"/>
      <c r="IL132" s="90"/>
      <c r="IM132" s="90"/>
      <c r="IN132" s="90"/>
      <c r="IO132" s="90"/>
      <c r="IP132" s="90"/>
      <c r="IQ132" s="90"/>
      <c r="IR132" s="90"/>
      <c r="IS132" s="90"/>
      <c r="IT132" s="90"/>
      <c r="IU132" s="90"/>
      <c r="IV132" s="90"/>
      <c r="IW132" s="90"/>
    </row>
    <row r="133" customFormat="false" ht="12.75" hidden="false" customHeight="false" outlineLevel="0" collapsed="false">
      <c r="A133" s="8" t="s">
        <v>341</v>
      </c>
      <c r="B133" s="69" t="s">
        <v>187</v>
      </c>
      <c r="C133" s="91" t="s">
        <v>342</v>
      </c>
      <c r="D133" s="91" t="s">
        <v>357</v>
      </c>
      <c r="E133" s="92" t="n">
        <v>36586</v>
      </c>
      <c r="F133" s="92" t="n">
        <v>36616</v>
      </c>
      <c r="G133" s="69" t="s">
        <v>45</v>
      </c>
      <c r="H133" s="69" t="s">
        <v>358</v>
      </c>
      <c r="I133" s="91" t="s">
        <v>365</v>
      </c>
      <c r="J133" s="93" t="n">
        <v>0</v>
      </c>
      <c r="K133" s="94"/>
      <c r="L133" s="129"/>
      <c r="M133" s="94"/>
      <c r="N133" s="94"/>
      <c r="O133" s="95"/>
      <c r="P133" s="94"/>
      <c r="Q133" s="96" t="n">
        <v>32645</v>
      </c>
      <c r="R133" s="96" t="n">
        <v>32067</v>
      </c>
      <c r="S133" s="91" t="n">
        <v>769</v>
      </c>
      <c r="T133" s="91"/>
      <c r="U133" s="97"/>
      <c r="V133" s="97"/>
      <c r="W133" s="98" t="n">
        <v>204715</v>
      </c>
      <c r="X133" s="98" t="n">
        <v>157207</v>
      </c>
      <c r="Y133" s="69" t="s">
        <v>351</v>
      </c>
      <c r="Z133" s="89"/>
      <c r="AA133" s="89"/>
    </row>
    <row r="134" customFormat="false" ht="12.75" hidden="false" customHeight="false" outlineLevel="0" collapsed="false">
      <c r="B134" s="58"/>
      <c r="C134" s="56"/>
      <c r="D134" s="56"/>
      <c r="E134" s="57"/>
      <c r="F134" s="57"/>
      <c r="G134" s="58"/>
      <c r="H134" s="58"/>
      <c r="I134" s="56"/>
      <c r="J134" s="72"/>
      <c r="K134" s="61"/>
      <c r="L134" s="128"/>
      <c r="M134" s="61"/>
      <c r="N134" s="61"/>
      <c r="O134" s="62"/>
      <c r="P134" s="61"/>
      <c r="Q134" s="63"/>
      <c r="R134" s="63"/>
      <c r="S134" s="64"/>
      <c r="T134" s="56"/>
      <c r="U134" s="101"/>
      <c r="V134" s="101"/>
      <c r="W134" s="102"/>
      <c r="X134" s="102"/>
      <c r="Y134" s="58"/>
      <c r="Z134" s="89"/>
      <c r="AA134" s="89"/>
    </row>
    <row r="135" customFormat="false" ht="12.75" hidden="false" customHeight="false" outlineLevel="0" collapsed="false">
      <c r="B135" s="58"/>
      <c r="C135" s="56"/>
      <c r="D135" s="56"/>
      <c r="E135" s="57"/>
      <c r="F135" s="57"/>
      <c r="G135" s="58"/>
      <c r="H135" s="58"/>
      <c r="I135" s="56"/>
      <c r="J135" s="72"/>
      <c r="K135" s="61"/>
      <c r="L135" s="128"/>
      <c r="M135" s="61"/>
      <c r="N135" s="61"/>
      <c r="O135" s="130"/>
      <c r="P135" s="61"/>
      <c r="Q135" s="63"/>
      <c r="R135" s="63"/>
      <c r="S135" s="56"/>
      <c r="T135" s="56"/>
      <c r="U135" s="131" t="n">
        <f aca="false">SUM(U123:U134)</f>
        <v>87539.7624</v>
      </c>
      <c r="Y135" s="58"/>
      <c r="Z135" s="132"/>
      <c r="AA135" s="132"/>
    </row>
    <row r="136" customFormat="false" ht="12.75" hidden="false" customHeight="false" outlineLevel="0" collapsed="false">
      <c r="B136" s="80" t="s">
        <v>145</v>
      </c>
      <c r="C136" s="81" t="s">
        <v>146</v>
      </c>
      <c r="D136" s="81" t="s">
        <v>220</v>
      </c>
      <c r="E136" s="82" t="s">
        <v>148</v>
      </c>
      <c r="F136" s="82"/>
      <c r="G136" s="80" t="s">
        <v>149</v>
      </c>
      <c r="H136" s="80" t="s">
        <v>150</v>
      </c>
      <c r="I136" s="81" t="s">
        <v>151</v>
      </c>
      <c r="J136" s="83" t="s">
        <v>152</v>
      </c>
      <c r="K136" s="81" t="s">
        <v>153</v>
      </c>
      <c r="L136" s="81" t="s">
        <v>154</v>
      </c>
      <c r="M136" s="81" t="s">
        <v>155</v>
      </c>
      <c r="N136" s="81" t="s">
        <v>156</v>
      </c>
      <c r="O136" s="84" t="s">
        <v>157</v>
      </c>
      <c r="P136" s="81" t="s">
        <v>158</v>
      </c>
      <c r="Q136" s="85" t="s">
        <v>159</v>
      </c>
      <c r="R136" s="85" t="s">
        <v>160</v>
      </c>
      <c r="S136" s="81" t="s">
        <v>161</v>
      </c>
      <c r="T136" s="80" t="s">
        <v>162</v>
      </c>
      <c r="U136" s="86" t="s">
        <v>163</v>
      </c>
      <c r="V136" s="86" t="s">
        <v>164</v>
      </c>
      <c r="W136" s="87" t="s">
        <v>165</v>
      </c>
      <c r="X136" s="87" t="s">
        <v>166</v>
      </c>
      <c r="Y136" s="88" t="n">
        <f aca="false">+Y74</f>
        <v>0</v>
      </c>
      <c r="Z136" s="89"/>
      <c r="AA136" s="89"/>
    </row>
    <row r="137" customFormat="false" ht="12.75" hidden="false" customHeight="false" outlineLevel="0" collapsed="false">
      <c r="A137" s="100"/>
      <c r="B137" s="69" t="s">
        <v>168</v>
      </c>
      <c r="C137" s="91" t="s">
        <v>366</v>
      </c>
      <c r="D137" s="91" t="s">
        <v>367</v>
      </c>
      <c r="E137" s="92" t="n">
        <v>35977</v>
      </c>
      <c r="F137" s="92" t="n">
        <v>41029</v>
      </c>
      <c r="G137" s="69" t="s">
        <v>368</v>
      </c>
      <c r="H137" s="69" t="s">
        <v>369</v>
      </c>
      <c r="I137" s="91" t="s">
        <v>370</v>
      </c>
      <c r="J137" s="93" t="n">
        <v>0</v>
      </c>
      <c r="K137" s="94" t="n">
        <v>0</v>
      </c>
      <c r="L137" s="94" t="n">
        <v>0.0022</v>
      </c>
      <c r="M137" s="94" t="n">
        <v>0</v>
      </c>
      <c r="N137" s="94" t="n">
        <v>0</v>
      </c>
      <c r="O137" s="95" t="n">
        <v>0</v>
      </c>
      <c r="P137" s="94" t="n">
        <f aca="false">SUM(J137:N137)</f>
        <v>0.0022</v>
      </c>
      <c r="Q137" s="96" t="n">
        <v>892591</v>
      </c>
      <c r="R137" s="96" t="n">
        <v>886677</v>
      </c>
      <c r="S137" s="91" t="n">
        <v>74</v>
      </c>
      <c r="T137" s="69"/>
      <c r="U137" s="97" t="n">
        <f aca="false">J137*J$1*S137</f>
        <v>0</v>
      </c>
      <c r="V137" s="97"/>
      <c r="W137" s="98"/>
      <c r="X137" s="98" t="n">
        <v>157553</v>
      </c>
      <c r="Y137" s="69" t="s">
        <v>371</v>
      </c>
      <c r="Z137" s="89"/>
      <c r="AA137" s="89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100"/>
      <c r="BS137" s="100"/>
      <c r="BT137" s="100"/>
      <c r="BU137" s="100"/>
      <c r="BV137" s="100"/>
      <c r="BW137" s="100"/>
      <c r="BX137" s="100"/>
      <c r="BY137" s="100"/>
      <c r="BZ137" s="100"/>
      <c r="CA137" s="100"/>
      <c r="CB137" s="100"/>
      <c r="CC137" s="100"/>
      <c r="CD137" s="100"/>
      <c r="CE137" s="100"/>
      <c r="CF137" s="100"/>
      <c r="CG137" s="100"/>
      <c r="CH137" s="100"/>
      <c r="CI137" s="100"/>
      <c r="CJ137" s="100"/>
      <c r="CK137" s="100"/>
      <c r="CL137" s="100"/>
      <c r="CM137" s="100"/>
      <c r="CN137" s="100"/>
      <c r="CO137" s="100"/>
      <c r="CP137" s="100"/>
      <c r="CQ137" s="100"/>
      <c r="CR137" s="100"/>
      <c r="CS137" s="100"/>
      <c r="CT137" s="100"/>
      <c r="CU137" s="100"/>
      <c r="CV137" s="100"/>
      <c r="CW137" s="100"/>
      <c r="CX137" s="100"/>
      <c r="CY137" s="100"/>
      <c r="CZ137" s="100"/>
      <c r="DA137" s="100"/>
      <c r="DB137" s="100"/>
      <c r="DC137" s="100"/>
      <c r="DD137" s="100"/>
      <c r="DE137" s="100"/>
      <c r="DF137" s="100"/>
      <c r="DG137" s="100"/>
      <c r="DH137" s="100"/>
      <c r="DI137" s="100"/>
      <c r="DJ137" s="100"/>
      <c r="DK137" s="100"/>
      <c r="DL137" s="100"/>
      <c r="DM137" s="100"/>
      <c r="DN137" s="100"/>
      <c r="DO137" s="100"/>
      <c r="DP137" s="100"/>
      <c r="DQ137" s="100"/>
      <c r="DR137" s="100"/>
      <c r="DS137" s="100"/>
      <c r="DT137" s="100"/>
      <c r="DU137" s="100"/>
      <c r="DV137" s="100"/>
      <c r="DW137" s="100"/>
      <c r="DX137" s="100"/>
      <c r="DY137" s="100"/>
      <c r="DZ137" s="100"/>
      <c r="EA137" s="100"/>
      <c r="EB137" s="100"/>
      <c r="EC137" s="100"/>
      <c r="ED137" s="100"/>
      <c r="EE137" s="100"/>
      <c r="EF137" s="100"/>
      <c r="EG137" s="100"/>
      <c r="EH137" s="100"/>
      <c r="EI137" s="100"/>
      <c r="EJ137" s="100"/>
      <c r="EK137" s="100"/>
      <c r="EL137" s="100"/>
      <c r="EM137" s="100"/>
      <c r="EN137" s="100"/>
      <c r="EO137" s="100"/>
      <c r="EP137" s="100"/>
      <c r="EQ137" s="100"/>
      <c r="ER137" s="100"/>
      <c r="ES137" s="100"/>
      <c r="ET137" s="100"/>
      <c r="EU137" s="100"/>
      <c r="EV137" s="100"/>
      <c r="EW137" s="100"/>
      <c r="EX137" s="100"/>
      <c r="EY137" s="100"/>
      <c r="EZ137" s="100"/>
      <c r="FA137" s="100"/>
      <c r="FB137" s="100"/>
      <c r="FC137" s="100"/>
      <c r="FD137" s="100"/>
      <c r="FE137" s="100"/>
      <c r="FF137" s="100"/>
      <c r="FG137" s="100"/>
      <c r="FH137" s="100"/>
      <c r="FI137" s="100"/>
      <c r="FJ137" s="100"/>
      <c r="FK137" s="100"/>
      <c r="FL137" s="100"/>
      <c r="FM137" s="100"/>
      <c r="FN137" s="100"/>
      <c r="FO137" s="100"/>
      <c r="FP137" s="100"/>
      <c r="FQ137" s="100"/>
      <c r="FR137" s="100"/>
      <c r="FS137" s="100"/>
      <c r="FT137" s="100"/>
      <c r="FU137" s="100"/>
      <c r="FV137" s="100"/>
      <c r="FW137" s="100"/>
      <c r="FX137" s="100"/>
      <c r="FY137" s="100"/>
      <c r="FZ137" s="100"/>
      <c r="GA137" s="100"/>
      <c r="GB137" s="100"/>
      <c r="GC137" s="100"/>
      <c r="GD137" s="100"/>
      <c r="GE137" s="100"/>
      <c r="GF137" s="100"/>
      <c r="GG137" s="100"/>
      <c r="GH137" s="100"/>
      <c r="GI137" s="100"/>
      <c r="GJ137" s="100"/>
      <c r="GK137" s="100"/>
      <c r="GL137" s="100"/>
      <c r="GM137" s="100"/>
      <c r="GN137" s="100"/>
      <c r="GO137" s="100"/>
      <c r="GP137" s="100"/>
      <c r="GQ137" s="100"/>
      <c r="GR137" s="100"/>
      <c r="GS137" s="100"/>
      <c r="GT137" s="100"/>
      <c r="GU137" s="100"/>
      <c r="GV137" s="100"/>
      <c r="GW137" s="100"/>
      <c r="GX137" s="100"/>
      <c r="GY137" s="100"/>
      <c r="GZ137" s="100"/>
      <c r="HA137" s="100"/>
      <c r="HB137" s="100"/>
      <c r="HC137" s="100"/>
      <c r="HD137" s="100"/>
      <c r="HE137" s="100"/>
      <c r="HF137" s="100"/>
      <c r="HG137" s="100"/>
      <c r="HH137" s="100"/>
      <c r="HI137" s="100"/>
      <c r="HJ137" s="100"/>
      <c r="HK137" s="100"/>
      <c r="HL137" s="100"/>
      <c r="HM137" s="100"/>
      <c r="HN137" s="100"/>
      <c r="HO137" s="100"/>
      <c r="HP137" s="100"/>
      <c r="HQ137" s="100"/>
      <c r="HR137" s="100"/>
      <c r="HS137" s="100"/>
      <c r="HT137" s="100"/>
      <c r="HU137" s="100"/>
      <c r="HV137" s="100"/>
      <c r="HW137" s="100"/>
      <c r="HX137" s="100"/>
      <c r="HY137" s="100"/>
      <c r="HZ137" s="100"/>
      <c r="IA137" s="100"/>
      <c r="IB137" s="100"/>
      <c r="IC137" s="100"/>
      <c r="ID137" s="100"/>
      <c r="IE137" s="100"/>
      <c r="IF137" s="100"/>
      <c r="IG137" s="100"/>
      <c r="IH137" s="100"/>
      <c r="II137" s="100"/>
      <c r="IJ137" s="100"/>
      <c r="IK137" s="100"/>
      <c r="IL137" s="100"/>
      <c r="IM137" s="100"/>
      <c r="IN137" s="100"/>
      <c r="IO137" s="100"/>
      <c r="IP137" s="100"/>
      <c r="IQ137" s="100"/>
      <c r="IR137" s="100"/>
      <c r="IS137" s="100"/>
      <c r="IT137" s="100"/>
      <c r="IU137" s="100"/>
      <c r="IV137" s="100"/>
      <c r="IW137" s="100"/>
    </row>
    <row r="138" customFormat="false" ht="12.75" hidden="false" customHeight="false" outlineLevel="0" collapsed="false">
      <c r="A138" s="100"/>
      <c r="B138" s="69" t="s">
        <v>168</v>
      </c>
      <c r="C138" s="91" t="s">
        <v>366</v>
      </c>
      <c r="D138" s="91" t="s">
        <v>367</v>
      </c>
      <c r="E138" s="92" t="n">
        <v>36130</v>
      </c>
      <c r="F138" s="92" t="n">
        <v>41029</v>
      </c>
      <c r="G138" s="69" t="s">
        <v>368</v>
      </c>
      <c r="H138" s="69" t="s">
        <v>369</v>
      </c>
      <c r="I138" s="91" t="s">
        <v>370</v>
      </c>
      <c r="J138" s="93" t="n">
        <v>0</v>
      </c>
      <c r="K138" s="94" t="n">
        <v>0</v>
      </c>
      <c r="L138" s="94" t="n">
        <v>0.0022</v>
      </c>
      <c r="M138" s="94" t="n">
        <v>0</v>
      </c>
      <c r="N138" s="94" t="n">
        <v>0</v>
      </c>
      <c r="O138" s="95" t="n">
        <v>0</v>
      </c>
      <c r="P138" s="94" t="n">
        <f aca="false">SUM(J138:N138)</f>
        <v>0.0022</v>
      </c>
      <c r="Q138" s="96" t="s">
        <v>372</v>
      </c>
      <c r="R138" s="96" t="n">
        <v>887978</v>
      </c>
      <c r="S138" s="91" t="n">
        <v>0</v>
      </c>
      <c r="T138" s="69"/>
      <c r="U138" s="97" t="n">
        <f aca="false">J138*J$1*S138</f>
        <v>0</v>
      </c>
      <c r="V138" s="97"/>
      <c r="W138" s="98"/>
      <c r="X138" s="98" t="n">
        <v>143310</v>
      </c>
      <c r="Y138" s="69" t="s">
        <v>373</v>
      </c>
      <c r="Z138" s="89"/>
      <c r="AA138" s="89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100"/>
      <c r="BS138" s="100"/>
      <c r="BT138" s="100"/>
      <c r="BU138" s="100"/>
      <c r="BV138" s="100"/>
      <c r="BW138" s="100"/>
      <c r="BX138" s="100"/>
      <c r="BY138" s="100"/>
      <c r="BZ138" s="100"/>
      <c r="CA138" s="100"/>
      <c r="CB138" s="100"/>
      <c r="CC138" s="100"/>
      <c r="CD138" s="100"/>
      <c r="CE138" s="100"/>
      <c r="CF138" s="100"/>
      <c r="CG138" s="100"/>
      <c r="CH138" s="100"/>
      <c r="CI138" s="100"/>
      <c r="CJ138" s="100"/>
      <c r="CK138" s="100"/>
      <c r="CL138" s="100"/>
      <c r="CM138" s="100"/>
      <c r="CN138" s="100"/>
      <c r="CO138" s="100"/>
      <c r="CP138" s="100"/>
      <c r="CQ138" s="100"/>
      <c r="CR138" s="100"/>
      <c r="CS138" s="100"/>
      <c r="CT138" s="100"/>
      <c r="CU138" s="100"/>
      <c r="CV138" s="100"/>
      <c r="CW138" s="100"/>
      <c r="CX138" s="100"/>
      <c r="CY138" s="100"/>
      <c r="CZ138" s="100"/>
      <c r="DA138" s="100"/>
      <c r="DB138" s="100"/>
      <c r="DC138" s="100"/>
      <c r="DD138" s="100"/>
      <c r="DE138" s="100"/>
      <c r="DF138" s="100"/>
      <c r="DG138" s="100"/>
      <c r="DH138" s="100"/>
      <c r="DI138" s="100"/>
      <c r="DJ138" s="100"/>
      <c r="DK138" s="100"/>
      <c r="DL138" s="100"/>
      <c r="DM138" s="100"/>
      <c r="DN138" s="100"/>
      <c r="DO138" s="100"/>
      <c r="DP138" s="100"/>
      <c r="DQ138" s="100"/>
      <c r="DR138" s="100"/>
      <c r="DS138" s="100"/>
      <c r="DT138" s="100"/>
      <c r="DU138" s="100"/>
      <c r="DV138" s="100"/>
      <c r="DW138" s="100"/>
      <c r="DX138" s="100"/>
      <c r="DY138" s="100"/>
      <c r="DZ138" s="100"/>
      <c r="EA138" s="100"/>
      <c r="EB138" s="100"/>
      <c r="EC138" s="100"/>
      <c r="ED138" s="100"/>
      <c r="EE138" s="100"/>
      <c r="EF138" s="100"/>
      <c r="EG138" s="100"/>
      <c r="EH138" s="100"/>
      <c r="EI138" s="100"/>
      <c r="EJ138" s="100"/>
      <c r="EK138" s="100"/>
      <c r="EL138" s="100"/>
      <c r="EM138" s="100"/>
      <c r="EN138" s="100"/>
      <c r="EO138" s="100"/>
      <c r="EP138" s="100"/>
      <c r="EQ138" s="100"/>
      <c r="ER138" s="100"/>
      <c r="ES138" s="100"/>
      <c r="ET138" s="100"/>
      <c r="EU138" s="100"/>
      <c r="EV138" s="100"/>
      <c r="EW138" s="100"/>
      <c r="EX138" s="100"/>
      <c r="EY138" s="100"/>
      <c r="EZ138" s="100"/>
      <c r="FA138" s="100"/>
      <c r="FB138" s="100"/>
      <c r="FC138" s="100"/>
      <c r="FD138" s="100"/>
      <c r="FE138" s="100"/>
      <c r="FF138" s="100"/>
      <c r="FG138" s="100"/>
      <c r="FH138" s="100"/>
      <c r="FI138" s="100"/>
      <c r="FJ138" s="100"/>
      <c r="FK138" s="100"/>
      <c r="FL138" s="100"/>
      <c r="FM138" s="100"/>
      <c r="FN138" s="100"/>
      <c r="FO138" s="100"/>
      <c r="FP138" s="100"/>
      <c r="FQ138" s="100"/>
      <c r="FR138" s="100"/>
      <c r="FS138" s="100"/>
      <c r="FT138" s="100"/>
      <c r="FU138" s="100"/>
      <c r="FV138" s="100"/>
      <c r="FW138" s="100"/>
      <c r="FX138" s="100"/>
      <c r="FY138" s="100"/>
      <c r="FZ138" s="100"/>
      <c r="GA138" s="100"/>
      <c r="GB138" s="100"/>
      <c r="GC138" s="100"/>
      <c r="GD138" s="100"/>
      <c r="GE138" s="100"/>
      <c r="GF138" s="100"/>
      <c r="GG138" s="100"/>
      <c r="GH138" s="100"/>
      <c r="GI138" s="100"/>
      <c r="GJ138" s="100"/>
      <c r="GK138" s="100"/>
      <c r="GL138" s="100"/>
      <c r="GM138" s="100"/>
      <c r="GN138" s="100"/>
      <c r="GO138" s="100"/>
      <c r="GP138" s="100"/>
      <c r="GQ138" s="100"/>
      <c r="GR138" s="100"/>
      <c r="GS138" s="100"/>
      <c r="GT138" s="100"/>
      <c r="GU138" s="100"/>
      <c r="GV138" s="100"/>
      <c r="GW138" s="100"/>
      <c r="GX138" s="100"/>
      <c r="GY138" s="100"/>
      <c r="GZ138" s="100"/>
      <c r="HA138" s="100"/>
      <c r="HB138" s="100"/>
      <c r="HC138" s="100"/>
      <c r="HD138" s="100"/>
      <c r="HE138" s="100"/>
      <c r="HF138" s="100"/>
      <c r="HG138" s="100"/>
      <c r="HH138" s="100"/>
      <c r="HI138" s="100"/>
      <c r="HJ138" s="100"/>
      <c r="HK138" s="100"/>
      <c r="HL138" s="100"/>
      <c r="HM138" s="100"/>
      <c r="HN138" s="100"/>
      <c r="HO138" s="100"/>
      <c r="HP138" s="100"/>
      <c r="HQ138" s="100"/>
      <c r="HR138" s="100"/>
      <c r="HS138" s="100"/>
      <c r="HT138" s="100"/>
      <c r="HU138" s="100"/>
      <c r="HV138" s="100"/>
      <c r="HW138" s="100"/>
      <c r="HX138" s="100"/>
      <c r="HY138" s="100"/>
      <c r="HZ138" s="100"/>
      <c r="IA138" s="100"/>
      <c r="IB138" s="100"/>
      <c r="IC138" s="100"/>
      <c r="ID138" s="100"/>
      <c r="IE138" s="100"/>
      <c r="IF138" s="100"/>
      <c r="IG138" s="100"/>
      <c r="IH138" s="100"/>
      <c r="II138" s="100"/>
      <c r="IJ138" s="100"/>
      <c r="IK138" s="100"/>
      <c r="IL138" s="100"/>
      <c r="IM138" s="100"/>
      <c r="IN138" s="100"/>
      <c r="IO138" s="100"/>
      <c r="IP138" s="100"/>
      <c r="IQ138" s="100"/>
      <c r="IR138" s="100"/>
      <c r="IS138" s="100"/>
      <c r="IT138" s="100"/>
      <c r="IU138" s="100"/>
      <c r="IV138" s="100"/>
      <c r="IW138" s="100"/>
    </row>
    <row r="139" customFormat="false" ht="12.75" hidden="false" customHeight="false" outlineLevel="0" collapsed="false">
      <c r="A139" s="100"/>
      <c r="B139" s="69" t="s">
        <v>168</v>
      </c>
      <c r="C139" s="91" t="s">
        <v>366</v>
      </c>
      <c r="D139" s="91" t="s">
        <v>367</v>
      </c>
      <c r="E139" s="92" t="n">
        <v>36220</v>
      </c>
      <c r="F139" s="92" t="n">
        <v>41029</v>
      </c>
      <c r="G139" s="69" t="s">
        <v>368</v>
      </c>
      <c r="H139" s="69" t="s">
        <v>374</v>
      </c>
      <c r="I139" s="91" t="s">
        <v>370</v>
      </c>
      <c r="J139" s="93" t="n">
        <v>0</v>
      </c>
      <c r="K139" s="94" t="n">
        <v>0</v>
      </c>
      <c r="L139" s="94" t="n">
        <v>0.0022</v>
      </c>
      <c r="M139" s="94" t="n">
        <v>0</v>
      </c>
      <c r="N139" s="94" t="n">
        <v>0</v>
      </c>
      <c r="O139" s="95" t="n">
        <v>0</v>
      </c>
      <c r="P139" s="94" t="n">
        <f aca="false">SUM(J139:N139)</f>
        <v>0.0022</v>
      </c>
      <c r="Q139" s="96" t="s">
        <v>372</v>
      </c>
      <c r="R139" s="96" t="n">
        <v>888786</v>
      </c>
      <c r="S139" s="91" t="n">
        <v>0</v>
      </c>
      <c r="T139" s="69"/>
      <c r="U139" s="97" t="n">
        <f aca="false">J139*J$1*S139</f>
        <v>0</v>
      </c>
      <c r="V139" s="97"/>
      <c r="W139" s="98"/>
      <c r="X139" s="98" t="n">
        <v>143311</v>
      </c>
      <c r="Y139" s="69" t="s">
        <v>375</v>
      </c>
      <c r="Z139" s="89"/>
      <c r="AA139" s="89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100"/>
      <c r="BS139" s="100"/>
      <c r="BT139" s="100"/>
      <c r="BU139" s="100"/>
      <c r="BV139" s="100"/>
      <c r="BW139" s="100"/>
      <c r="BX139" s="100"/>
      <c r="BY139" s="100"/>
      <c r="BZ139" s="100"/>
      <c r="CA139" s="100"/>
      <c r="CB139" s="100"/>
      <c r="CC139" s="100"/>
      <c r="CD139" s="100"/>
      <c r="CE139" s="100"/>
      <c r="CF139" s="100"/>
      <c r="CG139" s="100"/>
      <c r="CH139" s="100"/>
      <c r="CI139" s="100"/>
      <c r="CJ139" s="100"/>
      <c r="CK139" s="100"/>
      <c r="CL139" s="100"/>
      <c r="CM139" s="100"/>
      <c r="CN139" s="100"/>
      <c r="CO139" s="100"/>
      <c r="CP139" s="100"/>
      <c r="CQ139" s="100"/>
      <c r="CR139" s="100"/>
      <c r="CS139" s="100"/>
      <c r="CT139" s="100"/>
      <c r="CU139" s="100"/>
      <c r="CV139" s="100"/>
      <c r="CW139" s="100"/>
      <c r="CX139" s="100"/>
      <c r="CY139" s="100"/>
      <c r="CZ139" s="100"/>
      <c r="DA139" s="100"/>
      <c r="DB139" s="100"/>
      <c r="DC139" s="100"/>
      <c r="DD139" s="100"/>
      <c r="DE139" s="100"/>
      <c r="DF139" s="100"/>
      <c r="DG139" s="100"/>
      <c r="DH139" s="100"/>
      <c r="DI139" s="100"/>
      <c r="DJ139" s="100"/>
      <c r="DK139" s="100"/>
      <c r="DL139" s="100"/>
      <c r="DM139" s="100"/>
      <c r="DN139" s="100"/>
      <c r="DO139" s="100"/>
      <c r="DP139" s="100"/>
      <c r="DQ139" s="100"/>
      <c r="DR139" s="100"/>
      <c r="DS139" s="100"/>
      <c r="DT139" s="100"/>
      <c r="DU139" s="100"/>
      <c r="DV139" s="100"/>
      <c r="DW139" s="100"/>
      <c r="DX139" s="100"/>
      <c r="DY139" s="100"/>
      <c r="DZ139" s="100"/>
      <c r="EA139" s="100"/>
      <c r="EB139" s="100"/>
      <c r="EC139" s="100"/>
      <c r="ED139" s="100"/>
      <c r="EE139" s="100"/>
      <c r="EF139" s="100"/>
      <c r="EG139" s="100"/>
      <c r="EH139" s="100"/>
      <c r="EI139" s="100"/>
      <c r="EJ139" s="100"/>
      <c r="EK139" s="100"/>
      <c r="EL139" s="100"/>
      <c r="EM139" s="100"/>
      <c r="EN139" s="100"/>
      <c r="EO139" s="100"/>
      <c r="EP139" s="100"/>
      <c r="EQ139" s="100"/>
      <c r="ER139" s="100"/>
      <c r="ES139" s="100"/>
      <c r="ET139" s="100"/>
      <c r="EU139" s="100"/>
      <c r="EV139" s="100"/>
      <c r="EW139" s="100"/>
      <c r="EX139" s="100"/>
      <c r="EY139" s="100"/>
      <c r="EZ139" s="100"/>
      <c r="FA139" s="100"/>
      <c r="FB139" s="100"/>
      <c r="FC139" s="100"/>
      <c r="FD139" s="100"/>
      <c r="FE139" s="100"/>
      <c r="FF139" s="100"/>
      <c r="FG139" s="100"/>
      <c r="FH139" s="100"/>
      <c r="FI139" s="100"/>
      <c r="FJ139" s="100"/>
      <c r="FK139" s="100"/>
      <c r="FL139" s="100"/>
      <c r="FM139" s="100"/>
      <c r="FN139" s="100"/>
      <c r="FO139" s="100"/>
      <c r="FP139" s="100"/>
      <c r="FQ139" s="100"/>
      <c r="FR139" s="100"/>
      <c r="FS139" s="100"/>
      <c r="FT139" s="100"/>
      <c r="FU139" s="100"/>
      <c r="FV139" s="100"/>
      <c r="FW139" s="100"/>
      <c r="FX139" s="100"/>
      <c r="FY139" s="100"/>
      <c r="FZ139" s="100"/>
      <c r="GA139" s="100"/>
      <c r="GB139" s="100"/>
      <c r="GC139" s="100"/>
      <c r="GD139" s="100"/>
      <c r="GE139" s="100"/>
      <c r="GF139" s="100"/>
      <c r="GG139" s="100"/>
      <c r="GH139" s="100"/>
      <c r="GI139" s="100"/>
      <c r="GJ139" s="100"/>
      <c r="GK139" s="100"/>
      <c r="GL139" s="100"/>
      <c r="GM139" s="100"/>
      <c r="GN139" s="100"/>
      <c r="GO139" s="100"/>
      <c r="GP139" s="100"/>
      <c r="GQ139" s="100"/>
      <c r="GR139" s="100"/>
      <c r="GS139" s="100"/>
      <c r="GT139" s="100"/>
      <c r="GU139" s="100"/>
      <c r="GV139" s="100"/>
      <c r="GW139" s="100"/>
      <c r="GX139" s="100"/>
      <c r="GY139" s="100"/>
      <c r="GZ139" s="100"/>
      <c r="HA139" s="100"/>
      <c r="HB139" s="100"/>
      <c r="HC139" s="100"/>
      <c r="HD139" s="100"/>
      <c r="HE139" s="100"/>
      <c r="HF139" s="100"/>
      <c r="HG139" s="100"/>
      <c r="HH139" s="100"/>
      <c r="HI139" s="100"/>
      <c r="HJ139" s="100"/>
      <c r="HK139" s="100"/>
      <c r="HL139" s="100"/>
      <c r="HM139" s="100"/>
      <c r="HN139" s="100"/>
      <c r="HO139" s="100"/>
      <c r="HP139" s="100"/>
      <c r="HQ139" s="100"/>
      <c r="HR139" s="100"/>
      <c r="HS139" s="100"/>
      <c r="HT139" s="100"/>
      <c r="HU139" s="100"/>
      <c r="HV139" s="100"/>
      <c r="HW139" s="100"/>
      <c r="HX139" s="100"/>
      <c r="HY139" s="100"/>
      <c r="HZ139" s="100"/>
      <c r="IA139" s="100"/>
      <c r="IB139" s="100"/>
      <c r="IC139" s="100"/>
      <c r="ID139" s="100"/>
      <c r="IE139" s="100"/>
      <c r="IF139" s="100"/>
      <c r="IG139" s="100"/>
      <c r="IH139" s="100"/>
      <c r="II139" s="100"/>
      <c r="IJ139" s="100"/>
      <c r="IK139" s="100"/>
      <c r="IL139" s="100"/>
      <c r="IM139" s="100"/>
      <c r="IN139" s="100"/>
      <c r="IO139" s="100"/>
      <c r="IP139" s="100"/>
      <c r="IQ139" s="100"/>
      <c r="IR139" s="100"/>
      <c r="IS139" s="100"/>
      <c r="IT139" s="100"/>
      <c r="IU139" s="100"/>
      <c r="IV139" s="100"/>
      <c r="IW139" s="100"/>
    </row>
    <row r="140" customFormat="false" ht="12.75" hidden="false" customHeight="false" outlineLevel="0" collapsed="false">
      <c r="A140" s="100"/>
      <c r="B140" s="69" t="s">
        <v>168</v>
      </c>
      <c r="C140" s="91" t="s">
        <v>366</v>
      </c>
      <c r="D140" s="91" t="s">
        <v>367</v>
      </c>
      <c r="E140" s="92" t="n">
        <v>36465</v>
      </c>
      <c r="F140" s="92" t="n">
        <v>39021</v>
      </c>
      <c r="G140" s="69" t="s">
        <v>376</v>
      </c>
      <c r="H140" s="69" t="s">
        <v>2</v>
      </c>
      <c r="I140" s="91" t="s">
        <v>370</v>
      </c>
      <c r="J140" s="93" t="n">
        <v>0</v>
      </c>
      <c r="K140" s="94" t="n">
        <v>0</v>
      </c>
      <c r="L140" s="94" t="n">
        <v>0.0022</v>
      </c>
      <c r="M140" s="94" t="n">
        <v>0</v>
      </c>
      <c r="N140" s="94" t="n">
        <v>0</v>
      </c>
      <c r="O140" s="95" t="n">
        <v>0</v>
      </c>
      <c r="P140" s="94" t="n">
        <f aca="false">SUM(J140:N140)</f>
        <v>0.0022</v>
      </c>
      <c r="Q140" s="96" t="n">
        <v>892596</v>
      </c>
      <c r="R140" s="96" t="n">
        <v>892066</v>
      </c>
      <c r="S140" s="91" t="n">
        <v>139</v>
      </c>
      <c r="T140" s="69" t="s">
        <v>377</v>
      </c>
      <c r="U140" s="97" t="n">
        <f aca="false">J140*J$1*S140</f>
        <v>0</v>
      </c>
      <c r="V140" s="97" t="n">
        <v>3385.59</v>
      </c>
      <c r="W140" s="98" t="n">
        <v>143315</v>
      </c>
      <c r="X140" s="98" t="n">
        <v>157537</v>
      </c>
      <c r="Y140" s="69" t="s">
        <v>378</v>
      </c>
      <c r="Z140" s="89"/>
      <c r="AA140" s="89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100"/>
      <c r="CF140" s="100"/>
      <c r="CG140" s="100"/>
      <c r="CH140" s="100"/>
      <c r="CI140" s="100"/>
      <c r="CJ140" s="100"/>
      <c r="CK140" s="100"/>
      <c r="CL140" s="100"/>
      <c r="CM140" s="100"/>
      <c r="CN140" s="100"/>
      <c r="CO140" s="100"/>
      <c r="CP140" s="100"/>
      <c r="CQ140" s="100"/>
      <c r="CR140" s="100"/>
      <c r="CS140" s="100"/>
      <c r="CT140" s="100"/>
      <c r="CU140" s="100"/>
      <c r="CV140" s="100"/>
      <c r="CW140" s="100"/>
      <c r="CX140" s="100"/>
      <c r="CY140" s="100"/>
      <c r="CZ140" s="100"/>
      <c r="DA140" s="100"/>
      <c r="DB140" s="100"/>
      <c r="DC140" s="100"/>
      <c r="DD140" s="100"/>
      <c r="DE140" s="100"/>
      <c r="DF140" s="100"/>
      <c r="DG140" s="100"/>
      <c r="DH140" s="100"/>
      <c r="DI140" s="100"/>
      <c r="DJ140" s="100"/>
      <c r="DK140" s="100"/>
      <c r="DL140" s="100"/>
      <c r="DM140" s="100"/>
      <c r="DN140" s="100"/>
      <c r="DO140" s="100"/>
      <c r="DP140" s="100"/>
      <c r="DQ140" s="100"/>
      <c r="DR140" s="100"/>
      <c r="DS140" s="100"/>
      <c r="DT140" s="100"/>
      <c r="DU140" s="100"/>
      <c r="DV140" s="100"/>
      <c r="DW140" s="100"/>
      <c r="DX140" s="100"/>
      <c r="DY140" s="100"/>
      <c r="DZ140" s="100"/>
      <c r="EA140" s="100"/>
      <c r="EB140" s="100"/>
      <c r="EC140" s="100"/>
      <c r="ED140" s="100"/>
      <c r="EE140" s="100"/>
      <c r="EF140" s="100"/>
      <c r="EG140" s="100"/>
      <c r="EH140" s="100"/>
      <c r="EI140" s="100"/>
      <c r="EJ140" s="100"/>
      <c r="EK140" s="100"/>
      <c r="EL140" s="100"/>
      <c r="EM140" s="100"/>
      <c r="EN140" s="100"/>
      <c r="EO140" s="100"/>
      <c r="EP140" s="100"/>
      <c r="EQ140" s="100"/>
      <c r="ER140" s="100"/>
      <c r="ES140" s="100"/>
      <c r="ET140" s="100"/>
      <c r="EU140" s="100"/>
      <c r="EV140" s="100"/>
      <c r="EW140" s="100"/>
      <c r="EX140" s="100"/>
      <c r="EY140" s="100"/>
      <c r="EZ140" s="100"/>
      <c r="FA140" s="100"/>
      <c r="FB140" s="100"/>
      <c r="FC140" s="100"/>
      <c r="FD140" s="100"/>
      <c r="FE140" s="100"/>
      <c r="FF140" s="100"/>
      <c r="FG140" s="100"/>
      <c r="FH140" s="100"/>
      <c r="FI140" s="100"/>
      <c r="FJ140" s="100"/>
      <c r="FK140" s="100"/>
      <c r="FL140" s="100"/>
      <c r="FM140" s="100"/>
      <c r="FN140" s="100"/>
      <c r="FO140" s="100"/>
      <c r="FP140" s="100"/>
      <c r="FQ140" s="100"/>
      <c r="FR140" s="100"/>
      <c r="FS140" s="100"/>
      <c r="FT140" s="100"/>
      <c r="FU140" s="100"/>
      <c r="FV140" s="100"/>
      <c r="FW140" s="100"/>
      <c r="FX140" s="100"/>
      <c r="FY140" s="100"/>
      <c r="FZ140" s="100"/>
      <c r="GA140" s="100"/>
      <c r="GB140" s="100"/>
      <c r="GC140" s="100"/>
      <c r="GD140" s="100"/>
      <c r="GE140" s="100"/>
      <c r="GF140" s="100"/>
      <c r="GG140" s="100"/>
      <c r="GH140" s="100"/>
      <c r="GI140" s="100"/>
      <c r="GJ140" s="100"/>
      <c r="GK140" s="100"/>
      <c r="GL140" s="100"/>
      <c r="GM140" s="100"/>
      <c r="GN140" s="100"/>
      <c r="GO140" s="100"/>
      <c r="GP140" s="100"/>
      <c r="GQ140" s="100"/>
      <c r="GR140" s="100"/>
      <c r="GS140" s="100"/>
      <c r="GT140" s="100"/>
      <c r="GU140" s="100"/>
      <c r="GV140" s="100"/>
      <c r="GW140" s="100"/>
      <c r="GX140" s="100"/>
      <c r="GY140" s="100"/>
      <c r="GZ140" s="100"/>
      <c r="HA140" s="100"/>
      <c r="HB140" s="100"/>
      <c r="HC140" s="100"/>
      <c r="HD140" s="100"/>
      <c r="HE140" s="100"/>
      <c r="HF140" s="100"/>
      <c r="HG140" s="100"/>
      <c r="HH140" s="100"/>
      <c r="HI140" s="100"/>
      <c r="HJ140" s="100"/>
      <c r="HK140" s="100"/>
      <c r="HL140" s="100"/>
      <c r="HM140" s="100"/>
      <c r="HN140" s="100"/>
      <c r="HO140" s="100"/>
      <c r="HP140" s="100"/>
      <c r="HQ140" s="100"/>
      <c r="HR140" s="100"/>
      <c r="HS140" s="100"/>
      <c r="HT140" s="100"/>
      <c r="HU140" s="100"/>
      <c r="HV140" s="100"/>
      <c r="HW140" s="100"/>
      <c r="HX140" s="100"/>
      <c r="HY140" s="100"/>
      <c r="HZ140" s="100"/>
      <c r="IA140" s="100"/>
      <c r="IB140" s="100"/>
      <c r="IC140" s="100"/>
      <c r="ID140" s="100"/>
      <c r="IE140" s="100"/>
      <c r="IF140" s="100"/>
      <c r="IG140" s="100"/>
      <c r="IH140" s="100"/>
      <c r="II140" s="100"/>
      <c r="IJ140" s="100"/>
      <c r="IK140" s="100"/>
      <c r="IL140" s="100"/>
      <c r="IM140" s="100"/>
      <c r="IN140" s="100"/>
      <c r="IO140" s="100"/>
      <c r="IP140" s="100"/>
      <c r="IQ140" s="100"/>
      <c r="IR140" s="100"/>
      <c r="IS140" s="100"/>
      <c r="IT140" s="100"/>
      <c r="IU140" s="100"/>
      <c r="IV140" s="100"/>
      <c r="IW140" s="100"/>
    </row>
    <row r="141" customFormat="false" ht="12.75" hidden="false" customHeight="false" outlineLevel="0" collapsed="false">
      <c r="A141" s="100"/>
      <c r="B141" s="69" t="s">
        <v>168</v>
      </c>
      <c r="C141" s="91" t="s">
        <v>366</v>
      </c>
      <c r="D141" s="91" t="s">
        <v>367</v>
      </c>
      <c r="E141" s="92" t="n">
        <v>36465</v>
      </c>
      <c r="F141" s="92" t="n">
        <v>36830</v>
      </c>
      <c r="G141" s="69" t="s">
        <v>379</v>
      </c>
      <c r="H141" s="69" t="s">
        <v>2</v>
      </c>
      <c r="I141" s="91" t="s">
        <v>380</v>
      </c>
      <c r="J141" s="93" t="n">
        <v>0</v>
      </c>
      <c r="K141" s="94" t="n">
        <v>0</v>
      </c>
      <c r="L141" s="94" t="n">
        <v>0.0022</v>
      </c>
      <c r="M141" s="94" t="n">
        <v>0</v>
      </c>
      <c r="N141" s="94" t="n">
        <v>0</v>
      </c>
      <c r="O141" s="95" t="n">
        <v>0</v>
      </c>
      <c r="P141" s="94" t="n">
        <f aca="false">SUM(J141:N141)</f>
        <v>0.0022</v>
      </c>
      <c r="Q141" s="96" t="n">
        <v>892594</v>
      </c>
      <c r="R141" s="96" t="n">
        <v>892069</v>
      </c>
      <c r="S141" s="91" t="n">
        <v>11</v>
      </c>
      <c r="T141" s="69" t="s">
        <v>381</v>
      </c>
      <c r="U141" s="97" t="n">
        <f aca="false">J141*J$1*S141</f>
        <v>0</v>
      </c>
      <c r="V141" s="97" t="n">
        <v>117.79</v>
      </c>
      <c r="W141" s="98" t="n">
        <v>143316</v>
      </c>
      <c r="X141" s="98" t="n">
        <v>157539</v>
      </c>
      <c r="Y141" s="69" t="s">
        <v>378</v>
      </c>
      <c r="Z141" s="89"/>
      <c r="AA141" s="89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100"/>
      <c r="CB141" s="100"/>
      <c r="CC141" s="100"/>
      <c r="CD141" s="100"/>
      <c r="CE141" s="100"/>
      <c r="CF141" s="100"/>
      <c r="CG141" s="100"/>
      <c r="CH141" s="100"/>
      <c r="CI141" s="100"/>
      <c r="CJ141" s="100"/>
      <c r="CK141" s="100"/>
      <c r="CL141" s="100"/>
      <c r="CM141" s="100"/>
      <c r="CN141" s="100"/>
      <c r="CO141" s="100"/>
      <c r="CP141" s="100"/>
      <c r="CQ141" s="100"/>
      <c r="CR141" s="100"/>
      <c r="CS141" s="100"/>
      <c r="CT141" s="100"/>
      <c r="CU141" s="100"/>
      <c r="CV141" s="100"/>
      <c r="CW141" s="100"/>
      <c r="CX141" s="100"/>
      <c r="CY141" s="100"/>
      <c r="CZ141" s="100"/>
      <c r="DA141" s="100"/>
      <c r="DB141" s="100"/>
      <c r="DC141" s="100"/>
      <c r="DD141" s="100"/>
      <c r="DE141" s="100"/>
      <c r="DF141" s="100"/>
      <c r="DG141" s="100"/>
      <c r="DH141" s="100"/>
      <c r="DI141" s="100"/>
      <c r="DJ141" s="100"/>
      <c r="DK141" s="100"/>
      <c r="DL141" s="100"/>
      <c r="DM141" s="100"/>
      <c r="DN141" s="100"/>
      <c r="DO141" s="100"/>
      <c r="DP141" s="100"/>
      <c r="DQ141" s="100"/>
      <c r="DR141" s="100"/>
      <c r="DS141" s="100"/>
      <c r="DT141" s="100"/>
      <c r="DU141" s="100"/>
      <c r="DV141" s="100"/>
      <c r="DW141" s="100"/>
      <c r="DX141" s="100"/>
      <c r="DY141" s="100"/>
      <c r="DZ141" s="100"/>
      <c r="EA141" s="100"/>
      <c r="EB141" s="100"/>
      <c r="EC141" s="100"/>
      <c r="ED141" s="100"/>
      <c r="EE141" s="100"/>
      <c r="EF141" s="100"/>
      <c r="EG141" s="100"/>
      <c r="EH141" s="100"/>
      <c r="EI141" s="100"/>
      <c r="EJ141" s="100"/>
      <c r="EK141" s="100"/>
      <c r="EL141" s="100"/>
      <c r="EM141" s="100"/>
      <c r="EN141" s="100"/>
      <c r="EO141" s="100"/>
      <c r="EP141" s="100"/>
      <c r="EQ141" s="100"/>
      <c r="ER141" s="100"/>
      <c r="ES141" s="100"/>
      <c r="ET141" s="100"/>
      <c r="EU141" s="100"/>
      <c r="EV141" s="100"/>
      <c r="EW141" s="100"/>
      <c r="EX141" s="100"/>
      <c r="EY141" s="100"/>
      <c r="EZ141" s="100"/>
      <c r="FA141" s="100"/>
      <c r="FB141" s="100"/>
      <c r="FC141" s="100"/>
      <c r="FD141" s="100"/>
      <c r="FE141" s="100"/>
      <c r="FF141" s="100"/>
      <c r="FG141" s="100"/>
      <c r="FH141" s="100"/>
      <c r="FI141" s="100"/>
      <c r="FJ141" s="100"/>
      <c r="FK141" s="100"/>
      <c r="FL141" s="100"/>
      <c r="FM141" s="100"/>
      <c r="FN141" s="100"/>
      <c r="FO141" s="100"/>
      <c r="FP141" s="100"/>
      <c r="FQ141" s="100"/>
      <c r="FR141" s="100"/>
      <c r="FS141" s="100"/>
      <c r="FT141" s="100"/>
      <c r="FU141" s="100"/>
      <c r="FV141" s="100"/>
      <c r="FW141" s="100"/>
      <c r="FX141" s="100"/>
      <c r="FY141" s="100"/>
      <c r="FZ141" s="100"/>
      <c r="GA141" s="100"/>
      <c r="GB141" s="100"/>
      <c r="GC141" s="100"/>
      <c r="GD141" s="100"/>
      <c r="GE141" s="100"/>
      <c r="GF141" s="100"/>
      <c r="GG141" s="100"/>
      <c r="GH141" s="100"/>
      <c r="GI141" s="100"/>
      <c r="GJ141" s="100"/>
      <c r="GK141" s="100"/>
      <c r="GL141" s="100"/>
      <c r="GM141" s="100"/>
      <c r="GN141" s="100"/>
      <c r="GO141" s="100"/>
      <c r="GP141" s="100"/>
      <c r="GQ141" s="100"/>
      <c r="GR141" s="100"/>
      <c r="GS141" s="100"/>
      <c r="GT141" s="100"/>
      <c r="GU141" s="100"/>
      <c r="GV141" s="100"/>
      <c r="GW141" s="100"/>
      <c r="GX141" s="100"/>
      <c r="GY141" s="100"/>
      <c r="GZ141" s="100"/>
      <c r="HA141" s="100"/>
      <c r="HB141" s="100"/>
      <c r="HC141" s="100"/>
      <c r="HD141" s="100"/>
      <c r="HE141" s="100"/>
      <c r="HF141" s="100"/>
      <c r="HG141" s="100"/>
      <c r="HH141" s="100"/>
      <c r="HI141" s="100"/>
      <c r="HJ141" s="100"/>
      <c r="HK141" s="100"/>
      <c r="HL141" s="100"/>
      <c r="HM141" s="100"/>
      <c r="HN141" s="100"/>
      <c r="HO141" s="100"/>
      <c r="HP141" s="100"/>
      <c r="HQ141" s="100"/>
      <c r="HR141" s="100"/>
      <c r="HS141" s="100"/>
      <c r="HT141" s="100"/>
      <c r="HU141" s="100"/>
      <c r="HV141" s="100"/>
      <c r="HW141" s="100"/>
      <c r="HX141" s="100"/>
      <c r="HY141" s="100"/>
      <c r="HZ141" s="100"/>
      <c r="IA141" s="100"/>
      <c r="IB141" s="100"/>
      <c r="IC141" s="100"/>
      <c r="ID141" s="100"/>
      <c r="IE141" s="100"/>
      <c r="IF141" s="100"/>
      <c r="IG141" s="100"/>
      <c r="IH141" s="100"/>
      <c r="II141" s="100"/>
      <c r="IJ141" s="100"/>
      <c r="IK141" s="100"/>
      <c r="IL141" s="100"/>
      <c r="IM141" s="100"/>
      <c r="IN141" s="100"/>
      <c r="IO141" s="100"/>
      <c r="IP141" s="100"/>
      <c r="IQ141" s="100"/>
      <c r="IR141" s="100"/>
      <c r="IS141" s="100"/>
      <c r="IT141" s="100"/>
      <c r="IU141" s="100"/>
      <c r="IV141" s="100"/>
      <c r="IW141" s="100"/>
    </row>
    <row r="142" customFormat="false" ht="12.75" hidden="false" customHeight="false" outlineLevel="0" collapsed="false">
      <c r="A142" s="100"/>
      <c r="B142" s="69" t="s">
        <v>168</v>
      </c>
      <c r="C142" s="91" t="s">
        <v>366</v>
      </c>
      <c r="D142" s="91" t="s">
        <v>367</v>
      </c>
      <c r="E142" s="92" t="n">
        <v>36465</v>
      </c>
      <c r="F142" s="92" t="n">
        <v>37560</v>
      </c>
      <c r="G142" s="69" t="s">
        <v>376</v>
      </c>
      <c r="H142" s="69" t="s">
        <v>379</v>
      </c>
      <c r="I142" s="91" t="s">
        <v>370</v>
      </c>
      <c r="J142" s="93" t="n">
        <v>0</v>
      </c>
      <c r="K142" s="94" t="n">
        <v>0</v>
      </c>
      <c r="L142" s="94" t="n">
        <v>0.0022</v>
      </c>
      <c r="M142" s="94" t="n">
        <v>0</v>
      </c>
      <c r="N142" s="94" t="n">
        <v>0</v>
      </c>
      <c r="O142" s="95" t="n">
        <v>0</v>
      </c>
      <c r="P142" s="94" t="n">
        <f aca="false">SUM(J142:N142)</f>
        <v>0.0022</v>
      </c>
      <c r="Q142" s="96" t="n">
        <v>892593</v>
      </c>
      <c r="R142" s="96" t="n">
        <v>892084</v>
      </c>
      <c r="S142" s="91" t="n">
        <v>18</v>
      </c>
      <c r="T142" s="69" t="s">
        <v>382</v>
      </c>
      <c r="U142" s="97" t="n">
        <f aca="false">J142*J$1*S142</f>
        <v>0</v>
      </c>
      <c r="V142" s="97" t="n">
        <v>280.62</v>
      </c>
      <c r="W142" s="98" t="n">
        <v>143318</v>
      </c>
      <c r="X142" s="98" t="n">
        <v>157543</v>
      </c>
      <c r="Y142" s="69" t="s">
        <v>378</v>
      </c>
      <c r="Z142" s="89"/>
      <c r="AA142" s="89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  <c r="BD142" s="100"/>
      <c r="BE142" s="100"/>
      <c r="BF142" s="100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100"/>
      <c r="BS142" s="100"/>
      <c r="BT142" s="100"/>
      <c r="BU142" s="100"/>
      <c r="BV142" s="100"/>
      <c r="BW142" s="100"/>
      <c r="BX142" s="100"/>
      <c r="BY142" s="100"/>
      <c r="BZ142" s="100"/>
      <c r="CA142" s="100"/>
      <c r="CB142" s="100"/>
      <c r="CC142" s="100"/>
      <c r="CD142" s="100"/>
      <c r="CE142" s="100"/>
      <c r="CF142" s="100"/>
      <c r="CG142" s="100"/>
      <c r="CH142" s="100"/>
      <c r="CI142" s="100"/>
      <c r="CJ142" s="100"/>
      <c r="CK142" s="100"/>
      <c r="CL142" s="100"/>
      <c r="CM142" s="100"/>
      <c r="CN142" s="100"/>
      <c r="CO142" s="100"/>
      <c r="CP142" s="100"/>
      <c r="CQ142" s="100"/>
      <c r="CR142" s="100"/>
      <c r="CS142" s="100"/>
      <c r="CT142" s="100"/>
      <c r="CU142" s="100"/>
      <c r="CV142" s="100"/>
      <c r="CW142" s="100"/>
      <c r="CX142" s="100"/>
      <c r="CY142" s="100"/>
      <c r="CZ142" s="100"/>
      <c r="DA142" s="100"/>
      <c r="DB142" s="100"/>
      <c r="DC142" s="100"/>
      <c r="DD142" s="100"/>
      <c r="DE142" s="100"/>
      <c r="DF142" s="100"/>
      <c r="DG142" s="100"/>
      <c r="DH142" s="100"/>
      <c r="DI142" s="100"/>
      <c r="DJ142" s="100"/>
      <c r="DK142" s="100"/>
      <c r="DL142" s="100"/>
      <c r="DM142" s="100"/>
      <c r="DN142" s="100"/>
      <c r="DO142" s="100"/>
      <c r="DP142" s="100"/>
      <c r="DQ142" s="100"/>
      <c r="DR142" s="100"/>
      <c r="DS142" s="100"/>
      <c r="DT142" s="100"/>
      <c r="DU142" s="100"/>
      <c r="DV142" s="100"/>
      <c r="DW142" s="100"/>
      <c r="DX142" s="100"/>
      <c r="DY142" s="100"/>
      <c r="DZ142" s="100"/>
      <c r="EA142" s="100"/>
      <c r="EB142" s="100"/>
      <c r="EC142" s="100"/>
      <c r="ED142" s="100"/>
      <c r="EE142" s="100"/>
      <c r="EF142" s="100"/>
      <c r="EG142" s="100"/>
      <c r="EH142" s="100"/>
      <c r="EI142" s="100"/>
      <c r="EJ142" s="100"/>
      <c r="EK142" s="100"/>
      <c r="EL142" s="100"/>
      <c r="EM142" s="100"/>
      <c r="EN142" s="100"/>
      <c r="EO142" s="100"/>
      <c r="EP142" s="100"/>
      <c r="EQ142" s="100"/>
      <c r="ER142" s="100"/>
      <c r="ES142" s="100"/>
      <c r="ET142" s="100"/>
      <c r="EU142" s="100"/>
      <c r="EV142" s="100"/>
      <c r="EW142" s="100"/>
      <c r="EX142" s="100"/>
      <c r="EY142" s="100"/>
      <c r="EZ142" s="100"/>
      <c r="FA142" s="100"/>
      <c r="FB142" s="100"/>
      <c r="FC142" s="100"/>
      <c r="FD142" s="100"/>
      <c r="FE142" s="100"/>
      <c r="FF142" s="100"/>
      <c r="FG142" s="100"/>
      <c r="FH142" s="100"/>
      <c r="FI142" s="100"/>
      <c r="FJ142" s="100"/>
      <c r="FK142" s="100"/>
      <c r="FL142" s="100"/>
      <c r="FM142" s="100"/>
      <c r="FN142" s="100"/>
      <c r="FO142" s="100"/>
      <c r="FP142" s="100"/>
      <c r="FQ142" s="100"/>
      <c r="FR142" s="100"/>
      <c r="FS142" s="100"/>
      <c r="FT142" s="100"/>
      <c r="FU142" s="100"/>
      <c r="FV142" s="100"/>
      <c r="FW142" s="100"/>
      <c r="FX142" s="100"/>
      <c r="FY142" s="100"/>
      <c r="FZ142" s="100"/>
      <c r="GA142" s="100"/>
      <c r="GB142" s="100"/>
      <c r="GC142" s="100"/>
      <c r="GD142" s="100"/>
      <c r="GE142" s="100"/>
      <c r="GF142" s="100"/>
      <c r="GG142" s="100"/>
      <c r="GH142" s="100"/>
      <c r="GI142" s="100"/>
      <c r="GJ142" s="100"/>
      <c r="GK142" s="100"/>
      <c r="GL142" s="100"/>
      <c r="GM142" s="100"/>
      <c r="GN142" s="100"/>
      <c r="GO142" s="100"/>
      <c r="GP142" s="100"/>
      <c r="GQ142" s="100"/>
      <c r="GR142" s="100"/>
      <c r="GS142" s="100"/>
      <c r="GT142" s="100"/>
      <c r="GU142" s="100"/>
      <c r="GV142" s="100"/>
      <c r="GW142" s="100"/>
      <c r="GX142" s="100"/>
      <c r="GY142" s="100"/>
      <c r="GZ142" s="100"/>
      <c r="HA142" s="100"/>
      <c r="HB142" s="100"/>
      <c r="HC142" s="100"/>
      <c r="HD142" s="100"/>
      <c r="HE142" s="100"/>
      <c r="HF142" s="100"/>
      <c r="HG142" s="100"/>
      <c r="HH142" s="100"/>
      <c r="HI142" s="100"/>
      <c r="HJ142" s="100"/>
      <c r="HK142" s="100"/>
      <c r="HL142" s="100"/>
      <c r="HM142" s="100"/>
      <c r="HN142" s="100"/>
      <c r="HO142" s="100"/>
      <c r="HP142" s="100"/>
      <c r="HQ142" s="100"/>
      <c r="HR142" s="100"/>
      <c r="HS142" s="100"/>
      <c r="HT142" s="100"/>
      <c r="HU142" s="100"/>
      <c r="HV142" s="100"/>
      <c r="HW142" s="100"/>
      <c r="HX142" s="100"/>
      <c r="HY142" s="100"/>
      <c r="HZ142" s="100"/>
      <c r="IA142" s="100"/>
      <c r="IB142" s="100"/>
      <c r="IC142" s="100"/>
      <c r="ID142" s="100"/>
      <c r="IE142" s="100"/>
      <c r="IF142" s="100"/>
      <c r="IG142" s="100"/>
      <c r="IH142" s="100"/>
      <c r="II142" s="100"/>
      <c r="IJ142" s="100"/>
      <c r="IK142" s="100"/>
      <c r="IL142" s="100"/>
      <c r="IM142" s="100"/>
      <c r="IN142" s="100"/>
      <c r="IO142" s="100"/>
      <c r="IP142" s="100"/>
      <c r="IQ142" s="100"/>
      <c r="IR142" s="100"/>
      <c r="IS142" s="100"/>
      <c r="IT142" s="100"/>
      <c r="IU142" s="100"/>
      <c r="IV142" s="100"/>
      <c r="IW142" s="100"/>
    </row>
    <row r="143" customFormat="false" ht="12.75" hidden="false" customHeight="false" outlineLevel="0" collapsed="false">
      <c r="A143" s="100"/>
      <c r="B143" s="69" t="s">
        <v>168</v>
      </c>
      <c r="C143" s="91" t="s">
        <v>366</v>
      </c>
      <c r="D143" s="91" t="s">
        <v>367</v>
      </c>
      <c r="E143" s="92" t="n">
        <v>36465</v>
      </c>
      <c r="F143" s="92" t="n">
        <v>39021</v>
      </c>
      <c r="G143" s="69" t="s">
        <v>376</v>
      </c>
      <c r="H143" s="69" t="s">
        <v>2</v>
      </c>
      <c r="I143" s="91" t="s">
        <v>370</v>
      </c>
      <c r="J143" s="93" t="n">
        <v>0</v>
      </c>
      <c r="K143" s="94" t="n">
        <v>0</v>
      </c>
      <c r="L143" s="94" t="n">
        <v>0.0022</v>
      </c>
      <c r="M143" s="94" t="n">
        <v>0</v>
      </c>
      <c r="N143" s="94" t="n">
        <v>0</v>
      </c>
      <c r="O143" s="95" t="n">
        <v>0</v>
      </c>
      <c r="P143" s="94" t="n">
        <f aca="false">SUM(J143:N143)</f>
        <v>0.0022</v>
      </c>
      <c r="Q143" s="96" t="n">
        <v>892597</v>
      </c>
      <c r="R143" s="96" t="n">
        <v>892085</v>
      </c>
      <c r="S143" s="91" t="n">
        <v>167</v>
      </c>
      <c r="T143" s="69" t="s">
        <v>383</v>
      </c>
      <c r="U143" s="97" t="n">
        <f aca="false">J143*J$1*S143</f>
        <v>0</v>
      </c>
      <c r="V143" s="97" t="n">
        <v>3108.2</v>
      </c>
      <c r="W143" s="98" t="n">
        <v>143319</v>
      </c>
      <c r="X143" s="98" t="n">
        <v>157570</v>
      </c>
      <c r="Y143" s="69" t="s">
        <v>378</v>
      </c>
      <c r="Z143" s="89"/>
      <c r="AA143" s="89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  <c r="BF143" s="100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100"/>
      <c r="BS143" s="100"/>
      <c r="BT143" s="100"/>
      <c r="BU143" s="100"/>
      <c r="BV143" s="100"/>
      <c r="BW143" s="100"/>
      <c r="BX143" s="100"/>
      <c r="BY143" s="100"/>
      <c r="BZ143" s="100"/>
      <c r="CA143" s="100"/>
      <c r="CB143" s="100"/>
      <c r="CC143" s="100"/>
      <c r="CD143" s="100"/>
      <c r="CE143" s="100"/>
      <c r="CF143" s="100"/>
      <c r="CG143" s="100"/>
      <c r="CH143" s="100"/>
      <c r="CI143" s="100"/>
      <c r="CJ143" s="100"/>
      <c r="CK143" s="100"/>
      <c r="CL143" s="100"/>
      <c r="CM143" s="100"/>
      <c r="CN143" s="100"/>
      <c r="CO143" s="100"/>
      <c r="CP143" s="100"/>
      <c r="CQ143" s="100"/>
      <c r="CR143" s="100"/>
      <c r="CS143" s="100"/>
      <c r="CT143" s="100"/>
      <c r="CU143" s="100"/>
      <c r="CV143" s="100"/>
      <c r="CW143" s="100"/>
      <c r="CX143" s="100"/>
      <c r="CY143" s="100"/>
      <c r="CZ143" s="100"/>
      <c r="DA143" s="100"/>
      <c r="DB143" s="100"/>
      <c r="DC143" s="100"/>
      <c r="DD143" s="100"/>
      <c r="DE143" s="100"/>
      <c r="DF143" s="100"/>
      <c r="DG143" s="100"/>
      <c r="DH143" s="100"/>
      <c r="DI143" s="100"/>
      <c r="DJ143" s="100"/>
      <c r="DK143" s="100"/>
      <c r="DL143" s="100"/>
      <c r="DM143" s="100"/>
      <c r="DN143" s="100"/>
      <c r="DO143" s="100"/>
      <c r="DP143" s="100"/>
      <c r="DQ143" s="100"/>
      <c r="DR143" s="100"/>
      <c r="DS143" s="100"/>
      <c r="DT143" s="100"/>
      <c r="DU143" s="100"/>
      <c r="DV143" s="100"/>
      <c r="DW143" s="100"/>
      <c r="DX143" s="100"/>
      <c r="DY143" s="100"/>
      <c r="DZ143" s="100"/>
      <c r="EA143" s="100"/>
      <c r="EB143" s="100"/>
      <c r="EC143" s="100"/>
      <c r="ED143" s="100"/>
      <c r="EE143" s="100"/>
      <c r="EF143" s="100"/>
      <c r="EG143" s="100"/>
      <c r="EH143" s="100"/>
      <c r="EI143" s="100"/>
      <c r="EJ143" s="100"/>
      <c r="EK143" s="100"/>
      <c r="EL143" s="100"/>
      <c r="EM143" s="100"/>
      <c r="EN143" s="100"/>
      <c r="EO143" s="100"/>
      <c r="EP143" s="100"/>
      <c r="EQ143" s="100"/>
      <c r="ER143" s="100"/>
      <c r="ES143" s="100"/>
      <c r="ET143" s="100"/>
      <c r="EU143" s="100"/>
      <c r="EV143" s="100"/>
      <c r="EW143" s="100"/>
      <c r="EX143" s="100"/>
      <c r="EY143" s="100"/>
      <c r="EZ143" s="100"/>
      <c r="FA143" s="100"/>
      <c r="FB143" s="100"/>
      <c r="FC143" s="100"/>
      <c r="FD143" s="100"/>
      <c r="FE143" s="100"/>
      <c r="FF143" s="100"/>
      <c r="FG143" s="100"/>
      <c r="FH143" s="100"/>
      <c r="FI143" s="100"/>
      <c r="FJ143" s="100"/>
      <c r="FK143" s="100"/>
      <c r="FL143" s="100"/>
      <c r="FM143" s="100"/>
      <c r="FN143" s="100"/>
      <c r="FO143" s="100"/>
      <c r="FP143" s="100"/>
      <c r="FQ143" s="100"/>
      <c r="FR143" s="100"/>
      <c r="FS143" s="100"/>
      <c r="FT143" s="100"/>
      <c r="FU143" s="100"/>
      <c r="FV143" s="100"/>
      <c r="FW143" s="100"/>
      <c r="FX143" s="100"/>
      <c r="FY143" s="100"/>
      <c r="FZ143" s="100"/>
      <c r="GA143" s="100"/>
      <c r="GB143" s="100"/>
      <c r="GC143" s="100"/>
      <c r="GD143" s="100"/>
      <c r="GE143" s="100"/>
      <c r="GF143" s="100"/>
      <c r="GG143" s="100"/>
      <c r="GH143" s="100"/>
      <c r="GI143" s="100"/>
      <c r="GJ143" s="100"/>
      <c r="GK143" s="100"/>
      <c r="GL143" s="100"/>
      <c r="GM143" s="100"/>
      <c r="GN143" s="100"/>
      <c r="GO143" s="100"/>
      <c r="GP143" s="100"/>
      <c r="GQ143" s="100"/>
      <c r="GR143" s="100"/>
      <c r="GS143" s="100"/>
      <c r="GT143" s="100"/>
      <c r="GU143" s="100"/>
      <c r="GV143" s="100"/>
      <c r="GW143" s="100"/>
      <c r="GX143" s="100"/>
      <c r="GY143" s="100"/>
      <c r="GZ143" s="100"/>
      <c r="HA143" s="100"/>
      <c r="HB143" s="100"/>
      <c r="HC143" s="100"/>
      <c r="HD143" s="100"/>
      <c r="HE143" s="100"/>
      <c r="HF143" s="100"/>
      <c r="HG143" s="100"/>
      <c r="HH143" s="100"/>
      <c r="HI143" s="100"/>
      <c r="HJ143" s="100"/>
      <c r="HK143" s="100"/>
      <c r="HL143" s="100"/>
      <c r="HM143" s="100"/>
      <c r="HN143" s="100"/>
      <c r="HO143" s="100"/>
      <c r="HP143" s="100"/>
      <c r="HQ143" s="100"/>
      <c r="HR143" s="100"/>
      <c r="HS143" s="100"/>
      <c r="HT143" s="100"/>
      <c r="HU143" s="100"/>
      <c r="HV143" s="100"/>
      <c r="HW143" s="100"/>
      <c r="HX143" s="100"/>
      <c r="HY143" s="100"/>
      <c r="HZ143" s="100"/>
      <c r="IA143" s="100"/>
      <c r="IB143" s="100"/>
      <c r="IC143" s="100"/>
      <c r="ID143" s="100"/>
      <c r="IE143" s="100"/>
      <c r="IF143" s="100"/>
      <c r="IG143" s="100"/>
      <c r="IH143" s="100"/>
      <c r="II143" s="100"/>
      <c r="IJ143" s="100"/>
      <c r="IK143" s="100"/>
      <c r="IL143" s="100"/>
      <c r="IM143" s="100"/>
      <c r="IN143" s="100"/>
      <c r="IO143" s="100"/>
      <c r="IP143" s="100"/>
      <c r="IQ143" s="100"/>
      <c r="IR143" s="100"/>
      <c r="IS143" s="100"/>
      <c r="IT143" s="100"/>
      <c r="IU143" s="100"/>
      <c r="IV143" s="100"/>
      <c r="IW143" s="100"/>
    </row>
    <row r="144" customFormat="false" ht="12.75" hidden="false" customHeight="false" outlineLevel="0" collapsed="false">
      <c r="A144" s="100"/>
      <c r="B144" s="69" t="s">
        <v>187</v>
      </c>
      <c r="C144" s="91" t="s">
        <v>366</v>
      </c>
      <c r="D144" s="91" t="s">
        <v>367</v>
      </c>
      <c r="E144" s="92" t="n">
        <v>36586</v>
      </c>
      <c r="F144" s="92" t="n">
        <v>39021</v>
      </c>
      <c r="G144" s="69" t="s">
        <v>376</v>
      </c>
      <c r="H144" s="69" t="s">
        <v>2</v>
      </c>
      <c r="I144" s="91" t="s">
        <v>380</v>
      </c>
      <c r="J144" s="93" t="n">
        <v>0</v>
      </c>
      <c r="K144" s="94" t="n">
        <v>0</v>
      </c>
      <c r="L144" s="94" t="n">
        <v>0.0022</v>
      </c>
      <c r="M144" s="94" t="n">
        <v>0</v>
      </c>
      <c r="N144" s="94" t="n">
        <v>0</v>
      </c>
      <c r="O144" s="95" t="n">
        <v>0</v>
      </c>
      <c r="P144" s="94" t="n">
        <f aca="false">SUM(J144:N144)</f>
        <v>0.0022</v>
      </c>
      <c r="Q144" s="96" t="n">
        <v>892722</v>
      </c>
      <c r="R144" s="96" t="n">
        <v>892592</v>
      </c>
      <c r="S144" s="91" t="n">
        <v>114</v>
      </c>
      <c r="T144" s="69" t="s">
        <v>384</v>
      </c>
      <c r="U144" s="97" t="n">
        <f aca="false">J144*J$1*S144</f>
        <v>0</v>
      </c>
      <c r="V144" s="97" t="n">
        <v>2211.84</v>
      </c>
      <c r="W144" s="98" t="n">
        <v>207137</v>
      </c>
      <c r="X144" s="98" t="n">
        <v>157545</v>
      </c>
      <c r="Y144" s="69"/>
      <c r="Z144" s="89"/>
      <c r="AA144" s="89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100"/>
      <c r="CF144" s="100"/>
      <c r="CG144" s="100"/>
      <c r="CH144" s="100"/>
      <c r="CI144" s="100"/>
      <c r="CJ144" s="100"/>
      <c r="CK144" s="100"/>
      <c r="CL144" s="100"/>
      <c r="CM144" s="100"/>
      <c r="CN144" s="100"/>
      <c r="CO144" s="100"/>
      <c r="CP144" s="100"/>
      <c r="CQ144" s="100"/>
      <c r="CR144" s="100"/>
      <c r="CS144" s="100"/>
      <c r="CT144" s="100"/>
      <c r="CU144" s="100"/>
      <c r="CV144" s="100"/>
      <c r="CW144" s="100"/>
      <c r="CX144" s="100"/>
      <c r="CY144" s="100"/>
      <c r="CZ144" s="100"/>
      <c r="DA144" s="100"/>
      <c r="DB144" s="100"/>
      <c r="DC144" s="100"/>
      <c r="DD144" s="100"/>
      <c r="DE144" s="100"/>
      <c r="DF144" s="100"/>
      <c r="DG144" s="100"/>
      <c r="DH144" s="100"/>
      <c r="DI144" s="100"/>
      <c r="DJ144" s="100"/>
      <c r="DK144" s="100"/>
      <c r="DL144" s="100"/>
      <c r="DM144" s="100"/>
      <c r="DN144" s="100"/>
      <c r="DO144" s="100"/>
      <c r="DP144" s="100"/>
      <c r="DQ144" s="100"/>
      <c r="DR144" s="100"/>
      <c r="DS144" s="100"/>
      <c r="DT144" s="100"/>
      <c r="DU144" s="100"/>
      <c r="DV144" s="100"/>
      <c r="DW144" s="100"/>
      <c r="DX144" s="100"/>
      <c r="DY144" s="100"/>
      <c r="DZ144" s="100"/>
      <c r="EA144" s="100"/>
      <c r="EB144" s="100"/>
      <c r="EC144" s="100"/>
      <c r="ED144" s="100"/>
      <c r="EE144" s="100"/>
      <c r="EF144" s="100"/>
      <c r="EG144" s="100"/>
      <c r="EH144" s="100"/>
      <c r="EI144" s="100"/>
      <c r="EJ144" s="100"/>
      <c r="EK144" s="100"/>
      <c r="EL144" s="100"/>
      <c r="EM144" s="100"/>
      <c r="EN144" s="100"/>
      <c r="EO144" s="100"/>
      <c r="EP144" s="100"/>
      <c r="EQ144" s="100"/>
      <c r="ER144" s="100"/>
      <c r="ES144" s="100"/>
      <c r="ET144" s="100"/>
      <c r="EU144" s="100"/>
      <c r="EV144" s="100"/>
      <c r="EW144" s="100"/>
      <c r="EX144" s="100"/>
      <c r="EY144" s="100"/>
      <c r="EZ144" s="100"/>
      <c r="FA144" s="100"/>
      <c r="FB144" s="100"/>
      <c r="FC144" s="100"/>
      <c r="FD144" s="100"/>
      <c r="FE144" s="100"/>
      <c r="FF144" s="100"/>
      <c r="FG144" s="100"/>
      <c r="FH144" s="100"/>
      <c r="FI144" s="100"/>
      <c r="FJ144" s="100"/>
      <c r="FK144" s="100"/>
      <c r="FL144" s="100"/>
      <c r="FM144" s="100"/>
      <c r="FN144" s="100"/>
      <c r="FO144" s="100"/>
      <c r="FP144" s="100"/>
      <c r="FQ144" s="100"/>
      <c r="FR144" s="100"/>
      <c r="FS144" s="100"/>
      <c r="FT144" s="100"/>
      <c r="FU144" s="100"/>
      <c r="FV144" s="100"/>
      <c r="FW144" s="100"/>
      <c r="FX144" s="100"/>
      <c r="FY144" s="100"/>
      <c r="FZ144" s="100"/>
      <c r="GA144" s="100"/>
      <c r="GB144" s="100"/>
      <c r="GC144" s="100"/>
      <c r="GD144" s="100"/>
      <c r="GE144" s="100"/>
      <c r="GF144" s="100"/>
      <c r="GG144" s="100"/>
      <c r="GH144" s="100"/>
      <c r="GI144" s="100"/>
      <c r="GJ144" s="100"/>
      <c r="GK144" s="100"/>
      <c r="GL144" s="100"/>
      <c r="GM144" s="100"/>
      <c r="GN144" s="100"/>
      <c r="GO144" s="100"/>
      <c r="GP144" s="100"/>
      <c r="GQ144" s="100"/>
      <c r="GR144" s="100"/>
      <c r="GS144" s="100"/>
      <c r="GT144" s="100"/>
      <c r="GU144" s="100"/>
      <c r="GV144" s="100"/>
      <c r="GW144" s="100"/>
      <c r="GX144" s="100"/>
      <c r="GY144" s="100"/>
      <c r="GZ144" s="100"/>
      <c r="HA144" s="100"/>
      <c r="HB144" s="100"/>
      <c r="HC144" s="100"/>
      <c r="HD144" s="100"/>
      <c r="HE144" s="100"/>
      <c r="HF144" s="100"/>
      <c r="HG144" s="100"/>
      <c r="HH144" s="100"/>
      <c r="HI144" s="100"/>
      <c r="HJ144" s="100"/>
      <c r="HK144" s="100"/>
      <c r="HL144" s="100"/>
      <c r="HM144" s="100"/>
      <c r="HN144" s="100"/>
      <c r="HO144" s="100"/>
      <c r="HP144" s="100"/>
      <c r="HQ144" s="100"/>
      <c r="HR144" s="100"/>
      <c r="HS144" s="100"/>
      <c r="HT144" s="100"/>
      <c r="HU144" s="100"/>
      <c r="HV144" s="100"/>
      <c r="HW144" s="100"/>
      <c r="HX144" s="100"/>
      <c r="HY144" s="100"/>
      <c r="HZ144" s="100"/>
      <c r="IA144" s="100"/>
      <c r="IB144" s="100"/>
      <c r="IC144" s="100"/>
      <c r="ID144" s="100"/>
      <c r="IE144" s="100"/>
      <c r="IF144" s="100"/>
      <c r="IG144" s="100"/>
      <c r="IH144" s="100"/>
      <c r="II144" s="100"/>
      <c r="IJ144" s="100"/>
      <c r="IK144" s="100"/>
      <c r="IL144" s="100"/>
      <c r="IM144" s="100"/>
      <c r="IN144" s="100"/>
      <c r="IO144" s="100"/>
      <c r="IP144" s="100"/>
      <c r="IQ144" s="100"/>
      <c r="IR144" s="100"/>
      <c r="IS144" s="100"/>
      <c r="IT144" s="100"/>
      <c r="IU144" s="100"/>
      <c r="IV144" s="100"/>
      <c r="IW144" s="100"/>
    </row>
    <row r="145" customFormat="false" ht="12.75" hidden="false" customHeight="false" outlineLevel="0" collapsed="false">
      <c r="A145" s="100"/>
      <c r="B145" s="69" t="s">
        <v>168</v>
      </c>
      <c r="C145" s="91" t="s">
        <v>366</v>
      </c>
      <c r="D145" s="91" t="s">
        <v>367</v>
      </c>
      <c r="E145" s="92" t="n">
        <v>36557</v>
      </c>
      <c r="F145" s="92" t="n">
        <v>41029</v>
      </c>
      <c r="G145" s="69" t="s">
        <v>2</v>
      </c>
      <c r="H145" s="69" t="s">
        <v>2</v>
      </c>
      <c r="I145" s="91" t="s">
        <v>370</v>
      </c>
      <c r="J145" s="93" t="n">
        <f aca="false">6.237*0.0328767</f>
        <v>0.2050519779</v>
      </c>
      <c r="K145" s="94" t="n">
        <v>0</v>
      </c>
      <c r="L145" s="94" t="n">
        <v>0.0022</v>
      </c>
      <c r="M145" s="94" t="n">
        <v>0</v>
      </c>
      <c r="N145" s="94" t="n">
        <v>0</v>
      </c>
      <c r="O145" s="95" t="n">
        <v>0</v>
      </c>
      <c r="P145" s="94" t="n">
        <f aca="false">SUM(J145:N145)</f>
        <v>0.2072519779</v>
      </c>
      <c r="Q145" s="96" t="n">
        <v>892590</v>
      </c>
      <c r="R145" s="96"/>
      <c r="S145" s="91" t="n">
        <v>74</v>
      </c>
      <c r="T145" s="69" t="s">
        <v>385</v>
      </c>
      <c r="U145" s="97" t="n">
        <v>0</v>
      </c>
      <c r="V145" s="97" t="n">
        <v>506.38</v>
      </c>
      <c r="W145" s="98" t="n">
        <v>245855</v>
      </c>
      <c r="X145" s="98"/>
      <c r="Y145" s="69"/>
      <c r="Z145" s="89"/>
      <c r="AA145" s="89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100"/>
      <c r="CF145" s="100"/>
      <c r="CG145" s="100"/>
      <c r="CH145" s="100"/>
      <c r="CI145" s="100"/>
      <c r="CJ145" s="100"/>
      <c r="CK145" s="100"/>
      <c r="CL145" s="100"/>
      <c r="CM145" s="100"/>
      <c r="CN145" s="100"/>
      <c r="CO145" s="100"/>
      <c r="CP145" s="100"/>
      <c r="CQ145" s="100"/>
      <c r="CR145" s="100"/>
      <c r="CS145" s="100"/>
      <c r="CT145" s="100"/>
      <c r="CU145" s="100"/>
      <c r="CV145" s="100"/>
      <c r="CW145" s="100"/>
      <c r="CX145" s="100"/>
      <c r="CY145" s="100"/>
      <c r="CZ145" s="100"/>
      <c r="DA145" s="100"/>
      <c r="DB145" s="100"/>
      <c r="DC145" s="100"/>
      <c r="DD145" s="100"/>
      <c r="DE145" s="100"/>
      <c r="DF145" s="100"/>
      <c r="DG145" s="100"/>
      <c r="DH145" s="100"/>
      <c r="DI145" s="100"/>
      <c r="DJ145" s="100"/>
      <c r="DK145" s="100"/>
      <c r="DL145" s="100"/>
      <c r="DM145" s="100"/>
      <c r="DN145" s="100"/>
      <c r="DO145" s="100"/>
      <c r="DP145" s="100"/>
      <c r="DQ145" s="100"/>
      <c r="DR145" s="100"/>
      <c r="DS145" s="100"/>
      <c r="DT145" s="100"/>
      <c r="DU145" s="100"/>
      <c r="DV145" s="100"/>
      <c r="DW145" s="100"/>
      <c r="DX145" s="100"/>
      <c r="DY145" s="100"/>
      <c r="DZ145" s="100"/>
      <c r="EA145" s="100"/>
      <c r="EB145" s="100"/>
      <c r="EC145" s="100"/>
      <c r="ED145" s="100"/>
      <c r="EE145" s="100"/>
      <c r="EF145" s="100"/>
      <c r="EG145" s="100"/>
      <c r="EH145" s="100"/>
      <c r="EI145" s="100"/>
      <c r="EJ145" s="100"/>
      <c r="EK145" s="100"/>
      <c r="EL145" s="100"/>
      <c r="EM145" s="100"/>
      <c r="EN145" s="100"/>
      <c r="EO145" s="100"/>
      <c r="EP145" s="100"/>
      <c r="EQ145" s="100"/>
      <c r="ER145" s="100"/>
      <c r="ES145" s="100"/>
      <c r="ET145" s="100"/>
      <c r="EU145" s="100"/>
      <c r="EV145" s="100"/>
      <c r="EW145" s="100"/>
      <c r="EX145" s="100"/>
      <c r="EY145" s="100"/>
      <c r="EZ145" s="100"/>
      <c r="FA145" s="100"/>
      <c r="FB145" s="100"/>
      <c r="FC145" s="100"/>
      <c r="FD145" s="100"/>
      <c r="FE145" s="100"/>
      <c r="FF145" s="100"/>
      <c r="FG145" s="100"/>
      <c r="FH145" s="100"/>
      <c r="FI145" s="100"/>
      <c r="FJ145" s="100"/>
      <c r="FK145" s="100"/>
      <c r="FL145" s="100"/>
      <c r="FM145" s="100"/>
      <c r="FN145" s="100"/>
      <c r="FO145" s="100"/>
      <c r="FP145" s="100"/>
      <c r="FQ145" s="100"/>
      <c r="FR145" s="100"/>
      <c r="FS145" s="100"/>
      <c r="FT145" s="100"/>
      <c r="FU145" s="100"/>
      <c r="FV145" s="100"/>
      <c r="FW145" s="100"/>
      <c r="FX145" s="100"/>
      <c r="FY145" s="100"/>
      <c r="FZ145" s="100"/>
      <c r="GA145" s="100"/>
      <c r="GB145" s="100"/>
      <c r="GC145" s="100"/>
      <c r="GD145" s="100"/>
      <c r="GE145" s="100"/>
      <c r="GF145" s="100"/>
      <c r="GG145" s="100"/>
      <c r="GH145" s="100"/>
      <c r="GI145" s="100"/>
      <c r="GJ145" s="100"/>
      <c r="GK145" s="100"/>
      <c r="GL145" s="100"/>
      <c r="GM145" s="100"/>
      <c r="GN145" s="100"/>
      <c r="GO145" s="100"/>
      <c r="GP145" s="100"/>
      <c r="GQ145" s="100"/>
      <c r="GR145" s="100"/>
      <c r="GS145" s="100"/>
      <c r="GT145" s="100"/>
      <c r="GU145" s="100"/>
      <c r="GV145" s="100"/>
      <c r="GW145" s="100"/>
      <c r="GX145" s="100"/>
      <c r="GY145" s="100"/>
      <c r="GZ145" s="100"/>
      <c r="HA145" s="100"/>
      <c r="HB145" s="100"/>
      <c r="HC145" s="100"/>
      <c r="HD145" s="100"/>
      <c r="HE145" s="100"/>
      <c r="HF145" s="100"/>
      <c r="HG145" s="100"/>
      <c r="HH145" s="100"/>
      <c r="HI145" s="100"/>
      <c r="HJ145" s="100"/>
      <c r="HK145" s="100"/>
      <c r="HL145" s="100"/>
      <c r="HM145" s="100"/>
      <c r="HN145" s="100"/>
      <c r="HO145" s="100"/>
      <c r="HP145" s="100"/>
      <c r="HQ145" s="100"/>
      <c r="HR145" s="100"/>
      <c r="HS145" s="100"/>
      <c r="HT145" s="100"/>
      <c r="HU145" s="100"/>
      <c r="HV145" s="100"/>
      <c r="HW145" s="100"/>
      <c r="HX145" s="100"/>
      <c r="HY145" s="100"/>
      <c r="HZ145" s="100"/>
      <c r="IA145" s="100"/>
      <c r="IB145" s="100"/>
      <c r="IC145" s="100"/>
      <c r="ID145" s="100"/>
      <c r="IE145" s="100"/>
      <c r="IF145" s="100"/>
      <c r="IG145" s="100"/>
      <c r="IH145" s="100"/>
      <c r="II145" s="100"/>
      <c r="IJ145" s="100"/>
      <c r="IK145" s="100"/>
      <c r="IL145" s="100"/>
      <c r="IM145" s="100"/>
      <c r="IN145" s="100"/>
      <c r="IO145" s="100"/>
      <c r="IP145" s="100"/>
      <c r="IQ145" s="100"/>
      <c r="IR145" s="100"/>
      <c r="IS145" s="100"/>
      <c r="IT145" s="100"/>
      <c r="IU145" s="100"/>
      <c r="IV145" s="100"/>
      <c r="IW145" s="100"/>
    </row>
    <row r="146" customFormat="false" ht="12.75" hidden="false" customHeight="false" outlineLevel="0" collapsed="false">
      <c r="A146" s="100"/>
      <c r="B146" s="69" t="s">
        <v>168</v>
      </c>
      <c r="C146" s="91" t="s">
        <v>366</v>
      </c>
      <c r="D146" s="91" t="s">
        <v>386</v>
      </c>
      <c r="E146" s="92" t="n">
        <v>36526</v>
      </c>
      <c r="F146" s="92" t="n">
        <v>36677</v>
      </c>
      <c r="G146" s="69" t="s">
        <v>387</v>
      </c>
      <c r="H146" s="69" t="s">
        <v>2</v>
      </c>
      <c r="I146" s="91" t="s">
        <v>380</v>
      </c>
      <c r="J146" s="93" t="n">
        <v>0.8784</v>
      </c>
      <c r="K146" s="94"/>
      <c r="L146" s="94"/>
      <c r="M146" s="94"/>
      <c r="N146" s="94"/>
      <c r="O146" s="95"/>
      <c r="P146" s="94"/>
      <c r="Q146" s="96"/>
      <c r="R146" s="96" t="n">
        <v>891719</v>
      </c>
      <c r="S146" s="91" t="n">
        <v>300</v>
      </c>
      <c r="T146" s="69" t="s">
        <v>388</v>
      </c>
      <c r="U146" s="97" t="n">
        <f aca="false">(+S146*J146)*31</f>
        <v>8169.12</v>
      </c>
      <c r="V146" s="97"/>
      <c r="W146" s="98"/>
      <c r="X146" s="98" t="n">
        <v>202419</v>
      </c>
      <c r="Y146" s="69"/>
      <c r="Z146" s="89"/>
      <c r="AA146" s="89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100"/>
      <c r="CF146" s="100"/>
      <c r="CG146" s="100"/>
      <c r="CH146" s="100"/>
      <c r="CI146" s="100"/>
      <c r="CJ146" s="100"/>
      <c r="CK146" s="100"/>
      <c r="CL146" s="100"/>
      <c r="CM146" s="100"/>
      <c r="CN146" s="100"/>
      <c r="CO146" s="100"/>
      <c r="CP146" s="100"/>
      <c r="CQ146" s="100"/>
      <c r="CR146" s="100"/>
      <c r="CS146" s="100"/>
      <c r="CT146" s="100"/>
      <c r="CU146" s="100"/>
      <c r="CV146" s="100"/>
      <c r="CW146" s="100"/>
      <c r="CX146" s="100"/>
      <c r="CY146" s="100"/>
      <c r="CZ146" s="100"/>
      <c r="DA146" s="100"/>
      <c r="DB146" s="100"/>
      <c r="DC146" s="100"/>
      <c r="DD146" s="100"/>
      <c r="DE146" s="100"/>
      <c r="DF146" s="100"/>
      <c r="DG146" s="100"/>
      <c r="DH146" s="100"/>
      <c r="DI146" s="100"/>
      <c r="DJ146" s="100"/>
      <c r="DK146" s="100"/>
      <c r="DL146" s="100"/>
      <c r="DM146" s="100"/>
      <c r="DN146" s="100"/>
      <c r="DO146" s="100"/>
      <c r="DP146" s="100"/>
      <c r="DQ146" s="100"/>
      <c r="DR146" s="100"/>
      <c r="DS146" s="100"/>
      <c r="DT146" s="100"/>
      <c r="DU146" s="100"/>
      <c r="DV146" s="100"/>
      <c r="DW146" s="100"/>
      <c r="DX146" s="100"/>
      <c r="DY146" s="100"/>
      <c r="DZ146" s="100"/>
      <c r="EA146" s="100"/>
      <c r="EB146" s="100"/>
      <c r="EC146" s="100"/>
      <c r="ED146" s="100"/>
      <c r="EE146" s="100"/>
      <c r="EF146" s="100"/>
      <c r="EG146" s="100"/>
      <c r="EH146" s="100"/>
      <c r="EI146" s="100"/>
      <c r="EJ146" s="100"/>
      <c r="EK146" s="100"/>
      <c r="EL146" s="100"/>
      <c r="EM146" s="100"/>
      <c r="EN146" s="100"/>
      <c r="EO146" s="100"/>
      <c r="EP146" s="100"/>
      <c r="EQ146" s="100"/>
      <c r="ER146" s="100"/>
      <c r="ES146" s="100"/>
      <c r="ET146" s="100"/>
      <c r="EU146" s="100"/>
      <c r="EV146" s="100"/>
      <c r="EW146" s="100"/>
      <c r="EX146" s="100"/>
      <c r="EY146" s="100"/>
      <c r="EZ146" s="100"/>
      <c r="FA146" s="100"/>
      <c r="FB146" s="100"/>
      <c r="FC146" s="100"/>
      <c r="FD146" s="100"/>
      <c r="FE146" s="100"/>
      <c r="FF146" s="100"/>
      <c r="FG146" s="100"/>
      <c r="FH146" s="100"/>
      <c r="FI146" s="100"/>
      <c r="FJ146" s="100"/>
      <c r="FK146" s="100"/>
      <c r="FL146" s="100"/>
      <c r="FM146" s="100"/>
      <c r="FN146" s="100"/>
      <c r="FO146" s="100"/>
      <c r="FP146" s="100"/>
      <c r="FQ146" s="100"/>
      <c r="FR146" s="100"/>
      <c r="FS146" s="100"/>
      <c r="FT146" s="100"/>
      <c r="FU146" s="100"/>
      <c r="FV146" s="100"/>
      <c r="FW146" s="100"/>
      <c r="FX146" s="100"/>
      <c r="FY146" s="100"/>
      <c r="FZ146" s="100"/>
      <c r="GA146" s="100"/>
      <c r="GB146" s="100"/>
      <c r="GC146" s="100"/>
      <c r="GD146" s="100"/>
      <c r="GE146" s="100"/>
      <c r="GF146" s="100"/>
      <c r="GG146" s="100"/>
      <c r="GH146" s="100"/>
      <c r="GI146" s="100"/>
      <c r="GJ146" s="100"/>
      <c r="GK146" s="100"/>
      <c r="GL146" s="100"/>
      <c r="GM146" s="100"/>
      <c r="GN146" s="100"/>
      <c r="GO146" s="100"/>
      <c r="GP146" s="100"/>
      <c r="GQ146" s="100"/>
      <c r="GR146" s="100"/>
      <c r="GS146" s="100"/>
      <c r="GT146" s="100"/>
      <c r="GU146" s="100"/>
      <c r="GV146" s="100"/>
      <c r="GW146" s="100"/>
      <c r="GX146" s="100"/>
      <c r="GY146" s="100"/>
      <c r="GZ146" s="100"/>
      <c r="HA146" s="100"/>
      <c r="HB146" s="100"/>
      <c r="HC146" s="100"/>
      <c r="HD146" s="100"/>
      <c r="HE146" s="100"/>
      <c r="HF146" s="100"/>
      <c r="HG146" s="100"/>
      <c r="HH146" s="100"/>
      <c r="HI146" s="100"/>
      <c r="HJ146" s="100"/>
      <c r="HK146" s="100"/>
      <c r="HL146" s="100"/>
      <c r="HM146" s="100"/>
      <c r="HN146" s="100"/>
      <c r="HO146" s="100"/>
      <c r="HP146" s="100"/>
      <c r="HQ146" s="100"/>
      <c r="HR146" s="100"/>
      <c r="HS146" s="100"/>
      <c r="HT146" s="100"/>
      <c r="HU146" s="100"/>
      <c r="HV146" s="100"/>
      <c r="HW146" s="100"/>
      <c r="HX146" s="100"/>
      <c r="HY146" s="100"/>
      <c r="HZ146" s="100"/>
      <c r="IA146" s="100"/>
      <c r="IB146" s="100"/>
      <c r="IC146" s="100"/>
      <c r="ID146" s="100"/>
      <c r="IE146" s="100"/>
      <c r="IF146" s="100"/>
      <c r="IG146" s="100"/>
      <c r="IH146" s="100"/>
      <c r="II146" s="100"/>
      <c r="IJ146" s="100"/>
      <c r="IK146" s="100"/>
      <c r="IL146" s="100"/>
      <c r="IM146" s="100"/>
      <c r="IN146" s="100"/>
      <c r="IO146" s="100"/>
      <c r="IP146" s="100"/>
      <c r="IQ146" s="100"/>
      <c r="IR146" s="100"/>
      <c r="IS146" s="100"/>
      <c r="IT146" s="100"/>
      <c r="IU146" s="100"/>
      <c r="IV146" s="100"/>
      <c r="IW146" s="100"/>
    </row>
    <row r="147" customFormat="false" ht="12.75" hidden="false" customHeight="false" outlineLevel="0" collapsed="false">
      <c r="A147" s="100"/>
      <c r="B147" s="69" t="s">
        <v>168</v>
      </c>
      <c r="C147" s="91" t="s">
        <v>366</v>
      </c>
      <c r="D147" s="91" t="s">
        <v>367</v>
      </c>
      <c r="E147" s="92" t="n">
        <v>36465</v>
      </c>
      <c r="F147" s="92" t="n">
        <v>41394</v>
      </c>
      <c r="G147" s="69" t="s">
        <v>389</v>
      </c>
      <c r="H147" s="69" t="s">
        <v>22</v>
      </c>
      <c r="I147" s="91" t="s">
        <v>389</v>
      </c>
      <c r="J147" s="93" t="n">
        <v>0</v>
      </c>
      <c r="K147" s="94" t="n">
        <v>0</v>
      </c>
      <c r="L147" s="94" t="n">
        <v>0.0022</v>
      </c>
      <c r="M147" s="94" t="n">
        <v>0</v>
      </c>
      <c r="N147" s="94" t="n">
        <v>0</v>
      </c>
      <c r="O147" s="95" t="n">
        <v>0</v>
      </c>
      <c r="P147" s="94" t="n">
        <f aca="false">SUM(J147:N147)</f>
        <v>0.0022</v>
      </c>
      <c r="Q147" s="96"/>
      <c r="R147" s="96" t="n">
        <v>892102</v>
      </c>
      <c r="S147" s="91" t="n">
        <v>170</v>
      </c>
      <c r="T147" s="69" t="s">
        <v>390</v>
      </c>
      <c r="U147" s="97" t="n">
        <v>1056.12</v>
      </c>
      <c r="V147" s="97" t="n">
        <v>977.59</v>
      </c>
      <c r="W147" s="98"/>
      <c r="X147" s="98" t="n">
        <v>143323</v>
      </c>
      <c r="Y147" s="69"/>
      <c r="Z147" s="89"/>
      <c r="AA147" s="89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100"/>
      <c r="BB147" s="100"/>
      <c r="BC147" s="100"/>
      <c r="BD147" s="100"/>
      <c r="BE147" s="100"/>
      <c r="BF147" s="100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100"/>
      <c r="BS147" s="100"/>
      <c r="BT147" s="100"/>
      <c r="BU147" s="100"/>
      <c r="BV147" s="100"/>
      <c r="BW147" s="100"/>
      <c r="BX147" s="100"/>
      <c r="BY147" s="100"/>
      <c r="BZ147" s="100"/>
      <c r="CA147" s="100"/>
      <c r="CB147" s="100"/>
      <c r="CC147" s="100"/>
      <c r="CD147" s="100"/>
      <c r="CE147" s="100"/>
      <c r="CF147" s="100"/>
      <c r="CG147" s="100"/>
      <c r="CH147" s="100"/>
      <c r="CI147" s="100"/>
      <c r="CJ147" s="100"/>
      <c r="CK147" s="100"/>
      <c r="CL147" s="100"/>
      <c r="CM147" s="100"/>
      <c r="CN147" s="100"/>
      <c r="CO147" s="100"/>
      <c r="CP147" s="100"/>
      <c r="CQ147" s="100"/>
      <c r="CR147" s="100"/>
      <c r="CS147" s="100"/>
      <c r="CT147" s="100"/>
      <c r="CU147" s="100"/>
      <c r="CV147" s="100"/>
      <c r="CW147" s="100"/>
      <c r="CX147" s="100"/>
      <c r="CY147" s="100"/>
      <c r="CZ147" s="100"/>
      <c r="DA147" s="100"/>
      <c r="DB147" s="100"/>
      <c r="DC147" s="100"/>
      <c r="DD147" s="100"/>
      <c r="DE147" s="100"/>
      <c r="DF147" s="100"/>
      <c r="DG147" s="100"/>
      <c r="DH147" s="100"/>
      <c r="DI147" s="100"/>
      <c r="DJ147" s="100"/>
      <c r="DK147" s="100"/>
      <c r="DL147" s="100"/>
      <c r="DM147" s="100"/>
      <c r="DN147" s="100"/>
      <c r="DO147" s="100"/>
      <c r="DP147" s="100"/>
      <c r="DQ147" s="100"/>
      <c r="DR147" s="100"/>
      <c r="DS147" s="100"/>
      <c r="DT147" s="100"/>
      <c r="DU147" s="100"/>
      <c r="DV147" s="100"/>
      <c r="DW147" s="100"/>
      <c r="DX147" s="100"/>
      <c r="DY147" s="100"/>
      <c r="DZ147" s="100"/>
      <c r="EA147" s="100"/>
      <c r="EB147" s="100"/>
      <c r="EC147" s="100"/>
      <c r="ED147" s="100"/>
      <c r="EE147" s="100"/>
      <c r="EF147" s="100"/>
      <c r="EG147" s="100"/>
      <c r="EH147" s="100"/>
      <c r="EI147" s="100"/>
      <c r="EJ147" s="100"/>
      <c r="EK147" s="100"/>
      <c r="EL147" s="100"/>
      <c r="EM147" s="100"/>
      <c r="EN147" s="100"/>
      <c r="EO147" s="100"/>
      <c r="EP147" s="100"/>
      <c r="EQ147" s="100"/>
      <c r="ER147" s="100"/>
      <c r="ES147" s="100"/>
      <c r="ET147" s="100"/>
      <c r="EU147" s="100"/>
      <c r="EV147" s="100"/>
      <c r="EW147" s="100"/>
      <c r="EX147" s="100"/>
      <c r="EY147" s="100"/>
      <c r="EZ147" s="100"/>
      <c r="FA147" s="100"/>
      <c r="FB147" s="100"/>
      <c r="FC147" s="100"/>
      <c r="FD147" s="100"/>
      <c r="FE147" s="100"/>
      <c r="FF147" s="100"/>
      <c r="FG147" s="100"/>
      <c r="FH147" s="100"/>
      <c r="FI147" s="100"/>
      <c r="FJ147" s="100"/>
      <c r="FK147" s="100"/>
      <c r="FL147" s="100"/>
      <c r="FM147" s="100"/>
      <c r="FN147" s="100"/>
      <c r="FO147" s="100"/>
      <c r="FP147" s="100"/>
      <c r="FQ147" s="100"/>
      <c r="FR147" s="100"/>
      <c r="FS147" s="100"/>
      <c r="FT147" s="100"/>
      <c r="FU147" s="100"/>
      <c r="FV147" s="100"/>
      <c r="FW147" s="100"/>
      <c r="FX147" s="100"/>
      <c r="FY147" s="100"/>
      <c r="FZ147" s="100"/>
      <c r="GA147" s="100"/>
      <c r="GB147" s="100"/>
      <c r="GC147" s="100"/>
      <c r="GD147" s="100"/>
      <c r="GE147" s="100"/>
      <c r="GF147" s="100"/>
      <c r="GG147" s="100"/>
      <c r="GH147" s="100"/>
      <c r="GI147" s="100"/>
      <c r="GJ147" s="100"/>
      <c r="GK147" s="100"/>
      <c r="GL147" s="100"/>
      <c r="GM147" s="100"/>
      <c r="GN147" s="100"/>
      <c r="GO147" s="100"/>
      <c r="GP147" s="100"/>
      <c r="GQ147" s="100"/>
      <c r="GR147" s="100"/>
      <c r="GS147" s="100"/>
      <c r="GT147" s="100"/>
      <c r="GU147" s="100"/>
      <c r="GV147" s="100"/>
      <c r="GW147" s="100"/>
      <c r="GX147" s="100"/>
      <c r="GY147" s="100"/>
      <c r="GZ147" s="100"/>
      <c r="HA147" s="100"/>
      <c r="HB147" s="100"/>
      <c r="HC147" s="100"/>
      <c r="HD147" s="100"/>
      <c r="HE147" s="100"/>
      <c r="HF147" s="100"/>
      <c r="HG147" s="100"/>
      <c r="HH147" s="100"/>
      <c r="HI147" s="100"/>
      <c r="HJ147" s="100"/>
      <c r="HK147" s="100"/>
      <c r="HL147" s="100"/>
      <c r="HM147" s="100"/>
      <c r="HN147" s="100"/>
      <c r="HO147" s="100"/>
      <c r="HP147" s="100"/>
      <c r="HQ147" s="100"/>
      <c r="HR147" s="100"/>
      <c r="HS147" s="100"/>
      <c r="HT147" s="100"/>
      <c r="HU147" s="100"/>
      <c r="HV147" s="100"/>
      <c r="HW147" s="100"/>
      <c r="HX147" s="100"/>
      <c r="HY147" s="100"/>
      <c r="HZ147" s="100"/>
      <c r="IA147" s="100"/>
      <c r="IB147" s="100"/>
      <c r="IC147" s="100"/>
      <c r="ID147" s="100"/>
      <c r="IE147" s="100"/>
      <c r="IF147" s="100"/>
      <c r="IG147" s="100"/>
      <c r="IH147" s="100"/>
      <c r="II147" s="100"/>
      <c r="IJ147" s="100"/>
      <c r="IK147" s="100"/>
      <c r="IL147" s="100"/>
      <c r="IM147" s="100"/>
      <c r="IN147" s="100"/>
      <c r="IO147" s="100"/>
      <c r="IP147" s="100"/>
      <c r="IQ147" s="100"/>
      <c r="IR147" s="100"/>
      <c r="IS147" s="100"/>
      <c r="IT147" s="100"/>
      <c r="IU147" s="100"/>
      <c r="IV147" s="100"/>
      <c r="IW147" s="100"/>
    </row>
    <row r="148" customFormat="false" ht="12.75" hidden="false" customHeight="false" outlineLevel="0" collapsed="false">
      <c r="A148" s="100"/>
      <c r="B148" s="69" t="s">
        <v>168</v>
      </c>
      <c r="C148" s="91" t="s">
        <v>366</v>
      </c>
      <c r="D148" s="91" t="s">
        <v>367</v>
      </c>
      <c r="E148" s="92" t="n">
        <v>36465</v>
      </c>
      <c r="F148" s="92" t="n">
        <v>41394</v>
      </c>
      <c r="G148" s="69" t="s">
        <v>389</v>
      </c>
      <c r="H148" s="69" t="s">
        <v>391</v>
      </c>
      <c r="I148" s="91" t="s">
        <v>389</v>
      </c>
      <c r="J148" s="93" t="n">
        <v>0</v>
      </c>
      <c r="K148" s="94" t="n">
        <v>0</v>
      </c>
      <c r="L148" s="94" t="n">
        <v>0.0022</v>
      </c>
      <c r="M148" s="94" t="n">
        <v>0</v>
      </c>
      <c r="N148" s="94" t="n">
        <v>0</v>
      </c>
      <c r="O148" s="95" t="n">
        <v>0</v>
      </c>
      <c r="P148" s="94" t="n">
        <f aca="false">SUM(J148:N148)</f>
        <v>0.0022</v>
      </c>
      <c r="Q148" s="96"/>
      <c r="R148" s="96" t="n">
        <v>892102</v>
      </c>
      <c r="S148" s="91" t="n">
        <v>12207</v>
      </c>
      <c r="T148" s="69" t="s">
        <v>390</v>
      </c>
      <c r="U148" s="97" t="n">
        <f aca="false">J148*J$1*S148</f>
        <v>0</v>
      </c>
      <c r="V148" s="97" t="n">
        <v>151.37</v>
      </c>
      <c r="W148" s="98"/>
      <c r="X148" s="98" t="n">
        <v>143323</v>
      </c>
      <c r="Y148" s="69"/>
      <c r="Z148" s="89"/>
      <c r="AA148" s="89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100"/>
      <c r="AV148" s="100"/>
      <c r="AW148" s="100"/>
      <c r="AX148" s="100"/>
      <c r="AY148" s="100"/>
      <c r="AZ148" s="100"/>
      <c r="BA148" s="100"/>
      <c r="BB148" s="100"/>
      <c r="BC148" s="100"/>
      <c r="BD148" s="100"/>
      <c r="BE148" s="100"/>
      <c r="BF148" s="100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100"/>
      <c r="BS148" s="100"/>
      <c r="BT148" s="100"/>
      <c r="BU148" s="100"/>
      <c r="BV148" s="100"/>
      <c r="BW148" s="100"/>
      <c r="BX148" s="100"/>
      <c r="BY148" s="100"/>
      <c r="BZ148" s="100"/>
      <c r="CA148" s="100"/>
      <c r="CB148" s="100"/>
      <c r="CC148" s="100"/>
      <c r="CD148" s="100"/>
      <c r="CE148" s="100"/>
      <c r="CF148" s="100"/>
      <c r="CG148" s="100"/>
      <c r="CH148" s="100"/>
      <c r="CI148" s="100"/>
      <c r="CJ148" s="100"/>
      <c r="CK148" s="100"/>
      <c r="CL148" s="100"/>
      <c r="CM148" s="100"/>
      <c r="CN148" s="100"/>
      <c r="CO148" s="100"/>
      <c r="CP148" s="100"/>
      <c r="CQ148" s="100"/>
      <c r="CR148" s="100"/>
      <c r="CS148" s="100"/>
      <c r="CT148" s="100"/>
      <c r="CU148" s="100"/>
      <c r="CV148" s="100"/>
      <c r="CW148" s="100"/>
      <c r="CX148" s="100"/>
      <c r="CY148" s="100"/>
      <c r="CZ148" s="100"/>
      <c r="DA148" s="100"/>
      <c r="DB148" s="100"/>
      <c r="DC148" s="100"/>
      <c r="DD148" s="100"/>
      <c r="DE148" s="100"/>
      <c r="DF148" s="100"/>
      <c r="DG148" s="100"/>
      <c r="DH148" s="100"/>
      <c r="DI148" s="100"/>
      <c r="DJ148" s="100"/>
      <c r="DK148" s="100"/>
      <c r="DL148" s="100"/>
      <c r="DM148" s="100"/>
      <c r="DN148" s="100"/>
      <c r="DO148" s="100"/>
      <c r="DP148" s="100"/>
      <c r="DQ148" s="100"/>
      <c r="DR148" s="100"/>
      <c r="DS148" s="100"/>
      <c r="DT148" s="100"/>
      <c r="DU148" s="100"/>
      <c r="DV148" s="100"/>
      <c r="DW148" s="100"/>
      <c r="DX148" s="100"/>
      <c r="DY148" s="100"/>
      <c r="DZ148" s="100"/>
      <c r="EA148" s="100"/>
      <c r="EB148" s="100"/>
      <c r="EC148" s="100"/>
      <c r="ED148" s="100"/>
      <c r="EE148" s="100"/>
      <c r="EF148" s="100"/>
      <c r="EG148" s="100"/>
      <c r="EH148" s="100"/>
      <c r="EI148" s="100"/>
      <c r="EJ148" s="100"/>
      <c r="EK148" s="100"/>
      <c r="EL148" s="100"/>
      <c r="EM148" s="100"/>
      <c r="EN148" s="100"/>
      <c r="EO148" s="100"/>
      <c r="EP148" s="100"/>
      <c r="EQ148" s="100"/>
      <c r="ER148" s="100"/>
      <c r="ES148" s="100"/>
      <c r="ET148" s="100"/>
      <c r="EU148" s="100"/>
      <c r="EV148" s="100"/>
      <c r="EW148" s="100"/>
      <c r="EX148" s="100"/>
      <c r="EY148" s="100"/>
      <c r="EZ148" s="100"/>
      <c r="FA148" s="100"/>
      <c r="FB148" s="100"/>
      <c r="FC148" s="100"/>
      <c r="FD148" s="100"/>
      <c r="FE148" s="100"/>
      <c r="FF148" s="100"/>
      <c r="FG148" s="100"/>
      <c r="FH148" s="100"/>
      <c r="FI148" s="100"/>
      <c r="FJ148" s="100"/>
      <c r="FK148" s="100"/>
      <c r="FL148" s="100"/>
      <c r="FM148" s="100"/>
      <c r="FN148" s="100"/>
      <c r="FO148" s="100"/>
      <c r="FP148" s="100"/>
      <c r="FQ148" s="100"/>
      <c r="FR148" s="100"/>
      <c r="FS148" s="100"/>
      <c r="FT148" s="100"/>
      <c r="FU148" s="100"/>
      <c r="FV148" s="100"/>
      <c r="FW148" s="100"/>
      <c r="FX148" s="100"/>
      <c r="FY148" s="100"/>
      <c r="FZ148" s="100"/>
      <c r="GA148" s="100"/>
      <c r="GB148" s="100"/>
      <c r="GC148" s="100"/>
      <c r="GD148" s="100"/>
      <c r="GE148" s="100"/>
      <c r="GF148" s="100"/>
      <c r="GG148" s="100"/>
      <c r="GH148" s="100"/>
      <c r="GI148" s="100"/>
      <c r="GJ148" s="100"/>
      <c r="GK148" s="100"/>
      <c r="GL148" s="100"/>
      <c r="GM148" s="100"/>
      <c r="GN148" s="100"/>
      <c r="GO148" s="100"/>
      <c r="GP148" s="100"/>
      <c r="GQ148" s="100"/>
      <c r="GR148" s="100"/>
      <c r="GS148" s="100"/>
      <c r="GT148" s="100"/>
      <c r="GU148" s="100"/>
      <c r="GV148" s="100"/>
      <c r="GW148" s="100"/>
      <c r="GX148" s="100"/>
      <c r="GY148" s="100"/>
      <c r="GZ148" s="100"/>
      <c r="HA148" s="100"/>
      <c r="HB148" s="100"/>
      <c r="HC148" s="100"/>
      <c r="HD148" s="100"/>
      <c r="HE148" s="100"/>
      <c r="HF148" s="100"/>
      <c r="HG148" s="100"/>
      <c r="HH148" s="100"/>
      <c r="HI148" s="100"/>
      <c r="HJ148" s="100"/>
      <c r="HK148" s="100"/>
      <c r="HL148" s="100"/>
      <c r="HM148" s="100"/>
      <c r="HN148" s="100"/>
      <c r="HO148" s="100"/>
      <c r="HP148" s="100"/>
      <c r="HQ148" s="100"/>
      <c r="HR148" s="100"/>
      <c r="HS148" s="100"/>
      <c r="HT148" s="100"/>
      <c r="HU148" s="100"/>
      <c r="HV148" s="100"/>
      <c r="HW148" s="100"/>
      <c r="HX148" s="100"/>
      <c r="HY148" s="100"/>
      <c r="HZ148" s="100"/>
      <c r="IA148" s="100"/>
      <c r="IB148" s="100"/>
      <c r="IC148" s="100"/>
      <c r="ID148" s="100"/>
      <c r="IE148" s="100"/>
      <c r="IF148" s="100"/>
      <c r="IG148" s="100"/>
      <c r="IH148" s="100"/>
      <c r="II148" s="100"/>
      <c r="IJ148" s="100"/>
      <c r="IK148" s="100"/>
      <c r="IL148" s="100"/>
      <c r="IM148" s="100"/>
      <c r="IN148" s="100"/>
      <c r="IO148" s="100"/>
      <c r="IP148" s="100"/>
      <c r="IQ148" s="100"/>
      <c r="IR148" s="100"/>
      <c r="IS148" s="100"/>
      <c r="IT148" s="100"/>
      <c r="IU148" s="100"/>
      <c r="IV148" s="100"/>
      <c r="IW148" s="100"/>
    </row>
    <row r="149" customFormat="false" ht="12.75" hidden="false" customHeight="false" outlineLevel="0" collapsed="false">
      <c r="A149" s="90"/>
      <c r="B149" s="69" t="s">
        <v>187</v>
      </c>
      <c r="C149" s="91" t="s">
        <v>366</v>
      </c>
      <c r="D149" s="91" t="s">
        <v>392</v>
      </c>
      <c r="E149" s="92" t="n">
        <v>36586</v>
      </c>
      <c r="F149" s="92" t="n">
        <v>36616</v>
      </c>
      <c r="G149" s="69" t="s">
        <v>376</v>
      </c>
      <c r="H149" s="69" t="s">
        <v>2</v>
      </c>
      <c r="I149" s="91" t="s">
        <v>380</v>
      </c>
      <c r="J149" s="93" t="n">
        <v>0.65</v>
      </c>
      <c r="K149" s="94" t="n">
        <v>0</v>
      </c>
      <c r="L149" s="94" t="n">
        <v>0.0022</v>
      </c>
      <c r="M149" s="94" t="n">
        <v>0</v>
      </c>
      <c r="N149" s="94" t="n">
        <v>0</v>
      </c>
      <c r="O149" s="95" t="n">
        <v>0</v>
      </c>
      <c r="P149" s="94" t="n">
        <f aca="false">SUM(J149:N149)</f>
        <v>0.6522</v>
      </c>
      <c r="Q149" s="96" t="n">
        <v>892686</v>
      </c>
      <c r="R149" s="96" t="s">
        <v>326</v>
      </c>
      <c r="S149" s="91" t="n">
        <v>105</v>
      </c>
      <c r="T149" s="69" t="s">
        <v>393</v>
      </c>
      <c r="U149" s="97" t="n">
        <f aca="false">J149*J$1*S149</f>
        <v>2115.75</v>
      </c>
      <c r="V149" s="97"/>
      <c r="W149" s="98" t="n">
        <v>205504</v>
      </c>
      <c r="X149" s="98" t="n">
        <v>145307</v>
      </c>
      <c r="Y149" s="69"/>
      <c r="Z149" s="99"/>
      <c r="AA149" s="99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90"/>
      <c r="CM149" s="90"/>
      <c r="CN149" s="90"/>
      <c r="CO149" s="90"/>
      <c r="CP149" s="90"/>
      <c r="CQ149" s="90"/>
      <c r="CR149" s="90"/>
      <c r="CS149" s="90"/>
      <c r="CT149" s="90"/>
      <c r="CU149" s="90"/>
      <c r="CV149" s="90"/>
      <c r="CW149" s="90"/>
      <c r="CX149" s="90"/>
      <c r="CY149" s="90"/>
      <c r="CZ149" s="90"/>
      <c r="DA149" s="90"/>
      <c r="DB149" s="90"/>
      <c r="DC149" s="90"/>
      <c r="DD149" s="90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  <c r="DT149" s="90"/>
      <c r="DU149" s="90"/>
      <c r="DV149" s="90"/>
      <c r="DW149" s="90"/>
      <c r="DX149" s="90"/>
      <c r="DY149" s="90"/>
      <c r="DZ149" s="90"/>
      <c r="EA149" s="90"/>
      <c r="EB149" s="90"/>
      <c r="EC149" s="90"/>
      <c r="ED149" s="90"/>
      <c r="EE149" s="90"/>
      <c r="EF149" s="90"/>
      <c r="EG149" s="90"/>
      <c r="EH149" s="90"/>
      <c r="EI149" s="90"/>
      <c r="EJ149" s="90"/>
      <c r="EK149" s="90"/>
      <c r="EL149" s="90"/>
      <c r="EM149" s="90"/>
      <c r="EN149" s="90"/>
      <c r="EO149" s="90"/>
      <c r="EP149" s="90"/>
      <c r="EQ149" s="90"/>
      <c r="ER149" s="90"/>
      <c r="ES149" s="90"/>
      <c r="ET149" s="90"/>
      <c r="EU149" s="90"/>
      <c r="EV149" s="90"/>
      <c r="EW149" s="90"/>
      <c r="EX149" s="90"/>
      <c r="EY149" s="90"/>
      <c r="EZ149" s="90"/>
      <c r="FA149" s="90"/>
      <c r="FB149" s="90"/>
      <c r="FC149" s="90"/>
      <c r="FD149" s="90"/>
      <c r="FE149" s="90"/>
      <c r="FF149" s="90"/>
      <c r="FG149" s="90"/>
      <c r="FH149" s="90"/>
      <c r="FI149" s="90"/>
      <c r="FJ149" s="90"/>
      <c r="FK149" s="90"/>
      <c r="FL149" s="90"/>
      <c r="FM149" s="90"/>
      <c r="FN149" s="90"/>
      <c r="FO149" s="90"/>
      <c r="FP149" s="90"/>
      <c r="FQ149" s="90"/>
      <c r="FR149" s="90"/>
      <c r="FS149" s="90"/>
      <c r="FT149" s="90"/>
      <c r="FU149" s="90"/>
      <c r="FV149" s="90"/>
      <c r="FW149" s="90"/>
      <c r="FX149" s="90"/>
      <c r="FY149" s="90"/>
      <c r="FZ149" s="90"/>
      <c r="GA149" s="90"/>
      <c r="GB149" s="90"/>
      <c r="GC149" s="90"/>
      <c r="GD149" s="90"/>
      <c r="GE149" s="90"/>
      <c r="GF149" s="90"/>
      <c r="GG149" s="90"/>
      <c r="GH149" s="90"/>
      <c r="GI149" s="90"/>
      <c r="GJ149" s="90"/>
      <c r="GK149" s="90"/>
      <c r="GL149" s="90"/>
      <c r="GM149" s="90"/>
      <c r="GN149" s="90"/>
      <c r="GO149" s="90"/>
      <c r="GP149" s="90"/>
      <c r="GQ149" s="90"/>
      <c r="GR149" s="90"/>
      <c r="GS149" s="90"/>
      <c r="GT149" s="90"/>
      <c r="GU149" s="90"/>
      <c r="GV149" s="90"/>
      <c r="GW149" s="90"/>
      <c r="GX149" s="90"/>
      <c r="GY149" s="90"/>
      <c r="GZ149" s="90"/>
      <c r="HA149" s="90"/>
      <c r="HB149" s="90"/>
      <c r="HC149" s="90"/>
      <c r="HD149" s="90"/>
      <c r="HE149" s="90"/>
      <c r="HF149" s="90"/>
      <c r="HG149" s="90"/>
      <c r="HH149" s="90"/>
      <c r="HI149" s="90"/>
      <c r="HJ149" s="90"/>
      <c r="HK149" s="90"/>
      <c r="HL149" s="90"/>
      <c r="HM149" s="90"/>
      <c r="HN149" s="90"/>
      <c r="HO149" s="90"/>
      <c r="HP149" s="90"/>
      <c r="HQ149" s="90"/>
      <c r="HR149" s="90"/>
      <c r="HS149" s="90"/>
      <c r="HT149" s="90"/>
      <c r="HU149" s="90"/>
      <c r="HV149" s="90"/>
      <c r="HW149" s="90"/>
      <c r="HX149" s="90"/>
      <c r="HY149" s="90"/>
      <c r="HZ149" s="90"/>
      <c r="IA149" s="90"/>
      <c r="IB149" s="90"/>
      <c r="IC149" s="90"/>
      <c r="ID149" s="90"/>
      <c r="IE149" s="90"/>
      <c r="IF149" s="90"/>
      <c r="IG149" s="90"/>
      <c r="IH149" s="90"/>
      <c r="II149" s="90"/>
      <c r="IJ149" s="90"/>
      <c r="IK149" s="90"/>
      <c r="IL149" s="90"/>
      <c r="IM149" s="90"/>
      <c r="IN149" s="90"/>
      <c r="IO149" s="90"/>
      <c r="IP149" s="90"/>
      <c r="IQ149" s="90"/>
      <c r="IR149" s="90"/>
      <c r="IS149" s="90"/>
      <c r="IT149" s="90"/>
      <c r="IU149" s="90"/>
      <c r="IV149" s="90"/>
      <c r="IW149" s="90"/>
    </row>
    <row r="150" customFormat="false" ht="12.75" hidden="false" customHeight="false" outlineLevel="0" collapsed="false">
      <c r="A150" s="90"/>
      <c r="B150" s="69" t="s">
        <v>187</v>
      </c>
      <c r="C150" s="91" t="s">
        <v>366</v>
      </c>
      <c r="D150" s="91" t="s">
        <v>111</v>
      </c>
      <c r="E150" s="92" t="n">
        <v>36586</v>
      </c>
      <c r="F150" s="92" t="n">
        <v>36616</v>
      </c>
      <c r="G150" s="69" t="s">
        <v>379</v>
      </c>
      <c r="H150" s="69" t="s">
        <v>379</v>
      </c>
      <c r="I150" s="91" t="s">
        <v>394</v>
      </c>
      <c r="J150" s="93" t="n">
        <f aca="false">1.2167*0.0328767</f>
        <v>0.04000108089</v>
      </c>
      <c r="K150" s="94"/>
      <c r="L150" s="94"/>
      <c r="M150" s="94"/>
      <c r="N150" s="94"/>
      <c r="O150" s="95"/>
      <c r="P150" s="94"/>
      <c r="Q150" s="96" t="n">
        <v>892687</v>
      </c>
      <c r="R150" s="96"/>
      <c r="S150" s="91" t="n">
        <v>41</v>
      </c>
      <c r="T150" s="69" t="s">
        <v>395</v>
      </c>
      <c r="U150" s="97" t="n">
        <f aca="false">+J150*S150*J$1</f>
        <v>50.84137381119</v>
      </c>
      <c r="V150" s="97"/>
      <c r="W150" s="98" t="n">
        <v>205587</v>
      </c>
      <c r="X150" s="98"/>
      <c r="Y150" s="69"/>
      <c r="Z150" s="99"/>
      <c r="AA150" s="99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  <c r="DT150" s="90"/>
      <c r="DU150" s="90"/>
      <c r="DV150" s="90"/>
      <c r="DW150" s="90"/>
      <c r="DX150" s="90"/>
      <c r="DY150" s="90"/>
      <c r="DZ150" s="90"/>
      <c r="EA150" s="90"/>
      <c r="EB150" s="90"/>
      <c r="EC150" s="90"/>
      <c r="ED150" s="90"/>
      <c r="EE150" s="90"/>
      <c r="EF150" s="90"/>
      <c r="EG150" s="90"/>
      <c r="EH150" s="90"/>
      <c r="EI150" s="90"/>
      <c r="EJ150" s="90"/>
      <c r="EK150" s="90"/>
      <c r="EL150" s="90"/>
      <c r="EM150" s="90"/>
      <c r="EN150" s="90"/>
      <c r="EO150" s="90"/>
      <c r="EP150" s="90"/>
      <c r="EQ150" s="90"/>
      <c r="ER150" s="90"/>
      <c r="ES150" s="90"/>
      <c r="ET150" s="90"/>
      <c r="EU150" s="90"/>
      <c r="EV150" s="90"/>
      <c r="EW150" s="90"/>
      <c r="EX150" s="90"/>
      <c r="EY150" s="90"/>
      <c r="EZ150" s="90"/>
      <c r="FA150" s="90"/>
      <c r="FB150" s="90"/>
      <c r="FC150" s="90"/>
      <c r="FD150" s="90"/>
      <c r="FE150" s="90"/>
      <c r="FF150" s="90"/>
      <c r="FG150" s="90"/>
      <c r="FH150" s="90"/>
      <c r="FI150" s="90"/>
      <c r="FJ150" s="90"/>
      <c r="FK150" s="90"/>
      <c r="FL150" s="90"/>
      <c r="FM150" s="90"/>
      <c r="FN150" s="90"/>
      <c r="FO150" s="90"/>
      <c r="FP150" s="90"/>
      <c r="FQ150" s="90"/>
      <c r="FR150" s="90"/>
      <c r="FS150" s="90"/>
      <c r="FT150" s="90"/>
      <c r="FU150" s="90"/>
      <c r="FV150" s="90"/>
      <c r="FW150" s="90"/>
      <c r="FX150" s="90"/>
      <c r="FY150" s="90"/>
      <c r="FZ150" s="90"/>
      <c r="GA150" s="90"/>
      <c r="GB150" s="90"/>
      <c r="GC150" s="90"/>
      <c r="GD150" s="90"/>
      <c r="GE150" s="90"/>
      <c r="GF150" s="90"/>
      <c r="GG150" s="90"/>
      <c r="GH150" s="90"/>
      <c r="GI150" s="90"/>
      <c r="GJ150" s="90"/>
      <c r="GK150" s="90"/>
      <c r="GL150" s="90"/>
      <c r="GM150" s="90"/>
      <c r="GN150" s="90"/>
      <c r="GO150" s="90"/>
      <c r="GP150" s="90"/>
      <c r="GQ150" s="90"/>
      <c r="GR150" s="90"/>
      <c r="GS150" s="90"/>
      <c r="GT150" s="90"/>
      <c r="GU150" s="90"/>
      <c r="GV150" s="90"/>
      <c r="GW150" s="90"/>
      <c r="GX150" s="90"/>
      <c r="GY150" s="90"/>
      <c r="GZ150" s="90"/>
      <c r="HA150" s="90"/>
      <c r="HB150" s="90"/>
      <c r="HC150" s="90"/>
      <c r="HD150" s="90"/>
      <c r="HE150" s="90"/>
      <c r="HF150" s="90"/>
      <c r="HG150" s="90"/>
      <c r="HH150" s="90"/>
      <c r="HI150" s="90"/>
      <c r="HJ150" s="90"/>
      <c r="HK150" s="90"/>
      <c r="HL150" s="90"/>
      <c r="HM150" s="90"/>
      <c r="HN150" s="90"/>
      <c r="HO150" s="90"/>
      <c r="HP150" s="90"/>
      <c r="HQ150" s="90"/>
      <c r="HR150" s="90"/>
      <c r="HS150" s="90"/>
      <c r="HT150" s="90"/>
      <c r="HU150" s="90"/>
      <c r="HV150" s="90"/>
      <c r="HW150" s="90"/>
      <c r="HX150" s="90"/>
      <c r="HY150" s="90"/>
      <c r="HZ150" s="90"/>
      <c r="IA150" s="90"/>
      <c r="IB150" s="90"/>
      <c r="IC150" s="90"/>
      <c r="ID150" s="90"/>
      <c r="IE150" s="90"/>
      <c r="IF150" s="90"/>
      <c r="IG150" s="90"/>
      <c r="IH150" s="90"/>
      <c r="II150" s="90"/>
      <c r="IJ150" s="90"/>
      <c r="IK150" s="90"/>
      <c r="IL150" s="90"/>
      <c r="IM150" s="90"/>
      <c r="IN150" s="90"/>
      <c r="IO150" s="90"/>
      <c r="IP150" s="90"/>
      <c r="IQ150" s="90"/>
      <c r="IR150" s="90"/>
      <c r="IS150" s="90"/>
      <c r="IT150" s="90"/>
      <c r="IU150" s="90"/>
      <c r="IV150" s="90"/>
      <c r="IW150" s="90"/>
    </row>
    <row r="151" customFormat="false" ht="12.75" hidden="false" customHeight="false" outlineLevel="0" collapsed="false">
      <c r="A151" s="90"/>
      <c r="B151" s="69" t="s">
        <v>187</v>
      </c>
      <c r="C151" s="91" t="s">
        <v>366</v>
      </c>
      <c r="D151" s="91" t="s">
        <v>111</v>
      </c>
      <c r="E151" s="92" t="n">
        <v>36586</v>
      </c>
      <c r="F151" s="92" t="n">
        <v>36616</v>
      </c>
      <c r="G151" s="69" t="s">
        <v>396</v>
      </c>
      <c r="H151" s="69" t="s">
        <v>379</v>
      </c>
      <c r="I151" s="91" t="s">
        <v>370</v>
      </c>
      <c r="J151" s="93" t="n">
        <f aca="false">5.075*0.0328767</f>
        <v>0.1668492525</v>
      </c>
      <c r="K151" s="94"/>
      <c r="L151" s="94"/>
      <c r="M151" s="94"/>
      <c r="N151" s="94"/>
      <c r="O151" s="95"/>
      <c r="P151" s="94"/>
      <c r="Q151" s="96" t="n">
        <v>892690</v>
      </c>
      <c r="R151" s="96"/>
      <c r="S151" s="91" t="n">
        <v>41</v>
      </c>
      <c r="T151" s="69" t="s">
        <v>397</v>
      </c>
      <c r="U151" s="97" t="n">
        <f aca="false">+J151*S151*J$1</f>
        <v>212.0653999275</v>
      </c>
      <c r="V151" s="97"/>
      <c r="W151" s="98" t="n">
        <v>205590</v>
      </c>
      <c r="X151" s="98"/>
      <c r="Y151" s="69"/>
      <c r="Z151" s="99"/>
      <c r="AA151" s="99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90"/>
      <c r="CM151" s="90"/>
      <c r="CN151" s="90"/>
      <c r="CO151" s="90"/>
      <c r="CP151" s="90"/>
      <c r="CQ151" s="90"/>
      <c r="CR151" s="90"/>
      <c r="CS151" s="90"/>
      <c r="CT151" s="90"/>
      <c r="CU151" s="90"/>
      <c r="CV151" s="90"/>
      <c r="CW151" s="90"/>
      <c r="CX151" s="90"/>
      <c r="CY151" s="90"/>
      <c r="CZ151" s="90"/>
      <c r="DA151" s="90"/>
      <c r="DB151" s="90"/>
      <c r="DC151" s="90"/>
      <c r="DD151" s="90"/>
      <c r="DE151" s="90"/>
      <c r="DF151" s="90"/>
      <c r="DG151" s="90"/>
      <c r="DH151" s="90"/>
      <c r="DI151" s="90"/>
      <c r="DJ151" s="90"/>
      <c r="DK151" s="90"/>
      <c r="DL151" s="90"/>
      <c r="DM151" s="90"/>
      <c r="DN151" s="90"/>
      <c r="DO151" s="90"/>
      <c r="DP151" s="90"/>
      <c r="DQ151" s="90"/>
      <c r="DR151" s="90"/>
      <c r="DS151" s="90"/>
      <c r="DT151" s="90"/>
      <c r="DU151" s="90"/>
      <c r="DV151" s="90"/>
      <c r="DW151" s="90"/>
      <c r="DX151" s="90"/>
      <c r="DY151" s="90"/>
      <c r="DZ151" s="90"/>
      <c r="EA151" s="90"/>
      <c r="EB151" s="90"/>
      <c r="EC151" s="90"/>
      <c r="ED151" s="90"/>
      <c r="EE151" s="90"/>
      <c r="EF151" s="90"/>
      <c r="EG151" s="90"/>
      <c r="EH151" s="90"/>
      <c r="EI151" s="90"/>
      <c r="EJ151" s="90"/>
      <c r="EK151" s="90"/>
      <c r="EL151" s="90"/>
      <c r="EM151" s="90"/>
      <c r="EN151" s="90"/>
      <c r="EO151" s="90"/>
      <c r="EP151" s="90"/>
      <c r="EQ151" s="90"/>
      <c r="ER151" s="90"/>
      <c r="ES151" s="90"/>
      <c r="ET151" s="90"/>
      <c r="EU151" s="90"/>
      <c r="EV151" s="90"/>
      <c r="EW151" s="90"/>
      <c r="EX151" s="90"/>
      <c r="EY151" s="90"/>
      <c r="EZ151" s="90"/>
      <c r="FA151" s="90"/>
      <c r="FB151" s="90"/>
      <c r="FC151" s="90"/>
      <c r="FD151" s="90"/>
      <c r="FE151" s="90"/>
      <c r="FF151" s="90"/>
      <c r="FG151" s="90"/>
      <c r="FH151" s="90"/>
      <c r="FI151" s="90"/>
      <c r="FJ151" s="90"/>
      <c r="FK151" s="90"/>
      <c r="FL151" s="90"/>
      <c r="FM151" s="90"/>
      <c r="FN151" s="90"/>
      <c r="FO151" s="90"/>
      <c r="FP151" s="90"/>
      <c r="FQ151" s="90"/>
      <c r="FR151" s="90"/>
      <c r="FS151" s="90"/>
      <c r="FT151" s="90"/>
      <c r="FU151" s="90"/>
      <c r="FV151" s="90"/>
      <c r="FW151" s="90"/>
      <c r="FX151" s="90"/>
      <c r="FY151" s="90"/>
      <c r="FZ151" s="90"/>
      <c r="GA151" s="90"/>
      <c r="GB151" s="90"/>
      <c r="GC151" s="90"/>
      <c r="GD151" s="90"/>
      <c r="GE151" s="90"/>
      <c r="GF151" s="90"/>
      <c r="GG151" s="90"/>
      <c r="GH151" s="90"/>
      <c r="GI151" s="90"/>
      <c r="GJ151" s="90"/>
      <c r="GK151" s="90"/>
      <c r="GL151" s="90"/>
      <c r="GM151" s="90"/>
      <c r="GN151" s="90"/>
      <c r="GO151" s="90"/>
      <c r="GP151" s="90"/>
      <c r="GQ151" s="90"/>
      <c r="GR151" s="90"/>
      <c r="GS151" s="90"/>
      <c r="GT151" s="90"/>
      <c r="GU151" s="90"/>
      <c r="GV151" s="90"/>
      <c r="GW151" s="90"/>
      <c r="GX151" s="90"/>
      <c r="GY151" s="90"/>
      <c r="GZ151" s="90"/>
      <c r="HA151" s="90"/>
      <c r="HB151" s="90"/>
      <c r="HC151" s="90"/>
      <c r="HD151" s="90"/>
      <c r="HE151" s="90"/>
      <c r="HF151" s="90"/>
      <c r="HG151" s="90"/>
      <c r="HH151" s="90"/>
      <c r="HI151" s="90"/>
      <c r="HJ151" s="90"/>
      <c r="HK151" s="90"/>
      <c r="HL151" s="90"/>
      <c r="HM151" s="90"/>
      <c r="HN151" s="90"/>
      <c r="HO151" s="90"/>
      <c r="HP151" s="90"/>
      <c r="HQ151" s="90"/>
      <c r="HR151" s="90"/>
      <c r="HS151" s="90"/>
      <c r="HT151" s="90"/>
      <c r="HU151" s="90"/>
      <c r="HV151" s="90"/>
      <c r="HW151" s="90"/>
      <c r="HX151" s="90"/>
      <c r="HY151" s="90"/>
      <c r="HZ151" s="90"/>
      <c r="IA151" s="90"/>
      <c r="IB151" s="90"/>
      <c r="IC151" s="90"/>
      <c r="ID151" s="90"/>
      <c r="IE151" s="90"/>
      <c r="IF151" s="90"/>
      <c r="IG151" s="90"/>
      <c r="IH151" s="90"/>
      <c r="II151" s="90"/>
      <c r="IJ151" s="90"/>
      <c r="IK151" s="90"/>
      <c r="IL151" s="90"/>
      <c r="IM151" s="90"/>
      <c r="IN151" s="90"/>
      <c r="IO151" s="90"/>
      <c r="IP151" s="90"/>
      <c r="IQ151" s="90"/>
      <c r="IR151" s="90"/>
      <c r="IS151" s="90"/>
      <c r="IT151" s="90"/>
      <c r="IU151" s="90"/>
      <c r="IV151" s="90"/>
      <c r="IW151" s="90"/>
    </row>
    <row r="152" customFormat="false" ht="11.25" hidden="false" customHeight="true" outlineLevel="0" collapsed="false">
      <c r="B152" s="58"/>
      <c r="C152" s="56"/>
      <c r="D152" s="56"/>
      <c r="E152" s="57"/>
      <c r="F152" s="57"/>
      <c r="G152" s="58"/>
      <c r="H152" s="58"/>
      <c r="I152" s="56"/>
      <c r="J152" s="72"/>
      <c r="K152" s="61"/>
      <c r="L152" s="128"/>
      <c r="M152" s="61"/>
      <c r="N152" s="61"/>
      <c r="O152" s="62"/>
      <c r="P152" s="61"/>
      <c r="Q152" s="63"/>
      <c r="R152" s="63"/>
      <c r="S152" s="64" t="n">
        <f aca="false">SUM(S137:S151)</f>
        <v>13461</v>
      </c>
      <c r="T152" s="56"/>
      <c r="U152" s="101" t="n">
        <f aca="false">SUM(U137:U151)</f>
        <v>11603.8967737387</v>
      </c>
      <c r="V152" s="101"/>
      <c r="W152" s="102"/>
      <c r="X152" s="102"/>
      <c r="Y152" s="58"/>
      <c r="Z152" s="89"/>
      <c r="AA152" s="89"/>
    </row>
    <row r="153" customFormat="false" ht="12.75" hidden="false" customHeight="false" outlineLevel="0" collapsed="false">
      <c r="B153" s="80" t="s">
        <v>145</v>
      </c>
      <c r="C153" s="81" t="s">
        <v>146</v>
      </c>
      <c r="D153" s="81" t="s">
        <v>220</v>
      </c>
      <c r="E153" s="82" t="s">
        <v>148</v>
      </c>
      <c r="F153" s="82"/>
      <c r="G153" s="80" t="s">
        <v>149</v>
      </c>
      <c r="H153" s="80" t="s">
        <v>150</v>
      </c>
      <c r="I153" s="81" t="s">
        <v>151</v>
      </c>
      <c r="J153" s="83" t="s">
        <v>152</v>
      </c>
      <c r="K153" s="81" t="s">
        <v>153</v>
      </c>
      <c r="L153" s="81" t="s">
        <v>154</v>
      </c>
      <c r="M153" s="81" t="s">
        <v>155</v>
      </c>
      <c r="N153" s="81" t="s">
        <v>156</v>
      </c>
      <c r="O153" s="84" t="s">
        <v>157</v>
      </c>
      <c r="P153" s="81" t="s">
        <v>158</v>
      </c>
      <c r="Q153" s="85" t="s">
        <v>159</v>
      </c>
      <c r="R153" s="85" t="s">
        <v>160</v>
      </c>
      <c r="S153" s="81" t="s">
        <v>161</v>
      </c>
      <c r="T153" s="80" t="s">
        <v>162</v>
      </c>
      <c r="U153" s="86" t="s">
        <v>163</v>
      </c>
      <c r="V153" s="86" t="s">
        <v>164</v>
      </c>
      <c r="W153" s="87" t="s">
        <v>165</v>
      </c>
      <c r="X153" s="87" t="s">
        <v>166</v>
      </c>
      <c r="Y153" s="88" t="n">
        <f aca="false">+Y93</f>
        <v>0</v>
      </c>
      <c r="Z153" s="89"/>
      <c r="AA153" s="89"/>
    </row>
    <row r="154" customFormat="false" ht="12.75" hidden="false" customHeight="false" outlineLevel="0" collapsed="false">
      <c r="A154" s="100"/>
      <c r="B154" s="69" t="s">
        <v>168</v>
      </c>
      <c r="C154" s="91" t="s">
        <v>72</v>
      </c>
      <c r="D154" s="91" t="s">
        <v>367</v>
      </c>
      <c r="E154" s="92" t="n">
        <v>35977</v>
      </c>
      <c r="F154" s="92" t="n">
        <v>38657</v>
      </c>
      <c r="G154" s="69" t="s">
        <v>398</v>
      </c>
      <c r="H154" s="69" t="s">
        <v>399</v>
      </c>
      <c r="I154" s="91" t="s">
        <v>400</v>
      </c>
      <c r="J154" s="93" t="n">
        <v>0</v>
      </c>
      <c r="K154" s="94" t="n">
        <v>0</v>
      </c>
      <c r="L154" s="94" t="n">
        <v>0.0022</v>
      </c>
      <c r="M154" s="94" t="n">
        <v>0</v>
      </c>
      <c r="N154" s="94" t="n">
        <v>0</v>
      </c>
      <c r="O154" s="95" t="n">
        <v>0</v>
      </c>
      <c r="P154" s="94" t="n">
        <f aca="false">SUM(J154:N154)</f>
        <v>0.0022</v>
      </c>
      <c r="Q154" s="96" t="s">
        <v>401</v>
      </c>
      <c r="R154" s="96" t="s">
        <v>402</v>
      </c>
      <c r="S154" s="91" t="n">
        <v>16</v>
      </c>
      <c r="T154" s="69" t="s">
        <v>403</v>
      </c>
      <c r="U154" s="97" t="n">
        <f aca="false">J154*J$1*S154</f>
        <v>0</v>
      </c>
      <c r="V154" s="97"/>
      <c r="W154" s="98"/>
      <c r="X154" s="98" t="n">
        <v>143324</v>
      </c>
      <c r="Y154" s="58"/>
      <c r="Z154" s="89"/>
      <c r="AA154" s="89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0"/>
      <c r="CE154" s="100"/>
      <c r="CF154" s="100"/>
      <c r="CG154" s="100"/>
      <c r="CH154" s="100"/>
      <c r="CI154" s="100"/>
      <c r="CJ154" s="100"/>
      <c r="CK154" s="100"/>
      <c r="CL154" s="100"/>
      <c r="CM154" s="100"/>
      <c r="CN154" s="100"/>
      <c r="CO154" s="100"/>
      <c r="CP154" s="100"/>
      <c r="CQ154" s="100"/>
      <c r="CR154" s="100"/>
      <c r="CS154" s="100"/>
      <c r="CT154" s="100"/>
      <c r="CU154" s="100"/>
      <c r="CV154" s="100"/>
      <c r="CW154" s="100"/>
      <c r="CX154" s="100"/>
      <c r="CY154" s="100"/>
      <c r="CZ154" s="100"/>
      <c r="DA154" s="100"/>
      <c r="DB154" s="100"/>
      <c r="DC154" s="100"/>
      <c r="DD154" s="100"/>
      <c r="DE154" s="100"/>
      <c r="DF154" s="100"/>
      <c r="DG154" s="100"/>
      <c r="DH154" s="100"/>
      <c r="DI154" s="100"/>
      <c r="DJ154" s="100"/>
      <c r="DK154" s="100"/>
      <c r="DL154" s="100"/>
      <c r="DM154" s="100"/>
      <c r="DN154" s="100"/>
      <c r="DO154" s="100"/>
      <c r="DP154" s="100"/>
      <c r="DQ154" s="100"/>
      <c r="DR154" s="100"/>
      <c r="DS154" s="100"/>
      <c r="DT154" s="100"/>
      <c r="DU154" s="100"/>
      <c r="DV154" s="100"/>
      <c r="DW154" s="100"/>
      <c r="DX154" s="100"/>
      <c r="DY154" s="100"/>
      <c r="DZ154" s="100"/>
      <c r="EA154" s="100"/>
      <c r="EB154" s="100"/>
      <c r="EC154" s="100"/>
      <c r="ED154" s="100"/>
      <c r="EE154" s="100"/>
      <c r="EF154" s="100"/>
      <c r="EG154" s="100"/>
      <c r="EH154" s="100"/>
      <c r="EI154" s="100"/>
      <c r="EJ154" s="100"/>
      <c r="EK154" s="100"/>
      <c r="EL154" s="100"/>
      <c r="EM154" s="100"/>
      <c r="EN154" s="100"/>
      <c r="EO154" s="100"/>
      <c r="EP154" s="100"/>
      <c r="EQ154" s="100"/>
      <c r="ER154" s="100"/>
      <c r="ES154" s="100"/>
      <c r="ET154" s="100"/>
      <c r="EU154" s="100"/>
      <c r="EV154" s="100"/>
      <c r="EW154" s="100"/>
      <c r="EX154" s="100"/>
      <c r="EY154" s="100"/>
      <c r="EZ154" s="100"/>
      <c r="FA154" s="100"/>
      <c r="FB154" s="100"/>
      <c r="FC154" s="100"/>
      <c r="FD154" s="100"/>
      <c r="FE154" s="100"/>
      <c r="FF154" s="100"/>
      <c r="FG154" s="100"/>
      <c r="FH154" s="100"/>
      <c r="FI154" s="100"/>
      <c r="FJ154" s="100"/>
      <c r="FK154" s="100"/>
      <c r="FL154" s="100"/>
      <c r="FM154" s="100"/>
      <c r="FN154" s="100"/>
      <c r="FO154" s="100"/>
      <c r="FP154" s="100"/>
      <c r="FQ154" s="100"/>
      <c r="FR154" s="100"/>
      <c r="FS154" s="100"/>
      <c r="FT154" s="100"/>
      <c r="FU154" s="100"/>
      <c r="FV154" s="100"/>
      <c r="FW154" s="100"/>
      <c r="FX154" s="100"/>
      <c r="FY154" s="100"/>
      <c r="FZ154" s="100"/>
      <c r="GA154" s="100"/>
      <c r="GB154" s="100"/>
      <c r="GC154" s="100"/>
      <c r="GD154" s="100"/>
      <c r="GE154" s="100"/>
      <c r="GF154" s="100"/>
      <c r="GG154" s="100"/>
      <c r="GH154" s="100"/>
      <c r="GI154" s="100"/>
      <c r="GJ154" s="100"/>
      <c r="GK154" s="100"/>
      <c r="GL154" s="100"/>
      <c r="GM154" s="100"/>
      <c r="GN154" s="100"/>
      <c r="GO154" s="100"/>
      <c r="GP154" s="100"/>
      <c r="GQ154" s="100"/>
      <c r="GR154" s="100"/>
      <c r="GS154" s="100"/>
      <c r="GT154" s="100"/>
      <c r="GU154" s="100"/>
      <c r="GV154" s="100"/>
      <c r="GW154" s="100"/>
      <c r="GX154" s="100"/>
      <c r="GY154" s="100"/>
      <c r="GZ154" s="100"/>
      <c r="HA154" s="100"/>
      <c r="HB154" s="100"/>
      <c r="HC154" s="100"/>
      <c r="HD154" s="100"/>
      <c r="HE154" s="100"/>
      <c r="HF154" s="100"/>
      <c r="HG154" s="100"/>
      <c r="HH154" s="100"/>
      <c r="HI154" s="100"/>
      <c r="HJ154" s="100"/>
      <c r="HK154" s="100"/>
      <c r="HL154" s="100"/>
      <c r="HM154" s="100"/>
      <c r="HN154" s="100"/>
      <c r="HO154" s="100"/>
      <c r="HP154" s="100"/>
      <c r="HQ154" s="100"/>
      <c r="HR154" s="100"/>
      <c r="HS154" s="100"/>
      <c r="HT154" s="100"/>
      <c r="HU154" s="100"/>
      <c r="HV154" s="100"/>
      <c r="HW154" s="100"/>
      <c r="HX154" s="100"/>
      <c r="HY154" s="100"/>
      <c r="HZ154" s="100"/>
      <c r="IA154" s="100"/>
      <c r="IB154" s="100"/>
      <c r="IC154" s="100"/>
      <c r="ID154" s="100"/>
      <c r="IE154" s="100"/>
      <c r="IF154" s="100"/>
      <c r="IG154" s="100"/>
      <c r="IH154" s="100"/>
      <c r="II154" s="100"/>
      <c r="IJ154" s="100"/>
      <c r="IK154" s="100"/>
      <c r="IL154" s="100"/>
      <c r="IM154" s="100"/>
      <c r="IN154" s="100"/>
      <c r="IO154" s="100"/>
      <c r="IP154" s="100"/>
      <c r="IQ154" s="100"/>
      <c r="IR154" s="100"/>
      <c r="IS154" s="100"/>
      <c r="IT154" s="100"/>
      <c r="IU154" s="100"/>
      <c r="IV154" s="100"/>
      <c r="IW154" s="100"/>
    </row>
    <row r="155" customFormat="false" ht="12.75" hidden="false" customHeight="false" outlineLevel="0" collapsed="false">
      <c r="A155" s="100"/>
      <c r="B155" s="69" t="s">
        <v>168</v>
      </c>
      <c r="C155" s="91" t="s">
        <v>72</v>
      </c>
      <c r="D155" s="91" t="s">
        <v>367</v>
      </c>
      <c r="E155" s="92" t="n">
        <v>35977</v>
      </c>
      <c r="F155" s="92" t="n">
        <v>38657</v>
      </c>
      <c r="G155" s="69" t="s">
        <v>404</v>
      </c>
      <c r="H155" s="69" t="s">
        <v>399</v>
      </c>
      <c r="I155" s="91" t="s">
        <v>400</v>
      </c>
      <c r="J155" s="93" t="n">
        <v>0</v>
      </c>
      <c r="K155" s="94" t="n">
        <v>0</v>
      </c>
      <c r="L155" s="94" t="n">
        <v>0.0022</v>
      </c>
      <c r="M155" s="94" t="n">
        <v>0</v>
      </c>
      <c r="N155" s="94" t="n">
        <v>0</v>
      </c>
      <c r="O155" s="95" t="n">
        <v>0</v>
      </c>
      <c r="P155" s="94" t="n">
        <f aca="false">SUM(J155:N155)</f>
        <v>0.0022</v>
      </c>
      <c r="Q155" s="96" t="s">
        <v>401</v>
      </c>
      <c r="R155" s="96" t="s">
        <v>402</v>
      </c>
      <c r="S155" s="91" t="n">
        <v>17</v>
      </c>
      <c r="T155" s="69" t="s">
        <v>403</v>
      </c>
      <c r="U155" s="97" t="n">
        <f aca="false">J155*J$1*S155</f>
        <v>0</v>
      </c>
      <c r="V155" s="97"/>
      <c r="W155" s="98"/>
      <c r="X155" s="98" t="n">
        <v>143324</v>
      </c>
      <c r="Y155" s="58"/>
      <c r="Z155" s="89"/>
      <c r="AA155" s="89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  <c r="AX155" s="100"/>
      <c r="AY155" s="100"/>
      <c r="AZ155" s="100"/>
      <c r="BA155" s="100"/>
      <c r="BB155" s="100"/>
      <c r="BC155" s="100"/>
      <c r="BD155" s="100"/>
      <c r="BE155" s="100"/>
      <c r="BF155" s="100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0"/>
      <c r="CE155" s="100"/>
      <c r="CF155" s="100"/>
      <c r="CG155" s="100"/>
      <c r="CH155" s="100"/>
      <c r="CI155" s="100"/>
      <c r="CJ155" s="100"/>
      <c r="CK155" s="100"/>
      <c r="CL155" s="100"/>
      <c r="CM155" s="100"/>
      <c r="CN155" s="100"/>
      <c r="CO155" s="100"/>
      <c r="CP155" s="100"/>
      <c r="CQ155" s="100"/>
      <c r="CR155" s="100"/>
      <c r="CS155" s="100"/>
      <c r="CT155" s="100"/>
      <c r="CU155" s="100"/>
      <c r="CV155" s="100"/>
      <c r="CW155" s="100"/>
      <c r="CX155" s="100"/>
      <c r="CY155" s="100"/>
      <c r="CZ155" s="100"/>
      <c r="DA155" s="100"/>
      <c r="DB155" s="100"/>
      <c r="DC155" s="100"/>
      <c r="DD155" s="100"/>
      <c r="DE155" s="100"/>
      <c r="DF155" s="100"/>
      <c r="DG155" s="100"/>
      <c r="DH155" s="100"/>
      <c r="DI155" s="100"/>
      <c r="DJ155" s="100"/>
      <c r="DK155" s="100"/>
      <c r="DL155" s="100"/>
      <c r="DM155" s="100"/>
      <c r="DN155" s="100"/>
      <c r="DO155" s="100"/>
      <c r="DP155" s="100"/>
      <c r="DQ155" s="100"/>
      <c r="DR155" s="100"/>
      <c r="DS155" s="100"/>
      <c r="DT155" s="100"/>
      <c r="DU155" s="100"/>
      <c r="DV155" s="100"/>
      <c r="DW155" s="100"/>
      <c r="DX155" s="100"/>
      <c r="DY155" s="100"/>
      <c r="DZ155" s="100"/>
      <c r="EA155" s="100"/>
      <c r="EB155" s="100"/>
      <c r="EC155" s="100"/>
      <c r="ED155" s="100"/>
      <c r="EE155" s="100"/>
      <c r="EF155" s="100"/>
      <c r="EG155" s="100"/>
      <c r="EH155" s="100"/>
      <c r="EI155" s="100"/>
      <c r="EJ155" s="100"/>
      <c r="EK155" s="100"/>
      <c r="EL155" s="100"/>
      <c r="EM155" s="100"/>
      <c r="EN155" s="100"/>
      <c r="EO155" s="100"/>
      <c r="EP155" s="100"/>
      <c r="EQ155" s="100"/>
      <c r="ER155" s="100"/>
      <c r="ES155" s="100"/>
      <c r="ET155" s="100"/>
      <c r="EU155" s="100"/>
      <c r="EV155" s="100"/>
      <c r="EW155" s="100"/>
      <c r="EX155" s="100"/>
      <c r="EY155" s="100"/>
      <c r="EZ155" s="100"/>
      <c r="FA155" s="100"/>
      <c r="FB155" s="100"/>
      <c r="FC155" s="100"/>
      <c r="FD155" s="100"/>
      <c r="FE155" s="100"/>
      <c r="FF155" s="100"/>
      <c r="FG155" s="100"/>
      <c r="FH155" s="100"/>
      <c r="FI155" s="100"/>
      <c r="FJ155" s="100"/>
      <c r="FK155" s="100"/>
      <c r="FL155" s="100"/>
      <c r="FM155" s="100"/>
      <c r="FN155" s="100"/>
      <c r="FO155" s="100"/>
      <c r="FP155" s="100"/>
      <c r="FQ155" s="100"/>
      <c r="FR155" s="100"/>
      <c r="FS155" s="100"/>
      <c r="FT155" s="100"/>
      <c r="FU155" s="100"/>
      <c r="FV155" s="100"/>
      <c r="FW155" s="100"/>
      <c r="FX155" s="100"/>
      <c r="FY155" s="100"/>
      <c r="FZ155" s="100"/>
      <c r="GA155" s="100"/>
      <c r="GB155" s="100"/>
      <c r="GC155" s="100"/>
      <c r="GD155" s="100"/>
      <c r="GE155" s="100"/>
      <c r="GF155" s="100"/>
      <c r="GG155" s="100"/>
      <c r="GH155" s="100"/>
      <c r="GI155" s="100"/>
      <c r="GJ155" s="100"/>
      <c r="GK155" s="100"/>
      <c r="GL155" s="100"/>
      <c r="GM155" s="100"/>
      <c r="GN155" s="100"/>
      <c r="GO155" s="100"/>
      <c r="GP155" s="100"/>
      <c r="GQ155" s="100"/>
      <c r="GR155" s="100"/>
      <c r="GS155" s="100"/>
      <c r="GT155" s="100"/>
      <c r="GU155" s="100"/>
      <c r="GV155" s="100"/>
      <c r="GW155" s="100"/>
      <c r="GX155" s="100"/>
      <c r="GY155" s="100"/>
      <c r="GZ155" s="100"/>
      <c r="HA155" s="100"/>
      <c r="HB155" s="100"/>
      <c r="HC155" s="100"/>
      <c r="HD155" s="100"/>
      <c r="HE155" s="100"/>
      <c r="HF155" s="100"/>
      <c r="HG155" s="100"/>
      <c r="HH155" s="100"/>
      <c r="HI155" s="100"/>
      <c r="HJ155" s="100"/>
      <c r="HK155" s="100"/>
      <c r="HL155" s="100"/>
      <c r="HM155" s="100"/>
      <c r="HN155" s="100"/>
      <c r="HO155" s="100"/>
      <c r="HP155" s="100"/>
      <c r="HQ155" s="100"/>
      <c r="HR155" s="100"/>
      <c r="HS155" s="100"/>
      <c r="HT155" s="100"/>
      <c r="HU155" s="100"/>
      <c r="HV155" s="100"/>
      <c r="HW155" s="100"/>
      <c r="HX155" s="100"/>
      <c r="HY155" s="100"/>
      <c r="HZ155" s="100"/>
      <c r="IA155" s="100"/>
      <c r="IB155" s="100"/>
      <c r="IC155" s="100"/>
      <c r="ID155" s="100"/>
      <c r="IE155" s="100"/>
      <c r="IF155" s="100"/>
      <c r="IG155" s="100"/>
      <c r="IH155" s="100"/>
      <c r="II155" s="100"/>
      <c r="IJ155" s="100"/>
      <c r="IK155" s="100"/>
      <c r="IL155" s="100"/>
      <c r="IM155" s="100"/>
      <c r="IN155" s="100"/>
      <c r="IO155" s="100"/>
      <c r="IP155" s="100"/>
      <c r="IQ155" s="100"/>
      <c r="IR155" s="100"/>
      <c r="IS155" s="100"/>
      <c r="IT155" s="100"/>
      <c r="IU155" s="100"/>
      <c r="IV155" s="100"/>
      <c r="IW155" s="100"/>
    </row>
    <row r="156" customFormat="false" ht="12.75" hidden="false" customHeight="false" outlineLevel="0" collapsed="false">
      <c r="A156" s="100"/>
      <c r="B156" s="69" t="s">
        <v>168</v>
      </c>
      <c r="C156" s="91" t="s">
        <v>72</v>
      </c>
      <c r="D156" s="91" t="s">
        <v>367</v>
      </c>
      <c r="E156" s="92" t="n">
        <v>36161</v>
      </c>
      <c r="F156" s="92" t="n">
        <v>38657</v>
      </c>
      <c r="G156" s="69" t="s">
        <v>398</v>
      </c>
      <c r="H156" s="69" t="s">
        <v>399</v>
      </c>
      <c r="I156" s="91" t="s">
        <v>334</v>
      </c>
      <c r="J156" s="93" t="n">
        <v>0</v>
      </c>
      <c r="K156" s="94" t="n">
        <v>0</v>
      </c>
      <c r="L156" s="94" t="n">
        <v>0.0022</v>
      </c>
      <c r="M156" s="94" t="n">
        <v>0</v>
      </c>
      <c r="N156" s="94" t="n">
        <v>0</v>
      </c>
      <c r="O156" s="95" t="n">
        <v>0</v>
      </c>
      <c r="P156" s="94" t="n">
        <f aca="false">SUM(J156:N156)</f>
        <v>0.0022</v>
      </c>
      <c r="Q156" s="96" t="s">
        <v>401</v>
      </c>
      <c r="R156" s="96" t="s">
        <v>405</v>
      </c>
      <c r="S156" s="91" t="n">
        <v>19</v>
      </c>
      <c r="T156" s="69" t="s">
        <v>403</v>
      </c>
      <c r="U156" s="97" t="n">
        <f aca="false">J156*J$1*S156</f>
        <v>0</v>
      </c>
      <c r="V156" s="97"/>
      <c r="W156" s="98"/>
      <c r="X156" s="98" t="n">
        <v>143326</v>
      </c>
      <c r="Y156" s="58"/>
      <c r="Z156" s="89"/>
      <c r="AA156" s="89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  <c r="BA156" s="100"/>
      <c r="BB156" s="100"/>
      <c r="BC156" s="100"/>
      <c r="BD156" s="100"/>
      <c r="BE156" s="100"/>
      <c r="BF156" s="100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100"/>
      <c r="BS156" s="100"/>
      <c r="BT156" s="100"/>
      <c r="BU156" s="100"/>
      <c r="BV156" s="100"/>
      <c r="BW156" s="100"/>
      <c r="BX156" s="100"/>
      <c r="BY156" s="100"/>
      <c r="BZ156" s="100"/>
      <c r="CA156" s="100"/>
      <c r="CB156" s="100"/>
      <c r="CC156" s="100"/>
      <c r="CD156" s="100"/>
      <c r="CE156" s="100"/>
      <c r="CF156" s="100"/>
      <c r="CG156" s="100"/>
      <c r="CH156" s="100"/>
      <c r="CI156" s="100"/>
      <c r="CJ156" s="100"/>
      <c r="CK156" s="100"/>
      <c r="CL156" s="100"/>
      <c r="CM156" s="100"/>
      <c r="CN156" s="100"/>
      <c r="CO156" s="100"/>
      <c r="CP156" s="100"/>
      <c r="CQ156" s="100"/>
      <c r="CR156" s="100"/>
      <c r="CS156" s="100"/>
      <c r="CT156" s="100"/>
      <c r="CU156" s="100"/>
      <c r="CV156" s="100"/>
      <c r="CW156" s="100"/>
      <c r="CX156" s="100"/>
      <c r="CY156" s="100"/>
      <c r="CZ156" s="100"/>
      <c r="DA156" s="100"/>
      <c r="DB156" s="100"/>
      <c r="DC156" s="100"/>
      <c r="DD156" s="100"/>
      <c r="DE156" s="100"/>
      <c r="DF156" s="100"/>
      <c r="DG156" s="100"/>
      <c r="DH156" s="100"/>
      <c r="DI156" s="100"/>
      <c r="DJ156" s="100"/>
      <c r="DK156" s="100"/>
      <c r="DL156" s="100"/>
      <c r="DM156" s="100"/>
      <c r="DN156" s="100"/>
      <c r="DO156" s="100"/>
      <c r="DP156" s="100"/>
      <c r="DQ156" s="100"/>
      <c r="DR156" s="100"/>
      <c r="DS156" s="100"/>
      <c r="DT156" s="100"/>
      <c r="DU156" s="100"/>
      <c r="DV156" s="100"/>
      <c r="DW156" s="100"/>
      <c r="DX156" s="100"/>
      <c r="DY156" s="100"/>
      <c r="DZ156" s="100"/>
      <c r="EA156" s="100"/>
      <c r="EB156" s="100"/>
      <c r="EC156" s="100"/>
      <c r="ED156" s="100"/>
      <c r="EE156" s="100"/>
      <c r="EF156" s="100"/>
      <c r="EG156" s="100"/>
      <c r="EH156" s="100"/>
      <c r="EI156" s="100"/>
      <c r="EJ156" s="100"/>
      <c r="EK156" s="100"/>
      <c r="EL156" s="100"/>
      <c r="EM156" s="100"/>
      <c r="EN156" s="100"/>
      <c r="EO156" s="100"/>
      <c r="EP156" s="100"/>
      <c r="EQ156" s="100"/>
      <c r="ER156" s="100"/>
      <c r="ES156" s="100"/>
      <c r="ET156" s="100"/>
      <c r="EU156" s="100"/>
      <c r="EV156" s="100"/>
      <c r="EW156" s="100"/>
      <c r="EX156" s="100"/>
      <c r="EY156" s="100"/>
      <c r="EZ156" s="100"/>
      <c r="FA156" s="100"/>
      <c r="FB156" s="100"/>
      <c r="FC156" s="100"/>
      <c r="FD156" s="100"/>
      <c r="FE156" s="100"/>
      <c r="FF156" s="100"/>
      <c r="FG156" s="100"/>
      <c r="FH156" s="100"/>
      <c r="FI156" s="100"/>
      <c r="FJ156" s="100"/>
      <c r="FK156" s="100"/>
      <c r="FL156" s="100"/>
      <c r="FM156" s="100"/>
      <c r="FN156" s="100"/>
      <c r="FO156" s="100"/>
      <c r="FP156" s="100"/>
      <c r="FQ156" s="100"/>
      <c r="FR156" s="100"/>
      <c r="FS156" s="100"/>
      <c r="FT156" s="100"/>
      <c r="FU156" s="100"/>
      <c r="FV156" s="100"/>
      <c r="FW156" s="100"/>
      <c r="FX156" s="100"/>
      <c r="FY156" s="100"/>
      <c r="FZ156" s="100"/>
      <c r="GA156" s="100"/>
      <c r="GB156" s="100"/>
      <c r="GC156" s="100"/>
      <c r="GD156" s="100"/>
      <c r="GE156" s="100"/>
      <c r="GF156" s="100"/>
      <c r="GG156" s="100"/>
      <c r="GH156" s="100"/>
      <c r="GI156" s="100"/>
      <c r="GJ156" s="100"/>
      <c r="GK156" s="100"/>
      <c r="GL156" s="100"/>
      <c r="GM156" s="100"/>
      <c r="GN156" s="100"/>
      <c r="GO156" s="100"/>
      <c r="GP156" s="100"/>
      <c r="GQ156" s="100"/>
      <c r="GR156" s="100"/>
      <c r="GS156" s="100"/>
      <c r="GT156" s="100"/>
      <c r="GU156" s="100"/>
      <c r="GV156" s="100"/>
      <c r="GW156" s="100"/>
      <c r="GX156" s="100"/>
      <c r="GY156" s="100"/>
      <c r="GZ156" s="100"/>
      <c r="HA156" s="100"/>
      <c r="HB156" s="100"/>
      <c r="HC156" s="100"/>
      <c r="HD156" s="100"/>
      <c r="HE156" s="100"/>
      <c r="HF156" s="100"/>
      <c r="HG156" s="100"/>
      <c r="HH156" s="100"/>
      <c r="HI156" s="100"/>
      <c r="HJ156" s="100"/>
      <c r="HK156" s="100"/>
      <c r="HL156" s="100"/>
      <c r="HM156" s="100"/>
      <c r="HN156" s="100"/>
      <c r="HO156" s="100"/>
      <c r="HP156" s="100"/>
      <c r="HQ156" s="100"/>
      <c r="HR156" s="100"/>
      <c r="HS156" s="100"/>
      <c r="HT156" s="100"/>
      <c r="HU156" s="100"/>
      <c r="HV156" s="100"/>
      <c r="HW156" s="100"/>
      <c r="HX156" s="100"/>
      <c r="HY156" s="100"/>
      <c r="HZ156" s="100"/>
      <c r="IA156" s="100"/>
      <c r="IB156" s="100"/>
      <c r="IC156" s="100"/>
      <c r="ID156" s="100"/>
      <c r="IE156" s="100"/>
      <c r="IF156" s="100"/>
      <c r="IG156" s="100"/>
      <c r="IH156" s="100"/>
      <c r="II156" s="100"/>
      <c r="IJ156" s="100"/>
      <c r="IK156" s="100"/>
      <c r="IL156" s="100"/>
      <c r="IM156" s="100"/>
      <c r="IN156" s="100"/>
      <c r="IO156" s="100"/>
      <c r="IP156" s="100"/>
      <c r="IQ156" s="100"/>
      <c r="IR156" s="100"/>
      <c r="IS156" s="100"/>
      <c r="IT156" s="100"/>
      <c r="IU156" s="100"/>
      <c r="IV156" s="100"/>
      <c r="IW156" s="100"/>
    </row>
    <row r="157" customFormat="false" ht="12.75" hidden="false" customHeight="false" outlineLevel="0" collapsed="false">
      <c r="A157" s="100"/>
      <c r="B157" s="69" t="s">
        <v>168</v>
      </c>
      <c r="C157" s="91" t="s">
        <v>72</v>
      </c>
      <c r="D157" s="91" t="s">
        <v>367</v>
      </c>
      <c r="E157" s="92" t="n">
        <v>36161</v>
      </c>
      <c r="F157" s="92" t="n">
        <v>38657</v>
      </c>
      <c r="G157" s="69" t="s">
        <v>404</v>
      </c>
      <c r="H157" s="69" t="s">
        <v>399</v>
      </c>
      <c r="I157" s="91" t="s">
        <v>334</v>
      </c>
      <c r="J157" s="93" t="n">
        <v>0</v>
      </c>
      <c r="K157" s="94" t="n">
        <v>0</v>
      </c>
      <c r="L157" s="94" t="n">
        <v>0.0022</v>
      </c>
      <c r="M157" s="94" t="n">
        <v>0</v>
      </c>
      <c r="N157" s="94" t="n">
        <v>0</v>
      </c>
      <c r="O157" s="95" t="n">
        <v>0</v>
      </c>
      <c r="P157" s="94" t="n">
        <f aca="false">SUM(J157:N157)</f>
        <v>0.0022</v>
      </c>
      <c r="Q157" s="96" t="s">
        <v>401</v>
      </c>
      <c r="R157" s="96" t="s">
        <v>405</v>
      </c>
      <c r="S157" s="91" t="n">
        <v>17</v>
      </c>
      <c r="T157" s="69" t="s">
        <v>403</v>
      </c>
      <c r="U157" s="97" t="n">
        <f aca="false">J157*J$1*S157</f>
        <v>0</v>
      </c>
      <c r="V157" s="97"/>
      <c r="W157" s="98"/>
      <c r="X157" s="98" t="n">
        <v>143326</v>
      </c>
      <c r="Y157" s="58"/>
      <c r="Z157" s="89"/>
      <c r="AA157" s="89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100"/>
      <c r="CF157" s="100"/>
      <c r="CG157" s="100"/>
      <c r="CH157" s="100"/>
      <c r="CI157" s="100"/>
      <c r="CJ157" s="100"/>
      <c r="CK157" s="100"/>
      <c r="CL157" s="100"/>
      <c r="CM157" s="100"/>
      <c r="CN157" s="100"/>
      <c r="CO157" s="100"/>
      <c r="CP157" s="100"/>
      <c r="CQ157" s="100"/>
      <c r="CR157" s="100"/>
      <c r="CS157" s="100"/>
      <c r="CT157" s="100"/>
      <c r="CU157" s="100"/>
      <c r="CV157" s="100"/>
      <c r="CW157" s="100"/>
      <c r="CX157" s="100"/>
      <c r="CY157" s="100"/>
      <c r="CZ157" s="100"/>
      <c r="DA157" s="100"/>
      <c r="DB157" s="100"/>
      <c r="DC157" s="100"/>
      <c r="DD157" s="100"/>
      <c r="DE157" s="100"/>
      <c r="DF157" s="100"/>
      <c r="DG157" s="100"/>
      <c r="DH157" s="100"/>
      <c r="DI157" s="100"/>
      <c r="DJ157" s="100"/>
      <c r="DK157" s="100"/>
      <c r="DL157" s="100"/>
      <c r="DM157" s="100"/>
      <c r="DN157" s="100"/>
      <c r="DO157" s="100"/>
      <c r="DP157" s="100"/>
      <c r="DQ157" s="100"/>
      <c r="DR157" s="100"/>
      <c r="DS157" s="100"/>
      <c r="DT157" s="100"/>
      <c r="DU157" s="100"/>
      <c r="DV157" s="100"/>
      <c r="DW157" s="100"/>
      <c r="DX157" s="100"/>
      <c r="DY157" s="100"/>
      <c r="DZ157" s="100"/>
      <c r="EA157" s="100"/>
      <c r="EB157" s="100"/>
      <c r="EC157" s="100"/>
      <c r="ED157" s="100"/>
      <c r="EE157" s="100"/>
      <c r="EF157" s="100"/>
      <c r="EG157" s="100"/>
      <c r="EH157" s="100"/>
      <c r="EI157" s="100"/>
      <c r="EJ157" s="100"/>
      <c r="EK157" s="100"/>
      <c r="EL157" s="100"/>
      <c r="EM157" s="100"/>
      <c r="EN157" s="100"/>
      <c r="EO157" s="100"/>
      <c r="EP157" s="100"/>
      <c r="EQ157" s="100"/>
      <c r="ER157" s="100"/>
      <c r="ES157" s="100"/>
      <c r="ET157" s="100"/>
      <c r="EU157" s="100"/>
      <c r="EV157" s="100"/>
      <c r="EW157" s="100"/>
      <c r="EX157" s="100"/>
      <c r="EY157" s="100"/>
      <c r="EZ157" s="100"/>
      <c r="FA157" s="100"/>
      <c r="FB157" s="100"/>
      <c r="FC157" s="100"/>
      <c r="FD157" s="100"/>
      <c r="FE157" s="100"/>
      <c r="FF157" s="100"/>
      <c r="FG157" s="100"/>
      <c r="FH157" s="100"/>
      <c r="FI157" s="100"/>
      <c r="FJ157" s="100"/>
      <c r="FK157" s="100"/>
      <c r="FL157" s="100"/>
      <c r="FM157" s="100"/>
      <c r="FN157" s="100"/>
      <c r="FO157" s="100"/>
      <c r="FP157" s="100"/>
      <c r="FQ157" s="100"/>
      <c r="FR157" s="100"/>
      <c r="FS157" s="100"/>
      <c r="FT157" s="100"/>
      <c r="FU157" s="100"/>
      <c r="FV157" s="100"/>
      <c r="FW157" s="100"/>
      <c r="FX157" s="100"/>
      <c r="FY157" s="100"/>
      <c r="FZ157" s="100"/>
      <c r="GA157" s="100"/>
      <c r="GB157" s="100"/>
      <c r="GC157" s="100"/>
      <c r="GD157" s="100"/>
      <c r="GE157" s="100"/>
      <c r="GF157" s="100"/>
      <c r="GG157" s="100"/>
      <c r="GH157" s="100"/>
      <c r="GI157" s="100"/>
      <c r="GJ157" s="100"/>
      <c r="GK157" s="100"/>
      <c r="GL157" s="100"/>
      <c r="GM157" s="100"/>
      <c r="GN157" s="100"/>
      <c r="GO157" s="100"/>
      <c r="GP157" s="100"/>
      <c r="GQ157" s="100"/>
      <c r="GR157" s="100"/>
      <c r="GS157" s="100"/>
      <c r="GT157" s="100"/>
      <c r="GU157" s="100"/>
      <c r="GV157" s="100"/>
      <c r="GW157" s="100"/>
      <c r="GX157" s="100"/>
      <c r="GY157" s="100"/>
      <c r="GZ157" s="100"/>
      <c r="HA157" s="100"/>
      <c r="HB157" s="100"/>
      <c r="HC157" s="100"/>
      <c r="HD157" s="100"/>
      <c r="HE157" s="100"/>
      <c r="HF157" s="100"/>
      <c r="HG157" s="100"/>
      <c r="HH157" s="100"/>
      <c r="HI157" s="100"/>
      <c r="HJ157" s="100"/>
      <c r="HK157" s="100"/>
      <c r="HL157" s="100"/>
      <c r="HM157" s="100"/>
      <c r="HN157" s="100"/>
      <c r="HO157" s="100"/>
      <c r="HP157" s="100"/>
      <c r="HQ157" s="100"/>
      <c r="HR157" s="100"/>
      <c r="HS157" s="100"/>
      <c r="HT157" s="100"/>
      <c r="HU157" s="100"/>
      <c r="HV157" s="100"/>
      <c r="HW157" s="100"/>
      <c r="HX157" s="100"/>
      <c r="HY157" s="100"/>
      <c r="HZ157" s="100"/>
      <c r="IA157" s="100"/>
      <c r="IB157" s="100"/>
      <c r="IC157" s="100"/>
      <c r="ID157" s="100"/>
      <c r="IE157" s="100"/>
      <c r="IF157" s="100"/>
      <c r="IG157" s="100"/>
      <c r="IH157" s="100"/>
      <c r="II157" s="100"/>
      <c r="IJ157" s="100"/>
      <c r="IK157" s="100"/>
      <c r="IL157" s="100"/>
      <c r="IM157" s="100"/>
      <c r="IN157" s="100"/>
      <c r="IO157" s="100"/>
      <c r="IP157" s="100"/>
      <c r="IQ157" s="100"/>
      <c r="IR157" s="100"/>
      <c r="IS157" s="100"/>
      <c r="IT157" s="100"/>
      <c r="IU157" s="100"/>
      <c r="IV157" s="100"/>
      <c r="IW157" s="100"/>
    </row>
    <row r="158" customFormat="false" ht="12.75" hidden="false" customHeight="false" outlineLevel="0" collapsed="false">
      <c r="A158" s="100"/>
      <c r="B158" s="69" t="s">
        <v>187</v>
      </c>
      <c r="C158" s="91" t="s">
        <v>72</v>
      </c>
      <c r="D158" s="91" t="s">
        <v>367</v>
      </c>
      <c r="E158" s="92" t="n">
        <v>36220</v>
      </c>
      <c r="F158" s="92" t="n">
        <v>38656</v>
      </c>
      <c r="G158" s="69" t="s">
        <v>398</v>
      </c>
      <c r="H158" s="69" t="s">
        <v>399</v>
      </c>
      <c r="I158" s="91" t="s">
        <v>334</v>
      </c>
      <c r="J158" s="93" t="n">
        <v>0</v>
      </c>
      <c r="K158" s="94" t="n">
        <v>0</v>
      </c>
      <c r="L158" s="94" t="n">
        <v>0.0022</v>
      </c>
      <c r="M158" s="94" t="n">
        <v>0</v>
      </c>
      <c r="N158" s="94" t="n">
        <v>0</v>
      </c>
      <c r="O158" s="95" t="n">
        <v>0</v>
      </c>
      <c r="P158" s="94" t="n">
        <f aca="false">SUM(J158:N158)</f>
        <v>0.0022</v>
      </c>
      <c r="Q158" s="96" t="s">
        <v>406</v>
      </c>
      <c r="R158" s="96" t="s">
        <v>407</v>
      </c>
      <c r="S158" s="91" t="n">
        <v>25</v>
      </c>
      <c r="T158" s="69" t="s">
        <v>403</v>
      </c>
      <c r="U158" s="97" t="n">
        <f aca="false">J158*J$1*S158</f>
        <v>0</v>
      </c>
      <c r="V158" s="97"/>
      <c r="W158" s="98"/>
      <c r="X158" s="98" t="n">
        <v>157260</v>
      </c>
      <c r="Y158" s="58"/>
      <c r="Z158" s="89"/>
      <c r="AA158" s="89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  <c r="AX158" s="100"/>
      <c r="AY158" s="100"/>
      <c r="AZ158" s="100"/>
      <c r="BA158" s="100"/>
      <c r="BB158" s="100"/>
      <c r="BC158" s="100"/>
      <c r="BD158" s="100"/>
      <c r="BE158" s="100"/>
      <c r="BF158" s="100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100"/>
      <c r="CD158" s="100"/>
      <c r="CE158" s="100"/>
      <c r="CF158" s="100"/>
      <c r="CG158" s="100"/>
      <c r="CH158" s="100"/>
      <c r="CI158" s="100"/>
      <c r="CJ158" s="100"/>
      <c r="CK158" s="100"/>
      <c r="CL158" s="100"/>
      <c r="CM158" s="100"/>
      <c r="CN158" s="100"/>
      <c r="CO158" s="100"/>
      <c r="CP158" s="100"/>
      <c r="CQ158" s="100"/>
      <c r="CR158" s="100"/>
      <c r="CS158" s="100"/>
      <c r="CT158" s="100"/>
      <c r="CU158" s="100"/>
      <c r="CV158" s="100"/>
      <c r="CW158" s="100"/>
      <c r="CX158" s="100"/>
      <c r="CY158" s="100"/>
      <c r="CZ158" s="100"/>
      <c r="DA158" s="100"/>
      <c r="DB158" s="100"/>
      <c r="DC158" s="100"/>
      <c r="DD158" s="100"/>
      <c r="DE158" s="100"/>
      <c r="DF158" s="100"/>
      <c r="DG158" s="100"/>
      <c r="DH158" s="100"/>
      <c r="DI158" s="100"/>
      <c r="DJ158" s="100"/>
      <c r="DK158" s="100"/>
      <c r="DL158" s="100"/>
      <c r="DM158" s="100"/>
      <c r="DN158" s="100"/>
      <c r="DO158" s="100"/>
      <c r="DP158" s="100"/>
      <c r="DQ158" s="100"/>
      <c r="DR158" s="100"/>
      <c r="DS158" s="100"/>
      <c r="DT158" s="100"/>
      <c r="DU158" s="100"/>
      <c r="DV158" s="100"/>
      <c r="DW158" s="100"/>
      <c r="DX158" s="100"/>
      <c r="DY158" s="100"/>
      <c r="DZ158" s="100"/>
      <c r="EA158" s="100"/>
      <c r="EB158" s="100"/>
      <c r="EC158" s="100"/>
      <c r="ED158" s="100"/>
      <c r="EE158" s="100"/>
      <c r="EF158" s="100"/>
      <c r="EG158" s="100"/>
      <c r="EH158" s="100"/>
      <c r="EI158" s="100"/>
      <c r="EJ158" s="100"/>
      <c r="EK158" s="100"/>
      <c r="EL158" s="100"/>
      <c r="EM158" s="100"/>
      <c r="EN158" s="100"/>
      <c r="EO158" s="100"/>
      <c r="EP158" s="100"/>
      <c r="EQ158" s="100"/>
      <c r="ER158" s="100"/>
      <c r="ES158" s="100"/>
      <c r="ET158" s="100"/>
      <c r="EU158" s="100"/>
      <c r="EV158" s="100"/>
      <c r="EW158" s="100"/>
      <c r="EX158" s="100"/>
      <c r="EY158" s="100"/>
      <c r="EZ158" s="100"/>
      <c r="FA158" s="100"/>
      <c r="FB158" s="100"/>
      <c r="FC158" s="100"/>
      <c r="FD158" s="100"/>
      <c r="FE158" s="100"/>
      <c r="FF158" s="100"/>
      <c r="FG158" s="100"/>
      <c r="FH158" s="100"/>
      <c r="FI158" s="100"/>
      <c r="FJ158" s="100"/>
      <c r="FK158" s="100"/>
      <c r="FL158" s="100"/>
      <c r="FM158" s="100"/>
      <c r="FN158" s="100"/>
      <c r="FO158" s="100"/>
      <c r="FP158" s="100"/>
      <c r="FQ158" s="100"/>
      <c r="FR158" s="100"/>
      <c r="FS158" s="100"/>
      <c r="FT158" s="100"/>
      <c r="FU158" s="100"/>
      <c r="FV158" s="100"/>
      <c r="FW158" s="100"/>
      <c r="FX158" s="100"/>
      <c r="FY158" s="100"/>
      <c r="FZ158" s="100"/>
      <c r="GA158" s="100"/>
      <c r="GB158" s="100"/>
      <c r="GC158" s="100"/>
      <c r="GD158" s="100"/>
      <c r="GE158" s="100"/>
      <c r="GF158" s="100"/>
      <c r="GG158" s="100"/>
      <c r="GH158" s="100"/>
      <c r="GI158" s="100"/>
      <c r="GJ158" s="100"/>
      <c r="GK158" s="100"/>
      <c r="GL158" s="100"/>
      <c r="GM158" s="100"/>
      <c r="GN158" s="100"/>
      <c r="GO158" s="100"/>
      <c r="GP158" s="100"/>
      <c r="GQ158" s="100"/>
      <c r="GR158" s="100"/>
      <c r="GS158" s="100"/>
      <c r="GT158" s="100"/>
      <c r="GU158" s="100"/>
      <c r="GV158" s="100"/>
      <c r="GW158" s="100"/>
      <c r="GX158" s="100"/>
      <c r="GY158" s="100"/>
      <c r="GZ158" s="100"/>
      <c r="HA158" s="100"/>
      <c r="HB158" s="100"/>
      <c r="HC158" s="100"/>
      <c r="HD158" s="100"/>
      <c r="HE158" s="100"/>
      <c r="HF158" s="100"/>
      <c r="HG158" s="100"/>
      <c r="HH158" s="100"/>
      <c r="HI158" s="100"/>
      <c r="HJ158" s="100"/>
      <c r="HK158" s="100"/>
      <c r="HL158" s="100"/>
      <c r="HM158" s="100"/>
      <c r="HN158" s="100"/>
      <c r="HO158" s="100"/>
      <c r="HP158" s="100"/>
      <c r="HQ158" s="100"/>
      <c r="HR158" s="100"/>
      <c r="HS158" s="100"/>
      <c r="HT158" s="100"/>
      <c r="HU158" s="100"/>
      <c r="HV158" s="100"/>
      <c r="HW158" s="100"/>
      <c r="HX158" s="100"/>
      <c r="HY158" s="100"/>
      <c r="HZ158" s="100"/>
      <c r="IA158" s="100"/>
      <c r="IB158" s="100"/>
      <c r="IC158" s="100"/>
      <c r="ID158" s="100"/>
      <c r="IE158" s="100"/>
      <c r="IF158" s="100"/>
      <c r="IG158" s="100"/>
      <c r="IH158" s="100"/>
      <c r="II158" s="100"/>
      <c r="IJ158" s="100"/>
      <c r="IK158" s="100"/>
      <c r="IL158" s="100"/>
      <c r="IM158" s="100"/>
      <c r="IN158" s="100"/>
      <c r="IO158" s="100"/>
      <c r="IP158" s="100"/>
      <c r="IQ158" s="100"/>
      <c r="IR158" s="100"/>
      <c r="IS158" s="100"/>
      <c r="IT158" s="100"/>
      <c r="IU158" s="100"/>
      <c r="IV158" s="100"/>
      <c r="IW158" s="100"/>
    </row>
    <row r="159" customFormat="false" ht="12.75" hidden="false" customHeight="false" outlineLevel="0" collapsed="false">
      <c r="A159" s="100"/>
      <c r="B159" s="69" t="s">
        <v>187</v>
      </c>
      <c r="C159" s="91" t="s">
        <v>72</v>
      </c>
      <c r="D159" s="91" t="s">
        <v>367</v>
      </c>
      <c r="E159" s="92" t="n">
        <v>36220</v>
      </c>
      <c r="F159" s="92" t="n">
        <v>38656</v>
      </c>
      <c r="G159" s="69" t="s">
        <v>404</v>
      </c>
      <c r="H159" s="69" t="s">
        <v>399</v>
      </c>
      <c r="I159" s="91" t="s">
        <v>334</v>
      </c>
      <c r="J159" s="93" t="n">
        <v>0</v>
      </c>
      <c r="K159" s="94" t="n">
        <v>0</v>
      </c>
      <c r="L159" s="94" t="n">
        <v>0.0022</v>
      </c>
      <c r="M159" s="94" t="n">
        <v>0</v>
      </c>
      <c r="N159" s="94" t="n">
        <v>0</v>
      </c>
      <c r="O159" s="95" t="n">
        <v>0</v>
      </c>
      <c r="P159" s="94" t="n">
        <f aca="false">SUM(J159:N159)</f>
        <v>0.0022</v>
      </c>
      <c r="Q159" s="96" t="s">
        <v>406</v>
      </c>
      <c r="R159" s="96" t="s">
        <v>407</v>
      </c>
      <c r="S159" s="91" t="n">
        <v>21</v>
      </c>
      <c r="T159" s="69" t="s">
        <v>403</v>
      </c>
      <c r="U159" s="97" t="n">
        <f aca="false">J159*J$1*S159</f>
        <v>0</v>
      </c>
      <c r="V159" s="97"/>
      <c r="W159" s="98"/>
      <c r="X159" s="98" t="n">
        <v>157260</v>
      </c>
      <c r="Y159" s="58"/>
      <c r="Z159" s="89"/>
      <c r="AA159" s="89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100"/>
      <c r="CF159" s="100"/>
      <c r="CG159" s="100"/>
      <c r="CH159" s="100"/>
      <c r="CI159" s="100"/>
      <c r="CJ159" s="100"/>
      <c r="CK159" s="100"/>
      <c r="CL159" s="100"/>
      <c r="CM159" s="100"/>
      <c r="CN159" s="100"/>
      <c r="CO159" s="100"/>
      <c r="CP159" s="100"/>
      <c r="CQ159" s="100"/>
      <c r="CR159" s="100"/>
      <c r="CS159" s="100"/>
      <c r="CT159" s="100"/>
      <c r="CU159" s="100"/>
      <c r="CV159" s="100"/>
      <c r="CW159" s="100"/>
      <c r="CX159" s="100"/>
      <c r="CY159" s="100"/>
      <c r="CZ159" s="100"/>
      <c r="DA159" s="100"/>
      <c r="DB159" s="100"/>
      <c r="DC159" s="100"/>
      <c r="DD159" s="100"/>
      <c r="DE159" s="100"/>
      <c r="DF159" s="100"/>
      <c r="DG159" s="100"/>
      <c r="DH159" s="100"/>
      <c r="DI159" s="100"/>
      <c r="DJ159" s="100"/>
      <c r="DK159" s="100"/>
      <c r="DL159" s="100"/>
      <c r="DM159" s="100"/>
      <c r="DN159" s="100"/>
      <c r="DO159" s="100"/>
      <c r="DP159" s="100"/>
      <c r="DQ159" s="100"/>
      <c r="DR159" s="100"/>
      <c r="DS159" s="100"/>
      <c r="DT159" s="100"/>
      <c r="DU159" s="100"/>
      <c r="DV159" s="100"/>
      <c r="DW159" s="100"/>
      <c r="DX159" s="100"/>
      <c r="DY159" s="100"/>
      <c r="DZ159" s="100"/>
      <c r="EA159" s="100"/>
      <c r="EB159" s="100"/>
      <c r="EC159" s="100"/>
      <c r="ED159" s="100"/>
      <c r="EE159" s="100"/>
      <c r="EF159" s="100"/>
      <c r="EG159" s="100"/>
      <c r="EH159" s="100"/>
      <c r="EI159" s="100"/>
      <c r="EJ159" s="100"/>
      <c r="EK159" s="100"/>
      <c r="EL159" s="100"/>
      <c r="EM159" s="100"/>
      <c r="EN159" s="100"/>
      <c r="EO159" s="100"/>
      <c r="EP159" s="100"/>
      <c r="EQ159" s="100"/>
      <c r="ER159" s="100"/>
      <c r="ES159" s="100"/>
      <c r="ET159" s="100"/>
      <c r="EU159" s="100"/>
      <c r="EV159" s="100"/>
      <c r="EW159" s="100"/>
      <c r="EX159" s="100"/>
      <c r="EY159" s="100"/>
      <c r="EZ159" s="100"/>
      <c r="FA159" s="100"/>
      <c r="FB159" s="100"/>
      <c r="FC159" s="100"/>
      <c r="FD159" s="100"/>
      <c r="FE159" s="100"/>
      <c r="FF159" s="100"/>
      <c r="FG159" s="100"/>
      <c r="FH159" s="100"/>
      <c r="FI159" s="100"/>
      <c r="FJ159" s="100"/>
      <c r="FK159" s="100"/>
      <c r="FL159" s="100"/>
      <c r="FM159" s="100"/>
      <c r="FN159" s="100"/>
      <c r="FO159" s="100"/>
      <c r="FP159" s="100"/>
      <c r="FQ159" s="100"/>
      <c r="FR159" s="100"/>
      <c r="FS159" s="100"/>
      <c r="FT159" s="100"/>
      <c r="FU159" s="100"/>
      <c r="FV159" s="100"/>
      <c r="FW159" s="100"/>
      <c r="FX159" s="100"/>
      <c r="FY159" s="100"/>
      <c r="FZ159" s="100"/>
      <c r="GA159" s="100"/>
      <c r="GB159" s="100"/>
      <c r="GC159" s="100"/>
      <c r="GD159" s="100"/>
      <c r="GE159" s="100"/>
      <c r="GF159" s="100"/>
      <c r="GG159" s="100"/>
      <c r="GH159" s="100"/>
      <c r="GI159" s="100"/>
      <c r="GJ159" s="100"/>
      <c r="GK159" s="100"/>
      <c r="GL159" s="100"/>
      <c r="GM159" s="100"/>
      <c r="GN159" s="100"/>
      <c r="GO159" s="100"/>
      <c r="GP159" s="100"/>
      <c r="GQ159" s="100"/>
      <c r="GR159" s="100"/>
      <c r="GS159" s="100"/>
      <c r="GT159" s="100"/>
      <c r="GU159" s="100"/>
      <c r="GV159" s="100"/>
      <c r="GW159" s="100"/>
      <c r="GX159" s="100"/>
      <c r="GY159" s="100"/>
      <c r="GZ159" s="100"/>
      <c r="HA159" s="100"/>
      <c r="HB159" s="100"/>
      <c r="HC159" s="100"/>
      <c r="HD159" s="100"/>
      <c r="HE159" s="100"/>
      <c r="HF159" s="100"/>
      <c r="HG159" s="100"/>
      <c r="HH159" s="100"/>
      <c r="HI159" s="100"/>
      <c r="HJ159" s="100"/>
      <c r="HK159" s="100"/>
      <c r="HL159" s="100"/>
      <c r="HM159" s="100"/>
      <c r="HN159" s="100"/>
      <c r="HO159" s="100"/>
      <c r="HP159" s="100"/>
      <c r="HQ159" s="100"/>
      <c r="HR159" s="100"/>
      <c r="HS159" s="100"/>
      <c r="HT159" s="100"/>
      <c r="HU159" s="100"/>
      <c r="HV159" s="100"/>
      <c r="HW159" s="100"/>
      <c r="HX159" s="100"/>
      <c r="HY159" s="100"/>
      <c r="HZ159" s="100"/>
      <c r="IA159" s="100"/>
      <c r="IB159" s="100"/>
      <c r="IC159" s="100"/>
      <c r="ID159" s="100"/>
      <c r="IE159" s="100"/>
      <c r="IF159" s="100"/>
      <c r="IG159" s="100"/>
      <c r="IH159" s="100"/>
      <c r="II159" s="100"/>
      <c r="IJ159" s="100"/>
      <c r="IK159" s="100"/>
      <c r="IL159" s="100"/>
      <c r="IM159" s="100"/>
      <c r="IN159" s="100"/>
      <c r="IO159" s="100"/>
      <c r="IP159" s="100"/>
      <c r="IQ159" s="100"/>
      <c r="IR159" s="100"/>
      <c r="IS159" s="100"/>
      <c r="IT159" s="100"/>
      <c r="IU159" s="100"/>
      <c r="IV159" s="100"/>
      <c r="IW159" s="100"/>
    </row>
    <row r="160" customFormat="false" ht="12.75" hidden="false" customHeight="false" outlineLevel="0" collapsed="false">
      <c r="A160" s="100"/>
      <c r="B160" s="69" t="s">
        <v>168</v>
      </c>
      <c r="C160" s="91" t="s">
        <v>72</v>
      </c>
      <c r="D160" s="91" t="s">
        <v>367</v>
      </c>
      <c r="E160" s="92" t="n">
        <v>36586</v>
      </c>
      <c r="F160" s="92" t="n">
        <v>38656</v>
      </c>
      <c r="G160" s="69" t="s">
        <v>408</v>
      </c>
      <c r="H160" s="69" t="s">
        <v>409</v>
      </c>
      <c r="I160" s="91" t="s">
        <v>334</v>
      </c>
      <c r="J160" s="93" t="n">
        <v>0.3074</v>
      </c>
      <c r="K160" s="94"/>
      <c r="L160" s="94"/>
      <c r="M160" s="94"/>
      <c r="N160" s="94"/>
      <c r="O160" s="95"/>
      <c r="P160" s="94"/>
      <c r="Q160" s="96" t="s">
        <v>410</v>
      </c>
      <c r="R160" s="96"/>
      <c r="S160" s="91" t="n">
        <v>41</v>
      </c>
      <c r="T160" s="69"/>
      <c r="U160" s="97" t="n">
        <f aca="false">+S160*J160*30</f>
        <v>378.102</v>
      </c>
      <c r="V160" s="97"/>
      <c r="W160" s="98" t="n">
        <v>209329</v>
      </c>
      <c r="X160" s="98"/>
      <c r="Y160" s="58"/>
      <c r="Z160" s="89"/>
      <c r="AA160" s="89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100"/>
      <c r="BS160" s="100"/>
      <c r="BT160" s="100"/>
      <c r="BU160" s="100"/>
      <c r="BV160" s="100"/>
      <c r="BW160" s="100"/>
      <c r="BX160" s="100"/>
      <c r="BY160" s="100"/>
      <c r="BZ160" s="100"/>
      <c r="CA160" s="100"/>
      <c r="CB160" s="100"/>
      <c r="CC160" s="100"/>
      <c r="CD160" s="100"/>
      <c r="CE160" s="100"/>
      <c r="CF160" s="100"/>
      <c r="CG160" s="100"/>
      <c r="CH160" s="100"/>
      <c r="CI160" s="100"/>
      <c r="CJ160" s="100"/>
      <c r="CK160" s="100"/>
      <c r="CL160" s="100"/>
      <c r="CM160" s="100"/>
      <c r="CN160" s="100"/>
      <c r="CO160" s="100"/>
      <c r="CP160" s="100"/>
      <c r="CQ160" s="100"/>
      <c r="CR160" s="100"/>
      <c r="CS160" s="100"/>
      <c r="CT160" s="100"/>
      <c r="CU160" s="100"/>
      <c r="CV160" s="100"/>
      <c r="CW160" s="100"/>
      <c r="CX160" s="100"/>
      <c r="CY160" s="100"/>
      <c r="CZ160" s="100"/>
      <c r="DA160" s="100"/>
      <c r="DB160" s="100"/>
      <c r="DC160" s="100"/>
      <c r="DD160" s="100"/>
      <c r="DE160" s="100"/>
      <c r="DF160" s="100"/>
      <c r="DG160" s="100"/>
      <c r="DH160" s="100"/>
      <c r="DI160" s="100"/>
      <c r="DJ160" s="100"/>
      <c r="DK160" s="100"/>
      <c r="DL160" s="100"/>
      <c r="DM160" s="100"/>
      <c r="DN160" s="100"/>
      <c r="DO160" s="100"/>
      <c r="DP160" s="100"/>
      <c r="DQ160" s="100"/>
      <c r="DR160" s="100"/>
      <c r="DS160" s="100"/>
      <c r="DT160" s="100"/>
      <c r="DU160" s="100"/>
      <c r="DV160" s="100"/>
      <c r="DW160" s="100"/>
      <c r="DX160" s="100"/>
      <c r="DY160" s="100"/>
      <c r="DZ160" s="100"/>
      <c r="EA160" s="100"/>
      <c r="EB160" s="100"/>
      <c r="EC160" s="100"/>
      <c r="ED160" s="100"/>
      <c r="EE160" s="100"/>
      <c r="EF160" s="100"/>
      <c r="EG160" s="100"/>
      <c r="EH160" s="100"/>
      <c r="EI160" s="100"/>
      <c r="EJ160" s="100"/>
      <c r="EK160" s="100"/>
      <c r="EL160" s="100"/>
      <c r="EM160" s="100"/>
      <c r="EN160" s="100"/>
      <c r="EO160" s="100"/>
      <c r="EP160" s="100"/>
      <c r="EQ160" s="100"/>
      <c r="ER160" s="100"/>
      <c r="ES160" s="100"/>
      <c r="ET160" s="100"/>
      <c r="EU160" s="100"/>
      <c r="EV160" s="100"/>
      <c r="EW160" s="100"/>
      <c r="EX160" s="100"/>
      <c r="EY160" s="100"/>
      <c r="EZ160" s="100"/>
      <c r="FA160" s="100"/>
      <c r="FB160" s="100"/>
      <c r="FC160" s="100"/>
      <c r="FD160" s="100"/>
      <c r="FE160" s="100"/>
      <c r="FF160" s="100"/>
      <c r="FG160" s="100"/>
      <c r="FH160" s="100"/>
      <c r="FI160" s="100"/>
      <c r="FJ160" s="100"/>
      <c r="FK160" s="100"/>
      <c r="FL160" s="100"/>
      <c r="FM160" s="100"/>
      <c r="FN160" s="100"/>
      <c r="FO160" s="100"/>
      <c r="FP160" s="100"/>
      <c r="FQ160" s="100"/>
      <c r="FR160" s="100"/>
      <c r="FS160" s="100"/>
      <c r="FT160" s="100"/>
      <c r="FU160" s="100"/>
      <c r="FV160" s="100"/>
      <c r="FW160" s="100"/>
      <c r="FX160" s="100"/>
      <c r="FY160" s="100"/>
      <c r="FZ160" s="100"/>
      <c r="GA160" s="100"/>
      <c r="GB160" s="100"/>
      <c r="GC160" s="100"/>
      <c r="GD160" s="100"/>
      <c r="GE160" s="100"/>
      <c r="GF160" s="100"/>
      <c r="GG160" s="100"/>
      <c r="GH160" s="100"/>
      <c r="GI160" s="100"/>
      <c r="GJ160" s="100"/>
      <c r="GK160" s="100"/>
      <c r="GL160" s="100"/>
      <c r="GM160" s="100"/>
      <c r="GN160" s="100"/>
      <c r="GO160" s="100"/>
      <c r="GP160" s="100"/>
      <c r="GQ160" s="100"/>
      <c r="GR160" s="100"/>
      <c r="GS160" s="100"/>
      <c r="GT160" s="100"/>
      <c r="GU160" s="100"/>
      <c r="GV160" s="100"/>
      <c r="GW160" s="100"/>
      <c r="GX160" s="100"/>
      <c r="GY160" s="100"/>
      <c r="GZ160" s="100"/>
      <c r="HA160" s="100"/>
      <c r="HB160" s="100"/>
      <c r="HC160" s="100"/>
      <c r="HD160" s="100"/>
      <c r="HE160" s="100"/>
      <c r="HF160" s="100"/>
      <c r="HG160" s="100"/>
      <c r="HH160" s="100"/>
      <c r="HI160" s="100"/>
      <c r="HJ160" s="100"/>
      <c r="HK160" s="100"/>
      <c r="HL160" s="100"/>
      <c r="HM160" s="100"/>
      <c r="HN160" s="100"/>
      <c r="HO160" s="100"/>
      <c r="HP160" s="100"/>
      <c r="HQ160" s="100"/>
      <c r="HR160" s="100"/>
      <c r="HS160" s="100"/>
      <c r="HT160" s="100"/>
      <c r="HU160" s="100"/>
      <c r="HV160" s="100"/>
      <c r="HW160" s="100"/>
      <c r="HX160" s="100"/>
      <c r="HY160" s="100"/>
      <c r="HZ160" s="100"/>
      <c r="IA160" s="100"/>
      <c r="IB160" s="100"/>
      <c r="IC160" s="100"/>
      <c r="ID160" s="100"/>
      <c r="IE160" s="100"/>
      <c r="IF160" s="100"/>
      <c r="IG160" s="100"/>
      <c r="IH160" s="100"/>
      <c r="II160" s="100"/>
      <c r="IJ160" s="100"/>
      <c r="IK160" s="100"/>
      <c r="IL160" s="100"/>
      <c r="IM160" s="100"/>
      <c r="IN160" s="100"/>
      <c r="IO160" s="100"/>
      <c r="IP160" s="100"/>
      <c r="IQ160" s="100"/>
      <c r="IR160" s="100"/>
      <c r="IS160" s="100"/>
      <c r="IT160" s="100"/>
      <c r="IU160" s="100"/>
      <c r="IV160" s="100"/>
      <c r="IW160" s="100"/>
    </row>
    <row r="161" customFormat="false" ht="12.75" hidden="false" customHeight="false" outlineLevel="0" collapsed="false">
      <c r="A161" s="100"/>
      <c r="B161" s="69" t="s">
        <v>187</v>
      </c>
      <c r="C161" s="91" t="s">
        <v>72</v>
      </c>
      <c r="D161" s="91" t="s">
        <v>111</v>
      </c>
      <c r="E161" s="92" t="n">
        <v>36586</v>
      </c>
      <c r="F161" s="92" t="n">
        <v>36616</v>
      </c>
      <c r="G161" s="69" t="s">
        <v>404</v>
      </c>
      <c r="H161" s="69" t="s">
        <v>399</v>
      </c>
      <c r="I161" s="91" t="s">
        <v>334</v>
      </c>
      <c r="J161" s="133" t="n">
        <v>0.3138</v>
      </c>
      <c r="K161" s="133" t="n">
        <v>0.0279</v>
      </c>
      <c r="L161" s="133" t="n">
        <v>0.0022</v>
      </c>
      <c r="M161" s="133" t="n">
        <v>0.0072</v>
      </c>
      <c r="N161" s="133" t="n">
        <v>0</v>
      </c>
      <c r="O161" s="95" t="n">
        <v>0</v>
      </c>
      <c r="P161" s="94" t="n">
        <f aca="false">SUM(J161:N161)</f>
        <v>0.3511</v>
      </c>
      <c r="Q161" s="96" t="s">
        <v>411</v>
      </c>
      <c r="R161" s="96" t="s">
        <v>412</v>
      </c>
      <c r="S161" s="96" t="n">
        <v>1405</v>
      </c>
      <c r="T161" s="91" t="s">
        <v>413</v>
      </c>
      <c r="U161" s="134" t="n">
        <f aca="false">+(0.3074*S161)*31</f>
        <v>13388.807</v>
      </c>
      <c r="V161" s="134"/>
      <c r="W161" s="135" t="n">
        <v>204625</v>
      </c>
      <c r="X161" s="135"/>
      <c r="Y161" s="58"/>
      <c r="Z161" s="89"/>
      <c r="AA161" s="89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100"/>
      <c r="BS161" s="100"/>
      <c r="BT161" s="100"/>
      <c r="BU161" s="100"/>
      <c r="BV161" s="100"/>
      <c r="BW161" s="100"/>
      <c r="BX161" s="100"/>
      <c r="BY161" s="100"/>
      <c r="BZ161" s="100"/>
      <c r="CA161" s="100"/>
      <c r="CB161" s="100"/>
      <c r="CC161" s="100"/>
      <c r="CD161" s="100"/>
      <c r="CE161" s="100"/>
      <c r="CF161" s="100"/>
      <c r="CG161" s="100"/>
      <c r="CH161" s="100"/>
      <c r="CI161" s="100"/>
      <c r="CJ161" s="100"/>
      <c r="CK161" s="100"/>
      <c r="CL161" s="100"/>
      <c r="CM161" s="100"/>
      <c r="CN161" s="100"/>
      <c r="CO161" s="100"/>
      <c r="CP161" s="100"/>
      <c r="CQ161" s="100"/>
      <c r="CR161" s="100"/>
      <c r="CS161" s="100"/>
      <c r="CT161" s="100"/>
      <c r="CU161" s="100"/>
      <c r="CV161" s="100"/>
      <c r="CW161" s="100"/>
      <c r="CX161" s="100"/>
      <c r="CY161" s="100"/>
      <c r="CZ161" s="100"/>
      <c r="DA161" s="100"/>
      <c r="DB161" s="100"/>
      <c r="DC161" s="100"/>
      <c r="DD161" s="100"/>
      <c r="DE161" s="100"/>
      <c r="DF161" s="100"/>
      <c r="DG161" s="100"/>
      <c r="DH161" s="100"/>
      <c r="DI161" s="100"/>
      <c r="DJ161" s="100"/>
      <c r="DK161" s="100"/>
      <c r="DL161" s="100"/>
      <c r="DM161" s="100"/>
      <c r="DN161" s="100"/>
      <c r="DO161" s="100"/>
      <c r="DP161" s="100"/>
      <c r="DQ161" s="100"/>
      <c r="DR161" s="100"/>
      <c r="DS161" s="100"/>
      <c r="DT161" s="100"/>
      <c r="DU161" s="100"/>
      <c r="DV161" s="100"/>
      <c r="DW161" s="100"/>
      <c r="DX161" s="100"/>
      <c r="DY161" s="100"/>
      <c r="DZ161" s="100"/>
      <c r="EA161" s="100"/>
      <c r="EB161" s="100"/>
      <c r="EC161" s="100"/>
      <c r="ED161" s="100"/>
      <c r="EE161" s="100"/>
      <c r="EF161" s="100"/>
      <c r="EG161" s="100"/>
      <c r="EH161" s="100"/>
      <c r="EI161" s="100"/>
      <c r="EJ161" s="100"/>
      <c r="EK161" s="100"/>
      <c r="EL161" s="100"/>
      <c r="EM161" s="100"/>
      <c r="EN161" s="100"/>
      <c r="EO161" s="100"/>
      <c r="EP161" s="100"/>
      <c r="EQ161" s="100"/>
      <c r="ER161" s="100"/>
      <c r="ES161" s="100"/>
      <c r="ET161" s="100"/>
      <c r="EU161" s="100"/>
      <c r="EV161" s="100"/>
      <c r="EW161" s="100"/>
      <c r="EX161" s="100"/>
      <c r="EY161" s="100"/>
      <c r="EZ161" s="100"/>
      <c r="FA161" s="100"/>
      <c r="FB161" s="100"/>
      <c r="FC161" s="100"/>
      <c r="FD161" s="100"/>
      <c r="FE161" s="100"/>
      <c r="FF161" s="100"/>
      <c r="FG161" s="100"/>
      <c r="FH161" s="100"/>
      <c r="FI161" s="100"/>
      <c r="FJ161" s="100"/>
      <c r="FK161" s="100"/>
      <c r="FL161" s="100"/>
      <c r="FM161" s="100"/>
      <c r="FN161" s="100"/>
      <c r="FO161" s="100"/>
      <c r="FP161" s="100"/>
      <c r="FQ161" s="100"/>
      <c r="FR161" s="100"/>
      <c r="FS161" s="100"/>
      <c r="FT161" s="100"/>
      <c r="FU161" s="100"/>
      <c r="FV161" s="100"/>
      <c r="FW161" s="100"/>
      <c r="FX161" s="100"/>
      <c r="FY161" s="100"/>
      <c r="FZ161" s="100"/>
      <c r="GA161" s="100"/>
      <c r="GB161" s="100"/>
      <c r="GC161" s="100"/>
      <c r="GD161" s="100"/>
      <c r="GE161" s="100"/>
      <c r="GF161" s="100"/>
      <c r="GG161" s="100"/>
      <c r="GH161" s="100"/>
      <c r="GI161" s="100"/>
      <c r="GJ161" s="100"/>
      <c r="GK161" s="100"/>
      <c r="GL161" s="100"/>
      <c r="GM161" s="100"/>
      <c r="GN161" s="100"/>
      <c r="GO161" s="100"/>
      <c r="GP161" s="100"/>
      <c r="GQ161" s="100"/>
      <c r="GR161" s="100"/>
      <c r="GS161" s="100"/>
      <c r="GT161" s="100"/>
      <c r="GU161" s="100"/>
      <c r="GV161" s="100"/>
      <c r="GW161" s="100"/>
      <c r="GX161" s="100"/>
      <c r="GY161" s="100"/>
      <c r="GZ161" s="100"/>
      <c r="HA161" s="100"/>
      <c r="HB161" s="100"/>
      <c r="HC161" s="100"/>
      <c r="HD161" s="100"/>
      <c r="HE161" s="100"/>
      <c r="HF161" s="100"/>
      <c r="HG161" s="100"/>
      <c r="HH161" s="100"/>
      <c r="HI161" s="100"/>
      <c r="HJ161" s="100"/>
      <c r="HK161" s="100"/>
      <c r="HL161" s="100"/>
      <c r="HM161" s="100"/>
      <c r="HN161" s="100"/>
      <c r="HO161" s="100"/>
      <c r="HP161" s="100"/>
      <c r="HQ161" s="100"/>
      <c r="HR161" s="100"/>
      <c r="HS161" s="100"/>
      <c r="HT161" s="100"/>
      <c r="HU161" s="100"/>
      <c r="HV161" s="100"/>
      <c r="HW161" s="100"/>
      <c r="HX161" s="100"/>
      <c r="HY161" s="100"/>
      <c r="HZ161" s="100"/>
      <c r="IA161" s="100"/>
      <c r="IB161" s="100"/>
      <c r="IC161" s="100"/>
      <c r="ID161" s="100"/>
      <c r="IE161" s="100"/>
      <c r="IF161" s="100"/>
      <c r="IG161" s="100"/>
      <c r="IH161" s="100"/>
      <c r="II161" s="100"/>
      <c r="IJ161" s="100"/>
      <c r="IK161" s="100"/>
      <c r="IL161" s="100"/>
      <c r="IM161" s="100"/>
      <c r="IN161" s="100"/>
      <c r="IO161" s="100"/>
      <c r="IP161" s="100"/>
      <c r="IQ161" s="100"/>
      <c r="IR161" s="100"/>
      <c r="IS161" s="100"/>
      <c r="IT161" s="100"/>
      <c r="IU161" s="100"/>
      <c r="IV161" s="100"/>
      <c r="IW161" s="100"/>
    </row>
    <row r="162" customFormat="false" ht="12.75" hidden="false" customHeight="false" outlineLevel="0" collapsed="false">
      <c r="B162" s="58"/>
      <c r="C162" s="56"/>
      <c r="D162" s="56"/>
      <c r="E162" s="57" t="s">
        <v>142</v>
      </c>
      <c r="F162" s="57"/>
      <c r="G162" s="58"/>
      <c r="H162" s="58"/>
      <c r="I162" s="56"/>
      <c r="J162" s="72"/>
      <c r="K162" s="61"/>
      <c r="L162" s="128"/>
      <c r="M162" s="61"/>
      <c r="N162" s="61"/>
      <c r="O162" s="62"/>
      <c r="P162" s="61"/>
      <c r="Q162" s="136"/>
      <c r="R162" s="136"/>
      <c r="S162" s="137" t="n">
        <f aca="false">SUM(S154:S161)</f>
        <v>1561</v>
      </c>
      <c r="T162" s="138"/>
      <c r="U162" s="65" t="n">
        <f aca="false">SUM(U154:U161)</f>
        <v>13766.909</v>
      </c>
      <c r="V162" s="65"/>
      <c r="W162" s="66"/>
      <c r="X162" s="66"/>
      <c r="Y162" s="67"/>
      <c r="Z162" s="68"/>
      <c r="AA162" s="68"/>
    </row>
    <row r="163" customFormat="false" ht="12.75" hidden="false" customHeight="false" outlineLevel="0" collapsed="false">
      <c r="B163" s="80" t="s">
        <v>145</v>
      </c>
      <c r="C163" s="81" t="s">
        <v>146</v>
      </c>
      <c r="D163" s="81" t="s">
        <v>220</v>
      </c>
      <c r="E163" s="82" t="s">
        <v>148</v>
      </c>
      <c r="F163" s="82"/>
      <c r="G163" s="80" t="s">
        <v>149</v>
      </c>
      <c r="H163" s="80" t="s">
        <v>150</v>
      </c>
      <c r="I163" s="81" t="s">
        <v>151</v>
      </c>
      <c r="J163" s="83" t="s">
        <v>152</v>
      </c>
      <c r="K163" s="81" t="s">
        <v>153</v>
      </c>
      <c r="L163" s="81" t="s">
        <v>154</v>
      </c>
      <c r="M163" s="81" t="s">
        <v>155</v>
      </c>
      <c r="N163" s="81" t="s">
        <v>156</v>
      </c>
      <c r="O163" s="84" t="s">
        <v>157</v>
      </c>
      <c r="P163" s="81" t="s">
        <v>158</v>
      </c>
      <c r="Q163" s="85" t="s">
        <v>159</v>
      </c>
      <c r="R163" s="85" t="s">
        <v>160</v>
      </c>
      <c r="S163" s="81" t="s">
        <v>161</v>
      </c>
      <c r="T163" s="80" t="s">
        <v>162</v>
      </c>
      <c r="U163" s="86" t="s">
        <v>163</v>
      </c>
      <c r="V163" s="86" t="s">
        <v>164</v>
      </c>
      <c r="W163" s="87" t="s">
        <v>165</v>
      </c>
      <c r="X163" s="87" t="s">
        <v>166</v>
      </c>
      <c r="Y163" s="88" t="e">
        <f aca="false">+#REF!</f>
        <v>#REF!</v>
      </c>
      <c r="Z163" s="89"/>
      <c r="AA163" s="89"/>
    </row>
    <row r="164" customFormat="false" ht="12.75" hidden="false" customHeight="false" outlineLevel="0" collapsed="false">
      <c r="A164" s="90"/>
      <c r="B164" s="69" t="s">
        <v>168</v>
      </c>
      <c r="C164" s="91" t="s">
        <v>54</v>
      </c>
      <c r="D164" s="91" t="s">
        <v>414</v>
      </c>
      <c r="E164" s="92" t="n">
        <v>36586</v>
      </c>
      <c r="F164" s="92" t="n">
        <v>36616</v>
      </c>
      <c r="G164" s="69" t="s">
        <v>415</v>
      </c>
      <c r="H164" s="69" t="s">
        <v>414</v>
      </c>
      <c r="I164" s="91" t="s">
        <v>416</v>
      </c>
      <c r="J164" s="93" t="n">
        <v>0</v>
      </c>
      <c r="K164" s="94" t="n">
        <v>0</v>
      </c>
      <c r="L164" s="94" t="n">
        <v>0.0022</v>
      </c>
      <c r="M164" s="94" t="n">
        <v>0</v>
      </c>
      <c r="N164" s="94" t="n">
        <v>0</v>
      </c>
      <c r="O164" s="95" t="n">
        <v>0</v>
      </c>
      <c r="P164" s="94" t="n">
        <f aca="false">SUM(J164:N164)</f>
        <v>0.0022</v>
      </c>
      <c r="Q164" s="96"/>
      <c r="R164" s="96" t="s">
        <v>417</v>
      </c>
      <c r="S164" s="91" t="n">
        <v>55</v>
      </c>
      <c r="T164" s="69" t="s">
        <v>418</v>
      </c>
      <c r="U164" s="97" t="n">
        <f aca="false">J164*J$1*S164</f>
        <v>0</v>
      </c>
      <c r="V164" s="97"/>
      <c r="W164" s="98"/>
      <c r="X164" s="98" t="s">
        <v>419</v>
      </c>
      <c r="Y164" s="69"/>
      <c r="Z164" s="99"/>
      <c r="AA164" s="99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0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90"/>
      <c r="CM164" s="90"/>
      <c r="CN164" s="90"/>
      <c r="CO164" s="90"/>
      <c r="CP164" s="90"/>
      <c r="CQ164" s="90"/>
      <c r="CR164" s="90"/>
      <c r="CS164" s="90"/>
      <c r="CT164" s="90"/>
      <c r="CU164" s="90"/>
      <c r="CV164" s="90"/>
      <c r="CW164" s="90"/>
      <c r="CX164" s="90"/>
      <c r="CY164" s="90"/>
      <c r="CZ164" s="90"/>
      <c r="DA164" s="90"/>
      <c r="DB164" s="90"/>
      <c r="DC164" s="90"/>
      <c r="DD164" s="90"/>
      <c r="DE164" s="90"/>
      <c r="DF164" s="90"/>
      <c r="DG164" s="90"/>
      <c r="DH164" s="90"/>
      <c r="DI164" s="90"/>
      <c r="DJ164" s="90"/>
      <c r="DK164" s="90"/>
      <c r="DL164" s="90"/>
      <c r="DM164" s="90"/>
      <c r="DN164" s="90"/>
      <c r="DO164" s="90"/>
      <c r="DP164" s="90"/>
      <c r="DQ164" s="90"/>
      <c r="DR164" s="90"/>
      <c r="DS164" s="90"/>
      <c r="DT164" s="90"/>
      <c r="DU164" s="90"/>
      <c r="DV164" s="90"/>
      <c r="DW164" s="90"/>
      <c r="DX164" s="90"/>
      <c r="DY164" s="90"/>
      <c r="DZ164" s="90"/>
      <c r="EA164" s="90"/>
      <c r="EB164" s="90"/>
      <c r="EC164" s="90"/>
      <c r="ED164" s="90"/>
      <c r="EE164" s="90"/>
      <c r="EF164" s="90"/>
      <c r="EG164" s="90"/>
      <c r="EH164" s="90"/>
      <c r="EI164" s="90"/>
      <c r="EJ164" s="90"/>
      <c r="EK164" s="90"/>
      <c r="EL164" s="90"/>
      <c r="EM164" s="90"/>
      <c r="EN164" s="90"/>
      <c r="EO164" s="90"/>
      <c r="EP164" s="90"/>
      <c r="EQ164" s="90"/>
      <c r="ER164" s="90"/>
      <c r="ES164" s="90"/>
      <c r="ET164" s="90"/>
      <c r="EU164" s="90"/>
      <c r="EV164" s="90"/>
      <c r="EW164" s="90"/>
      <c r="EX164" s="90"/>
      <c r="EY164" s="90"/>
      <c r="EZ164" s="90"/>
      <c r="FA164" s="90"/>
      <c r="FB164" s="90"/>
      <c r="FC164" s="90"/>
      <c r="FD164" s="90"/>
      <c r="FE164" s="90"/>
      <c r="FF164" s="90"/>
      <c r="FG164" s="90"/>
      <c r="FH164" s="90"/>
      <c r="FI164" s="90"/>
      <c r="FJ164" s="90"/>
      <c r="FK164" s="90"/>
      <c r="FL164" s="90"/>
      <c r="FM164" s="90"/>
      <c r="FN164" s="90"/>
      <c r="FO164" s="90"/>
      <c r="FP164" s="90"/>
      <c r="FQ164" s="90"/>
      <c r="FR164" s="90"/>
      <c r="FS164" s="90"/>
      <c r="FT164" s="90"/>
      <c r="FU164" s="90"/>
      <c r="FV164" s="90"/>
      <c r="FW164" s="90"/>
      <c r="FX164" s="90"/>
      <c r="FY164" s="90"/>
      <c r="FZ164" s="90"/>
      <c r="GA164" s="90"/>
      <c r="GB164" s="90"/>
      <c r="GC164" s="90"/>
      <c r="GD164" s="90"/>
      <c r="GE164" s="90"/>
      <c r="GF164" s="90"/>
      <c r="GG164" s="90"/>
      <c r="GH164" s="90"/>
      <c r="GI164" s="90"/>
      <c r="GJ164" s="90"/>
      <c r="GK164" s="90"/>
      <c r="GL164" s="90"/>
      <c r="GM164" s="90"/>
      <c r="GN164" s="90"/>
      <c r="GO164" s="90"/>
      <c r="GP164" s="90"/>
      <c r="GQ164" s="90"/>
      <c r="GR164" s="90"/>
      <c r="GS164" s="90"/>
      <c r="GT164" s="90"/>
      <c r="GU164" s="90"/>
      <c r="GV164" s="90"/>
      <c r="GW164" s="90"/>
      <c r="GX164" s="90"/>
      <c r="GY164" s="90"/>
      <c r="GZ164" s="90"/>
      <c r="HA164" s="90"/>
      <c r="HB164" s="90"/>
      <c r="HC164" s="90"/>
      <c r="HD164" s="90"/>
      <c r="HE164" s="90"/>
      <c r="HF164" s="90"/>
      <c r="HG164" s="90"/>
      <c r="HH164" s="90"/>
      <c r="HI164" s="90"/>
      <c r="HJ164" s="90"/>
      <c r="HK164" s="90"/>
      <c r="HL164" s="90"/>
      <c r="HM164" s="90"/>
      <c r="HN164" s="90"/>
      <c r="HO164" s="90"/>
      <c r="HP164" s="90"/>
      <c r="HQ164" s="90"/>
      <c r="HR164" s="90"/>
      <c r="HS164" s="90"/>
      <c r="HT164" s="90"/>
      <c r="HU164" s="90"/>
      <c r="HV164" s="90"/>
      <c r="HW164" s="90"/>
      <c r="HX164" s="90"/>
      <c r="HY164" s="90"/>
      <c r="HZ164" s="90"/>
      <c r="IA164" s="90"/>
      <c r="IB164" s="90"/>
      <c r="IC164" s="90"/>
      <c r="ID164" s="90"/>
      <c r="IE164" s="90"/>
      <c r="IF164" s="90"/>
      <c r="IG164" s="90"/>
      <c r="IH164" s="90"/>
      <c r="II164" s="90"/>
      <c r="IJ164" s="90"/>
      <c r="IK164" s="90"/>
      <c r="IL164" s="90"/>
      <c r="IM164" s="90"/>
      <c r="IN164" s="90"/>
      <c r="IO164" s="90"/>
      <c r="IP164" s="90"/>
      <c r="IQ164" s="90"/>
      <c r="IR164" s="90"/>
      <c r="IS164" s="90"/>
      <c r="IT164" s="90"/>
      <c r="IU164" s="90"/>
      <c r="IV164" s="90"/>
      <c r="IW164" s="90"/>
    </row>
    <row r="165" customFormat="false" ht="12.75" hidden="false" customHeight="false" outlineLevel="0" collapsed="false">
      <c r="A165" s="90"/>
      <c r="B165" s="69" t="s">
        <v>168</v>
      </c>
      <c r="C165" s="91" t="s">
        <v>54</v>
      </c>
      <c r="D165" s="91" t="s">
        <v>414</v>
      </c>
      <c r="E165" s="92" t="n">
        <v>36586</v>
      </c>
      <c r="F165" s="92" t="n">
        <v>36616</v>
      </c>
      <c r="G165" s="69" t="s">
        <v>420</v>
      </c>
      <c r="H165" s="69" t="s">
        <v>414</v>
      </c>
      <c r="I165" s="91" t="s">
        <v>416</v>
      </c>
      <c r="J165" s="93" t="n">
        <v>0</v>
      </c>
      <c r="K165" s="94" t="n">
        <v>0</v>
      </c>
      <c r="L165" s="94" t="n">
        <v>0.0022</v>
      </c>
      <c r="M165" s="94" t="n">
        <v>0</v>
      </c>
      <c r="N165" s="94" t="n">
        <v>0</v>
      </c>
      <c r="O165" s="95" t="n">
        <v>0</v>
      </c>
      <c r="P165" s="94" t="n">
        <f aca="false">SUM(J165:N165)</f>
        <v>0.0022</v>
      </c>
      <c r="Q165" s="96"/>
      <c r="R165" s="96" t="s">
        <v>417</v>
      </c>
      <c r="S165" s="91" t="n">
        <v>81</v>
      </c>
      <c r="T165" s="69" t="s">
        <v>418</v>
      </c>
      <c r="U165" s="97" t="n">
        <f aca="false">J165*J$1*S165</f>
        <v>0</v>
      </c>
      <c r="V165" s="97"/>
      <c r="W165" s="98"/>
      <c r="X165" s="98" t="s">
        <v>419</v>
      </c>
      <c r="Y165" s="69"/>
      <c r="Z165" s="99"/>
      <c r="AA165" s="99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0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90"/>
      <c r="CM165" s="90"/>
      <c r="CN165" s="90"/>
      <c r="CO165" s="90"/>
      <c r="CP165" s="90"/>
      <c r="CQ165" s="90"/>
      <c r="CR165" s="90"/>
      <c r="CS165" s="90"/>
      <c r="CT165" s="90"/>
      <c r="CU165" s="90"/>
      <c r="CV165" s="90"/>
      <c r="CW165" s="90"/>
      <c r="CX165" s="90"/>
      <c r="CY165" s="90"/>
      <c r="CZ165" s="90"/>
      <c r="DA165" s="90"/>
      <c r="DB165" s="90"/>
      <c r="DC165" s="90"/>
      <c r="DD165" s="90"/>
      <c r="DE165" s="90"/>
      <c r="DF165" s="90"/>
      <c r="DG165" s="90"/>
      <c r="DH165" s="90"/>
      <c r="DI165" s="90"/>
      <c r="DJ165" s="90"/>
      <c r="DK165" s="90"/>
      <c r="DL165" s="90"/>
      <c r="DM165" s="90"/>
      <c r="DN165" s="90"/>
      <c r="DO165" s="90"/>
      <c r="DP165" s="90"/>
      <c r="DQ165" s="90"/>
      <c r="DR165" s="90"/>
      <c r="DS165" s="90"/>
      <c r="DT165" s="90"/>
      <c r="DU165" s="90"/>
      <c r="DV165" s="90"/>
      <c r="DW165" s="90"/>
      <c r="DX165" s="90"/>
      <c r="DY165" s="90"/>
      <c r="DZ165" s="90"/>
      <c r="EA165" s="90"/>
      <c r="EB165" s="90"/>
      <c r="EC165" s="90"/>
      <c r="ED165" s="90"/>
      <c r="EE165" s="90"/>
      <c r="EF165" s="90"/>
      <c r="EG165" s="90"/>
      <c r="EH165" s="90"/>
      <c r="EI165" s="90"/>
      <c r="EJ165" s="90"/>
      <c r="EK165" s="90"/>
      <c r="EL165" s="90"/>
      <c r="EM165" s="90"/>
      <c r="EN165" s="90"/>
      <c r="EO165" s="90"/>
      <c r="EP165" s="90"/>
      <c r="EQ165" s="90"/>
      <c r="ER165" s="90"/>
      <c r="ES165" s="90"/>
      <c r="ET165" s="90"/>
      <c r="EU165" s="90"/>
      <c r="EV165" s="90"/>
      <c r="EW165" s="90"/>
      <c r="EX165" s="90"/>
      <c r="EY165" s="90"/>
      <c r="EZ165" s="90"/>
      <c r="FA165" s="90"/>
      <c r="FB165" s="90"/>
      <c r="FC165" s="90"/>
      <c r="FD165" s="90"/>
      <c r="FE165" s="90"/>
      <c r="FF165" s="90"/>
      <c r="FG165" s="90"/>
      <c r="FH165" s="90"/>
      <c r="FI165" s="90"/>
      <c r="FJ165" s="90"/>
      <c r="FK165" s="90"/>
      <c r="FL165" s="90"/>
      <c r="FM165" s="90"/>
      <c r="FN165" s="90"/>
      <c r="FO165" s="90"/>
      <c r="FP165" s="90"/>
      <c r="FQ165" s="90"/>
      <c r="FR165" s="90"/>
      <c r="FS165" s="90"/>
      <c r="FT165" s="90"/>
      <c r="FU165" s="90"/>
      <c r="FV165" s="90"/>
      <c r="FW165" s="90"/>
      <c r="FX165" s="90"/>
      <c r="FY165" s="90"/>
      <c r="FZ165" s="90"/>
      <c r="GA165" s="90"/>
      <c r="GB165" s="90"/>
      <c r="GC165" s="90"/>
      <c r="GD165" s="90"/>
      <c r="GE165" s="90"/>
      <c r="GF165" s="90"/>
      <c r="GG165" s="90"/>
      <c r="GH165" s="90"/>
      <c r="GI165" s="90"/>
      <c r="GJ165" s="90"/>
      <c r="GK165" s="90"/>
      <c r="GL165" s="90"/>
      <c r="GM165" s="90"/>
      <c r="GN165" s="90"/>
      <c r="GO165" s="90"/>
      <c r="GP165" s="90"/>
      <c r="GQ165" s="90"/>
      <c r="GR165" s="90"/>
      <c r="GS165" s="90"/>
      <c r="GT165" s="90"/>
      <c r="GU165" s="90"/>
      <c r="GV165" s="90"/>
      <c r="GW165" s="90"/>
      <c r="GX165" s="90"/>
      <c r="GY165" s="90"/>
      <c r="GZ165" s="90"/>
      <c r="HA165" s="90"/>
      <c r="HB165" s="90"/>
      <c r="HC165" s="90"/>
      <c r="HD165" s="90"/>
      <c r="HE165" s="90"/>
      <c r="HF165" s="90"/>
      <c r="HG165" s="90"/>
      <c r="HH165" s="90"/>
      <c r="HI165" s="90"/>
      <c r="HJ165" s="90"/>
      <c r="HK165" s="90"/>
      <c r="HL165" s="90"/>
      <c r="HM165" s="90"/>
      <c r="HN165" s="90"/>
      <c r="HO165" s="90"/>
      <c r="HP165" s="90"/>
      <c r="HQ165" s="90"/>
      <c r="HR165" s="90"/>
      <c r="HS165" s="90"/>
      <c r="HT165" s="90"/>
      <c r="HU165" s="90"/>
      <c r="HV165" s="90"/>
      <c r="HW165" s="90"/>
      <c r="HX165" s="90"/>
      <c r="HY165" s="90"/>
      <c r="HZ165" s="90"/>
      <c r="IA165" s="90"/>
      <c r="IB165" s="90"/>
      <c r="IC165" s="90"/>
      <c r="ID165" s="90"/>
      <c r="IE165" s="90"/>
      <c r="IF165" s="90"/>
      <c r="IG165" s="90"/>
      <c r="IH165" s="90"/>
      <c r="II165" s="90"/>
      <c r="IJ165" s="90"/>
      <c r="IK165" s="90"/>
      <c r="IL165" s="90"/>
      <c r="IM165" s="90"/>
      <c r="IN165" s="90"/>
      <c r="IO165" s="90"/>
      <c r="IP165" s="90"/>
      <c r="IQ165" s="90"/>
      <c r="IR165" s="90"/>
      <c r="IS165" s="90"/>
      <c r="IT165" s="90"/>
      <c r="IU165" s="90"/>
      <c r="IV165" s="90"/>
      <c r="IW165" s="90"/>
    </row>
    <row r="166" customFormat="false" ht="12.75" hidden="false" customHeight="false" outlineLevel="0" collapsed="false">
      <c r="A166" s="90"/>
      <c r="B166" s="69" t="s">
        <v>168</v>
      </c>
      <c r="C166" s="91" t="s">
        <v>54</v>
      </c>
      <c r="D166" s="91" t="s">
        <v>414</v>
      </c>
      <c r="E166" s="92" t="n">
        <v>36586</v>
      </c>
      <c r="F166" s="92" t="n">
        <v>36616</v>
      </c>
      <c r="G166" s="69" t="s">
        <v>421</v>
      </c>
      <c r="H166" s="69" t="s">
        <v>414</v>
      </c>
      <c r="I166" s="91" t="s">
        <v>416</v>
      </c>
      <c r="J166" s="93" t="n">
        <v>0</v>
      </c>
      <c r="K166" s="94" t="n">
        <v>0</v>
      </c>
      <c r="L166" s="94" t="n">
        <v>0.0022</v>
      </c>
      <c r="M166" s="94" t="n">
        <v>0</v>
      </c>
      <c r="N166" s="94" t="n">
        <v>0</v>
      </c>
      <c r="O166" s="95" t="n">
        <v>0</v>
      </c>
      <c r="P166" s="94" t="n">
        <f aca="false">SUM(J166:N166)</f>
        <v>0.0022</v>
      </c>
      <c r="Q166" s="96"/>
      <c r="R166" s="96" t="s">
        <v>417</v>
      </c>
      <c r="S166" s="91" t="n">
        <v>188</v>
      </c>
      <c r="T166" s="69" t="s">
        <v>418</v>
      </c>
      <c r="U166" s="97" t="n">
        <f aca="false">J166*J$1*S166</f>
        <v>0</v>
      </c>
      <c r="V166" s="97"/>
      <c r="W166" s="98"/>
      <c r="X166" s="98" t="s">
        <v>419</v>
      </c>
      <c r="Y166" s="69"/>
      <c r="Z166" s="99"/>
      <c r="AA166" s="99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90"/>
      <c r="CM166" s="90"/>
      <c r="CN166" s="90"/>
      <c r="CO166" s="90"/>
      <c r="CP166" s="90"/>
      <c r="CQ166" s="90"/>
      <c r="CR166" s="90"/>
      <c r="CS166" s="90"/>
      <c r="CT166" s="90"/>
      <c r="CU166" s="90"/>
      <c r="CV166" s="90"/>
      <c r="CW166" s="90"/>
      <c r="CX166" s="90"/>
      <c r="CY166" s="90"/>
      <c r="CZ166" s="90"/>
      <c r="DA166" s="90"/>
      <c r="DB166" s="90"/>
      <c r="DC166" s="90"/>
      <c r="DD166" s="90"/>
      <c r="DE166" s="90"/>
      <c r="DF166" s="90"/>
      <c r="DG166" s="90"/>
      <c r="DH166" s="90"/>
      <c r="DI166" s="90"/>
      <c r="DJ166" s="90"/>
      <c r="DK166" s="90"/>
      <c r="DL166" s="90"/>
      <c r="DM166" s="90"/>
      <c r="DN166" s="90"/>
      <c r="DO166" s="90"/>
      <c r="DP166" s="90"/>
      <c r="DQ166" s="90"/>
      <c r="DR166" s="90"/>
      <c r="DS166" s="90"/>
      <c r="DT166" s="90"/>
      <c r="DU166" s="90"/>
      <c r="DV166" s="90"/>
      <c r="DW166" s="90"/>
      <c r="DX166" s="90"/>
      <c r="DY166" s="90"/>
      <c r="DZ166" s="90"/>
      <c r="EA166" s="90"/>
      <c r="EB166" s="90"/>
      <c r="EC166" s="90"/>
      <c r="ED166" s="90"/>
      <c r="EE166" s="90"/>
      <c r="EF166" s="90"/>
      <c r="EG166" s="90"/>
      <c r="EH166" s="90"/>
      <c r="EI166" s="90"/>
      <c r="EJ166" s="90"/>
      <c r="EK166" s="90"/>
      <c r="EL166" s="90"/>
      <c r="EM166" s="90"/>
      <c r="EN166" s="90"/>
      <c r="EO166" s="90"/>
      <c r="EP166" s="90"/>
      <c r="EQ166" s="90"/>
      <c r="ER166" s="90"/>
      <c r="ES166" s="90"/>
      <c r="ET166" s="90"/>
      <c r="EU166" s="90"/>
      <c r="EV166" s="90"/>
      <c r="EW166" s="90"/>
      <c r="EX166" s="90"/>
      <c r="EY166" s="90"/>
      <c r="EZ166" s="90"/>
      <c r="FA166" s="90"/>
      <c r="FB166" s="90"/>
      <c r="FC166" s="90"/>
      <c r="FD166" s="90"/>
      <c r="FE166" s="90"/>
      <c r="FF166" s="90"/>
      <c r="FG166" s="90"/>
      <c r="FH166" s="90"/>
      <c r="FI166" s="90"/>
      <c r="FJ166" s="90"/>
      <c r="FK166" s="90"/>
      <c r="FL166" s="90"/>
      <c r="FM166" s="90"/>
      <c r="FN166" s="90"/>
      <c r="FO166" s="90"/>
      <c r="FP166" s="90"/>
      <c r="FQ166" s="90"/>
      <c r="FR166" s="90"/>
      <c r="FS166" s="90"/>
      <c r="FT166" s="90"/>
      <c r="FU166" s="90"/>
      <c r="FV166" s="90"/>
      <c r="FW166" s="90"/>
      <c r="FX166" s="90"/>
      <c r="FY166" s="90"/>
      <c r="FZ166" s="90"/>
      <c r="GA166" s="90"/>
      <c r="GB166" s="90"/>
      <c r="GC166" s="90"/>
      <c r="GD166" s="90"/>
      <c r="GE166" s="90"/>
      <c r="GF166" s="90"/>
      <c r="GG166" s="90"/>
      <c r="GH166" s="90"/>
      <c r="GI166" s="90"/>
      <c r="GJ166" s="90"/>
      <c r="GK166" s="90"/>
      <c r="GL166" s="90"/>
      <c r="GM166" s="90"/>
      <c r="GN166" s="90"/>
      <c r="GO166" s="90"/>
      <c r="GP166" s="90"/>
      <c r="GQ166" s="90"/>
      <c r="GR166" s="90"/>
      <c r="GS166" s="90"/>
      <c r="GT166" s="90"/>
      <c r="GU166" s="90"/>
      <c r="GV166" s="90"/>
      <c r="GW166" s="90"/>
      <c r="GX166" s="90"/>
      <c r="GY166" s="90"/>
      <c r="GZ166" s="90"/>
      <c r="HA166" s="90"/>
      <c r="HB166" s="90"/>
      <c r="HC166" s="90"/>
      <c r="HD166" s="90"/>
      <c r="HE166" s="90"/>
      <c r="HF166" s="90"/>
      <c r="HG166" s="90"/>
      <c r="HH166" s="90"/>
      <c r="HI166" s="90"/>
      <c r="HJ166" s="90"/>
      <c r="HK166" s="90"/>
      <c r="HL166" s="90"/>
      <c r="HM166" s="90"/>
      <c r="HN166" s="90"/>
      <c r="HO166" s="90"/>
      <c r="HP166" s="90"/>
      <c r="HQ166" s="90"/>
      <c r="HR166" s="90"/>
      <c r="HS166" s="90"/>
      <c r="HT166" s="90"/>
      <c r="HU166" s="90"/>
      <c r="HV166" s="90"/>
      <c r="HW166" s="90"/>
      <c r="HX166" s="90"/>
      <c r="HY166" s="90"/>
      <c r="HZ166" s="90"/>
      <c r="IA166" s="90"/>
      <c r="IB166" s="90"/>
      <c r="IC166" s="90"/>
      <c r="ID166" s="90"/>
      <c r="IE166" s="90"/>
      <c r="IF166" s="90"/>
      <c r="IG166" s="90"/>
      <c r="IH166" s="90"/>
      <c r="II166" s="90"/>
      <c r="IJ166" s="90"/>
      <c r="IK166" s="90"/>
      <c r="IL166" s="90"/>
      <c r="IM166" s="90"/>
      <c r="IN166" s="90"/>
      <c r="IO166" s="90"/>
      <c r="IP166" s="90"/>
      <c r="IQ166" s="90"/>
      <c r="IR166" s="90"/>
      <c r="IS166" s="90"/>
      <c r="IT166" s="90"/>
      <c r="IU166" s="90"/>
      <c r="IV166" s="90"/>
      <c r="IW166" s="90"/>
    </row>
    <row r="167" customFormat="false" ht="12.75" hidden="false" customHeight="false" outlineLevel="0" collapsed="false">
      <c r="A167" s="90"/>
      <c r="B167" s="69" t="s">
        <v>187</v>
      </c>
      <c r="C167" s="91" t="s">
        <v>54</v>
      </c>
      <c r="D167" s="91" t="s">
        <v>218</v>
      </c>
      <c r="E167" s="92" t="n">
        <v>36586</v>
      </c>
      <c r="F167" s="92" t="n">
        <v>36616</v>
      </c>
      <c r="G167" s="69" t="s">
        <v>415</v>
      </c>
      <c r="H167" s="69" t="s">
        <v>422</v>
      </c>
      <c r="I167" s="91" t="s">
        <v>416</v>
      </c>
      <c r="J167" s="93" t="n">
        <f aca="false">7.5958/J$1</f>
        <v>0.245025806451613</v>
      </c>
      <c r="K167" s="94" t="n">
        <v>0</v>
      </c>
      <c r="L167" s="94" t="n">
        <v>0.0022</v>
      </c>
      <c r="M167" s="94" t="n">
        <v>0</v>
      </c>
      <c r="N167" s="94" t="n">
        <v>0</v>
      </c>
      <c r="O167" s="95" t="n">
        <v>0</v>
      </c>
      <c r="P167" s="94" t="n">
        <f aca="false">SUM(J167:N167)</f>
        <v>0.247225806451613</v>
      </c>
      <c r="Q167" s="96" t="s">
        <v>423</v>
      </c>
      <c r="R167" s="96" t="s">
        <v>424</v>
      </c>
      <c r="S167" s="91" t="n">
        <v>1173</v>
      </c>
      <c r="T167" s="69" t="s">
        <v>425</v>
      </c>
      <c r="U167" s="139" t="n">
        <f aca="false">J167*J$1*S167</f>
        <v>8909.8734</v>
      </c>
      <c r="V167" s="97"/>
      <c r="W167" s="98"/>
      <c r="X167" s="98" t="s">
        <v>426</v>
      </c>
      <c r="Y167" s="69"/>
      <c r="Z167" s="99"/>
      <c r="AA167" s="99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90"/>
      <c r="CM167" s="90"/>
      <c r="CN167" s="90"/>
      <c r="CO167" s="90"/>
      <c r="CP167" s="90"/>
      <c r="CQ167" s="90"/>
      <c r="CR167" s="90"/>
      <c r="CS167" s="90"/>
      <c r="CT167" s="90"/>
      <c r="CU167" s="90"/>
      <c r="CV167" s="90"/>
      <c r="CW167" s="90"/>
      <c r="CX167" s="90"/>
      <c r="CY167" s="90"/>
      <c r="CZ167" s="90"/>
      <c r="DA167" s="90"/>
      <c r="DB167" s="90"/>
      <c r="DC167" s="90"/>
      <c r="DD167" s="90"/>
      <c r="DE167" s="90"/>
      <c r="DF167" s="90"/>
      <c r="DG167" s="90"/>
      <c r="DH167" s="90"/>
      <c r="DI167" s="90"/>
      <c r="DJ167" s="90"/>
      <c r="DK167" s="90"/>
      <c r="DL167" s="90"/>
      <c r="DM167" s="90"/>
      <c r="DN167" s="90"/>
      <c r="DO167" s="90"/>
      <c r="DP167" s="90"/>
      <c r="DQ167" s="90"/>
      <c r="DR167" s="90"/>
      <c r="DS167" s="90"/>
      <c r="DT167" s="90"/>
      <c r="DU167" s="90"/>
      <c r="DV167" s="90"/>
      <c r="DW167" s="90"/>
      <c r="DX167" s="90"/>
      <c r="DY167" s="90"/>
      <c r="DZ167" s="90"/>
      <c r="EA167" s="90"/>
      <c r="EB167" s="90"/>
      <c r="EC167" s="90"/>
      <c r="ED167" s="90"/>
      <c r="EE167" s="90"/>
      <c r="EF167" s="90"/>
      <c r="EG167" s="90"/>
      <c r="EH167" s="90"/>
      <c r="EI167" s="90"/>
      <c r="EJ167" s="90"/>
      <c r="EK167" s="90"/>
      <c r="EL167" s="90"/>
      <c r="EM167" s="90"/>
      <c r="EN167" s="90"/>
      <c r="EO167" s="90"/>
      <c r="EP167" s="90"/>
      <c r="EQ167" s="90"/>
      <c r="ER167" s="90"/>
      <c r="ES167" s="90"/>
      <c r="ET167" s="90"/>
      <c r="EU167" s="90"/>
      <c r="EV167" s="90"/>
      <c r="EW167" s="90"/>
      <c r="EX167" s="90"/>
      <c r="EY167" s="90"/>
      <c r="EZ167" s="90"/>
      <c r="FA167" s="90"/>
      <c r="FB167" s="90"/>
      <c r="FC167" s="90"/>
      <c r="FD167" s="90"/>
      <c r="FE167" s="90"/>
      <c r="FF167" s="90"/>
      <c r="FG167" s="90"/>
      <c r="FH167" s="90"/>
      <c r="FI167" s="90"/>
      <c r="FJ167" s="90"/>
      <c r="FK167" s="90"/>
      <c r="FL167" s="90"/>
      <c r="FM167" s="90"/>
      <c r="FN167" s="90"/>
      <c r="FO167" s="90"/>
      <c r="FP167" s="90"/>
      <c r="FQ167" s="90"/>
      <c r="FR167" s="90"/>
      <c r="FS167" s="90"/>
      <c r="FT167" s="90"/>
      <c r="FU167" s="90"/>
      <c r="FV167" s="90"/>
      <c r="FW167" s="90"/>
      <c r="FX167" s="90"/>
      <c r="FY167" s="90"/>
      <c r="FZ167" s="90"/>
      <c r="GA167" s="90"/>
      <c r="GB167" s="90"/>
      <c r="GC167" s="90"/>
      <c r="GD167" s="90"/>
      <c r="GE167" s="90"/>
      <c r="GF167" s="90"/>
      <c r="GG167" s="90"/>
      <c r="GH167" s="90"/>
      <c r="GI167" s="90"/>
      <c r="GJ167" s="90"/>
      <c r="GK167" s="90"/>
      <c r="GL167" s="90"/>
      <c r="GM167" s="90"/>
      <c r="GN167" s="90"/>
      <c r="GO167" s="90"/>
      <c r="GP167" s="90"/>
      <c r="GQ167" s="90"/>
      <c r="GR167" s="90"/>
      <c r="GS167" s="90"/>
      <c r="GT167" s="90"/>
      <c r="GU167" s="90"/>
      <c r="GV167" s="90"/>
      <c r="GW167" s="90"/>
      <c r="GX167" s="90"/>
      <c r="GY167" s="90"/>
      <c r="GZ167" s="90"/>
      <c r="HA167" s="90"/>
      <c r="HB167" s="90"/>
      <c r="HC167" s="90"/>
      <c r="HD167" s="90"/>
      <c r="HE167" s="90"/>
      <c r="HF167" s="90"/>
      <c r="HG167" s="90"/>
      <c r="HH167" s="90"/>
      <c r="HI167" s="90"/>
      <c r="HJ167" s="90"/>
      <c r="HK167" s="90"/>
      <c r="HL167" s="90"/>
      <c r="HM167" s="90"/>
      <c r="HN167" s="90"/>
      <c r="HO167" s="90"/>
      <c r="HP167" s="90"/>
      <c r="HQ167" s="90"/>
      <c r="HR167" s="90"/>
      <c r="HS167" s="90"/>
      <c r="HT167" s="90"/>
      <c r="HU167" s="90"/>
      <c r="HV167" s="90"/>
      <c r="HW167" s="90"/>
      <c r="HX167" s="90"/>
      <c r="HY167" s="90"/>
      <c r="HZ167" s="90"/>
      <c r="IA167" s="90"/>
      <c r="IB167" s="90"/>
      <c r="IC167" s="90"/>
      <c r="ID167" s="90"/>
      <c r="IE167" s="90"/>
      <c r="IF167" s="90"/>
      <c r="IG167" s="90"/>
      <c r="IH167" s="90"/>
      <c r="II167" s="90"/>
      <c r="IJ167" s="90"/>
      <c r="IK167" s="90"/>
      <c r="IL167" s="90"/>
      <c r="IM167" s="90"/>
      <c r="IN167" s="90"/>
      <c r="IO167" s="90"/>
      <c r="IP167" s="90"/>
      <c r="IQ167" s="90"/>
      <c r="IR167" s="90"/>
      <c r="IS167" s="90"/>
      <c r="IT167" s="90"/>
      <c r="IU167" s="90"/>
      <c r="IV167" s="90"/>
      <c r="IW167" s="90"/>
    </row>
    <row r="168" customFormat="false" ht="12.75" hidden="false" customHeight="false" outlineLevel="0" collapsed="false">
      <c r="A168" s="90"/>
      <c r="B168" s="69" t="s">
        <v>187</v>
      </c>
      <c r="C168" s="91" t="s">
        <v>54</v>
      </c>
      <c r="D168" s="91" t="s">
        <v>218</v>
      </c>
      <c r="E168" s="92" t="n">
        <v>36586</v>
      </c>
      <c r="F168" s="92" t="n">
        <v>36616</v>
      </c>
      <c r="G168" s="69" t="s">
        <v>420</v>
      </c>
      <c r="H168" s="69" t="s">
        <v>422</v>
      </c>
      <c r="I168" s="91" t="s">
        <v>416</v>
      </c>
      <c r="J168" s="93" t="n">
        <f aca="false">7.5958/J$1</f>
        <v>0.245025806451613</v>
      </c>
      <c r="K168" s="94" t="n">
        <v>0</v>
      </c>
      <c r="L168" s="94" t="n">
        <v>0.0022</v>
      </c>
      <c r="M168" s="94" t="n">
        <v>0</v>
      </c>
      <c r="N168" s="94" t="n">
        <v>0</v>
      </c>
      <c r="O168" s="95" t="n">
        <v>0</v>
      </c>
      <c r="P168" s="94" t="n">
        <f aca="false">SUM(J168:N168)</f>
        <v>0.247225806451613</v>
      </c>
      <c r="Q168" s="96" t="s">
        <v>427</v>
      </c>
      <c r="R168" s="96" t="s">
        <v>424</v>
      </c>
      <c r="S168" s="91" t="n">
        <v>1726</v>
      </c>
      <c r="T168" s="69" t="s">
        <v>425</v>
      </c>
      <c r="U168" s="139" t="n">
        <f aca="false">J168*J$1*S168</f>
        <v>13110.3508</v>
      </c>
      <c r="V168" s="97"/>
      <c r="W168" s="98"/>
      <c r="X168" s="98" t="s">
        <v>426</v>
      </c>
      <c r="Y168" s="69"/>
      <c r="Z168" s="99"/>
      <c r="AA168" s="99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0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90"/>
      <c r="CM168" s="90"/>
      <c r="CN168" s="90"/>
      <c r="CO168" s="90"/>
      <c r="CP168" s="90"/>
      <c r="CQ168" s="90"/>
      <c r="CR168" s="90"/>
      <c r="CS168" s="90"/>
      <c r="CT168" s="90"/>
      <c r="CU168" s="90"/>
      <c r="CV168" s="90"/>
      <c r="CW168" s="90"/>
      <c r="CX168" s="90"/>
      <c r="CY168" s="90"/>
      <c r="CZ168" s="90"/>
      <c r="DA168" s="90"/>
      <c r="DB168" s="90"/>
      <c r="DC168" s="90"/>
      <c r="DD168" s="90"/>
      <c r="DE168" s="90"/>
      <c r="DF168" s="90"/>
      <c r="DG168" s="90"/>
      <c r="DH168" s="90"/>
      <c r="DI168" s="90"/>
      <c r="DJ168" s="90"/>
      <c r="DK168" s="90"/>
      <c r="DL168" s="90"/>
      <c r="DM168" s="90"/>
      <c r="DN168" s="90"/>
      <c r="DO168" s="90"/>
      <c r="DP168" s="90"/>
      <c r="DQ168" s="90"/>
      <c r="DR168" s="90"/>
      <c r="DS168" s="90"/>
      <c r="DT168" s="90"/>
      <c r="DU168" s="90"/>
      <c r="DV168" s="90"/>
      <c r="DW168" s="90"/>
      <c r="DX168" s="90"/>
      <c r="DY168" s="90"/>
      <c r="DZ168" s="90"/>
      <c r="EA168" s="90"/>
      <c r="EB168" s="90"/>
      <c r="EC168" s="90"/>
      <c r="ED168" s="90"/>
      <c r="EE168" s="90"/>
      <c r="EF168" s="90"/>
      <c r="EG168" s="90"/>
      <c r="EH168" s="90"/>
      <c r="EI168" s="90"/>
      <c r="EJ168" s="90"/>
      <c r="EK168" s="90"/>
      <c r="EL168" s="90"/>
      <c r="EM168" s="90"/>
      <c r="EN168" s="90"/>
      <c r="EO168" s="90"/>
      <c r="EP168" s="90"/>
      <c r="EQ168" s="90"/>
      <c r="ER168" s="90"/>
      <c r="ES168" s="90"/>
      <c r="ET168" s="90"/>
      <c r="EU168" s="90"/>
      <c r="EV168" s="90"/>
      <c r="EW168" s="90"/>
      <c r="EX168" s="90"/>
      <c r="EY168" s="90"/>
      <c r="EZ168" s="90"/>
      <c r="FA168" s="90"/>
      <c r="FB168" s="90"/>
      <c r="FC168" s="90"/>
      <c r="FD168" s="90"/>
      <c r="FE168" s="90"/>
      <c r="FF168" s="90"/>
      <c r="FG168" s="90"/>
      <c r="FH168" s="90"/>
      <c r="FI168" s="90"/>
      <c r="FJ168" s="90"/>
      <c r="FK168" s="90"/>
      <c r="FL168" s="90"/>
      <c r="FM168" s="90"/>
      <c r="FN168" s="90"/>
      <c r="FO168" s="90"/>
      <c r="FP168" s="90"/>
      <c r="FQ168" s="90"/>
      <c r="FR168" s="90"/>
      <c r="FS168" s="90"/>
      <c r="FT168" s="90"/>
      <c r="FU168" s="90"/>
      <c r="FV168" s="90"/>
      <c r="FW168" s="90"/>
      <c r="FX168" s="90"/>
      <c r="FY168" s="90"/>
      <c r="FZ168" s="90"/>
      <c r="GA168" s="90"/>
      <c r="GB168" s="90"/>
      <c r="GC168" s="90"/>
      <c r="GD168" s="90"/>
      <c r="GE168" s="90"/>
      <c r="GF168" s="90"/>
      <c r="GG168" s="90"/>
      <c r="GH168" s="90"/>
      <c r="GI168" s="90"/>
      <c r="GJ168" s="90"/>
      <c r="GK168" s="90"/>
      <c r="GL168" s="90"/>
      <c r="GM168" s="90"/>
      <c r="GN168" s="90"/>
      <c r="GO168" s="90"/>
      <c r="GP168" s="90"/>
      <c r="GQ168" s="90"/>
      <c r="GR168" s="90"/>
      <c r="GS168" s="90"/>
      <c r="GT168" s="90"/>
      <c r="GU168" s="90"/>
      <c r="GV168" s="90"/>
      <c r="GW168" s="90"/>
      <c r="GX168" s="90"/>
      <c r="GY168" s="90"/>
      <c r="GZ168" s="90"/>
      <c r="HA168" s="90"/>
      <c r="HB168" s="90"/>
      <c r="HC168" s="90"/>
      <c r="HD168" s="90"/>
      <c r="HE168" s="90"/>
      <c r="HF168" s="90"/>
      <c r="HG168" s="90"/>
      <c r="HH168" s="90"/>
      <c r="HI168" s="90"/>
      <c r="HJ168" s="90"/>
      <c r="HK168" s="90"/>
      <c r="HL168" s="90"/>
      <c r="HM168" s="90"/>
      <c r="HN168" s="90"/>
      <c r="HO168" s="90"/>
      <c r="HP168" s="90"/>
      <c r="HQ168" s="90"/>
      <c r="HR168" s="90"/>
      <c r="HS168" s="90"/>
      <c r="HT168" s="90"/>
      <c r="HU168" s="90"/>
      <c r="HV168" s="90"/>
      <c r="HW168" s="90"/>
      <c r="HX168" s="90"/>
      <c r="HY168" s="90"/>
      <c r="HZ168" s="90"/>
      <c r="IA168" s="90"/>
      <c r="IB168" s="90"/>
      <c r="IC168" s="90"/>
      <c r="ID168" s="90"/>
      <c r="IE168" s="90"/>
      <c r="IF168" s="90"/>
      <c r="IG168" s="90"/>
      <c r="IH168" s="90"/>
      <c r="II168" s="90"/>
      <c r="IJ168" s="90"/>
      <c r="IK168" s="90"/>
      <c r="IL168" s="90"/>
      <c r="IM168" s="90"/>
      <c r="IN168" s="90"/>
      <c r="IO168" s="90"/>
      <c r="IP168" s="90"/>
      <c r="IQ168" s="90"/>
      <c r="IR168" s="90"/>
      <c r="IS168" s="90"/>
      <c r="IT168" s="90"/>
      <c r="IU168" s="90"/>
      <c r="IV168" s="90"/>
      <c r="IW168" s="90"/>
    </row>
    <row r="169" customFormat="false" ht="12.75" hidden="false" customHeight="false" outlineLevel="0" collapsed="false">
      <c r="A169" s="90"/>
      <c r="B169" s="69" t="s">
        <v>187</v>
      </c>
      <c r="C169" s="91" t="s">
        <v>54</v>
      </c>
      <c r="D169" s="91" t="s">
        <v>218</v>
      </c>
      <c r="E169" s="92" t="n">
        <v>36586</v>
      </c>
      <c r="F169" s="92" t="n">
        <v>36616</v>
      </c>
      <c r="G169" s="69" t="s">
        <v>421</v>
      </c>
      <c r="H169" s="69" t="s">
        <v>422</v>
      </c>
      <c r="I169" s="91" t="s">
        <v>416</v>
      </c>
      <c r="J169" s="93" t="n">
        <f aca="false">7.5958/J$1</f>
        <v>0.245025806451613</v>
      </c>
      <c r="K169" s="94" t="n">
        <v>0</v>
      </c>
      <c r="L169" s="94" t="n">
        <v>0.0022</v>
      </c>
      <c r="M169" s="94" t="n">
        <v>0</v>
      </c>
      <c r="N169" s="94" t="n">
        <v>0</v>
      </c>
      <c r="O169" s="95" t="n">
        <v>0</v>
      </c>
      <c r="P169" s="94" t="n">
        <f aca="false">SUM(J169:N169)</f>
        <v>0.247225806451613</v>
      </c>
      <c r="Q169" s="96" t="s">
        <v>428</v>
      </c>
      <c r="R169" s="96" t="s">
        <v>424</v>
      </c>
      <c r="S169" s="91" t="n">
        <f aca="false">1311+2692</f>
        <v>4003</v>
      </c>
      <c r="T169" s="69" t="s">
        <v>425</v>
      </c>
      <c r="U169" s="139" t="n">
        <f aca="false">J169*J$1*S169</f>
        <v>30405.9874</v>
      </c>
      <c r="V169" s="97"/>
      <c r="W169" s="98"/>
      <c r="X169" s="98" t="s">
        <v>426</v>
      </c>
      <c r="Y169" s="69"/>
      <c r="Z169" s="99"/>
      <c r="AA169" s="99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0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90"/>
      <c r="CM169" s="90"/>
      <c r="CN169" s="90"/>
      <c r="CO169" s="90"/>
      <c r="CP169" s="90"/>
      <c r="CQ169" s="90"/>
      <c r="CR169" s="90"/>
      <c r="CS169" s="90"/>
      <c r="CT169" s="90"/>
      <c r="CU169" s="90"/>
      <c r="CV169" s="90"/>
      <c r="CW169" s="90"/>
      <c r="CX169" s="90"/>
      <c r="CY169" s="90"/>
      <c r="CZ169" s="90"/>
      <c r="DA169" s="90"/>
      <c r="DB169" s="90"/>
      <c r="DC169" s="90"/>
      <c r="DD169" s="90"/>
      <c r="DE169" s="90"/>
      <c r="DF169" s="90"/>
      <c r="DG169" s="90"/>
      <c r="DH169" s="90"/>
      <c r="DI169" s="90"/>
      <c r="DJ169" s="90"/>
      <c r="DK169" s="90"/>
      <c r="DL169" s="90"/>
      <c r="DM169" s="90"/>
      <c r="DN169" s="90"/>
      <c r="DO169" s="90"/>
      <c r="DP169" s="90"/>
      <c r="DQ169" s="90"/>
      <c r="DR169" s="90"/>
      <c r="DS169" s="90"/>
      <c r="DT169" s="90"/>
      <c r="DU169" s="90"/>
      <c r="DV169" s="90"/>
      <c r="DW169" s="90"/>
      <c r="DX169" s="90"/>
      <c r="DY169" s="90"/>
      <c r="DZ169" s="90"/>
      <c r="EA169" s="90"/>
      <c r="EB169" s="90"/>
      <c r="EC169" s="90"/>
      <c r="ED169" s="90"/>
      <c r="EE169" s="90"/>
      <c r="EF169" s="90"/>
      <c r="EG169" s="90"/>
      <c r="EH169" s="90"/>
      <c r="EI169" s="90"/>
      <c r="EJ169" s="90"/>
      <c r="EK169" s="90"/>
      <c r="EL169" s="90"/>
      <c r="EM169" s="90"/>
      <c r="EN169" s="90"/>
      <c r="EO169" s="90"/>
      <c r="EP169" s="90"/>
      <c r="EQ169" s="90"/>
      <c r="ER169" s="90"/>
      <c r="ES169" s="90"/>
      <c r="ET169" s="90"/>
      <c r="EU169" s="90"/>
      <c r="EV169" s="90"/>
      <c r="EW169" s="90"/>
      <c r="EX169" s="90"/>
      <c r="EY169" s="90"/>
      <c r="EZ169" s="90"/>
      <c r="FA169" s="90"/>
      <c r="FB169" s="90"/>
      <c r="FC169" s="90"/>
      <c r="FD169" s="90"/>
      <c r="FE169" s="90"/>
      <c r="FF169" s="90"/>
      <c r="FG169" s="90"/>
      <c r="FH169" s="90"/>
      <c r="FI169" s="90"/>
      <c r="FJ169" s="90"/>
      <c r="FK169" s="90"/>
      <c r="FL169" s="90"/>
      <c r="FM169" s="90"/>
      <c r="FN169" s="90"/>
      <c r="FO169" s="90"/>
      <c r="FP169" s="90"/>
      <c r="FQ169" s="90"/>
      <c r="FR169" s="90"/>
      <c r="FS169" s="90"/>
      <c r="FT169" s="90"/>
      <c r="FU169" s="90"/>
      <c r="FV169" s="90"/>
      <c r="FW169" s="90"/>
      <c r="FX169" s="90"/>
      <c r="FY169" s="90"/>
      <c r="FZ169" s="90"/>
      <c r="GA169" s="90"/>
      <c r="GB169" s="90"/>
      <c r="GC169" s="90"/>
      <c r="GD169" s="90"/>
      <c r="GE169" s="90"/>
      <c r="GF169" s="90"/>
      <c r="GG169" s="90"/>
      <c r="GH169" s="90"/>
      <c r="GI169" s="90"/>
      <c r="GJ169" s="90"/>
      <c r="GK169" s="90"/>
      <c r="GL169" s="90"/>
      <c r="GM169" s="90"/>
      <c r="GN169" s="90"/>
      <c r="GO169" s="90"/>
      <c r="GP169" s="90"/>
      <c r="GQ169" s="90"/>
      <c r="GR169" s="90"/>
      <c r="GS169" s="90"/>
      <c r="GT169" s="90"/>
      <c r="GU169" s="90"/>
      <c r="GV169" s="90"/>
      <c r="GW169" s="90"/>
      <c r="GX169" s="90"/>
      <c r="GY169" s="90"/>
      <c r="GZ169" s="90"/>
      <c r="HA169" s="90"/>
      <c r="HB169" s="90"/>
      <c r="HC169" s="90"/>
      <c r="HD169" s="90"/>
      <c r="HE169" s="90"/>
      <c r="HF169" s="90"/>
      <c r="HG169" s="90"/>
      <c r="HH169" s="90"/>
      <c r="HI169" s="90"/>
      <c r="HJ169" s="90"/>
      <c r="HK169" s="90"/>
      <c r="HL169" s="90"/>
      <c r="HM169" s="90"/>
      <c r="HN169" s="90"/>
      <c r="HO169" s="90"/>
      <c r="HP169" s="90"/>
      <c r="HQ169" s="90"/>
      <c r="HR169" s="90"/>
      <c r="HS169" s="90"/>
      <c r="HT169" s="90"/>
      <c r="HU169" s="90"/>
      <c r="HV169" s="90"/>
      <c r="HW169" s="90"/>
      <c r="HX169" s="90"/>
      <c r="HY169" s="90"/>
      <c r="HZ169" s="90"/>
      <c r="IA169" s="90"/>
      <c r="IB169" s="90"/>
      <c r="IC169" s="90"/>
      <c r="ID169" s="90"/>
      <c r="IE169" s="90"/>
      <c r="IF169" s="90"/>
      <c r="IG169" s="90"/>
      <c r="IH169" s="90"/>
      <c r="II169" s="90"/>
      <c r="IJ169" s="90"/>
      <c r="IK169" s="90"/>
      <c r="IL169" s="90"/>
      <c r="IM169" s="90"/>
      <c r="IN169" s="90"/>
      <c r="IO169" s="90"/>
      <c r="IP169" s="90"/>
      <c r="IQ169" s="90"/>
      <c r="IR169" s="90"/>
      <c r="IS169" s="90"/>
      <c r="IT169" s="90"/>
      <c r="IU169" s="90"/>
      <c r="IV169" s="90"/>
      <c r="IW169" s="90"/>
    </row>
    <row r="170" customFormat="false" ht="12.75" hidden="false" customHeight="false" outlineLevel="0" collapsed="false">
      <c r="A170" s="90"/>
      <c r="B170" s="69" t="s">
        <v>187</v>
      </c>
      <c r="C170" s="91" t="s">
        <v>54</v>
      </c>
      <c r="D170" s="91" t="s">
        <v>218</v>
      </c>
      <c r="E170" s="92" t="n">
        <v>36586</v>
      </c>
      <c r="F170" s="92" t="n">
        <v>36616</v>
      </c>
      <c r="G170" s="69" t="s">
        <v>415</v>
      </c>
      <c r="H170" s="69" t="s">
        <v>422</v>
      </c>
      <c r="I170" s="91" t="s">
        <v>416</v>
      </c>
      <c r="J170" s="93" t="n">
        <f aca="false">7.5958/J$1</f>
        <v>0.245025806451613</v>
      </c>
      <c r="K170" s="94" t="n">
        <v>0</v>
      </c>
      <c r="L170" s="94" t="n">
        <v>0.0022</v>
      </c>
      <c r="M170" s="94" t="n">
        <v>0</v>
      </c>
      <c r="N170" s="94" t="n">
        <v>0</v>
      </c>
      <c r="O170" s="95" t="n">
        <v>0</v>
      </c>
      <c r="P170" s="94" t="n">
        <f aca="false">SUM(J170:N170)</f>
        <v>0.247225806451613</v>
      </c>
      <c r="Q170" s="96" t="s">
        <v>429</v>
      </c>
      <c r="R170" s="96" t="s">
        <v>430</v>
      </c>
      <c r="S170" s="91" t="n">
        <v>70</v>
      </c>
      <c r="T170" s="69" t="s">
        <v>431</v>
      </c>
      <c r="U170" s="139" t="n">
        <f aca="false">J170*J$1*S170</f>
        <v>531.706</v>
      </c>
      <c r="V170" s="97"/>
      <c r="W170" s="98" t="n">
        <v>203720</v>
      </c>
      <c r="X170" s="98" t="s">
        <v>432</v>
      </c>
      <c r="Y170" s="69"/>
      <c r="Z170" s="99"/>
      <c r="AA170" s="99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90"/>
      <c r="CM170" s="90"/>
      <c r="CN170" s="90"/>
      <c r="CO170" s="90"/>
      <c r="CP170" s="90"/>
      <c r="CQ170" s="90"/>
      <c r="CR170" s="90"/>
      <c r="CS170" s="90"/>
      <c r="CT170" s="90"/>
      <c r="CU170" s="90"/>
      <c r="CV170" s="90"/>
      <c r="CW170" s="90"/>
      <c r="CX170" s="90"/>
      <c r="CY170" s="90"/>
      <c r="CZ170" s="90"/>
      <c r="DA170" s="90"/>
      <c r="DB170" s="90"/>
      <c r="DC170" s="90"/>
      <c r="DD170" s="90"/>
      <c r="DE170" s="90"/>
      <c r="DF170" s="90"/>
      <c r="DG170" s="90"/>
      <c r="DH170" s="90"/>
      <c r="DI170" s="90"/>
      <c r="DJ170" s="90"/>
      <c r="DK170" s="90"/>
      <c r="DL170" s="90"/>
      <c r="DM170" s="90"/>
      <c r="DN170" s="90"/>
      <c r="DO170" s="90"/>
      <c r="DP170" s="90"/>
      <c r="DQ170" s="90"/>
      <c r="DR170" s="90"/>
      <c r="DS170" s="90"/>
      <c r="DT170" s="90"/>
      <c r="DU170" s="90"/>
      <c r="DV170" s="90"/>
      <c r="DW170" s="90"/>
      <c r="DX170" s="90"/>
      <c r="DY170" s="90"/>
      <c r="DZ170" s="90"/>
      <c r="EA170" s="90"/>
      <c r="EB170" s="90"/>
      <c r="EC170" s="90"/>
      <c r="ED170" s="90"/>
      <c r="EE170" s="90"/>
      <c r="EF170" s="90"/>
      <c r="EG170" s="90"/>
      <c r="EH170" s="90"/>
      <c r="EI170" s="90"/>
      <c r="EJ170" s="90"/>
      <c r="EK170" s="90"/>
      <c r="EL170" s="90"/>
      <c r="EM170" s="90"/>
      <c r="EN170" s="90"/>
      <c r="EO170" s="90"/>
      <c r="EP170" s="90"/>
      <c r="EQ170" s="90"/>
      <c r="ER170" s="90"/>
      <c r="ES170" s="90"/>
      <c r="ET170" s="90"/>
      <c r="EU170" s="90"/>
      <c r="EV170" s="90"/>
      <c r="EW170" s="90"/>
      <c r="EX170" s="90"/>
      <c r="EY170" s="90"/>
      <c r="EZ170" s="90"/>
      <c r="FA170" s="90"/>
      <c r="FB170" s="90"/>
      <c r="FC170" s="90"/>
      <c r="FD170" s="90"/>
      <c r="FE170" s="90"/>
      <c r="FF170" s="90"/>
      <c r="FG170" s="90"/>
      <c r="FH170" s="90"/>
      <c r="FI170" s="90"/>
      <c r="FJ170" s="90"/>
      <c r="FK170" s="90"/>
      <c r="FL170" s="90"/>
      <c r="FM170" s="90"/>
      <c r="FN170" s="90"/>
      <c r="FO170" s="90"/>
      <c r="FP170" s="90"/>
      <c r="FQ170" s="90"/>
      <c r="FR170" s="90"/>
      <c r="FS170" s="90"/>
      <c r="FT170" s="90"/>
      <c r="FU170" s="90"/>
      <c r="FV170" s="90"/>
      <c r="FW170" s="90"/>
      <c r="FX170" s="90"/>
      <c r="FY170" s="90"/>
      <c r="FZ170" s="90"/>
      <c r="GA170" s="90"/>
      <c r="GB170" s="90"/>
      <c r="GC170" s="90"/>
      <c r="GD170" s="90"/>
      <c r="GE170" s="90"/>
      <c r="GF170" s="90"/>
      <c r="GG170" s="90"/>
      <c r="GH170" s="90"/>
      <c r="GI170" s="90"/>
      <c r="GJ170" s="90"/>
      <c r="GK170" s="90"/>
      <c r="GL170" s="90"/>
      <c r="GM170" s="90"/>
      <c r="GN170" s="90"/>
      <c r="GO170" s="90"/>
      <c r="GP170" s="90"/>
      <c r="GQ170" s="90"/>
      <c r="GR170" s="90"/>
      <c r="GS170" s="90"/>
      <c r="GT170" s="90"/>
      <c r="GU170" s="90"/>
      <c r="GV170" s="90"/>
      <c r="GW170" s="90"/>
      <c r="GX170" s="90"/>
      <c r="GY170" s="90"/>
      <c r="GZ170" s="90"/>
      <c r="HA170" s="90"/>
      <c r="HB170" s="90"/>
      <c r="HC170" s="90"/>
      <c r="HD170" s="90"/>
      <c r="HE170" s="90"/>
      <c r="HF170" s="90"/>
      <c r="HG170" s="90"/>
      <c r="HH170" s="90"/>
      <c r="HI170" s="90"/>
      <c r="HJ170" s="90"/>
      <c r="HK170" s="90"/>
      <c r="HL170" s="90"/>
      <c r="HM170" s="90"/>
      <c r="HN170" s="90"/>
      <c r="HO170" s="90"/>
      <c r="HP170" s="90"/>
      <c r="HQ170" s="90"/>
      <c r="HR170" s="90"/>
      <c r="HS170" s="90"/>
      <c r="HT170" s="90"/>
      <c r="HU170" s="90"/>
      <c r="HV170" s="90"/>
      <c r="HW170" s="90"/>
      <c r="HX170" s="90"/>
      <c r="HY170" s="90"/>
      <c r="HZ170" s="90"/>
      <c r="IA170" s="90"/>
      <c r="IB170" s="90"/>
      <c r="IC170" s="90"/>
      <c r="ID170" s="90"/>
      <c r="IE170" s="90"/>
      <c r="IF170" s="90"/>
      <c r="IG170" s="90"/>
      <c r="IH170" s="90"/>
      <c r="II170" s="90"/>
      <c r="IJ170" s="90"/>
      <c r="IK170" s="90"/>
      <c r="IL170" s="90"/>
      <c r="IM170" s="90"/>
      <c r="IN170" s="90"/>
      <c r="IO170" s="90"/>
      <c r="IP170" s="90"/>
      <c r="IQ170" s="90"/>
      <c r="IR170" s="90"/>
      <c r="IS170" s="90"/>
      <c r="IT170" s="90"/>
      <c r="IU170" s="90"/>
      <c r="IV170" s="90"/>
      <c r="IW170" s="90"/>
    </row>
    <row r="171" customFormat="false" ht="12.75" hidden="false" customHeight="false" outlineLevel="0" collapsed="false">
      <c r="A171" s="90"/>
      <c r="B171" s="69" t="s">
        <v>187</v>
      </c>
      <c r="C171" s="91" t="s">
        <v>54</v>
      </c>
      <c r="D171" s="91" t="s">
        <v>218</v>
      </c>
      <c r="E171" s="92" t="n">
        <v>36586</v>
      </c>
      <c r="F171" s="92" t="n">
        <v>36616</v>
      </c>
      <c r="G171" s="69" t="s">
        <v>420</v>
      </c>
      <c r="H171" s="69" t="s">
        <v>422</v>
      </c>
      <c r="I171" s="91" t="s">
        <v>416</v>
      </c>
      <c r="J171" s="93" t="n">
        <f aca="false">7.5958/J$1</f>
        <v>0.245025806451613</v>
      </c>
      <c r="K171" s="94" t="n">
        <v>0</v>
      </c>
      <c r="L171" s="94" t="n">
        <v>0.0022</v>
      </c>
      <c r="M171" s="94" t="n">
        <v>0</v>
      </c>
      <c r="N171" s="94" t="n">
        <v>0</v>
      </c>
      <c r="O171" s="95" t="n">
        <v>0</v>
      </c>
      <c r="P171" s="94" t="n">
        <f aca="false">SUM(J171:N171)</f>
        <v>0.247225806451613</v>
      </c>
      <c r="Q171" s="96" t="s">
        <v>429</v>
      </c>
      <c r="R171" s="96" t="s">
        <v>430</v>
      </c>
      <c r="S171" s="91" t="n">
        <v>103</v>
      </c>
      <c r="T171" s="69" t="s">
        <v>431</v>
      </c>
      <c r="U171" s="139" t="n">
        <f aca="false">J171*J$1*S171</f>
        <v>782.3674</v>
      </c>
      <c r="V171" s="97"/>
      <c r="W171" s="98" t="n">
        <v>203720</v>
      </c>
      <c r="X171" s="98" t="s">
        <v>432</v>
      </c>
      <c r="Y171" s="69"/>
      <c r="Z171" s="99"/>
      <c r="AA171" s="99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90"/>
      <c r="CM171" s="90"/>
      <c r="CN171" s="90"/>
      <c r="CO171" s="90"/>
      <c r="CP171" s="90"/>
      <c r="CQ171" s="90"/>
      <c r="CR171" s="90"/>
      <c r="CS171" s="90"/>
      <c r="CT171" s="90"/>
      <c r="CU171" s="90"/>
      <c r="CV171" s="90"/>
      <c r="CW171" s="90"/>
      <c r="CX171" s="90"/>
      <c r="CY171" s="90"/>
      <c r="CZ171" s="90"/>
      <c r="DA171" s="90"/>
      <c r="DB171" s="90"/>
      <c r="DC171" s="90"/>
      <c r="DD171" s="90"/>
      <c r="DE171" s="90"/>
      <c r="DF171" s="90"/>
      <c r="DG171" s="90"/>
      <c r="DH171" s="90"/>
      <c r="DI171" s="90"/>
      <c r="DJ171" s="90"/>
      <c r="DK171" s="90"/>
      <c r="DL171" s="90"/>
      <c r="DM171" s="90"/>
      <c r="DN171" s="90"/>
      <c r="DO171" s="90"/>
      <c r="DP171" s="90"/>
      <c r="DQ171" s="90"/>
      <c r="DR171" s="90"/>
      <c r="DS171" s="90"/>
      <c r="DT171" s="90"/>
      <c r="DU171" s="90"/>
      <c r="DV171" s="90"/>
      <c r="DW171" s="90"/>
      <c r="DX171" s="90"/>
      <c r="DY171" s="90"/>
      <c r="DZ171" s="90"/>
      <c r="EA171" s="90"/>
      <c r="EB171" s="90"/>
      <c r="EC171" s="90"/>
      <c r="ED171" s="90"/>
      <c r="EE171" s="90"/>
      <c r="EF171" s="90"/>
      <c r="EG171" s="90"/>
      <c r="EH171" s="90"/>
      <c r="EI171" s="90"/>
      <c r="EJ171" s="90"/>
      <c r="EK171" s="90"/>
      <c r="EL171" s="90"/>
      <c r="EM171" s="90"/>
      <c r="EN171" s="90"/>
      <c r="EO171" s="90"/>
      <c r="EP171" s="90"/>
      <c r="EQ171" s="90"/>
      <c r="ER171" s="90"/>
      <c r="ES171" s="90"/>
      <c r="ET171" s="90"/>
      <c r="EU171" s="90"/>
      <c r="EV171" s="90"/>
      <c r="EW171" s="90"/>
      <c r="EX171" s="90"/>
      <c r="EY171" s="90"/>
      <c r="EZ171" s="90"/>
      <c r="FA171" s="90"/>
      <c r="FB171" s="90"/>
      <c r="FC171" s="90"/>
      <c r="FD171" s="90"/>
      <c r="FE171" s="90"/>
      <c r="FF171" s="90"/>
      <c r="FG171" s="90"/>
      <c r="FH171" s="90"/>
      <c r="FI171" s="90"/>
      <c r="FJ171" s="90"/>
      <c r="FK171" s="90"/>
      <c r="FL171" s="90"/>
      <c r="FM171" s="90"/>
      <c r="FN171" s="90"/>
      <c r="FO171" s="90"/>
      <c r="FP171" s="90"/>
      <c r="FQ171" s="90"/>
      <c r="FR171" s="90"/>
      <c r="FS171" s="90"/>
      <c r="FT171" s="90"/>
      <c r="FU171" s="90"/>
      <c r="FV171" s="90"/>
      <c r="FW171" s="90"/>
      <c r="FX171" s="90"/>
      <c r="FY171" s="90"/>
      <c r="FZ171" s="90"/>
      <c r="GA171" s="90"/>
      <c r="GB171" s="90"/>
      <c r="GC171" s="90"/>
      <c r="GD171" s="90"/>
      <c r="GE171" s="90"/>
      <c r="GF171" s="90"/>
      <c r="GG171" s="90"/>
      <c r="GH171" s="90"/>
      <c r="GI171" s="90"/>
      <c r="GJ171" s="90"/>
      <c r="GK171" s="90"/>
      <c r="GL171" s="90"/>
      <c r="GM171" s="90"/>
      <c r="GN171" s="90"/>
      <c r="GO171" s="90"/>
      <c r="GP171" s="90"/>
      <c r="GQ171" s="90"/>
      <c r="GR171" s="90"/>
      <c r="GS171" s="90"/>
      <c r="GT171" s="90"/>
      <c r="GU171" s="90"/>
      <c r="GV171" s="90"/>
      <c r="GW171" s="90"/>
      <c r="GX171" s="90"/>
      <c r="GY171" s="90"/>
      <c r="GZ171" s="90"/>
      <c r="HA171" s="90"/>
      <c r="HB171" s="90"/>
      <c r="HC171" s="90"/>
      <c r="HD171" s="90"/>
      <c r="HE171" s="90"/>
      <c r="HF171" s="90"/>
      <c r="HG171" s="90"/>
      <c r="HH171" s="90"/>
      <c r="HI171" s="90"/>
      <c r="HJ171" s="90"/>
      <c r="HK171" s="90"/>
      <c r="HL171" s="90"/>
      <c r="HM171" s="90"/>
      <c r="HN171" s="90"/>
      <c r="HO171" s="90"/>
      <c r="HP171" s="90"/>
      <c r="HQ171" s="90"/>
      <c r="HR171" s="90"/>
      <c r="HS171" s="90"/>
      <c r="HT171" s="90"/>
      <c r="HU171" s="90"/>
      <c r="HV171" s="90"/>
      <c r="HW171" s="90"/>
      <c r="HX171" s="90"/>
      <c r="HY171" s="90"/>
      <c r="HZ171" s="90"/>
      <c r="IA171" s="90"/>
      <c r="IB171" s="90"/>
      <c r="IC171" s="90"/>
      <c r="ID171" s="90"/>
      <c r="IE171" s="90"/>
      <c r="IF171" s="90"/>
      <c r="IG171" s="90"/>
      <c r="IH171" s="90"/>
      <c r="II171" s="90"/>
      <c r="IJ171" s="90"/>
      <c r="IK171" s="90"/>
      <c r="IL171" s="90"/>
      <c r="IM171" s="90"/>
      <c r="IN171" s="90"/>
      <c r="IO171" s="90"/>
      <c r="IP171" s="90"/>
      <c r="IQ171" s="90"/>
      <c r="IR171" s="90"/>
      <c r="IS171" s="90"/>
      <c r="IT171" s="90"/>
      <c r="IU171" s="90"/>
      <c r="IV171" s="90"/>
      <c r="IW171" s="90"/>
    </row>
    <row r="172" customFormat="false" ht="12.75" hidden="false" customHeight="false" outlineLevel="0" collapsed="false">
      <c r="A172" s="90"/>
      <c r="B172" s="69" t="s">
        <v>187</v>
      </c>
      <c r="C172" s="91" t="s">
        <v>54</v>
      </c>
      <c r="D172" s="91" t="s">
        <v>218</v>
      </c>
      <c r="E172" s="92" t="n">
        <v>36586</v>
      </c>
      <c r="F172" s="92" t="n">
        <v>36616</v>
      </c>
      <c r="G172" s="69" t="s">
        <v>421</v>
      </c>
      <c r="H172" s="69" t="s">
        <v>422</v>
      </c>
      <c r="I172" s="91" t="s">
        <v>416</v>
      </c>
      <c r="J172" s="93" t="n">
        <f aca="false">7.5958/J$1</f>
        <v>0.245025806451613</v>
      </c>
      <c r="K172" s="94" t="n">
        <v>0</v>
      </c>
      <c r="L172" s="94" t="n">
        <v>0.0022</v>
      </c>
      <c r="M172" s="94" t="n">
        <v>0</v>
      </c>
      <c r="N172" s="94" t="n">
        <v>0</v>
      </c>
      <c r="O172" s="95" t="n">
        <v>0</v>
      </c>
      <c r="P172" s="94" t="n">
        <f aca="false">SUM(J172:N172)</f>
        <v>0.247225806451613</v>
      </c>
      <c r="Q172" s="96" t="s">
        <v>429</v>
      </c>
      <c r="R172" s="96" t="s">
        <v>430</v>
      </c>
      <c r="S172" s="91" t="n">
        <f aca="false">78+160</f>
        <v>238</v>
      </c>
      <c r="T172" s="69" t="s">
        <v>431</v>
      </c>
      <c r="U172" s="139" t="n">
        <f aca="false">J172*J$1*S172</f>
        <v>1807.8004</v>
      </c>
      <c r="V172" s="97"/>
      <c r="W172" s="98" t="n">
        <v>203720</v>
      </c>
      <c r="X172" s="98" t="s">
        <v>432</v>
      </c>
      <c r="Y172" s="69"/>
      <c r="Z172" s="99"/>
      <c r="AA172" s="99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0"/>
      <c r="BZ172" s="90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90"/>
      <c r="CM172" s="90"/>
      <c r="CN172" s="90"/>
      <c r="CO172" s="90"/>
      <c r="CP172" s="90"/>
      <c r="CQ172" s="90"/>
      <c r="CR172" s="90"/>
      <c r="CS172" s="90"/>
      <c r="CT172" s="90"/>
      <c r="CU172" s="90"/>
      <c r="CV172" s="90"/>
      <c r="CW172" s="90"/>
      <c r="CX172" s="90"/>
      <c r="CY172" s="90"/>
      <c r="CZ172" s="90"/>
      <c r="DA172" s="90"/>
      <c r="DB172" s="90"/>
      <c r="DC172" s="90"/>
      <c r="DD172" s="90"/>
      <c r="DE172" s="90"/>
      <c r="DF172" s="90"/>
      <c r="DG172" s="90"/>
      <c r="DH172" s="90"/>
      <c r="DI172" s="90"/>
      <c r="DJ172" s="90"/>
      <c r="DK172" s="90"/>
      <c r="DL172" s="90"/>
      <c r="DM172" s="90"/>
      <c r="DN172" s="90"/>
      <c r="DO172" s="90"/>
      <c r="DP172" s="90"/>
      <c r="DQ172" s="90"/>
      <c r="DR172" s="90"/>
      <c r="DS172" s="90"/>
      <c r="DT172" s="90"/>
      <c r="DU172" s="90"/>
      <c r="DV172" s="90"/>
      <c r="DW172" s="90"/>
      <c r="DX172" s="90"/>
      <c r="DY172" s="90"/>
      <c r="DZ172" s="90"/>
      <c r="EA172" s="90"/>
      <c r="EB172" s="90"/>
      <c r="EC172" s="90"/>
      <c r="ED172" s="90"/>
      <c r="EE172" s="90"/>
      <c r="EF172" s="90"/>
      <c r="EG172" s="90"/>
      <c r="EH172" s="90"/>
      <c r="EI172" s="90"/>
      <c r="EJ172" s="90"/>
      <c r="EK172" s="90"/>
      <c r="EL172" s="90"/>
      <c r="EM172" s="90"/>
      <c r="EN172" s="90"/>
      <c r="EO172" s="90"/>
      <c r="EP172" s="90"/>
      <c r="EQ172" s="90"/>
      <c r="ER172" s="90"/>
      <c r="ES172" s="90"/>
      <c r="ET172" s="90"/>
      <c r="EU172" s="90"/>
      <c r="EV172" s="90"/>
      <c r="EW172" s="90"/>
      <c r="EX172" s="90"/>
      <c r="EY172" s="90"/>
      <c r="EZ172" s="90"/>
      <c r="FA172" s="90"/>
      <c r="FB172" s="90"/>
      <c r="FC172" s="90"/>
      <c r="FD172" s="90"/>
      <c r="FE172" s="90"/>
      <c r="FF172" s="90"/>
      <c r="FG172" s="90"/>
      <c r="FH172" s="90"/>
      <c r="FI172" s="90"/>
      <c r="FJ172" s="90"/>
      <c r="FK172" s="90"/>
      <c r="FL172" s="90"/>
      <c r="FM172" s="90"/>
      <c r="FN172" s="90"/>
      <c r="FO172" s="90"/>
      <c r="FP172" s="90"/>
      <c r="FQ172" s="90"/>
      <c r="FR172" s="90"/>
      <c r="FS172" s="90"/>
      <c r="FT172" s="90"/>
      <c r="FU172" s="90"/>
      <c r="FV172" s="90"/>
      <c r="FW172" s="90"/>
      <c r="FX172" s="90"/>
      <c r="FY172" s="90"/>
      <c r="FZ172" s="90"/>
      <c r="GA172" s="90"/>
      <c r="GB172" s="90"/>
      <c r="GC172" s="90"/>
      <c r="GD172" s="90"/>
      <c r="GE172" s="90"/>
      <c r="GF172" s="90"/>
      <c r="GG172" s="90"/>
      <c r="GH172" s="90"/>
      <c r="GI172" s="90"/>
      <c r="GJ172" s="90"/>
      <c r="GK172" s="90"/>
      <c r="GL172" s="90"/>
      <c r="GM172" s="90"/>
      <c r="GN172" s="90"/>
      <c r="GO172" s="90"/>
      <c r="GP172" s="90"/>
      <c r="GQ172" s="90"/>
      <c r="GR172" s="90"/>
      <c r="GS172" s="90"/>
      <c r="GT172" s="90"/>
      <c r="GU172" s="90"/>
      <c r="GV172" s="90"/>
      <c r="GW172" s="90"/>
      <c r="GX172" s="90"/>
      <c r="GY172" s="90"/>
      <c r="GZ172" s="90"/>
      <c r="HA172" s="90"/>
      <c r="HB172" s="90"/>
      <c r="HC172" s="90"/>
      <c r="HD172" s="90"/>
      <c r="HE172" s="90"/>
      <c r="HF172" s="90"/>
      <c r="HG172" s="90"/>
      <c r="HH172" s="90"/>
      <c r="HI172" s="90"/>
      <c r="HJ172" s="90"/>
      <c r="HK172" s="90"/>
      <c r="HL172" s="90"/>
      <c r="HM172" s="90"/>
      <c r="HN172" s="90"/>
      <c r="HO172" s="90"/>
      <c r="HP172" s="90"/>
      <c r="HQ172" s="90"/>
      <c r="HR172" s="90"/>
      <c r="HS172" s="90"/>
      <c r="HT172" s="90"/>
      <c r="HU172" s="90"/>
      <c r="HV172" s="90"/>
      <c r="HW172" s="90"/>
      <c r="HX172" s="90"/>
      <c r="HY172" s="90"/>
      <c r="HZ172" s="90"/>
      <c r="IA172" s="90"/>
      <c r="IB172" s="90"/>
      <c r="IC172" s="90"/>
      <c r="ID172" s="90"/>
      <c r="IE172" s="90"/>
      <c r="IF172" s="90"/>
      <c r="IG172" s="90"/>
      <c r="IH172" s="90"/>
      <c r="II172" s="90"/>
      <c r="IJ172" s="90"/>
      <c r="IK172" s="90"/>
      <c r="IL172" s="90"/>
      <c r="IM172" s="90"/>
      <c r="IN172" s="90"/>
      <c r="IO172" s="90"/>
      <c r="IP172" s="90"/>
      <c r="IQ172" s="90"/>
      <c r="IR172" s="90"/>
      <c r="IS172" s="90"/>
      <c r="IT172" s="90"/>
      <c r="IU172" s="90"/>
      <c r="IV172" s="90"/>
      <c r="IW172" s="90"/>
    </row>
    <row r="173" customFormat="false" ht="12.75" hidden="false" customHeight="false" outlineLevel="0" collapsed="false">
      <c r="A173" s="90"/>
      <c r="B173" s="69" t="s">
        <v>187</v>
      </c>
      <c r="C173" s="91" t="s">
        <v>54</v>
      </c>
      <c r="D173" s="91" t="s">
        <v>218</v>
      </c>
      <c r="E173" s="92" t="n">
        <v>36586</v>
      </c>
      <c r="F173" s="92" t="n">
        <v>36616</v>
      </c>
      <c r="G173" s="69" t="s">
        <v>433</v>
      </c>
      <c r="H173" s="69" t="s">
        <v>422</v>
      </c>
      <c r="I173" s="91" t="s">
        <v>434</v>
      </c>
      <c r="J173" s="93" t="n">
        <f aca="false">14.174/J$1</f>
        <v>0.457225806451613</v>
      </c>
      <c r="K173" s="94" t="n">
        <v>0</v>
      </c>
      <c r="L173" s="94" t="n">
        <v>0.0022</v>
      </c>
      <c r="M173" s="94" t="n">
        <v>0</v>
      </c>
      <c r="N173" s="94" t="n">
        <v>0</v>
      </c>
      <c r="O173" s="95" t="n">
        <v>0</v>
      </c>
      <c r="P173" s="94" t="n">
        <f aca="false">SUM(J173:N173)</f>
        <v>0.459425806451613</v>
      </c>
      <c r="Q173" s="96" t="s">
        <v>435</v>
      </c>
      <c r="R173" s="96" t="s">
        <v>436</v>
      </c>
      <c r="S173" s="91" t="n">
        <v>5426</v>
      </c>
      <c r="T173" s="69" t="s">
        <v>437</v>
      </c>
      <c r="U173" s="139" t="n">
        <f aca="false">J173*J$1*S173</f>
        <v>76908.124</v>
      </c>
      <c r="V173" s="97"/>
      <c r="W173" s="98" t="n">
        <v>203829</v>
      </c>
      <c r="X173" s="98" t="n">
        <v>158618</v>
      </c>
      <c r="Y173" s="69"/>
      <c r="Z173" s="99"/>
      <c r="AA173" s="99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90"/>
      <c r="CM173" s="90"/>
      <c r="CN173" s="90"/>
      <c r="CO173" s="90"/>
      <c r="CP173" s="90"/>
      <c r="CQ173" s="90"/>
      <c r="CR173" s="90"/>
      <c r="CS173" s="90"/>
      <c r="CT173" s="90"/>
      <c r="CU173" s="90"/>
      <c r="CV173" s="90"/>
      <c r="CW173" s="90"/>
      <c r="CX173" s="90"/>
      <c r="CY173" s="90"/>
      <c r="CZ173" s="90"/>
      <c r="DA173" s="90"/>
      <c r="DB173" s="90"/>
      <c r="DC173" s="90"/>
      <c r="DD173" s="90"/>
      <c r="DE173" s="90"/>
      <c r="DF173" s="90"/>
      <c r="DG173" s="90"/>
      <c r="DH173" s="90"/>
      <c r="DI173" s="90"/>
      <c r="DJ173" s="90"/>
      <c r="DK173" s="90"/>
      <c r="DL173" s="90"/>
      <c r="DM173" s="90"/>
      <c r="DN173" s="90"/>
      <c r="DO173" s="90"/>
      <c r="DP173" s="90"/>
      <c r="DQ173" s="90"/>
      <c r="DR173" s="90"/>
      <c r="DS173" s="90"/>
      <c r="DT173" s="90"/>
      <c r="DU173" s="90"/>
      <c r="DV173" s="90"/>
      <c r="DW173" s="90"/>
      <c r="DX173" s="90"/>
      <c r="DY173" s="90"/>
      <c r="DZ173" s="90"/>
      <c r="EA173" s="90"/>
      <c r="EB173" s="90"/>
      <c r="EC173" s="90"/>
      <c r="ED173" s="90"/>
      <c r="EE173" s="90"/>
      <c r="EF173" s="90"/>
      <c r="EG173" s="90"/>
      <c r="EH173" s="90"/>
      <c r="EI173" s="90"/>
      <c r="EJ173" s="90"/>
      <c r="EK173" s="90"/>
      <c r="EL173" s="90"/>
      <c r="EM173" s="90"/>
      <c r="EN173" s="90"/>
      <c r="EO173" s="90"/>
      <c r="EP173" s="90"/>
      <c r="EQ173" s="90"/>
      <c r="ER173" s="90"/>
      <c r="ES173" s="90"/>
      <c r="ET173" s="90"/>
      <c r="EU173" s="90"/>
      <c r="EV173" s="90"/>
      <c r="EW173" s="90"/>
      <c r="EX173" s="90"/>
      <c r="EY173" s="90"/>
      <c r="EZ173" s="90"/>
      <c r="FA173" s="90"/>
      <c r="FB173" s="90"/>
      <c r="FC173" s="90"/>
      <c r="FD173" s="90"/>
      <c r="FE173" s="90"/>
      <c r="FF173" s="90"/>
      <c r="FG173" s="90"/>
      <c r="FH173" s="90"/>
      <c r="FI173" s="90"/>
      <c r="FJ173" s="90"/>
      <c r="FK173" s="90"/>
      <c r="FL173" s="90"/>
      <c r="FM173" s="90"/>
      <c r="FN173" s="90"/>
      <c r="FO173" s="90"/>
      <c r="FP173" s="90"/>
      <c r="FQ173" s="90"/>
      <c r="FR173" s="90"/>
      <c r="FS173" s="90"/>
      <c r="FT173" s="90"/>
      <c r="FU173" s="90"/>
      <c r="FV173" s="90"/>
      <c r="FW173" s="90"/>
      <c r="FX173" s="90"/>
      <c r="FY173" s="90"/>
      <c r="FZ173" s="90"/>
      <c r="GA173" s="90"/>
      <c r="GB173" s="90"/>
      <c r="GC173" s="90"/>
      <c r="GD173" s="90"/>
      <c r="GE173" s="90"/>
      <c r="GF173" s="90"/>
      <c r="GG173" s="90"/>
      <c r="GH173" s="90"/>
      <c r="GI173" s="90"/>
      <c r="GJ173" s="90"/>
      <c r="GK173" s="90"/>
      <c r="GL173" s="90"/>
      <c r="GM173" s="90"/>
      <c r="GN173" s="90"/>
      <c r="GO173" s="90"/>
      <c r="GP173" s="90"/>
      <c r="GQ173" s="90"/>
      <c r="GR173" s="90"/>
      <c r="GS173" s="90"/>
      <c r="GT173" s="90"/>
      <c r="GU173" s="90"/>
      <c r="GV173" s="90"/>
      <c r="GW173" s="90"/>
      <c r="GX173" s="90"/>
      <c r="GY173" s="90"/>
      <c r="GZ173" s="90"/>
      <c r="HA173" s="90"/>
      <c r="HB173" s="90"/>
      <c r="HC173" s="90"/>
      <c r="HD173" s="90"/>
      <c r="HE173" s="90"/>
      <c r="HF173" s="90"/>
      <c r="HG173" s="90"/>
      <c r="HH173" s="90"/>
      <c r="HI173" s="90"/>
      <c r="HJ173" s="90"/>
      <c r="HK173" s="90"/>
      <c r="HL173" s="90"/>
      <c r="HM173" s="90"/>
      <c r="HN173" s="90"/>
      <c r="HO173" s="90"/>
      <c r="HP173" s="90"/>
      <c r="HQ173" s="90"/>
      <c r="HR173" s="90"/>
      <c r="HS173" s="90"/>
      <c r="HT173" s="90"/>
      <c r="HU173" s="90"/>
      <c r="HV173" s="90"/>
      <c r="HW173" s="90"/>
      <c r="HX173" s="90"/>
      <c r="HY173" s="90"/>
      <c r="HZ173" s="90"/>
      <c r="IA173" s="90"/>
      <c r="IB173" s="90"/>
      <c r="IC173" s="90"/>
      <c r="ID173" s="90"/>
      <c r="IE173" s="90"/>
      <c r="IF173" s="90"/>
      <c r="IG173" s="90"/>
      <c r="IH173" s="90"/>
      <c r="II173" s="90"/>
      <c r="IJ173" s="90"/>
      <c r="IK173" s="90"/>
      <c r="IL173" s="90"/>
      <c r="IM173" s="90"/>
      <c r="IN173" s="90"/>
      <c r="IO173" s="90"/>
      <c r="IP173" s="90"/>
      <c r="IQ173" s="90"/>
      <c r="IR173" s="90"/>
      <c r="IS173" s="90"/>
      <c r="IT173" s="90"/>
      <c r="IU173" s="90"/>
      <c r="IV173" s="90"/>
      <c r="IW173" s="90"/>
    </row>
    <row r="174" customFormat="false" ht="12.75" hidden="false" customHeight="false" outlineLevel="0" collapsed="false">
      <c r="A174" s="90"/>
      <c r="B174" s="69" t="s">
        <v>187</v>
      </c>
      <c r="C174" s="91" t="s">
        <v>54</v>
      </c>
      <c r="D174" s="91" t="s">
        <v>218</v>
      </c>
      <c r="E174" s="92" t="n">
        <v>36586</v>
      </c>
      <c r="F174" s="92" t="n">
        <v>36616</v>
      </c>
      <c r="G174" s="69" t="s">
        <v>438</v>
      </c>
      <c r="H174" s="69" t="s">
        <v>422</v>
      </c>
      <c r="I174" s="91" t="s">
        <v>439</v>
      </c>
      <c r="J174" s="93" t="n">
        <f aca="false">15.0624/J$1</f>
        <v>0.485883870967742</v>
      </c>
      <c r="K174" s="94"/>
      <c r="L174" s="94"/>
      <c r="M174" s="94"/>
      <c r="N174" s="94"/>
      <c r="O174" s="95"/>
      <c r="P174" s="94"/>
      <c r="Q174" s="96" t="s">
        <v>440</v>
      </c>
      <c r="R174" s="96" t="s">
        <v>441</v>
      </c>
      <c r="S174" s="91" t="n">
        <v>892</v>
      </c>
      <c r="T174" s="69" t="s">
        <v>442</v>
      </c>
      <c r="U174" s="139" t="n">
        <f aca="false">J174*J$1*S174</f>
        <v>13435.6608</v>
      </c>
      <c r="V174" s="97"/>
      <c r="W174" s="98" t="n">
        <v>207149</v>
      </c>
      <c r="X174" s="98" t="n">
        <v>158619</v>
      </c>
      <c r="Y174" s="69"/>
      <c r="Z174" s="99"/>
      <c r="AA174" s="99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0"/>
      <c r="CT174" s="90"/>
      <c r="CU174" s="90"/>
      <c r="CV174" s="90"/>
      <c r="CW174" s="90"/>
      <c r="CX174" s="90"/>
      <c r="CY174" s="90"/>
      <c r="CZ174" s="90"/>
      <c r="DA174" s="90"/>
      <c r="DB174" s="90"/>
      <c r="DC174" s="90"/>
      <c r="DD174" s="90"/>
      <c r="DE174" s="90"/>
      <c r="DF174" s="90"/>
      <c r="DG174" s="90"/>
      <c r="DH174" s="90"/>
      <c r="DI174" s="90"/>
      <c r="DJ174" s="90"/>
      <c r="DK174" s="90"/>
      <c r="DL174" s="90"/>
      <c r="DM174" s="90"/>
      <c r="DN174" s="90"/>
      <c r="DO174" s="90"/>
      <c r="DP174" s="90"/>
      <c r="DQ174" s="90"/>
      <c r="DR174" s="90"/>
      <c r="DS174" s="90"/>
      <c r="DT174" s="90"/>
      <c r="DU174" s="90"/>
      <c r="DV174" s="90"/>
      <c r="DW174" s="90"/>
      <c r="DX174" s="90"/>
      <c r="DY174" s="90"/>
      <c r="DZ174" s="90"/>
      <c r="EA174" s="90"/>
      <c r="EB174" s="90"/>
      <c r="EC174" s="90"/>
      <c r="ED174" s="90"/>
      <c r="EE174" s="90"/>
      <c r="EF174" s="90"/>
      <c r="EG174" s="90"/>
      <c r="EH174" s="90"/>
      <c r="EI174" s="90"/>
      <c r="EJ174" s="90"/>
      <c r="EK174" s="90"/>
      <c r="EL174" s="90"/>
      <c r="EM174" s="90"/>
      <c r="EN174" s="90"/>
      <c r="EO174" s="90"/>
      <c r="EP174" s="90"/>
      <c r="EQ174" s="90"/>
      <c r="ER174" s="90"/>
      <c r="ES174" s="90"/>
      <c r="ET174" s="90"/>
      <c r="EU174" s="90"/>
      <c r="EV174" s="90"/>
      <c r="EW174" s="90"/>
      <c r="EX174" s="90"/>
      <c r="EY174" s="90"/>
      <c r="EZ174" s="90"/>
      <c r="FA174" s="90"/>
      <c r="FB174" s="90"/>
      <c r="FC174" s="90"/>
      <c r="FD174" s="90"/>
      <c r="FE174" s="90"/>
      <c r="FF174" s="90"/>
      <c r="FG174" s="90"/>
      <c r="FH174" s="90"/>
      <c r="FI174" s="90"/>
      <c r="FJ174" s="90"/>
      <c r="FK174" s="90"/>
      <c r="FL174" s="90"/>
      <c r="FM174" s="90"/>
      <c r="FN174" s="90"/>
      <c r="FO174" s="90"/>
      <c r="FP174" s="90"/>
      <c r="FQ174" s="90"/>
      <c r="FR174" s="90"/>
      <c r="FS174" s="90"/>
      <c r="FT174" s="90"/>
      <c r="FU174" s="90"/>
      <c r="FV174" s="90"/>
      <c r="FW174" s="90"/>
      <c r="FX174" s="90"/>
      <c r="FY174" s="90"/>
      <c r="FZ174" s="90"/>
      <c r="GA174" s="90"/>
      <c r="GB174" s="90"/>
      <c r="GC174" s="90"/>
      <c r="GD174" s="90"/>
      <c r="GE174" s="90"/>
      <c r="GF174" s="90"/>
      <c r="GG174" s="90"/>
      <c r="GH174" s="90"/>
      <c r="GI174" s="90"/>
      <c r="GJ174" s="90"/>
      <c r="GK174" s="90"/>
      <c r="GL174" s="90"/>
      <c r="GM174" s="90"/>
      <c r="GN174" s="90"/>
      <c r="GO174" s="90"/>
      <c r="GP174" s="90"/>
      <c r="GQ174" s="90"/>
      <c r="GR174" s="90"/>
      <c r="GS174" s="90"/>
      <c r="GT174" s="90"/>
      <c r="GU174" s="90"/>
      <c r="GV174" s="90"/>
      <c r="GW174" s="90"/>
      <c r="GX174" s="90"/>
      <c r="GY174" s="90"/>
      <c r="GZ174" s="90"/>
      <c r="HA174" s="90"/>
      <c r="HB174" s="90"/>
      <c r="HC174" s="90"/>
      <c r="HD174" s="90"/>
      <c r="HE174" s="90"/>
      <c r="HF174" s="90"/>
      <c r="HG174" s="90"/>
      <c r="HH174" s="90"/>
      <c r="HI174" s="90"/>
      <c r="HJ174" s="90"/>
      <c r="HK174" s="90"/>
      <c r="HL174" s="90"/>
      <c r="HM174" s="90"/>
      <c r="HN174" s="90"/>
      <c r="HO174" s="90"/>
      <c r="HP174" s="90"/>
      <c r="HQ174" s="90"/>
      <c r="HR174" s="90"/>
      <c r="HS174" s="90"/>
      <c r="HT174" s="90"/>
      <c r="HU174" s="90"/>
      <c r="HV174" s="90"/>
      <c r="HW174" s="90"/>
      <c r="HX174" s="90"/>
      <c r="HY174" s="90"/>
      <c r="HZ174" s="90"/>
      <c r="IA174" s="90"/>
      <c r="IB174" s="90"/>
      <c r="IC174" s="90"/>
      <c r="ID174" s="90"/>
      <c r="IE174" s="90"/>
      <c r="IF174" s="90"/>
      <c r="IG174" s="90"/>
      <c r="IH174" s="90"/>
      <c r="II174" s="90"/>
      <c r="IJ174" s="90"/>
      <c r="IK174" s="90"/>
      <c r="IL174" s="90"/>
      <c r="IM174" s="90"/>
      <c r="IN174" s="90"/>
      <c r="IO174" s="90"/>
      <c r="IP174" s="90"/>
      <c r="IQ174" s="90"/>
      <c r="IR174" s="90"/>
      <c r="IS174" s="90"/>
      <c r="IT174" s="90"/>
      <c r="IU174" s="90"/>
      <c r="IV174" s="90"/>
      <c r="IW174" s="90"/>
    </row>
    <row r="175" customFormat="false" ht="12.75" hidden="false" customHeight="false" outlineLevel="0" collapsed="false">
      <c r="A175" s="90"/>
      <c r="B175" s="69" t="s">
        <v>187</v>
      </c>
      <c r="C175" s="91" t="s">
        <v>54</v>
      </c>
      <c r="D175" s="91" t="s">
        <v>218</v>
      </c>
      <c r="E175" s="92" t="n">
        <v>36557</v>
      </c>
      <c r="F175" s="92" t="n">
        <v>36585</v>
      </c>
      <c r="G175" s="69" t="s">
        <v>443</v>
      </c>
      <c r="H175" s="69"/>
      <c r="I175" s="91" t="s">
        <v>444</v>
      </c>
      <c r="J175" s="93" t="n">
        <v>0.0079</v>
      </c>
      <c r="K175" s="94" t="n">
        <v>0</v>
      </c>
      <c r="L175" s="94" t="n">
        <v>0.0022</v>
      </c>
      <c r="M175" s="94" t="n">
        <v>0</v>
      </c>
      <c r="N175" s="94" t="n">
        <v>0</v>
      </c>
      <c r="O175" s="95" t="n">
        <v>0</v>
      </c>
      <c r="P175" s="94" t="n">
        <f aca="false">SUM(J175:N175)</f>
        <v>0.0101</v>
      </c>
      <c r="Q175" s="96" t="s">
        <v>445</v>
      </c>
      <c r="R175" s="96" t="s">
        <v>446</v>
      </c>
      <c r="S175" s="91" t="n">
        <v>396361</v>
      </c>
      <c r="T175" s="69"/>
      <c r="U175" s="140" t="n">
        <f aca="false">+S175*J175</f>
        <v>3131.2519</v>
      </c>
      <c r="V175" s="97"/>
      <c r="W175" s="98" t="n">
        <v>204191</v>
      </c>
      <c r="X175" s="98"/>
      <c r="Y175" s="69"/>
      <c r="Z175" s="99"/>
      <c r="AA175" s="99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0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90"/>
      <c r="CM175" s="90"/>
      <c r="CN175" s="90"/>
      <c r="CO175" s="90"/>
      <c r="CP175" s="90"/>
      <c r="CQ175" s="90"/>
      <c r="CR175" s="90"/>
      <c r="CS175" s="90"/>
      <c r="CT175" s="90"/>
      <c r="CU175" s="90"/>
      <c r="CV175" s="90"/>
      <c r="CW175" s="90"/>
      <c r="CX175" s="90"/>
      <c r="CY175" s="90"/>
      <c r="CZ175" s="90"/>
      <c r="DA175" s="90"/>
      <c r="DB175" s="90"/>
      <c r="DC175" s="90"/>
      <c r="DD175" s="90"/>
      <c r="DE175" s="90"/>
      <c r="DF175" s="90"/>
      <c r="DG175" s="90"/>
      <c r="DH175" s="90"/>
      <c r="DI175" s="90"/>
      <c r="DJ175" s="90"/>
      <c r="DK175" s="90"/>
      <c r="DL175" s="90"/>
      <c r="DM175" s="90"/>
      <c r="DN175" s="90"/>
      <c r="DO175" s="90"/>
      <c r="DP175" s="90"/>
      <c r="DQ175" s="90"/>
      <c r="DR175" s="90"/>
      <c r="DS175" s="90"/>
      <c r="DT175" s="90"/>
      <c r="DU175" s="90"/>
      <c r="DV175" s="90"/>
      <c r="DW175" s="90"/>
      <c r="DX175" s="90"/>
      <c r="DY175" s="90"/>
      <c r="DZ175" s="90"/>
      <c r="EA175" s="90"/>
      <c r="EB175" s="90"/>
      <c r="EC175" s="90"/>
      <c r="ED175" s="90"/>
      <c r="EE175" s="90"/>
      <c r="EF175" s="90"/>
      <c r="EG175" s="90"/>
      <c r="EH175" s="90"/>
      <c r="EI175" s="90"/>
      <c r="EJ175" s="90"/>
      <c r="EK175" s="90"/>
      <c r="EL175" s="90"/>
      <c r="EM175" s="90"/>
      <c r="EN175" s="90"/>
      <c r="EO175" s="90"/>
      <c r="EP175" s="90"/>
      <c r="EQ175" s="90"/>
      <c r="ER175" s="90"/>
      <c r="ES175" s="90"/>
      <c r="ET175" s="90"/>
      <c r="EU175" s="90"/>
      <c r="EV175" s="90"/>
      <c r="EW175" s="90"/>
      <c r="EX175" s="90"/>
      <c r="EY175" s="90"/>
      <c r="EZ175" s="90"/>
      <c r="FA175" s="90"/>
      <c r="FB175" s="90"/>
      <c r="FC175" s="90"/>
      <c r="FD175" s="90"/>
      <c r="FE175" s="90"/>
      <c r="FF175" s="90"/>
      <c r="FG175" s="90"/>
      <c r="FH175" s="90"/>
      <c r="FI175" s="90"/>
      <c r="FJ175" s="90"/>
      <c r="FK175" s="90"/>
      <c r="FL175" s="90"/>
      <c r="FM175" s="90"/>
      <c r="FN175" s="90"/>
      <c r="FO175" s="90"/>
      <c r="FP175" s="90"/>
      <c r="FQ175" s="90"/>
      <c r="FR175" s="90"/>
      <c r="FS175" s="90"/>
      <c r="FT175" s="90"/>
      <c r="FU175" s="90"/>
      <c r="FV175" s="90"/>
      <c r="FW175" s="90"/>
      <c r="FX175" s="90"/>
      <c r="FY175" s="90"/>
      <c r="FZ175" s="90"/>
      <c r="GA175" s="90"/>
      <c r="GB175" s="90"/>
      <c r="GC175" s="90"/>
      <c r="GD175" s="90"/>
      <c r="GE175" s="90"/>
      <c r="GF175" s="90"/>
      <c r="GG175" s="90"/>
      <c r="GH175" s="90"/>
      <c r="GI175" s="90"/>
      <c r="GJ175" s="90"/>
      <c r="GK175" s="90"/>
      <c r="GL175" s="90"/>
      <c r="GM175" s="90"/>
      <c r="GN175" s="90"/>
      <c r="GO175" s="90"/>
      <c r="GP175" s="90"/>
      <c r="GQ175" s="90"/>
      <c r="GR175" s="90"/>
      <c r="GS175" s="90"/>
      <c r="GT175" s="90"/>
      <c r="GU175" s="90"/>
      <c r="GV175" s="90"/>
      <c r="GW175" s="90"/>
      <c r="GX175" s="90"/>
      <c r="GY175" s="90"/>
      <c r="GZ175" s="90"/>
      <c r="HA175" s="90"/>
      <c r="HB175" s="90"/>
      <c r="HC175" s="90"/>
      <c r="HD175" s="90"/>
      <c r="HE175" s="90"/>
      <c r="HF175" s="90"/>
      <c r="HG175" s="90"/>
      <c r="HH175" s="90"/>
      <c r="HI175" s="90"/>
      <c r="HJ175" s="90"/>
      <c r="HK175" s="90"/>
      <c r="HL175" s="90"/>
      <c r="HM175" s="90"/>
      <c r="HN175" s="90"/>
      <c r="HO175" s="90"/>
      <c r="HP175" s="90"/>
      <c r="HQ175" s="90"/>
      <c r="HR175" s="90"/>
      <c r="HS175" s="90"/>
      <c r="HT175" s="90"/>
      <c r="HU175" s="90"/>
      <c r="HV175" s="90"/>
      <c r="HW175" s="90"/>
      <c r="HX175" s="90"/>
      <c r="HY175" s="90"/>
      <c r="HZ175" s="90"/>
      <c r="IA175" s="90"/>
      <c r="IB175" s="90"/>
      <c r="IC175" s="90"/>
      <c r="ID175" s="90"/>
      <c r="IE175" s="90"/>
      <c r="IF175" s="90"/>
      <c r="IG175" s="90"/>
      <c r="IH175" s="90"/>
      <c r="II175" s="90"/>
      <c r="IJ175" s="90"/>
      <c r="IK175" s="90"/>
      <c r="IL175" s="90"/>
      <c r="IM175" s="90"/>
      <c r="IN175" s="90"/>
      <c r="IO175" s="90"/>
      <c r="IP175" s="90"/>
      <c r="IQ175" s="90"/>
      <c r="IR175" s="90"/>
      <c r="IS175" s="90"/>
      <c r="IT175" s="90"/>
      <c r="IU175" s="90"/>
      <c r="IV175" s="90"/>
      <c r="IW175" s="90"/>
    </row>
    <row r="176" customFormat="false" ht="12.75" hidden="false" customHeight="false" outlineLevel="0" collapsed="false">
      <c r="A176" s="90"/>
      <c r="B176" s="69" t="s">
        <v>187</v>
      </c>
      <c r="C176" s="91" t="s">
        <v>54</v>
      </c>
      <c r="D176" s="91" t="s">
        <v>218</v>
      </c>
      <c r="E176" s="92" t="n">
        <v>36557</v>
      </c>
      <c r="F176" s="92" t="n">
        <v>36585</v>
      </c>
      <c r="G176" s="69" t="s">
        <v>447</v>
      </c>
      <c r="H176" s="69"/>
      <c r="I176" s="91" t="s">
        <v>444</v>
      </c>
      <c r="J176" s="93" t="n">
        <v>0.6673</v>
      </c>
      <c r="K176" s="94" t="n">
        <v>0</v>
      </c>
      <c r="L176" s="94" t="n">
        <v>0.0022</v>
      </c>
      <c r="M176" s="94" t="n">
        <v>0</v>
      </c>
      <c r="N176" s="94" t="n">
        <v>0</v>
      </c>
      <c r="O176" s="95" t="n">
        <v>0</v>
      </c>
      <c r="P176" s="94" t="n">
        <f aca="false">SUM(J176:N176)</f>
        <v>0.6695</v>
      </c>
      <c r="Q176" s="96" t="s">
        <v>445</v>
      </c>
      <c r="R176" s="96" t="s">
        <v>445</v>
      </c>
      <c r="S176" s="91" t="n">
        <v>4663</v>
      </c>
      <c r="T176" s="69"/>
      <c r="U176" s="140" t="n">
        <f aca="false">+S176*J176</f>
        <v>3111.6199</v>
      </c>
      <c r="V176" s="97"/>
      <c r="W176" s="98" t="n">
        <v>204191</v>
      </c>
      <c r="X176" s="98"/>
      <c r="Y176" s="69"/>
      <c r="Z176" s="99"/>
      <c r="AA176" s="99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0"/>
      <c r="BN176" s="90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0"/>
      <c r="BZ176" s="90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90"/>
      <c r="CM176" s="90"/>
      <c r="CN176" s="90"/>
      <c r="CO176" s="90"/>
      <c r="CP176" s="90"/>
      <c r="CQ176" s="90"/>
      <c r="CR176" s="90"/>
      <c r="CS176" s="90"/>
      <c r="CT176" s="90"/>
      <c r="CU176" s="90"/>
      <c r="CV176" s="90"/>
      <c r="CW176" s="90"/>
      <c r="CX176" s="90"/>
      <c r="CY176" s="90"/>
      <c r="CZ176" s="90"/>
      <c r="DA176" s="90"/>
      <c r="DB176" s="90"/>
      <c r="DC176" s="90"/>
      <c r="DD176" s="90"/>
      <c r="DE176" s="90"/>
      <c r="DF176" s="90"/>
      <c r="DG176" s="90"/>
      <c r="DH176" s="90"/>
      <c r="DI176" s="90"/>
      <c r="DJ176" s="90"/>
      <c r="DK176" s="90"/>
      <c r="DL176" s="90"/>
      <c r="DM176" s="90"/>
      <c r="DN176" s="90"/>
      <c r="DO176" s="90"/>
      <c r="DP176" s="90"/>
      <c r="DQ176" s="90"/>
      <c r="DR176" s="90"/>
      <c r="DS176" s="90"/>
      <c r="DT176" s="90"/>
      <c r="DU176" s="90"/>
      <c r="DV176" s="90"/>
      <c r="DW176" s="90"/>
      <c r="DX176" s="90"/>
      <c r="DY176" s="90"/>
      <c r="DZ176" s="90"/>
      <c r="EA176" s="90"/>
      <c r="EB176" s="90"/>
      <c r="EC176" s="90"/>
      <c r="ED176" s="90"/>
      <c r="EE176" s="90"/>
      <c r="EF176" s="90"/>
      <c r="EG176" s="90"/>
      <c r="EH176" s="90"/>
      <c r="EI176" s="90"/>
      <c r="EJ176" s="90"/>
      <c r="EK176" s="90"/>
      <c r="EL176" s="90"/>
      <c r="EM176" s="90"/>
      <c r="EN176" s="90"/>
      <c r="EO176" s="90"/>
      <c r="EP176" s="90"/>
      <c r="EQ176" s="90"/>
      <c r="ER176" s="90"/>
      <c r="ES176" s="90"/>
      <c r="ET176" s="90"/>
      <c r="EU176" s="90"/>
      <c r="EV176" s="90"/>
      <c r="EW176" s="90"/>
      <c r="EX176" s="90"/>
      <c r="EY176" s="90"/>
      <c r="EZ176" s="90"/>
      <c r="FA176" s="90"/>
      <c r="FB176" s="90"/>
      <c r="FC176" s="90"/>
      <c r="FD176" s="90"/>
      <c r="FE176" s="90"/>
      <c r="FF176" s="90"/>
      <c r="FG176" s="90"/>
      <c r="FH176" s="90"/>
      <c r="FI176" s="90"/>
      <c r="FJ176" s="90"/>
      <c r="FK176" s="90"/>
      <c r="FL176" s="90"/>
      <c r="FM176" s="90"/>
      <c r="FN176" s="90"/>
      <c r="FO176" s="90"/>
      <c r="FP176" s="90"/>
      <c r="FQ176" s="90"/>
      <c r="FR176" s="90"/>
      <c r="FS176" s="90"/>
      <c r="FT176" s="90"/>
      <c r="FU176" s="90"/>
      <c r="FV176" s="90"/>
      <c r="FW176" s="90"/>
      <c r="FX176" s="90"/>
      <c r="FY176" s="90"/>
      <c r="FZ176" s="90"/>
      <c r="GA176" s="90"/>
      <c r="GB176" s="90"/>
      <c r="GC176" s="90"/>
      <c r="GD176" s="90"/>
      <c r="GE176" s="90"/>
      <c r="GF176" s="90"/>
      <c r="GG176" s="90"/>
      <c r="GH176" s="90"/>
      <c r="GI176" s="90"/>
      <c r="GJ176" s="90"/>
      <c r="GK176" s="90"/>
      <c r="GL176" s="90"/>
      <c r="GM176" s="90"/>
      <c r="GN176" s="90"/>
      <c r="GO176" s="90"/>
      <c r="GP176" s="90"/>
      <c r="GQ176" s="90"/>
      <c r="GR176" s="90"/>
      <c r="GS176" s="90"/>
      <c r="GT176" s="90"/>
      <c r="GU176" s="90"/>
      <c r="GV176" s="90"/>
      <c r="GW176" s="90"/>
      <c r="GX176" s="90"/>
      <c r="GY176" s="90"/>
      <c r="GZ176" s="90"/>
      <c r="HA176" s="90"/>
      <c r="HB176" s="90"/>
      <c r="HC176" s="90"/>
      <c r="HD176" s="90"/>
      <c r="HE176" s="90"/>
      <c r="HF176" s="90"/>
      <c r="HG176" s="90"/>
      <c r="HH176" s="90"/>
      <c r="HI176" s="90"/>
      <c r="HJ176" s="90"/>
      <c r="HK176" s="90"/>
      <c r="HL176" s="90"/>
      <c r="HM176" s="90"/>
      <c r="HN176" s="90"/>
      <c r="HO176" s="90"/>
      <c r="HP176" s="90"/>
      <c r="HQ176" s="90"/>
      <c r="HR176" s="90"/>
      <c r="HS176" s="90"/>
      <c r="HT176" s="90"/>
      <c r="HU176" s="90"/>
      <c r="HV176" s="90"/>
      <c r="HW176" s="90"/>
      <c r="HX176" s="90"/>
      <c r="HY176" s="90"/>
      <c r="HZ176" s="90"/>
      <c r="IA176" s="90"/>
      <c r="IB176" s="90"/>
      <c r="IC176" s="90"/>
      <c r="ID176" s="90"/>
      <c r="IE176" s="90"/>
      <c r="IF176" s="90"/>
      <c r="IG176" s="90"/>
      <c r="IH176" s="90"/>
      <c r="II176" s="90"/>
      <c r="IJ176" s="90"/>
      <c r="IK176" s="90"/>
      <c r="IL176" s="90"/>
      <c r="IM176" s="90"/>
      <c r="IN176" s="90"/>
      <c r="IO176" s="90"/>
      <c r="IP176" s="90"/>
      <c r="IQ176" s="90"/>
      <c r="IR176" s="90"/>
      <c r="IS176" s="90"/>
      <c r="IT176" s="90"/>
      <c r="IU176" s="90"/>
      <c r="IV176" s="90"/>
      <c r="IW176" s="90"/>
    </row>
    <row r="177" customFormat="false" ht="12.75" hidden="false" customHeight="false" outlineLevel="0" collapsed="false">
      <c r="A177" s="100"/>
      <c r="B177" s="69" t="s">
        <v>187</v>
      </c>
      <c r="C177" s="91" t="s">
        <v>54</v>
      </c>
      <c r="D177" s="91" t="s">
        <v>218</v>
      </c>
      <c r="E177" s="92" t="n">
        <v>36586</v>
      </c>
      <c r="F177" s="92" t="n">
        <v>36616</v>
      </c>
      <c r="G177" s="69" t="s">
        <v>448</v>
      </c>
      <c r="H177" s="69"/>
      <c r="I177" s="91" t="s">
        <v>449</v>
      </c>
      <c r="J177" s="93" t="n">
        <v>0.0481</v>
      </c>
      <c r="K177" s="94" t="n">
        <v>0</v>
      </c>
      <c r="L177" s="94" t="n">
        <v>0.0022</v>
      </c>
      <c r="M177" s="94" t="n">
        <v>0</v>
      </c>
      <c r="N177" s="94" t="n">
        <v>0</v>
      </c>
      <c r="O177" s="95" t="n">
        <v>0</v>
      </c>
      <c r="P177" s="94" t="n">
        <f aca="false">SUM(J177:N177)</f>
        <v>0.0503</v>
      </c>
      <c r="Q177" s="96" t="s">
        <v>450</v>
      </c>
      <c r="R177" s="96" t="s">
        <v>451</v>
      </c>
      <c r="S177" s="91" t="n">
        <v>7485</v>
      </c>
      <c r="T177" s="69" t="s">
        <v>452</v>
      </c>
      <c r="U177" s="140" t="n">
        <f aca="false">J177*S177</f>
        <v>360.0285</v>
      </c>
      <c r="V177" s="97"/>
      <c r="W177" s="98" t="n">
        <v>204191</v>
      </c>
      <c r="X177" s="98" t="s">
        <v>453</v>
      </c>
      <c r="Y177" s="58"/>
      <c r="Z177" s="89"/>
      <c r="AA177" s="89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100"/>
      <c r="BD177" s="100"/>
      <c r="BE177" s="100"/>
      <c r="BF177" s="100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100"/>
      <c r="BS177" s="100"/>
      <c r="BT177" s="100"/>
      <c r="BU177" s="100"/>
      <c r="BV177" s="100"/>
      <c r="BW177" s="100"/>
      <c r="BX177" s="100"/>
      <c r="BY177" s="100"/>
      <c r="BZ177" s="100"/>
      <c r="CA177" s="100"/>
      <c r="CB177" s="100"/>
      <c r="CC177" s="100"/>
      <c r="CD177" s="100"/>
      <c r="CE177" s="100"/>
      <c r="CF177" s="100"/>
      <c r="CG177" s="100"/>
      <c r="CH177" s="100"/>
      <c r="CI177" s="100"/>
      <c r="CJ177" s="100"/>
      <c r="CK177" s="100"/>
      <c r="CL177" s="100"/>
      <c r="CM177" s="100"/>
      <c r="CN177" s="100"/>
      <c r="CO177" s="100"/>
      <c r="CP177" s="100"/>
      <c r="CQ177" s="100"/>
      <c r="CR177" s="100"/>
      <c r="CS177" s="100"/>
      <c r="CT177" s="100"/>
      <c r="CU177" s="100"/>
      <c r="CV177" s="100"/>
      <c r="CW177" s="100"/>
      <c r="CX177" s="100"/>
      <c r="CY177" s="100"/>
      <c r="CZ177" s="100"/>
      <c r="DA177" s="100"/>
      <c r="DB177" s="100"/>
      <c r="DC177" s="100"/>
      <c r="DD177" s="100"/>
      <c r="DE177" s="100"/>
      <c r="DF177" s="100"/>
      <c r="DG177" s="100"/>
      <c r="DH177" s="100"/>
      <c r="DI177" s="100"/>
      <c r="DJ177" s="100"/>
      <c r="DK177" s="100"/>
      <c r="DL177" s="100"/>
      <c r="DM177" s="100"/>
      <c r="DN177" s="100"/>
      <c r="DO177" s="100"/>
      <c r="DP177" s="100"/>
      <c r="DQ177" s="100"/>
      <c r="DR177" s="100"/>
      <c r="DS177" s="100"/>
      <c r="DT177" s="100"/>
      <c r="DU177" s="100"/>
      <c r="DV177" s="100"/>
      <c r="DW177" s="100"/>
      <c r="DX177" s="100"/>
      <c r="DY177" s="100"/>
      <c r="DZ177" s="100"/>
      <c r="EA177" s="100"/>
      <c r="EB177" s="100"/>
      <c r="EC177" s="100"/>
      <c r="ED177" s="100"/>
      <c r="EE177" s="100"/>
      <c r="EF177" s="100"/>
      <c r="EG177" s="100"/>
      <c r="EH177" s="100"/>
      <c r="EI177" s="100"/>
      <c r="EJ177" s="100"/>
      <c r="EK177" s="100"/>
      <c r="EL177" s="100"/>
      <c r="EM177" s="100"/>
      <c r="EN177" s="100"/>
      <c r="EO177" s="100"/>
      <c r="EP177" s="100"/>
      <c r="EQ177" s="100"/>
      <c r="ER177" s="100"/>
      <c r="ES177" s="100"/>
      <c r="ET177" s="100"/>
      <c r="EU177" s="100"/>
      <c r="EV177" s="100"/>
      <c r="EW177" s="100"/>
      <c r="EX177" s="100"/>
      <c r="EY177" s="100"/>
      <c r="EZ177" s="100"/>
      <c r="FA177" s="100"/>
      <c r="FB177" s="100"/>
      <c r="FC177" s="100"/>
      <c r="FD177" s="100"/>
      <c r="FE177" s="100"/>
      <c r="FF177" s="100"/>
      <c r="FG177" s="100"/>
      <c r="FH177" s="100"/>
      <c r="FI177" s="100"/>
      <c r="FJ177" s="100"/>
      <c r="FK177" s="100"/>
      <c r="FL177" s="100"/>
      <c r="FM177" s="100"/>
      <c r="FN177" s="100"/>
      <c r="FO177" s="100"/>
      <c r="FP177" s="100"/>
      <c r="FQ177" s="100"/>
      <c r="FR177" s="100"/>
      <c r="FS177" s="100"/>
      <c r="FT177" s="100"/>
      <c r="FU177" s="100"/>
      <c r="FV177" s="100"/>
      <c r="FW177" s="100"/>
      <c r="FX177" s="100"/>
      <c r="FY177" s="100"/>
      <c r="FZ177" s="100"/>
      <c r="GA177" s="100"/>
      <c r="GB177" s="100"/>
      <c r="GC177" s="100"/>
      <c r="GD177" s="100"/>
      <c r="GE177" s="100"/>
      <c r="GF177" s="100"/>
      <c r="GG177" s="100"/>
      <c r="GH177" s="100"/>
      <c r="GI177" s="100"/>
      <c r="GJ177" s="100"/>
      <c r="GK177" s="100"/>
      <c r="GL177" s="100"/>
      <c r="GM177" s="100"/>
      <c r="GN177" s="100"/>
      <c r="GO177" s="100"/>
      <c r="GP177" s="100"/>
      <c r="GQ177" s="100"/>
      <c r="GR177" s="100"/>
      <c r="GS177" s="100"/>
      <c r="GT177" s="100"/>
      <c r="GU177" s="100"/>
      <c r="GV177" s="100"/>
      <c r="GW177" s="100"/>
      <c r="GX177" s="100"/>
      <c r="GY177" s="100"/>
      <c r="GZ177" s="100"/>
      <c r="HA177" s="100"/>
      <c r="HB177" s="100"/>
      <c r="HC177" s="100"/>
      <c r="HD177" s="100"/>
      <c r="HE177" s="100"/>
      <c r="HF177" s="100"/>
      <c r="HG177" s="100"/>
      <c r="HH177" s="100"/>
      <c r="HI177" s="100"/>
      <c r="HJ177" s="100"/>
      <c r="HK177" s="100"/>
      <c r="HL177" s="100"/>
      <c r="HM177" s="100"/>
      <c r="HN177" s="100"/>
      <c r="HO177" s="100"/>
      <c r="HP177" s="100"/>
      <c r="HQ177" s="100"/>
      <c r="HR177" s="100"/>
      <c r="HS177" s="100"/>
      <c r="HT177" s="100"/>
      <c r="HU177" s="100"/>
      <c r="HV177" s="100"/>
      <c r="HW177" s="100"/>
      <c r="HX177" s="100"/>
      <c r="HY177" s="100"/>
      <c r="HZ177" s="100"/>
      <c r="IA177" s="100"/>
      <c r="IB177" s="100"/>
      <c r="IC177" s="100"/>
      <c r="ID177" s="100"/>
      <c r="IE177" s="100"/>
      <c r="IF177" s="100"/>
      <c r="IG177" s="100"/>
      <c r="IH177" s="100"/>
      <c r="II177" s="100"/>
      <c r="IJ177" s="100"/>
      <c r="IK177" s="100"/>
      <c r="IL177" s="100"/>
      <c r="IM177" s="100"/>
      <c r="IN177" s="100"/>
      <c r="IO177" s="100"/>
      <c r="IP177" s="100"/>
      <c r="IQ177" s="100"/>
      <c r="IR177" s="100"/>
      <c r="IS177" s="100"/>
      <c r="IT177" s="100"/>
      <c r="IU177" s="100"/>
      <c r="IV177" s="100"/>
      <c r="IW177" s="100"/>
    </row>
    <row r="178" customFormat="false" ht="12.75" hidden="false" customHeight="false" outlineLevel="0" collapsed="false">
      <c r="A178" s="100"/>
      <c r="B178" s="69" t="s">
        <v>187</v>
      </c>
      <c r="C178" s="91" t="s">
        <v>54</v>
      </c>
      <c r="D178" s="91" t="s">
        <v>218</v>
      </c>
      <c r="E178" s="92" t="n">
        <v>36586</v>
      </c>
      <c r="F178" s="92" t="n">
        <v>36616</v>
      </c>
      <c r="G178" s="69" t="s">
        <v>454</v>
      </c>
      <c r="H178" s="69"/>
      <c r="I178" s="91" t="s">
        <v>449</v>
      </c>
      <c r="J178" s="93" t="n">
        <v>0.484</v>
      </c>
      <c r="K178" s="94" t="n">
        <v>0</v>
      </c>
      <c r="L178" s="94" t="n">
        <v>0.0022</v>
      </c>
      <c r="M178" s="94" t="n">
        <v>0</v>
      </c>
      <c r="N178" s="94" t="n">
        <v>0</v>
      </c>
      <c r="O178" s="95" t="n">
        <v>0</v>
      </c>
      <c r="P178" s="94" t="n">
        <f aca="false">SUM(J178:N178)</f>
        <v>0.4862</v>
      </c>
      <c r="Q178" s="96" t="s">
        <v>451</v>
      </c>
      <c r="R178" s="96" t="s">
        <v>455</v>
      </c>
      <c r="S178" s="91" t="n">
        <v>744</v>
      </c>
      <c r="T178" s="69" t="s">
        <v>456</v>
      </c>
      <c r="U178" s="140" t="n">
        <f aca="false">J178*S178</f>
        <v>360.096</v>
      </c>
      <c r="V178" s="97"/>
      <c r="W178" s="98" t="n">
        <v>204184</v>
      </c>
      <c r="X178" s="98" t="s">
        <v>453</v>
      </c>
      <c r="Y178" s="58"/>
      <c r="Z178" s="89"/>
      <c r="AA178" s="89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100"/>
      <c r="BD178" s="100"/>
      <c r="BE178" s="100"/>
      <c r="BF178" s="100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100"/>
      <c r="BS178" s="100"/>
      <c r="BT178" s="100"/>
      <c r="BU178" s="100"/>
      <c r="BV178" s="100"/>
      <c r="BW178" s="100"/>
      <c r="BX178" s="100"/>
      <c r="BY178" s="100"/>
      <c r="BZ178" s="100"/>
      <c r="CA178" s="100"/>
      <c r="CB178" s="100"/>
      <c r="CC178" s="100"/>
      <c r="CD178" s="100"/>
      <c r="CE178" s="100"/>
      <c r="CF178" s="100"/>
      <c r="CG178" s="100"/>
      <c r="CH178" s="100"/>
      <c r="CI178" s="100"/>
      <c r="CJ178" s="100"/>
      <c r="CK178" s="100"/>
      <c r="CL178" s="100"/>
      <c r="CM178" s="100"/>
      <c r="CN178" s="100"/>
      <c r="CO178" s="100"/>
      <c r="CP178" s="100"/>
      <c r="CQ178" s="100"/>
      <c r="CR178" s="100"/>
      <c r="CS178" s="100"/>
      <c r="CT178" s="100"/>
      <c r="CU178" s="100"/>
      <c r="CV178" s="100"/>
      <c r="CW178" s="100"/>
      <c r="CX178" s="100"/>
      <c r="CY178" s="100"/>
      <c r="CZ178" s="100"/>
      <c r="DA178" s="100"/>
      <c r="DB178" s="100"/>
      <c r="DC178" s="100"/>
      <c r="DD178" s="100"/>
      <c r="DE178" s="100"/>
      <c r="DF178" s="100"/>
      <c r="DG178" s="100"/>
      <c r="DH178" s="100"/>
      <c r="DI178" s="100"/>
      <c r="DJ178" s="100"/>
      <c r="DK178" s="100"/>
      <c r="DL178" s="100"/>
      <c r="DM178" s="100"/>
      <c r="DN178" s="100"/>
      <c r="DO178" s="100"/>
      <c r="DP178" s="100"/>
      <c r="DQ178" s="100"/>
      <c r="DR178" s="100"/>
      <c r="DS178" s="100"/>
      <c r="DT178" s="100"/>
      <c r="DU178" s="100"/>
      <c r="DV178" s="100"/>
      <c r="DW178" s="100"/>
      <c r="DX178" s="100"/>
      <c r="DY178" s="100"/>
      <c r="DZ178" s="100"/>
      <c r="EA178" s="100"/>
      <c r="EB178" s="100"/>
      <c r="EC178" s="100"/>
      <c r="ED178" s="100"/>
      <c r="EE178" s="100"/>
      <c r="EF178" s="100"/>
      <c r="EG178" s="100"/>
      <c r="EH178" s="100"/>
      <c r="EI178" s="100"/>
      <c r="EJ178" s="100"/>
      <c r="EK178" s="100"/>
      <c r="EL178" s="100"/>
      <c r="EM178" s="100"/>
      <c r="EN178" s="100"/>
      <c r="EO178" s="100"/>
      <c r="EP178" s="100"/>
      <c r="EQ178" s="100"/>
      <c r="ER178" s="100"/>
      <c r="ES178" s="100"/>
      <c r="ET178" s="100"/>
      <c r="EU178" s="100"/>
      <c r="EV178" s="100"/>
      <c r="EW178" s="100"/>
      <c r="EX178" s="100"/>
      <c r="EY178" s="100"/>
      <c r="EZ178" s="100"/>
      <c r="FA178" s="100"/>
      <c r="FB178" s="100"/>
      <c r="FC178" s="100"/>
      <c r="FD178" s="100"/>
      <c r="FE178" s="100"/>
      <c r="FF178" s="100"/>
      <c r="FG178" s="100"/>
      <c r="FH178" s="100"/>
      <c r="FI178" s="100"/>
      <c r="FJ178" s="100"/>
      <c r="FK178" s="100"/>
      <c r="FL178" s="100"/>
      <c r="FM178" s="100"/>
      <c r="FN178" s="100"/>
      <c r="FO178" s="100"/>
      <c r="FP178" s="100"/>
      <c r="FQ178" s="100"/>
      <c r="FR178" s="100"/>
      <c r="FS178" s="100"/>
      <c r="FT178" s="100"/>
      <c r="FU178" s="100"/>
      <c r="FV178" s="100"/>
      <c r="FW178" s="100"/>
      <c r="FX178" s="100"/>
      <c r="FY178" s="100"/>
      <c r="FZ178" s="100"/>
      <c r="GA178" s="100"/>
      <c r="GB178" s="100"/>
      <c r="GC178" s="100"/>
      <c r="GD178" s="100"/>
      <c r="GE178" s="100"/>
      <c r="GF178" s="100"/>
      <c r="GG178" s="100"/>
      <c r="GH178" s="100"/>
      <c r="GI178" s="100"/>
      <c r="GJ178" s="100"/>
      <c r="GK178" s="100"/>
      <c r="GL178" s="100"/>
      <c r="GM178" s="100"/>
      <c r="GN178" s="100"/>
      <c r="GO178" s="100"/>
      <c r="GP178" s="100"/>
      <c r="GQ178" s="100"/>
      <c r="GR178" s="100"/>
      <c r="GS178" s="100"/>
      <c r="GT178" s="100"/>
      <c r="GU178" s="100"/>
      <c r="GV178" s="100"/>
      <c r="GW178" s="100"/>
      <c r="GX178" s="100"/>
      <c r="GY178" s="100"/>
      <c r="GZ178" s="100"/>
      <c r="HA178" s="100"/>
      <c r="HB178" s="100"/>
      <c r="HC178" s="100"/>
      <c r="HD178" s="100"/>
      <c r="HE178" s="100"/>
      <c r="HF178" s="100"/>
      <c r="HG178" s="100"/>
      <c r="HH178" s="100"/>
      <c r="HI178" s="100"/>
      <c r="HJ178" s="100"/>
      <c r="HK178" s="100"/>
      <c r="HL178" s="100"/>
      <c r="HM178" s="100"/>
      <c r="HN178" s="100"/>
      <c r="HO178" s="100"/>
      <c r="HP178" s="100"/>
      <c r="HQ178" s="100"/>
      <c r="HR178" s="100"/>
      <c r="HS178" s="100"/>
      <c r="HT178" s="100"/>
      <c r="HU178" s="100"/>
      <c r="HV178" s="100"/>
      <c r="HW178" s="100"/>
      <c r="HX178" s="100"/>
      <c r="HY178" s="100"/>
      <c r="HZ178" s="100"/>
      <c r="IA178" s="100"/>
      <c r="IB178" s="100"/>
      <c r="IC178" s="100"/>
      <c r="ID178" s="100"/>
      <c r="IE178" s="100"/>
      <c r="IF178" s="100"/>
      <c r="IG178" s="100"/>
      <c r="IH178" s="100"/>
      <c r="II178" s="100"/>
      <c r="IJ178" s="100"/>
      <c r="IK178" s="100"/>
      <c r="IL178" s="100"/>
      <c r="IM178" s="100"/>
      <c r="IN178" s="100"/>
      <c r="IO178" s="100"/>
      <c r="IP178" s="100"/>
      <c r="IQ178" s="100"/>
      <c r="IR178" s="100"/>
      <c r="IS178" s="100"/>
      <c r="IT178" s="100"/>
      <c r="IU178" s="100"/>
      <c r="IV178" s="100"/>
      <c r="IW178" s="100"/>
    </row>
    <row r="179" customFormat="false" ht="12.75" hidden="false" customHeight="false" outlineLevel="0" collapsed="false">
      <c r="A179" s="100"/>
      <c r="B179" s="58" t="s">
        <v>168</v>
      </c>
      <c r="C179" s="56" t="s">
        <v>54</v>
      </c>
      <c r="D179" s="56" t="s">
        <v>367</v>
      </c>
      <c r="E179" s="57" t="n">
        <v>35977</v>
      </c>
      <c r="F179" s="57" t="n">
        <v>39599</v>
      </c>
      <c r="G179" s="58" t="s">
        <v>457</v>
      </c>
      <c r="H179" s="58" t="s">
        <v>458</v>
      </c>
      <c r="I179" s="56" t="s">
        <v>459</v>
      </c>
      <c r="J179" s="72" t="n">
        <f aca="false">4.7713/J$1</f>
        <v>0.153912903225806</v>
      </c>
      <c r="K179" s="61" t="n">
        <v>0</v>
      </c>
      <c r="L179" s="61" t="n">
        <v>0.0022</v>
      </c>
      <c r="M179" s="61" t="n">
        <v>0</v>
      </c>
      <c r="N179" s="61" t="n">
        <v>0</v>
      </c>
      <c r="O179" s="62" t="n">
        <v>0</v>
      </c>
      <c r="P179" s="61" t="n">
        <f aca="false">SUM(J179:N179)</f>
        <v>0.156112903225806</v>
      </c>
      <c r="Q179" s="63" t="s">
        <v>460</v>
      </c>
      <c r="R179" s="63" t="s">
        <v>460</v>
      </c>
      <c r="S179" s="56" t="n">
        <v>15</v>
      </c>
      <c r="T179" s="58" t="s">
        <v>461</v>
      </c>
      <c r="U179" s="103" t="n">
        <f aca="false">J179*J$1*S179</f>
        <v>71.5695</v>
      </c>
      <c r="V179" s="101"/>
      <c r="W179" s="102"/>
      <c r="X179" s="102" t="s">
        <v>462</v>
      </c>
      <c r="Y179" s="58"/>
      <c r="Z179" s="89"/>
      <c r="AA179" s="89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100"/>
      <c r="BD179" s="100"/>
      <c r="BE179" s="100"/>
      <c r="BF179" s="100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100"/>
      <c r="CA179" s="100"/>
      <c r="CB179" s="100"/>
      <c r="CC179" s="100"/>
      <c r="CD179" s="100"/>
      <c r="CE179" s="100"/>
      <c r="CF179" s="100"/>
      <c r="CG179" s="100"/>
      <c r="CH179" s="100"/>
      <c r="CI179" s="100"/>
      <c r="CJ179" s="100"/>
      <c r="CK179" s="100"/>
      <c r="CL179" s="100"/>
      <c r="CM179" s="100"/>
      <c r="CN179" s="100"/>
      <c r="CO179" s="100"/>
      <c r="CP179" s="100"/>
      <c r="CQ179" s="100"/>
      <c r="CR179" s="100"/>
      <c r="CS179" s="100"/>
      <c r="CT179" s="100"/>
      <c r="CU179" s="100"/>
      <c r="CV179" s="100"/>
      <c r="CW179" s="100"/>
      <c r="CX179" s="100"/>
      <c r="CY179" s="100"/>
      <c r="CZ179" s="100"/>
      <c r="DA179" s="100"/>
      <c r="DB179" s="100"/>
      <c r="DC179" s="100"/>
      <c r="DD179" s="100"/>
      <c r="DE179" s="100"/>
      <c r="DF179" s="100"/>
      <c r="DG179" s="100"/>
      <c r="DH179" s="100"/>
      <c r="DI179" s="100"/>
      <c r="DJ179" s="100"/>
      <c r="DK179" s="100"/>
      <c r="DL179" s="100"/>
      <c r="DM179" s="100"/>
      <c r="DN179" s="100"/>
      <c r="DO179" s="100"/>
      <c r="DP179" s="100"/>
      <c r="DQ179" s="100"/>
      <c r="DR179" s="100"/>
      <c r="DS179" s="100"/>
      <c r="DT179" s="100"/>
      <c r="DU179" s="100"/>
      <c r="DV179" s="100"/>
      <c r="DW179" s="100"/>
      <c r="DX179" s="100"/>
      <c r="DY179" s="100"/>
      <c r="DZ179" s="100"/>
      <c r="EA179" s="100"/>
      <c r="EB179" s="100"/>
      <c r="EC179" s="100"/>
      <c r="ED179" s="100"/>
      <c r="EE179" s="100"/>
      <c r="EF179" s="100"/>
      <c r="EG179" s="100"/>
      <c r="EH179" s="100"/>
      <c r="EI179" s="100"/>
      <c r="EJ179" s="100"/>
      <c r="EK179" s="100"/>
      <c r="EL179" s="100"/>
      <c r="EM179" s="100"/>
      <c r="EN179" s="100"/>
      <c r="EO179" s="100"/>
      <c r="EP179" s="100"/>
      <c r="EQ179" s="100"/>
      <c r="ER179" s="100"/>
      <c r="ES179" s="100"/>
      <c r="ET179" s="100"/>
      <c r="EU179" s="100"/>
      <c r="EV179" s="100"/>
      <c r="EW179" s="100"/>
      <c r="EX179" s="100"/>
      <c r="EY179" s="100"/>
      <c r="EZ179" s="100"/>
      <c r="FA179" s="100"/>
      <c r="FB179" s="100"/>
      <c r="FC179" s="100"/>
      <c r="FD179" s="100"/>
      <c r="FE179" s="100"/>
      <c r="FF179" s="100"/>
      <c r="FG179" s="100"/>
      <c r="FH179" s="100"/>
      <c r="FI179" s="100"/>
      <c r="FJ179" s="100"/>
      <c r="FK179" s="100"/>
      <c r="FL179" s="100"/>
      <c r="FM179" s="100"/>
      <c r="FN179" s="100"/>
      <c r="FO179" s="100"/>
      <c r="FP179" s="100"/>
      <c r="FQ179" s="100"/>
      <c r="FR179" s="100"/>
      <c r="FS179" s="100"/>
      <c r="FT179" s="100"/>
      <c r="FU179" s="100"/>
      <c r="FV179" s="100"/>
      <c r="FW179" s="100"/>
      <c r="FX179" s="100"/>
      <c r="FY179" s="100"/>
      <c r="FZ179" s="100"/>
      <c r="GA179" s="100"/>
      <c r="GB179" s="100"/>
      <c r="GC179" s="100"/>
      <c r="GD179" s="100"/>
      <c r="GE179" s="100"/>
      <c r="GF179" s="100"/>
      <c r="GG179" s="100"/>
      <c r="GH179" s="100"/>
      <c r="GI179" s="100"/>
      <c r="GJ179" s="100"/>
      <c r="GK179" s="100"/>
      <c r="GL179" s="100"/>
      <c r="GM179" s="100"/>
      <c r="GN179" s="100"/>
      <c r="GO179" s="100"/>
      <c r="GP179" s="100"/>
      <c r="GQ179" s="100"/>
      <c r="GR179" s="100"/>
      <c r="GS179" s="100"/>
      <c r="GT179" s="100"/>
      <c r="GU179" s="100"/>
      <c r="GV179" s="100"/>
      <c r="GW179" s="100"/>
      <c r="GX179" s="100"/>
      <c r="GY179" s="100"/>
      <c r="GZ179" s="100"/>
      <c r="HA179" s="100"/>
      <c r="HB179" s="100"/>
      <c r="HC179" s="100"/>
      <c r="HD179" s="100"/>
      <c r="HE179" s="100"/>
      <c r="HF179" s="100"/>
      <c r="HG179" s="100"/>
      <c r="HH179" s="100"/>
      <c r="HI179" s="100"/>
      <c r="HJ179" s="100"/>
      <c r="HK179" s="100"/>
      <c r="HL179" s="100"/>
      <c r="HM179" s="100"/>
      <c r="HN179" s="100"/>
      <c r="HO179" s="100"/>
      <c r="HP179" s="100"/>
      <c r="HQ179" s="100"/>
      <c r="HR179" s="100"/>
      <c r="HS179" s="100"/>
      <c r="HT179" s="100"/>
      <c r="HU179" s="100"/>
      <c r="HV179" s="100"/>
      <c r="HW179" s="100"/>
      <c r="HX179" s="100"/>
      <c r="HY179" s="100"/>
      <c r="HZ179" s="100"/>
      <c r="IA179" s="100"/>
      <c r="IB179" s="100"/>
      <c r="IC179" s="100"/>
      <c r="ID179" s="100"/>
      <c r="IE179" s="100"/>
      <c r="IF179" s="100"/>
      <c r="IG179" s="100"/>
      <c r="IH179" s="100"/>
      <c r="II179" s="100"/>
      <c r="IJ179" s="100"/>
      <c r="IK179" s="100"/>
      <c r="IL179" s="100"/>
      <c r="IM179" s="100"/>
      <c r="IN179" s="100"/>
      <c r="IO179" s="100"/>
      <c r="IP179" s="100"/>
      <c r="IQ179" s="100"/>
      <c r="IR179" s="100"/>
      <c r="IS179" s="100"/>
      <c r="IT179" s="100"/>
      <c r="IU179" s="100"/>
      <c r="IV179" s="100"/>
      <c r="IW179" s="100"/>
    </row>
    <row r="180" customFormat="false" ht="12.75" hidden="false" customHeight="false" outlineLevel="0" collapsed="false">
      <c r="A180" s="100"/>
      <c r="B180" s="58" t="s">
        <v>168</v>
      </c>
      <c r="C180" s="56" t="s">
        <v>54</v>
      </c>
      <c r="D180" s="56" t="s">
        <v>367</v>
      </c>
      <c r="E180" s="57" t="n">
        <v>36130</v>
      </c>
      <c r="F180" s="57" t="n">
        <v>39599</v>
      </c>
      <c r="G180" s="58" t="s">
        <v>457</v>
      </c>
      <c r="H180" s="58" t="s">
        <v>458</v>
      </c>
      <c r="I180" s="56" t="s">
        <v>459</v>
      </c>
      <c r="J180" s="72" t="n">
        <f aca="false">4.7713/J$1</f>
        <v>0.153912903225806</v>
      </c>
      <c r="K180" s="61" t="n">
        <v>0</v>
      </c>
      <c r="L180" s="61" t="n">
        <v>0.0022</v>
      </c>
      <c r="M180" s="61" t="n">
        <v>0</v>
      </c>
      <c r="N180" s="61" t="n">
        <v>0</v>
      </c>
      <c r="O180" s="62" t="n">
        <v>0</v>
      </c>
      <c r="P180" s="61" t="n">
        <f aca="false">SUM(J180:N180)</f>
        <v>0.156112903225806</v>
      </c>
      <c r="Q180" s="63" t="s">
        <v>463</v>
      </c>
      <c r="R180" s="63" t="s">
        <v>463</v>
      </c>
      <c r="S180" s="56" t="n">
        <v>2</v>
      </c>
      <c r="T180" s="58" t="s">
        <v>464</v>
      </c>
      <c r="U180" s="103" t="n">
        <f aca="false">J180*J$1*S180</f>
        <v>9.5426</v>
      </c>
      <c r="V180" s="101"/>
      <c r="W180" s="102"/>
      <c r="X180" s="102" t="s">
        <v>465</v>
      </c>
      <c r="Y180" s="58"/>
      <c r="Z180" s="89"/>
      <c r="AA180" s="89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100"/>
      <c r="BD180" s="100"/>
      <c r="BE180" s="100"/>
      <c r="BF180" s="100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100"/>
      <c r="BS180" s="100"/>
      <c r="BT180" s="100"/>
      <c r="BU180" s="100"/>
      <c r="BV180" s="100"/>
      <c r="BW180" s="100"/>
      <c r="BX180" s="100"/>
      <c r="BY180" s="100"/>
      <c r="BZ180" s="100"/>
      <c r="CA180" s="100"/>
      <c r="CB180" s="100"/>
      <c r="CC180" s="100"/>
      <c r="CD180" s="100"/>
      <c r="CE180" s="100"/>
      <c r="CF180" s="100"/>
      <c r="CG180" s="100"/>
      <c r="CH180" s="100"/>
      <c r="CI180" s="100"/>
      <c r="CJ180" s="100"/>
      <c r="CK180" s="100"/>
      <c r="CL180" s="100"/>
      <c r="CM180" s="100"/>
      <c r="CN180" s="100"/>
      <c r="CO180" s="100"/>
      <c r="CP180" s="100"/>
      <c r="CQ180" s="100"/>
      <c r="CR180" s="100"/>
      <c r="CS180" s="100"/>
      <c r="CT180" s="100"/>
      <c r="CU180" s="100"/>
      <c r="CV180" s="100"/>
      <c r="CW180" s="100"/>
      <c r="CX180" s="100"/>
      <c r="CY180" s="100"/>
      <c r="CZ180" s="100"/>
      <c r="DA180" s="100"/>
      <c r="DB180" s="100"/>
      <c r="DC180" s="100"/>
      <c r="DD180" s="100"/>
      <c r="DE180" s="100"/>
      <c r="DF180" s="100"/>
      <c r="DG180" s="100"/>
      <c r="DH180" s="100"/>
      <c r="DI180" s="100"/>
      <c r="DJ180" s="100"/>
      <c r="DK180" s="100"/>
      <c r="DL180" s="100"/>
      <c r="DM180" s="100"/>
      <c r="DN180" s="100"/>
      <c r="DO180" s="100"/>
      <c r="DP180" s="100"/>
      <c r="DQ180" s="100"/>
      <c r="DR180" s="100"/>
      <c r="DS180" s="100"/>
      <c r="DT180" s="100"/>
      <c r="DU180" s="100"/>
      <c r="DV180" s="100"/>
      <c r="DW180" s="100"/>
      <c r="DX180" s="100"/>
      <c r="DY180" s="100"/>
      <c r="DZ180" s="100"/>
      <c r="EA180" s="100"/>
      <c r="EB180" s="100"/>
      <c r="EC180" s="100"/>
      <c r="ED180" s="100"/>
      <c r="EE180" s="100"/>
      <c r="EF180" s="100"/>
      <c r="EG180" s="100"/>
      <c r="EH180" s="100"/>
      <c r="EI180" s="100"/>
      <c r="EJ180" s="100"/>
      <c r="EK180" s="100"/>
      <c r="EL180" s="100"/>
      <c r="EM180" s="100"/>
      <c r="EN180" s="100"/>
      <c r="EO180" s="100"/>
      <c r="EP180" s="100"/>
      <c r="EQ180" s="100"/>
      <c r="ER180" s="100"/>
      <c r="ES180" s="100"/>
      <c r="ET180" s="100"/>
      <c r="EU180" s="100"/>
      <c r="EV180" s="100"/>
      <c r="EW180" s="100"/>
      <c r="EX180" s="100"/>
      <c r="EY180" s="100"/>
      <c r="EZ180" s="100"/>
      <c r="FA180" s="100"/>
      <c r="FB180" s="100"/>
      <c r="FC180" s="100"/>
      <c r="FD180" s="100"/>
      <c r="FE180" s="100"/>
      <c r="FF180" s="100"/>
      <c r="FG180" s="100"/>
      <c r="FH180" s="100"/>
      <c r="FI180" s="100"/>
      <c r="FJ180" s="100"/>
      <c r="FK180" s="100"/>
      <c r="FL180" s="100"/>
      <c r="FM180" s="100"/>
      <c r="FN180" s="100"/>
      <c r="FO180" s="100"/>
      <c r="FP180" s="100"/>
      <c r="FQ180" s="100"/>
      <c r="FR180" s="100"/>
      <c r="FS180" s="100"/>
      <c r="FT180" s="100"/>
      <c r="FU180" s="100"/>
      <c r="FV180" s="100"/>
      <c r="FW180" s="100"/>
      <c r="FX180" s="100"/>
      <c r="FY180" s="100"/>
      <c r="FZ180" s="100"/>
      <c r="GA180" s="100"/>
      <c r="GB180" s="100"/>
      <c r="GC180" s="100"/>
      <c r="GD180" s="100"/>
      <c r="GE180" s="100"/>
      <c r="GF180" s="100"/>
      <c r="GG180" s="100"/>
      <c r="GH180" s="100"/>
      <c r="GI180" s="100"/>
      <c r="GJ180" s="100"/>
      <c r="GK180" s="100"/>
      <c r="GL180" s="100"/>
      <c r="GM180" s="100"/>
      <c r="GN180" s="100"/>
      <c r="GO180" s="100"/>
      <c r="GP180" s="100"/>
      <c r="GQ180" s="100"/>
      <c r="GR180" s="100"/>
      <c r="GS180" s="100"/>
      <c r="GT180" s="100"/>
      <c r="GU180" s="100"/>
      <c r="GV180" s="100"/>
      <c r="GW180" s="100"/>
      <c r="GX180" s="100"/>
      <c r="GY180" s="100"/>
      <c r="GZ180" s="100"/>
      <c r="HA180" s="100"/>
      <c r="HB180" s="100"/>
      <c r="HC180" s="100"/>
      <c r="HD180" s="100"/>
      <c r="HE180" s="100"/>
      <c r="HF180" s="100"/>
      <c r="HG180" s="100"/>
      <c r="HH180" s="100"/>
      <c r="HI180" s="100"/>
      <c r="HJ180" s="100"/>
      <c r="HK180" s="100"/>
      <c r="HL180" s="100"/>
      <c r="HM180" s="100"/>
      <c r="HN180" s="100"/>
      <c r="HO180" s="100"/>
      <c r="HP180" s="100"/>
      <c r="HQ180" s="100"/>
      <c r="HR180" s="100"/>
      <c r="HS180" s="100"/>
      <c r="HT180" s="100"/>
      <c r="HU180" s="100"/>
      <c r="HV180" s="100"/>
      <c r="HW180" s="100"/>
      <c r="HX180" s="100"/>
      <c r="HY180" s="100"/>
      <c r="HZ180" s="100"/>
      <c r="IA180" s="100"/>
      <c r="IB180" s="100"/>
      <c r="IC180" s="100"/>
      <c r="ID180" s="100"/>
      <c r="IE180" s="100"/>
      <c r="IF180" s="100"/>
      <c r="IG180" s="100"/>
      <c r="IH180" s="100"/>
      <c r="II180" s="100"/>
      <c r="IJ180" s="100"/>
      <c r="IK180" s="100"/>
      <c r="IL180" s="100"/>
      <c r="IM180" s="100"/>
      <c r="IN180" s="100"/>
      <c r="IO180" s="100"/>
      <c r="IP180" s="100"/>
      <c r="IQ180" s="100"/>
      <c r="IR180" s="100"/>
      <c r="IS180" s="100"/>
      <c r="IT180" s="100"/>
      <c r="IU180" s="100"/>
      <c r="IV180" s="100"/>
      <c r="IW180" s="100"/>
    </row>
    <row r="181" customFormat="false" ht="12.75" hidden="false" customHeight="false" outlineLevel="0" collapsed="false">
      <c r="A181" s="100"/>
      <c r="B181" s="58" t="s">
        <v>168</v>
      </c>
      <c r="C181" s="56" t="s">
        <v>54</v>
      </c>
      <c r="D181" s="56" t="s">
        <v>367</v>
      </c>
      <c r="E181" s="57" t="n">
        <v>36220</v>
      </c>
      <c r="F181" s="57" t="n">
        <v>39599</v>
      </c>
      <c r="G181" s="58" t="s">
        <v>457</v>
      </c>
      <c r="H181" s="58" t="s">
        <v>458</v>
      </c>
      <c r="I181" s="56" t="s">
        <v>459</v>
      </c>
      <c r="J181" s="72" t="n">
        <f aca="false">4.7713/J$1</f>
        <v>0.153912903225806</v>
      </c>
      <c r="K181" s="61" t="n">
        <v>0</v>
      </c>
      <c r="L181" s="61" t="n">
        <v>0.0022</v>
      </c>
      <c r="M181" s="61" t="n">
        <v>0</v>
      </c>
      <c r="N181" s="61" t="n">
        <v>0</v>
      </c>
      <c r="O181" s="62" t="n">
        <v>0</v>
      </c>
      <c r="P181" s="61" t="n">
        <f aca="false">SUM(J181:N181)</f>
        <v>0.156112903225806</v>
      </c>
      <c r="Q181" s="63" t="s">
        <v>466</v>
      </c>
      <c r="R181" s="63" t="s">
        <v>466</v>
      </c>
      <c r="S181" s="56" t="n">
        <v>5</v>
      </c>
      <c r="T181" s="58" t="s">
        <v>467</v>
      </c>
      <c r="U181" s="103" t="n">
        <f aca="false">J181*J$1*S181</f>
        <v>23.8565</v>
      </c>
      <c r="V181" s="101"/>
      <c r="W181" s="102"/>
      <c r="X181" s="102" t="s">
        <v>468</v>
      </c>
      <c r="Y181" s="58"/>
      <c r="Z181" s="89"/>
      <c r="AA181" s="89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100"/>
      <c r="BD181" s="100"/>
      <c r="BE181" s="100"/>
      <c r="BF181" s="100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100"/>
      <c r="BS181" s="100"/>
      <c r="BT181" s="100"/>
      <c r="BU181" s="100"/>
      <c r="BV181" s="100"/>
      <c r="BW181" s="100"/>
      <c r="BX181" s="100"/>
      <c r="BY181" s="100"/>
      <c r="BZ181" s="100"/>
      <c r="CA181" s="100"/>
      <c r="CB181" s="100"/>
      <c r="CC181" s="100"/>
      <c r="CD181" s="100"/>
      <c r="CE181" s="100"/>
      <c r="CF181" s="100"/>
      <c r="CG181" s="100"/>
      <c r="CH181" s="100"/>
      <c r="CI181" s="100"/>
      <c r="CJ181" s="100"/>
      <c r="CK181" s="100"/>
      <c r="CL181" s="100"/>
      <c r="CM181" s="100"/>
      <c r="CN181" s="100"/>
      <c r="CO181" s="100"/>
      <c r="CP181" s="100"/>
      <c r="CQ181" s="100"/>
      <c r="CR181" s="100"/>
      <c r="CS181" s="100"/>
      <c r="CT181" s="100"/>
      <c r="CU181" s="100"/>
      <c r="CV181" s="100"/>
      <c r="CW181" s="100"/>
      <c r="CX181" s="100"/>
      <c r="CY181" s="100"/>
      <c r="CZ181" s="100"/>
      <c r="DA181" s="100"/>
      <c r="DB181" s="100"/>
      <c r="DC181" s="100"/>
      <c r="DD181" s="100"/>
      <c r="DE181" s="100"/>
      <c r="DF181" s="100"/>
      <c r="DG181" s="100"/>
      <c r="DH181" s="100"/>
      <c r="DI181" s="100"/>
      <c r="DJ181" s="100"/>
      <c r="DK181" s="100"/>
      <c r="DL181" s="100"/>
      <c r="DM181" s="100"/>
      <c r="DN181" s="100"/>
      <c r="DO181" s="100"/>
      <c r="DP181" s="100"/>
      <c r="DQ181" s="100"/>
      <c r="DR181" s="100"/>
      <c r="DS181" s="100"/>
      <c r="DT181" s="100"/>
      <c r="DU181" s="100"/>
      <c r="DV181" s="100"/>
      <c r="DW181" s="100"/>
      <c r="DX181" s="100"/>
      <c r="DY181" s="100"/>
      <c r="DZ181" s="100"/>
      <c r="EA181" s="100"/>
      <c r="EB181" s="100"/>
      <c r="EC181" s="100"/>
      <c r="ED181" s="100"/>
      <c r="EE181" s="100"/>
      <c r="EF181" s="100"/>
      <c r="EG181" s="100"/>
      <c r="EH181" s="100"/>
      <c r="EI181" s="100"/>
      <c r="EJ181" s="100"/>
      <c r="EK181" s="100"/>
      <c r="EL181" s="100"/>
      <c r="EM181" s="100"/>
      <c r="EN181" s="100"/>
      <c r="EO181" s="100"/>
      <c r="EP181" s="100"/>
      <c r="EQ181" s="100"/>
      <c r="ER181" s="100"/>
      <c r="ES181" s="100"/>
      <c r="ET181" s="100"/>
      <c r="EU181" s="100"/>
      <c r="EV181" s="100"/>
      <c r="EW181" s="100"/>
      <c r="EX181" s="100"/>
      <c r="EY181" s="100"/>
      <c r="EZ181" s="100"/>
      <c r="FA181" s="100"/>
      <c r="FB181" s="100"/>
      <c r="FC181" s="100"/>
      <c r="FD181" s="100"/>
      <c r="FE181" s="100"/>
      <c r="FF181" s="100"/>
      <c r="FG181" s="100"/>
      <c r="FH181" s="100"/>
      <c r="FI181" s="100"/>
      <c r="FJ181" s="100"/>
      <c r="FK181" s="100"/>
      <c r="FL181" s="100"/>
      <c r="FM181" s="100"/>
      <c r="FN181" s="100"/>
      <c r="FO181" s="100"/>
      <c r="FP181" s="100"/>
      <c r="FQ181" s="100"/>
      <c r="FR181" s="100"/>
      <c r="FS181" s="100"/>
      <c r="FT181" s="100"/>
      <c r="FU181" s="100"/>
      <c r="FV181" s="100"/>
      <c r="FW181" s="100"/>
      <c r="FX181" s="100"/>
      <c r="FY181" s="100"/>
      <c r="FZ181" s="100"/>
      <c r="GA181" s="100"/>
      <c r="GB181" s="100"/>
      <c r="GC181" s="100"/>
      <c r="GD181" s="100"/>
      <c r="GE181" s="100"/>
      <c r="GF181" s="100"/>
      <c r="GG181" s="100"/>
      <c r="GH181" s="100"/>
      <c r="GI181" s="100"/>
      <c r="GJ181" s="100"/>
      <c r="GK181" s="100"/>
      <c r="GL181" s="100"/>
      <c r="GM181" s="100"/>
      <c r="GN181" s="100"/>
      <c r="GO181" s="100"/>
      <c r="GP181" s="100"/>
      <c r="GQ181" s="100"/>
      <c r="GR181" s="100"/>
      <c r="GS181" s="100"/>
      <c r="GT181" s="100"/>
      <c r="GU181" s="100"/>
      <c r="GV181" s="100"/>
      <c r="GW181" s="100"/>
      <c r="GX181" s="100"/>
      <c r="GY181" s="100"/>
      <c r="GZ181" s="100"/>
      <c r="HA181" s="100"/>
      <c r="HB181" s="100"/>
      <c r="HC181" s="100"/>
      <c r="HD181" s="100"/>
      <c r="HE181" s="100"/>
      <c r="HF181" s="100"/>
      <c r="HG181" s="100"/>
      <c r="HH181" s="100"/>
      <c r="HI181" s="100"/>
      <c r="HJ181" s="100"/>
      <c r="HK181" s="100"/>
      <c r="HL181" s="100"/>
      <c r="HM181" s="100"/>
      <c r="HN181" s="100"/>
      <c r="HO181" s="100"/>
      <c r="HP181" s="100"/>
      <c r="HQ181" s="100"/>
      <c r="HR181" s="100"/>
      <c r="HS181" s="100"/>
      <c r="HT181" s="100"/>
      <c r="HU181" s="100"/>
      <c r="HV181" s="100"/>
      <c r="HW181" s="100"/>
      <c r="HX181" s="100"/>
      <c r="HY181" s="100"/>
      <c r="HZ181" s="100"/>
      <c r="IA181" s="100"/>
      <c r="IB181" s="100"/>
      <c r="IC181" s="100"/>
      <c r="ID181" s="100"/>
      <c r="IE181" s="100"/>
      <c r="IF181" s="100"/>
      <c r="IG181" s="100"/>
      <c r="IH181" s="100"/>
      <c r="II181" s="100"/>
      <c r="IJ181" s="100"/>
      <c r="IK181" s="100"/>
      <c r="IL181" s="100"/>
      <c r="IM181" s="100"/>
      <c r="IN181" s="100"/>
      <c r="IO181" s="100"/>
      <c r="IP181" s="100"/>
      <c r="IQ181" s="100"/>
      <c r="IR181" s="100"/>
      <c r="IS181" s="100"/>
      <c r="IT181" s="100"/>
      <c r="IU181" s="100"/>
      <c r="IV181" s="100"/>
      <c r="IW181" s="100"/>
    </row>
    <row r="182" customFormat="false" ht="12.75" hidden="false" customHeight="false" outlineLevel="0" collapsed="false">
      <c r="A182" s="90"/>
      <c r="B182" s="69" t="s">
        <v>187</v>
      </c>
      <c r="C182" s="91" t="s">
        <v>54</v>
      </c>
      <c r="D182" s="91" t="s">
        <v>469</v>
      </c>
      <c r="E182" s="92" t="n">
        <v>36586</v>
      </c>
      <c r="F182" s="92" t="n">
        <v>36616</v>
      </c>
      <c r="G182" s="69" t="s">
        <v>433</v>
      </c>
      <c r="H182" s="69" t="s">
        <v>470</v>
      </c>
      <c r="I182" s="91" t="s">
        <v>471</v>
      </c>
      <c r="J182" s="93" t="n">
        <v>0.4955</v>
      </c>
      <c r="K182" s="94" t="n">
        <v>0</v>
      </c>
      <c r="L182" s="94" t="n">
        <v>0.0022</v>
      </c>
      <c r="M182" s="94" t="n">
        <v>0</v>
      </c>
      <c r="N182" s="94" t="n">
        <v>0</v>
      </c>
      <c r="O182" s="95" t="n">
        <v>0</v>
      </c>
      <c r="P182" s="94" t="n">
        <f aca="false">SUM(J182:N182)</f>
        <v>0.4977</v>
      </c>
      <c r="Q182" s="99" t="n">
        <v>3.3909</v>
      </c>
      <c r="R182" s="96" t="s">
        <v>472</v>
      </c>
      <c r="S182" s="91" t="n">
        <v>145</v>
      </c>
      <c r="T182" s="69" t="s">
        <v>473</v>
      </c>
      <c r="U182" s="141" t="n">
        <v>0</v>
      </c>
      <c r="V182" s="97" t="s">
        <v>474</v>
      </c>
      <c r="W182" s="98"/>
      <c r="X182" s="99" t="n">
        <v>144552</v>
      </c>
      <c r="Y182" s="69"/>
      <c r="Z182" s="99"/>
      <c r="AA182" s="99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0"/>
      <c r="BN182" s="90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0"/>
      <c r="BZ182" s="90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90"/>
      <c r="CM182" s="90"/>
      <c r="CN182" s="90"/>
      <c r="CO182" s="90"/>
      <c r="CP182" s="90"/>
      <c r="CQ182" s="90"/>
      <c r="CR182" s="90"/>
      <c r="CS182" s="90"/>
      <c r="CT182" s="90"/>
      <c r="CU182" s="90"/>
      <c r="CV182" s="90"/>
      <c r="CW182" s="90"/>
      <c r="CX182" s="90"/>
      <c r="CY182" s="90"/>
      <c r="CZ182" s="90"/>
      <c r="DA182" s="90"/>
      <c r="DB182" s="90"/>
      <c r="DC182" s="90"/>
      <c r="DD182" s="90"/>
      <c r="DE182" s="90"/>
      <c r="DF182" s="90"/>
      <c r="DG182" s="90"/>
      <c r="DH182" s="90"/>
      <c r="DI182" s="90"/>
      <c r="DJ182" s="90"/>
      <c r="DK182" s="90"/>
      <c r="DL182" s="90"/>
      <c r="DM182" s="90"/>
      <c r="DN182" s="90"/>
      <c r="DO182" s="90"/>
      <c r="DP182" s="90"/>
      <c r="DQ182" s="90"/>
      <c r="DR182" s="90"/>
      <c r="DS182" s="90"/>
      <c r="DT182" s="90"/>
      <c r="DU182" s="90"/>
      <c r="DV182" s="90"/>
      <c r="DW182" s="90"/>
      <c r="DX182" s="90"/>
      <c r="DY182" s="90"/>
      <c r="DZ182" s="90"/>
      <c r="EA182" s="90"/>
      <c r="EB182" s="90"/>
      <c r="EC182" s="90"/>
      <c r="ED182" s="90"/>
      <c r="EE182" s="90"/>
      <c r="EF182" s="90"/>
      <c r="EG182" s="90"/>
      <c r="EH182" s="90"/>
      <c r="EI182" s="90"/>
      <c r="EJ182" s="90"/>
      <c r="EK182" s="90"/>
      <c r="EL182" s="90"/>
      <c r="EM182" s="90"/>
      <c r="EN182" s="90"/>
      <c r="EO182" s="90"/>
      <c r="EP182" s="90"/>
      <c r="EQ182" s="90"/>
      <c r="ER182" s="90"/>
      <c r="ES182" s="90"/>
      <c r="ET182" s="90"/>
      <c r="EU182" s="90"/>
      <c r="EV182" s="90"/>
      <c r="EW182" s="90"/>
      <c r="EX182" s="90"/>
      <c r="EY182" s="90"/>
      <c r="EZ182" s="90"/>
      <c r="FA182" s="90"/>
      <c r="FB182" s="90"/>
      <c r="FC182" s="90"/>
      <c r="FD182" s="90"/>
      <c r="FE182" s="90"/>
      <c r="FF182" s="90"/>
      <c r="FG182" s="90"/>
      <c r="FH182" s="90"/>
      <c r="FI182" s="90"/>
      <c r="FJ182" s="90"/>
      <c r="FK182" s="90"/>
      <c r="FL182" s="90"/>
      <c r="FM182" s="90"/>
      <c r="FN182" s="90"/>
      <c r="FO182" s="90"/>
      <c r="FP182" s="90"/>
      <c r="FQ182" s="90"/>
      <c r="FR182" s="90"/>
      <c r="FS182" s="90"/>
      <c r="FT182" s="90"/>
      <c r="FU182" s="90"/>
      <c r="FV182" s="90"/>
      <c r="FW182" s="90"/>
      <c r="FX182" s="90"/>
      <c r="FY182" s="90"/>
      <c r="FZ182" s="90"/>
      <c r="GA182" s="90"/>
      <c r="GB182" s="90"/>
      <c r="GC182" s="90"/>
      <c r="GD182" s="90"/>
      <c r="GE182" s="90"/>
      <c r="GF182" s="90"/>
      <c r="GG182" s="90"/>
      <c r="GH182" s="90"/>
      <c r="GI182" s="90"/>
      <c r="GJ182" s="90"/>
      <c r="GK182" s="90"/>
      <c r="GL182" s="90"/>
      <c r="GM182" s="90"/>
      <c r="GN182" s="90"/>
      <c r="GO182" s="90"/>
      <c r="GP182" s="90"/>
      <c r="GQ182" s="90"/>
      <c r="GR182" s="90"/>
      <c r="GS182" s="90"/>
      <c r="GT182" s="90"/>
      <c r="GU182" s="90"/>
      <c r="GV182" s="90"/>
      <c r="GW182" s="90"/>
      <c r="GX182" s="90"/>
      <c r="GY182" s="90"/>
      <c r="GZ182" s="90"/>
      <c r="HA182" s="90"/>
      <c r="HB182" s="90"/>
      <c r="HC182" s="90"/>
      <c r="HD182" s="90"/>
      <c r="HE182" s="90"/>
      <c r="HF182" s="90"/>
      <c r="HG182" s="90"/>
      <c r="HH182" s="90"/>
      <c r="HI182" s="90"/>
      <c r="HJ182" s="90"/>
      <c r="HK182" s="90"/>
      <c r="HL182" s="90"/>
      <c r="HM182" s="90"/>
      <c r="HN182" s="90"/>
      <c r="HO182" s="90"/>
      <c r="HP182" s="90"/>
      <c r="HQ182" s="90"/>
      <c r="HR182" s="90"/>
      <c r="HS182" s="90"/>
      <c r="HT182" s="90"/>
      <c r="HU182" s="90"/>
      <c r="HV182" s="90"/>
      <c r="HW182" s="90"/>
      <c r="HX182" s="90"/>
      <c r="HY182" s="90"/>
      <c r="HZ182" s="90"/>
      <c r="IA182" s="90"/>
      <c r="IB182" s="90"/>
      <c r="IC182" s="90"/>
      <c r="ID182" s="90"/>
      <c r="IE182" s="90"/>
      <c r="IF182" s="90"/>
      <c r="IG182" s="90"/>
      <c r="IH182" s="90"/>
      <c r="II182" s="90"/>
      <c r="IJ182" s="90"/>
      <c r="IK182" s="90"/>
      <c r="IL182" s="90"/>
      <c r="IM182" s="90"/>
      <c r="IN182" s="90"/>
      <c r="IO182" s="90"/>
      <c r="IP182" s="90"/>
      <c r="IQ182" s="90"/>
      <c r="IR182" s="90"/>
      <c r="IS182" s="90"/>
      <c r="IT182" s="90"/>
      <c r="IU182" s="90"/>
      <c r="IV182" s="90"/>
      <c r="IW182" s="90"/>
    </row>
    <row r="183" customFormat="false" ht="12.75" hidden="false" customHeight="false" outlineLevel="0" collapsed="false">
      <c r="B183" s="52" t="s">
        <v>168</v>
      </c>
      <c r="C183" s="56" t="s">
        <v>54</v>
      </c>
      <c r="D183" s="56" t="s">
        <v>475</v>
      </c>
      <c r="E183" s="57" t="n">
        <v>36526</v>
      </c>
      <c r="F183" s="57" t="n">
        <v>38564</v>
      </c>
      <c r="G183" s="58" t="s">
        <v>476</v>
      </c>
      <c r="H183" s="58" t="s">
        <v>477</v>
      </c>
      <c r="I183" s="56" t="s">
        <v>334</v>
      </c>
      <c r="J183" s="72" t="n">
        <v>0.13737</v>
      </c>
      <c r="K183" s="61"/>
      <c r="L183" s="61"/>
      <c r="M183" s="61"/>
      <c r="N183" s="61"/>
      <c r="O183" s="62"/>
      <c r="P183" s="61"/>
      <c r="Q183" s="142" t="n">
        <v>2.6598</v>
      </c>
      <c r="R183" s="136" t="n">
        <v>14800</v>
      </c>
      <c r="S183" s="137" t="n">
        <v>14800</v>
      </c>
      <c r="T183" s="138"/>
      <c r="U183" s="97" t="n">
        <f aca="false">J183*J$1*S183</f>
        <v>63025.356</v>
      </c>
      <c r="V183" s="65"/>
      <c r="W183" s="66"/>
      <c r="X183" s="66" t="n">
        <v>165423</v>
      </c>
      <c r="Y183" s="67"/>
      <c r="Z183" s="68"/>
      <c r="AA183" s="68"/>
    </row>
    <row r="184" customFormat="false" ht="12.75" hidden="false" customHeight="false" outlineLevel="0" collapsed="false">
      <c r="B184" s="52" t="s">
        <v>168</v>
      </c>
      <c r="C184" s="56" t="s">
        <v>54</v>
      </c>
      <c r="D184" s="56" t="s">
        <v>475</v>
      </c>
      <c r="E184" s="57" t="n">
        <v>36526</v>
      </c>
      <c r="F184" s="57" t="n">
        <v>38564</v>
      </c>
      <c r="G184" s="58" t="s">
        <v>476</v>
      </c>
      <c r="H184" s="58" t="s">
        <v>477</v>
      </c>
      <c r="I184" s="56" t="s">
        <v>334</v>
      </c>
      <c r="J184" s="72" t="n">
        <v>0.13737</v>
      </c>
      <c r="K184" s="61"/>
      <c r="L184" s="61"/>
      <c r="M184" s="61"/>
      <c r="N184" s="61"/>
      <c r="O184" s="62"/>
      <c r="P184" s="61"/>
      <c r="Q184" s="142" t="n">
        <v>2.6592</v>
      </c>
      <c r="R184" s="136" t="n">
        <v>755</v>
      </c>
      <c r="S184" s="137" t="n">
        <v>755</v>
      </c>
      <c r="T184" s="138"/>
      <c r="U184" s="97" t="n">
        <f aca="false">J184*J$1*S184</f>
        <v>3215.14485</v>
      </c>
      <c r="V184" s="65"/>
      <c r="W184" s="66"/>
      <c r="X184" s="66" t="n">
        <v>165415</v>
      </c>
      <c r="Y184" s="67"/>
      <c r="Z184" s="68"/>
      <c r="AA184" s="68"/>
    </row>
    <row r="185" customFormat="false" ht="12.75" hidden="false" customHeight="false" outlineLevel="0" collapsed="false">
      <c r="B185" s="52"/>
      <c r="C185" s="56"/>
      <c r="D185" s="56"/>
      <c r="E185" s="57"/>
      <c r="F185" s="57"/>
      <c r="G185" s="58"/>
      <c r="H185" s="58"/>
      <c r="I185" s="56"/>
      <c r="J185" s="72"/>
      <c r="K185" s="61"/>
      <c r="L185" s="61"/>
      <c r="M185" s="61"/>
      <c r="N185" s="61"/>
      <c r="O185" s="62"/>
      <c r="P185" s="61"/>
      <c r="Q185" s="136"/>
      <c r="R185" s="136"/>
      <c r="S185" s="137"/>
      <c r="T185" s="65"/>
      <c r="U185" s="65" t="n">
        <f aca="false">SUM(U164:U184)</f>
        <v>219200.33595</v>
      </c>
      <c r="V185" s="65"/>
      <c r="W185" s="66"/>
      <c r="X185" s="66"/>
      <c r="Y185" s="67"/>
      <c r="Z185" s="68"/>
      <c r="AA185" s="68"/>
    </row>
    <row r="186" customFormat="false" ht="12.75" hidden="false" customHeight="false" outlineLevel="0" collapsed="false">
      <c r="B186" s="52"/>
      <c r="C186" s="56"/>
      <c r="D186" s="56"/>
      <c r="E186" s="57"/>
      <c r="F186" s="57"/>
      <c r="G186" s="58"/>
      <c r="H186" s="58"/>
      <c r="I186" s="56"/>
      <c r="J186" s="61"/>
      <c r="K186" s="61"/>
      <c r="L186" s="61"/>
      <c r="M186" s="61"/>
      <c r="N186" s="61"/>
      <c r="O186" s="62"/>
      <c r="P186" s="61"/>
      <c r="Q186" s="136"/>
      <c r="R186" s="136"/>
      <c r="S186" s="137"/>
      <c r="T186" s="65"/>
      <c r="U186" s="65"/>
      <c r="V186" s="65"/>
      <c r="W186" s="66"/>
      <c r="X186" s="66"/>
      <c r="Y186" s="67"/>
      <c r="Z186" s="68"/>
      <c r="AA186" s="68"/>
    </row>
    <row r="187" customFormat="false" ht="12.75" hidden="false" customHeight="false" outlineLevel="0" collapsed="false">
      <c r="B187" s="52"/>
      <c r="C187" s="56"/>
      <c r="D187" s="56"/>
      <c r="E187" s="57"/>
      <c r="F187" s="57"/>
      <c r="G187" s="58"/>
      <c r="H187" s="58"/>
      <c r="I187" s="56"/>
      <c r="J187" s="72"/>
      <c r="K187" s="61"/>
      <c r="L187" s="61"/>
      <c r="M187" s="61"/>
      <c r="N187" s="61"/>
      <c r="O187" s="62"/>
      <c r="P187" s="61"/>
      <c r="Q187" s="136"/>
      <c r="R187" s="136"/>
      <c r="S187" s="137"/>
      <c r="T187" s="65"/>
      <c r="U187" s="65"/>
      <c r="V187" s="65"/>
      <c r="W187" s="66"/>
      <c r="X187" s="66"/>
      <c r="Y187" s="67"/>
      <c r="Z187" s="68"/>
      <c r="AA187" s="68"/>
    </row>
    <row r="188" customFormat="false" ht="13.5" hidden="false" customHeight="false" outlineLevel="0" collapsed="false">
      <c r="B188" s="52"/>
      <c r="C188" s="56"/>
      <c r="D188" s="56"/>
      <c r="E188" s="57"/>
      <c r="F188" s="57"/>
      <c r="G188" s="58"/>
      <c r="H188" s="58"/>
      <c r="I188" s="56"/>
      <c r="J188" s="61"/>
      <c r="K188" s="61"/>
      <c r="L188" s="61"/>
      <c r="M188" s="61"/>
      <c r="N188" s="61"/>
      <c r="O188" s="62"/>
      <c r="P188" s="61"/>
      <c r="Q188" s="136"/>
      <c r="R188" s="136"/>
      <c r="S188" s="137"/>
      <c r="T188" s="65"/>
      <c r="U188" s="143" t="n">
        <f aca="false">SUM(U185,U162,U152,U135,U121,U113,U110,U85,U34,U21)</f>
        <v>2512724.71054486</v>
      </c>
      <c r="V188" s="65" t="s">
        <v>478</v>
      </c>
      <c r="W188" s="66"/>
      <c r="X188" s="66"/>
      <c r="Y188" s="67"/>
      <c r="Z188" s="68"/>
      <c r="AA188" s="68"/>
    </row>
    <row r="189" customFormat="false" ht="13.5" hidden="false" customHeight="false" outlineLevel="0" collapsed="false">
      <c r="B189" s="52"/>
      <c r="C189" s="56"/>
      <c r="D189" s="56"/>
      <c r="E189" s="57"/>
      <c r="F189" s="57"/>
      <c r="G189" s="58"/>
      <c r="H189" s="58"/>
      <c r="I189" s="56"/>
      <c r="J189" s="61"/>
      <c r="K189" s="61"/>
      <c r="L189" s="61"/>
      <c r="M189" s="61"/>
      <c r="N189" s="61"/>
      <c r="O189" s="62"/>
      <c r="P189" s="61"/>
      <c r="Q189" s="136"/>
      <c r="R189" s="136"/>
      <c r="S189" s="137"/>
      <c r="T189" s="65"/>
      <c r="U189" s="65"/>
      <c r="V189" s="67" t="s">
        <v>479</v>
      </c>
      <c r="W189" s="66"/>
      <c r="X189" s="66"/>
      <c r="Y189" s="67"/>
      <c r="Z189" s="138"/>
      <c r="AA189" s="68"/>
    </row>
    <row r="190" customFormat="false" ht="12.75" hidden="false" customHeight="false" outlineLevel="0" collapsed="false">
      <c r="B190" s="52"/>
      <c r="C190" s="56"/>
      <c r="D190" s="56"/>
      <c r="E190" s="57"/>
      <c r="F190" s="57"/>
      <c r="G190" s="58"/>
      <c r="H190" s="58"/>
      <c r="I190" s="56"/>
      <c r="J190" s="61"/>
      <c r="K190" s="61"/>
      <c r="L190" s="61"/>
      <c r="M190" s="61"/>
      <c r="N190" s="61"/>
      <c r="O190" s="62"/>
      <c r="P190" s="61"/>
      <c r="Q190" s="136"/>
      <c r="R190" s="136"/>
      <c r="S190" s="137"/>
      <c r="T190" s="65"/>
      <c r="U190" s="65"/>
      <c r="V190" s="65"/>
      <c r="W190" s="66"/>
      <c r="X190" s="66"/>
      <c r="Y190" s="67"/>
      <c r="Z190" s="68"/>
      <c r="AA190" s="68"/>
    </row>
    <row r="191" customFormat="false" ht="12.75" hidden="false" customHeight="false" outlineLevel="0" collapsed="false">
      <c r="B191" s="52"/>
      <c r="C191" s="56"/>
      <c r="D191" s="56"/>
      <c r="E191" s="57"/>
      <c r="F191" s="57"/>
      <c r="G191" s="58"/>
      <c r="H191" s="58"/>
      <c r="I191" s="56"/>
      <c r="J191" s="61"/>
      <c r="K191" s="61"/>
      <c r="L191" s="61"/>
      <c r="M191" s="61"/>
      <c r="N191" s="61"/>
      <c r="O191" s="62"/>
      <c r="P191" s="61"/>
      <c r="Q191" s="136"/>
      <c r="R191" s="136"/>
      <c r="S191" s="137"/>
      <c r="T191" s="65"/>
      <c r="U191" s="65"/>
      <c r="V191" s="65"/>
      <c r="W191" s="66"/>
      <c r="X191" s="66"/>
      <c r="Y191" s="67"/>
      <c r="Z191" s="68"/>
      <c r="AA191" s="68"/>
    </row>
    <row r="192" customFormat="false" ht="12.75" hidden="false" customHeight="false" outlineLevel="0" collapsed="false">
      <c r="B192" s="52"/>
      <c r="C192" s="56"/>
      <c r="D192" s="56"/>
      <c r="E192" s="57"/>
      <c r="F192" s="57"/>
      <c r="G192" s="58"/>
      <c r="H192" s="58"/>
      <c r="I192" s="56"/>
      <c r="J192" s="72"/>
      <c r="K192" s="61"/>
      <c r="L192" s="61"/>
      <c r="M192" s="61"/>
      <c r="N192" s="61"/>
      <c r="O192" s="62"/>
      <c r="P192" s="61"/>
      <c r="Q192" s="136"/>
      <c r="R192" s="136"/>
      <c r="S192" s="137"/>
      <c r="T192" s="138"/>
      <c r="U192" s="65"/>
      <c r="V192" s="65"/>
      <c r="W192" s="66"/>
      <c r="X192" s="66"/>
      <c r="Y192" s="67"/>
      <c r="Z192" s="68"/>
      <c r="AA192" s="68"/>
    </row>
    <row r="193" customFormat="false" ht="12.75" hidden="false" customHeight="false" outlineLevel="0" collapsed="false">
      <c r="B193" s="52"/>
      <c r="C193" s="56"/>
      <c r="D193" s="56"/>
      <c r="E193" s="57"/>
      <c r="F193" s="57"/>
      <c r="G193" s="58"/>
      <c r="H193" s="58"/>
      <c r="I193" s="56"/>
      <c r="J193" s="72"/>
      <c r="K193" s="61"/>
      <c r="L193" s="61"/>
      <c r="M193" s="61"/>
      <c r="N193" s="61"/>
      <c r="O193" s="62"/>
      <c r="P193" s="61"/>
      <c r="Q193" s="136"/>
      <c r="R193" s="136"/>
      <c r="S193" s="137"/>
      <c r="T193" s="138"/>
      <c r="U193" s="65"/>
      <c r="V193" s="65"/>
      <c r="W193" s="66"/>
      <c r="X193" s="66"/>
      <c r="Y193" s="67"/>
      <c r="Z193" s="68"/>
      <c r="AA193" s="68"/>
    </row>
    <row r="194" customFormat="false" ht="12.75" hidden="false" customHeight="false" outlineLevel="0" collapsed="false">
      <c r="Q194" s="28"/>
      <c r="R194" s="28"/>
      <c r="S194" s="28"/>
      <c r="T194" s="28"/>
      <c r="U194" s="28"/>
      <c r="V194" s="28"/>
      <c r="W194" s="144"/>
      <c r="X194" s="144"/>
      <c r="Y194" s="145"/>
      <c r="Z194" s="144"/>
    </row>
    <row r="195" customFormat="false" ht="12.75" hidden="false" customHeight="false" outlineLevel="0" collapsed="false">
      <c r="Q195" s="28"/>
      <c r="R195" s="28"/>
      <c r="S195" s="28"/>
      <c r="T195" s="28"/>
      <c r="U195" s="28"/>
      <c r="V195" s="28"/>
      <c r="W195" s="144"/>
      <c r="X195" s="144"/>
      <c r="Y195" s="145"/>
      <c r="Z195" s="1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7" activeCellId="0" sqref="I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5.71"/>
    <col collapsed="false" customWidth="true" hidden="false" outlineLevel="0" max="2" min="2" style="33" width="21.99"/>
    <col collapsed="false" customWidth="true" hidden="false" outlineLevel="0" max="3" min="3" style="33" width="21.42"/>
    <col collapsed="false" customWidth="true" hidden="false" outlineLevel="0" max="4" min="4" style="33" width="20.28"/>
    <col collapsed="false" customWidth="true" hidden="false" outlineLevel="0" max="5" min="5" style="33" width="18.85"/>
    <col collapsed="false" customWidth="true" hidden="false" outlineLevel="0" max="6" min="6" style="33" width="16.99"/>
    <col collapsed="false" customWidth="true" hidden="false" outlineLevel="0" max="7" min="7" style="33" width="19.56"/>
    <col collapsed="false" customWidth="true" hidden="false" outlineLevel="0" max="8" min="8" style="33" width="13.41"/>
    <col collapsed="false" customWidth="false" hidden="false" outlineLevel="0" max="257" min="9" style="33" width="9.14"/>
  </cols>
  <sheetData>
    <row r="2" customFormat="false" ht="12.75" hidden="false" customHeight="false" outlineLevel="0" collapsed="false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false" customHeight="false" outlineLevel="0" collapsed="false">
      <c r="A3" s="34"/>
    </row>
    <row r="4" customFormat="false" ht="12.75" hidden="false" customHeight="false" outlineLevel="0" collapsed="false">
      <c r="A4" s="34"/>
      <c r="B4" s="33" t="s">
        <v>108</v>
      </c>
    </row>
    <row r="5" customFormat="false" ht="12.75" hidden="false" customHeight="false" outlineLevel="0" collapsed="false">
      <c r="A5" s="34"/>
    </row>
    <row r="6" customFormat="false" ht="12.75" hidden="false" customHeight="false" outlineLevel="0" collapsed="false">
      <c r="A6" s="34"/>
      <c r="B6" s="42" t="n">
        <v>204779</v>
      </c>
      <c r="C6" s="42" t="n">
        <v>204782</v>
      </c>
      <c r="D6" s="42" t="n">
        <v>204783</v>
      </c>
      <c r="E6" s="42" t="n">
        <v>204786</v>
      </c>
      <c r="F6" s="42" t="n">
        <v>204788</v>
      </c>
      <c r="G6" s="42" t="n">
        <v>204791</v>
      </c>
      <c r="H6" s="42" t="n">
        <v>204773</v>
      </c>
      <c r="I6" s="42" t="n">
        <v>204773</v>
      </c>
    </row>
    <row r="7" customFormat="false" ht="12.75" hidden="false" customHeight="false" outlineLevel="0" collapsed="false">
      <c r="A7" s="34"/>
      <c r="B7" s="33" t="n">
        <v>15004</v>
      </c>
      <c r="C7" s="33" t="n">
        <v>15500</v>
      </c>
      <c r="D7" s="33" t="n">
        <v>2325</v>
      </c>
      <c r="E7" s="33" t="n">
        <v>23963</v>
      </c>
      <c r="F7" s="33" t="n">
        <v>4991</v>
      </c>
      <c r="G7" s="33" t="n">
        <v>31000</v>
      </c>
      <c r="H7" s="33" t="n">
        <v>7500</v>
      </c>
      <c r="I7" s="33" t="n">
        <v>10013</v>
      </c>
    </row>
    <row r="8" customFormat="false" ht="12.75" hidden="false" customHeight="false" outlineLevel="0" collapsed="false">
      <c r="A8" s="34"/>
      <c r="B8" s="33" t="s">
        <v>480</v>
      </c>
      <c r="C8" s="33" t="s">
        <v>480</v>
      </c>
      <c r="D8" s="33" t="s">
        <v>480</v>
      </c>
      <c r="E8" s="33" t="s">
        <v>480</v>
      </c>
      <c r="F8" s="33" t="s">
        <v>480</v>
      </c>
      <c r="G8" s="33" t="s">
        <v>480</v>
      </c>
      <c r="H8" s="33" t="s">
        <v>481</v>
      </c>
      <c r="I8" s="33" t="s">
        <v>481</v>
      </c>
    </row>
    <row r="9" customFormat="false" ht="12.75" hidden="false" customHeight="false" outlineLevel="0" collapsed="false">
      <c r="A9" s="34"/>
      <c r="B9" s="33" t="s">
        <v>482</v>
      </c>
      <c r="C9" s="33" t="s">
        <v>483</v>
      </c>
      <c r="D9" s="33" t="s">
        <v>483</v>
      </c>
      <c r="E9" s="33" t="s">
        <v>484</v>
      </c>
      <c r="F9" s="33" t="s">
        <v>485</v>
      </c>
      <c r="G9" s="33" t="s">
        <v>485</v>
      </c>
    </row>
    <row r="10" customFormat="false" ht="12.75" hidden="false" customHeight="false" outlineLevel="0" collapsed="false">
      <c r="A10" s="34"/>
      <c r="B10" s="33" t="s">
        <v>486</v>
      </c>
      <c r="C10" s="33" t="s">
        <v>487</v>
      </c>
      <c r="D10" s="33" t="s">
        <v>488</v>
      </c>
      <c r="E10" s="33" t="s">
        <v>489</v>
      </c>
      <c r="F10" s="33" t="s">
        <v>490</v>
      </c>
      <c r="G10" s="33" t="s">
        <v>491</v>
      </c>
    </row>
    <row r="11" customFormat="false" ht="12.75" hidden="false" customHeight="false" outlineLevel="0" collapsed="false">
      <c r="A11" s="34"/>
      <c r="B11" s="33" t="s">
        <v>492</v>
      </c>
      <c r="C11" s="33" t="s">
        <v>493</v>
      </c>
      <c r="D11" s="33" t="s">
        <v>494</v>
      </c>
      <c r="E11" s="33" t="s">
        <v>495</v>
      </c>
      <c r="F11" s="33" t="s">
        <v>496</v>
      </c>
      <c r="G11" s="33" t="s">
        <v>496</v>
      </c>
      <c r="H11" s="33" t="s">
        <v>497</v>
      </c>
      <c r="I11" s="33" t="s">
        <v>498</v>
      </c>
    </row>
    <row r="12" customFormat="false" ht="12.75" hidden="false" customHeight="false" outlineLevel="0" collapsed="false">
      <c r="A12" s="34"/>
      <c r="B12" s="33" t="s">
        <v>499</v>
      </c>
      <c r="C12" s="33" t="s">
        <v>499</v>
      </c>
      <c r="D12" s="33" t="s">
        <v>499</v>
      </c>
      <c r="E12" s="33" t="s">
        <v>499</v>
      </c>
      <c r="F12" s="33" t="s">
        <v>499</v>
      </c>
      <c r="G12" s="33" t="s">
        <v>499</v>
      </c>
      <c r="H12" s="33" t="s">
        <v>500</v>
      </c>
      <c r="I12" s="33" t="s">
        <v>500</v>
      </c>
    </row>
    <row r="13" customFormat="false" ht="12.75" hidden="false" customHeight="false" outlineLevel="0" collapsed="false">
      <c r="A13" s="34"/>
    </row>
    <row r="14" customFormat="false" ht="12.75" hidden="false" customHeight="false" outlineLevel="0" collapsed="false">
      <c r="A14" s="34"/>
    </row>
    <row r="15" customFormat="false" ht="12.75" hidden="false" customHeight="false" outlineLevel="0" collapsed="false">
      <c r="A15" s="34"/>
    </row>
    <row r="16" customFormat="false" ht="12.75" hidden="false" customHeight="false" outlineLevel="0" collapsed="false">
      <c r="A16" s="34"/>
    </row>
    <row r="17" customFormat="false" ht="12.75" hidden="false" customHeight="false" outlineLevel="0" collapsed="false">
      <c r="A17" s="34"/>
    </row>
    <row r="18" customFormat="false" ht="12.75" hidden="false" customHeight="false" outlineLevel="0" collapsed="false">
      <c r="A18" s="34"/>
    </row>
    <row r="19" customFormat="false" ht="12.75" hidden="false" customHeight="false" outlineLevel="0" collapsed="false">
      <c r="A19" s="34"/>
    </row>
    <row r="20" customFormat="false" ht="12.75" hidden="false" customHeight="false" outlineLevel="0" collapsed="false">
      <c r="A20" s="34"/>
    </row>
    <row r="21" customFormat="false" ht="12.75" hidden="false" customHeight="false" outlineLevel="0" collapsed="false">
      <c r="A21" s="34"/>
    </row>
    <row r="22" customFormat="false" ht="12.75" hidden="false" customHeight="false" outlineLevel="0" collapsed="false">
      <c r="A22" s="34"/>
    </row>
    <row r="23" customFormat="false" ht="12.75" hidden="false" customHeight="false" outlineLevel="0" collapsed="false">
      <c r="A23" s="34"/>
    </row>
    <row r="24" customFormat="false" ht="12.75" hidden="false" customHeight="false" outlineLevel="0" collapsed="false">
      <c r="A24" s="34"/>
    </row>
    <row r="25" customFormat="false" ht="12.75" hidden="false" customHeight="false" outlineLevel="0" collapsed="false">
      <c r="A25" s="34"/>
    </row>
    <row r="26" customFormat="false" ht="12.75" hidden="false" customHeight="false" outlineLevel="0" collapsed="false">
      <c r="A26" s="34"/>
    </row>
    <row r="27" customFormat="false" ht="12.75" hidden="false" customHeight="false" outlineLevel="0" collapsed="false">
      <c r="A27" s="34"/>
    </row>
    <row r="28" customFormat="false" ht="12.75" hidden="false" customHeight="false" outlineLevel="0" collapsed="false">
      <c r="A28" s="34"/>
    </row>
    <row r="29" customFormat="false" ht="12.75" hidden="false" customHeight="false" outlineLevel="0" collapsed="false">
      <c r="A29" s="34"/>
    </row>
    <row r="30" customFormat="false" ht="12.75" hidden="false" customHeight="false" outlineLevel="0" collapsed="false">
      <c r="A30" s="34"/>
    </row>
    <row r="31" customFormat="false" ht="12.75" hidden="false" customHeight="false" outlineLevel="0" collapsed="false">
      <c r="A31" s="34"/>
    </row>
    <row r="32" customFormat="false" ht="12.75" hidden="false" customHeight="false" outlineLevel="0" collapsed="false">
      <c r="A32" s="34"/>
    </row>
    <row r="33" customFormat="false" ht="12.75" hidden="false" customHeight="false" outlineLevel="0" collapsed="false">
      <c r="A33" s="34"/>
    </row>
    <row r="34" customFormat="false" ht="12.75" hidden="false" customHeight="false" outlineLevel="0" collapsed="false">
      <c r="A34" s="34"/>
    </row>
    <row r="35" customFormat="false" ht="12.75" hidden="false" customHeight="false" outlineLevel="0" collapsed="false">
      <c r="A35" s="34"/>
    </row>
    <row r="36" customFormat="false" ht="12.75" hidden="false" customHeight="false" outlineLevel="0" collapsed="false">
      <c r="A36" s="34"/>
    </row>
    <row r="37" customFormat="false" ht="12.75" hidden="false" customHeight="false" outlineLevel="0" collapsed="false">
      <c r="A37" s="34"/>
    </row>
    <row r="38" customFormat="false" ht="12.75" hidden="false" customHeight="false" outlineLevel="0" collapsed="false">
      <c r="A38" s="34"/>
    </row>
    <row r="39" customFormat="false" ht="13.5" hidden="false" customHeight="false" outlineLevel="0" collapsed="false">
      <c r="A39" s="34"/>
      <c r="B39" s="50"/>
      <c r="C39" s="50"/>
      <c r="D39" s="50"/>
      <c r="E39" s="50"/>
      <c r="F39" s="50"/>
      <c r="G39" s="50"/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51" activeCellId="0" sqref="E5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13.56"/>
    <col collapsed="false" customWidth="true" hidden="false" outlineLevel="0" max="3" min="3" style="33" width="12.28"/>
    <col collapsed="false" customWidth="true" hidden="false" outlineLevel="0" max="4" min="4" style="33" width="13.85"/>
    <col collapsed="false" customWidth="false" hidden="false" outlineLevel="0" max="6" min="5" style="33" width="9.14"/>
    <col collapsed="false" customWidth="true" hidden="false" outlineLevel="0" max="7" min="7" style="33" width="12.14"/>
    <col collapsed="false" customWidth="true" hidden="false" outlineLevel="0" max="8" min="8" style="33" width="13.85"/>
    <col collapsed="false" customWidth="true" hidden="false" outlineLevel="0" max="9" min="9" style="33" width="13.14"/>
    <col collapsed="false" customWidth="false" hidden="false" outlineLevel="0" max="257" min="10" style="33" width="9.14"/>
  </cols>
  <sheetData>
    <row r="1" customFormat="false" ht="12.75" hidden="false" customHeight="false" outlineLevel="0" collapsed="false">
      <c r="A1" s="14" t="s">
        <v>72</v>
      </c>
      <c r="B1" s="1"/>
      <c r="C1" s="1"/>
      <c r="D1" s="1"/>
    </row>
    <row r="2" customFormat="false" ht="12.75" hidden="false" customHeight="false" outlineLevel="0" collapsed="false">
      <c r="A2" s="1" t="s">
        <v>1</v>
      </c>
      <c r="B2" s="1" t="s">
        <v>73</v>
      </c>
      <c r="C2" s="4" t="n">
        <v>2.58</v>
      </c>
      <c r="D2" s="1"/>
    </row>
    <row r="3" customFormat="false" ht="12.75" hidden="false" customHeight="false" outlineLevel="0" collapsed="false">
      <c r="A3" s="1" t="s">
        <v>501</v>
      </c>
      <c r="B3" s="1"/>
      <c r="C3" s="4" t="n">
        <v>-0.01</v>
      </c>
      <c r="D3" s="1"/>
    </row>
    <row r="4" customFormat="false" ht="12.75" hidden="false" customHeight="false" outlineLevel="0" collapsed="false">
      <c r="A4" s="1" t="s">
        <v>6</v>
      </c>
      <c r="B4" s="1"/>
      <c r="C4" s="4" t="n">
        <v>0.0323</v>
      </c>
      <c r="D4" s="1"/>
      <c r="F4" s="33" t="s">
        <v>502</v>
      </c>
    </row>
    <row r="5" customFormat="false" ht="12.75" hidden="false" customHeight="false" outlineLevel="0" collapsed="false">
      <c r="A5" s="1" t="s">
        <v>7</v>
      </c>
      <c r="B5" s="1"/>
      <c r="C5" s="4" t="n">
        <v>0.0094</v>
      </c>
      <c r="D5" s="1"/>
    </row>
    <row r="6" customFormat="false" ht="12.75" hidden="false" customHeight="false" outlineLevel="0" collapsed="false">
      <c r="A6" s="1" t="s">
        <v>8</v>
      </c>
      <c r="B6" s="1"/>
      <c r="C6" s="10" t="n">
        <v>0.0337</v>
      </c>
      <c r="D6" s="1"/>
    </row>
    <row r="7" customFormat="false" ht="12.75" hidden="false" customHeight="false" outlineLevel="0" collapsed="false">
      <c r="A7" s="1" t="s">
        <v>21</v>
      </c>
      <c r="B7" s="1"/>
      <c r="C7" s="11" t="n">
        <f aca="false">ROUND((+C2+C3)/(1-C6)-(C2+C3)+C4+C5,4)</f>
        <v>0.1313</v>
      </c>
      <c r="D7" s="1"/>
    </row>
    <row r="8" customFormat="false" ht="13.5" hidden="false" customHeight="false" outlineLevel="0" collapsed="false">
      <c r="A8" s="1" t="s">
        <v>142</v>
      </c>
      <c r="B8" s="1"/>
      <c r="C8" s="12" t="n">
        <f aca="false">SUM(C7,C2:C3)</f>
        <v>2.7013</v>
      </c>
      <c r="D8" s="1"/>
    </row>
    <row r="9" customFormat="false" ht="12" hidden="false" customHeight="true" outlineLevel="0" collapsed="false">
      <c r="A9" s="34" t="s">
        <v>142</v>
      </c>
      <c r="B9" s="146" t="s">
        <v>142</v>
      </c>
      <c r="C9" s="34" t="s">
        <v>142</v>
      </c>
      <c r="D9" s="34" t="s">
        <v>142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16.5" hidden="false" customHeight="true" outlineLevel="0" collapsed="false">
      <c r="A10" s="34"/>
      <c r="B10" s="34"/>
      <c r="C10" s="34"/>
      <c r="D10" s="34"/>
    </row>
    <row r="11" customFormat="false" ht="12.75" hidden="false" customHeight="false" outlineLevel="0" collapsed="false">
      <c r="A11" s="34"/>
      <c r="B11" s="34"/>
      <c r="C11" s="34"/>
      <c r="D11" s="34"/>
    </row>
    <row r="12" customFormat="false" ht="12.75" hidden="false" customHeight="false" outlineLevel="0" collapsed="false">
      <c r="A12" s="34"/>
      <c r="B12" s="34" t="s">
        <v>503</v>
      </c>
      <c r="C12" s="34" t="s">
        <v>504</v>
      </c>
      <c r="D12" s="34" t="s">
        <v>102</v>
      </c>
      <c r="E12" s="34" t="s">
        <v>119</v>
      </c>
      <c r="G12" s="33" t="s">
        <v>501</v>
      </c>
      <c r="H12" s="33" t="s">
        <v>21</v>
      </c>
      <c r="I12" s="33" t="s">
        <v>505</v>
      </c>
    </row>
    <row r="13" customFormat="false" ht="12.75" hidden="false" customHeight="false" outlineLevel="0" collapsed="false">
      <c r="A13" s="34" t="n">
        <v>1</v>
      </c>
      <c r="B13" s="34" t="n">
        <v>2389</v>
      </c>
      <c r="C13" s="147" t="n">
        <v>2389</v>
      </c>
      <c r="D13" s="148" t="n">
        <f aca="false">+C13-B13</f>
        <v>0</v>
      </c>
      <c r="E13" s="45" t="n">
        <v>2.625</v>
      </c>
      <c r="G13" s="47" t="n">
        <v>-0.01</v>
      </c>
      <c r="H13" s="45" t="n">
        <v>0.1313</v>
      </c>
      <c r="I13" s="149" t="n">
        <v>0</v>
      </c>
    </row>
    <row r="14" customFormat="false" ht="12.75" hidden="false" customHeight="false" outlineLevel="0" collapsed="false">
      <c r="A14" s="34" t="n">
        <f aca="false">+A13+1</f>
        <v>2</v>
      </c>
      <c r="B14" s="34" t="n">
        <v>2389</v>
      </c>
      <c r="C14" s="147" t="n">
        <v>2389</v>
      </c>
      <c r="D14" s="148" t="n">
        <f aca="false">+C14-B14</f>
        <v>0</v>
      </c>
      <c r="E14" s="45" t="n">
        <v>2.69</v>
      </c>
      <c r="G14" s="47" t="n">
        <v>-0.01</v>
      </c>
      <c r="H14" s="45" t="n">
        <v>0.1313</v>
      </c>
      <c r="I14" s="149" t="n">
        <v>0</v>
      </c>
    </row>
    <row r="15" customFormat="false" ht="12.75" hidden="false" customHeight="false" outlineLevel="0" collapsed="false">
      <c r="A15" s="34" t="n">
        <f aca="false">+A14+1</f>
        <v>3</v>
      </c>
      <c r="B15" s="34" t="n">
        <v>2389</v>
      </c>
      <c r="C15" s="147" t="n">
        <v>2389</v>
      </c>
      <c r="D15" s="148" t="n">
        <f aca="false">+C15-B15</f>
        <v>0</v>
      </c>
      <c r="E15" s="45" t="n">
        <v>2.785</v>
      </c>
      <c r="G15" s="47" t="n">
        <v>-0.01</v>
      </c>
      <c r="H15" s="45" t="n">
        <v>0.1313</v>
      </c>
      <c r="I15" s="149" t="n">
        <v>0</v>
      </c>
    </row>
    <row r="16" customFormat="false" ht="12.75" hidden="false" customHeight="false" outlineLevel="0" collapsed="false">
      <c r="A16" s="34" t="n">
        <f aca="false">+A15+1</f>
        <v>4</v>
      </c>
      <c r="B16" s="34" t="n">
        <v>2389</v>
      </c>
      <c r="C16" s="147" t="n">
        <v>2389</v>
      </c>
      <c r="D16" s="148" t="n">
        <f aca="false">+C16-B16</f>
        <v>0</v>
      </c>
      <c r="E16" s="45" t="n">
        <f aca="false">+E17</f>
        <v>2.705</v>
      </c>
      <c r="G16" s="47" t="n">
        <v>-0.01</v>
      </c>
      <c r="H16" s="45" t="n">
        <v>0.1313</v>
      </c>
      <c r="I16" s="149" t="n">
        <v>0</v>
      </c>
    </row>
    <row r="17" customFormat="false" ht="12.75" hidden="false" customHeight="false" outlineLevel="0" collapsed="false">
      <c r="A17" s="34" t="n">
        <f aca="false">+A16+1</f>
        <v>5</v>
      </c>
      <c r="B17" s="34" t="n">
        <v>2389</v>
      </c>
      <c r="C17" s="147" t="n">
        <v>2389</v>
      </c>
      <c r="D17" s="148" t="n">
        <f aca="false">+C17-B17</f>
        <v>0</v>
      </c>
      <c r="E17" s="45" t="n">
        <f aca="false">+E18</f>
        <v>2.705</v>
      </c>
      <c r="G17" s="47" t="n">
        <v>-0.01</v>
      </c>
      <c r="H17" s="45" t="n">
        <v>0.1313</v>
      </c>
      <c r="I17" s="149" t="n">
        <v>0</v>
      </c>
    </row>
    <row r="18" customFormat="false" ht="12.75" hidden="false" customHeight="false" outlineLevel="0" collapsed="false">
      <c r="A18" s="34" t="n">
        <f aca="false">+A17+1</f>
        <v>6</v>
      </c>
      <c r="B18" s="34" t="n">
        <v>1289</v>
      </c>
      <c r="C18" s="147" t="n">
        <v>2389</v>
      </c>
      <c r="D18" s="148" t="n">
        <f aca="false">+C18-B18</f>
        <v>1100</v>
      </c>
      <c r="E18" s="45" t="n">
        <v>2.705</v>
      </c>
      <c r="G18" s="47" t="n">
        <v>-0.01</v>
      </c>
      <c r="H18" s="45" t="n">
        <v>0.1313</v>
      </c>
      <c r="I18" s="149" t="n">
        <f aca="false">+D18*(E18+G18+H18)</f>
        <v>3108.93</v>
      </c>
    </row>
    <row r="19" customFormat="false" ht="12.75" hidden="false" customHeight="false" outlineLevel="0" collapsed="false">
      <c r="A19" s="34" t="n">
        <f aca="false">+A18+1</f>
        <v>7</v>
      </c>
      <c r="B19" s="34" t="n">
        <v>1149</v>
      </c>
      <c r="C19" s="147" t="n">
        <v>2389</v>
      </c>
      <c r="D19" s="148" t="n">
        <f aca="false">+C19-B19</f>
        <v>1240</v>
      </c>
      <c r="E19" s="45" t="n">
        <v>2.72</v>
      </c>
      <c r="G19" s="47" t="n">
        <v>-0.01</v>
      </c>
      <c r="H19" s="45" t="n">
        <v>0.1313</v>
      </c>
      <c r="I19" s="149" t="n">
        <f aca="false">+D19*(E19+G19+H19)</f>
        <v>3523.212</v>
      </c>
    </row>
    <row r="20" customFormat="false" ht="12.75" hidden="false" customHeight="false" outlineLevel="0" collapsed="false">
      <c r="A20" s="34" t="n">
        <f aca="false">+A19+1</f>
        <v>8</v>
      </c>
      <c r="B20" s="34" t="n">
        <v>1129</v>
      </c>
      <c r="C20" s="147" t="n">
        <v>2389</v>
      </c>
      <c r="D20" s="148" t="n">
        <f aca="false">+C20-B20</f>
        <v>1260</v>
      </c>
      <c r="E20" s="45" t="n">
        <v>2.76</v>
      </c>
      <c r="G20" s="47" t="n">
        <v>-0.01</v>
      </c>
      <c r="H20" s="45" t="n">
        <v>0.1313</v>
      </c>
      <c r="I20" s="149" t="n">
        <f aca="false">+D20*(E20+G20+H20)</f>
        <v>3630.438</v>
      </c>
    </row>
    <row r="21" customFormat="false" ht="12.75" hidden="false" customHeight="false" outlineLevel="0" collapsed="false">
      <c r="A21" s="34" t="n">
        <f aca="false">+A20+1</f>
        <v>9</v>
      </c>
      <c r="B21" s="34" t="n">
        <v>1309</v>
      </c>
      <c r="C21" s="147" t="n">
        <v>2389</v>
      </c>
      <c r="D21" s="148" t="n">
        <f aca="false">+C21-B21</f>
        <v>1080</v>
      </c>
      <c r="E21" s="45" t="n">
        <v>2.72</v>
      </c>
      <c r="G21" s="47" t="n">
        <v>-0.01</v>
      </c>
      <c r="H21" s="45" t="n">
        <v>0.1313</v>
      </c>
      <c r="I21" s="149" t="n">
        <f aca="false">+D21*(E21+G21+H21)</f>
        <v>3068.604</v>
      </c>
    </row>
    <row r="22" customFormat="false" ht="12.75" hidden="false" customHeight="false" outlineLevel="0" collapsed="false">
      <c r="A22" s="34" t="n">
        <f aca="false">+A21+1</f>
        <v>10</v>
      </c>
      <c r="B22" s="34" t="n">
        <v>2389</v>
      </c>
      <c r="C22" s="147" t="n">
        <v>2389</v>
      </c>
      <c r="D22" s="148" t="n">
        <f aca="false">+C22-B22</f>
        <v>0</v>
      </c>
      <c r="E22" s="45" t="n">
        <v>2.655</v>
      </c>
      <c r="G22" s="47" t="n">
        <v>-0.01</v>
      </c>
      <c r="H22" s="45" t="n">
        <v>0.1313</v>
      </c>
      <c r="I22" s="149" t="n">
        <v>0</v>
      </c>
    </row>
    <row r="23" customFormat="false" ht="12.75" hidden="false" customHeight="false" outlineLevel="0" collapsed="false">
      <c r="A23" s="34" t="n">
        <f aca="false">+A22+1</f>
        <v>11</v>
      </c>
      <c r="B23" s="34" t="n">
        <v>2389</v>
      </c>
      <c r="C23" s="147" t="n">
        <v>2389</v>
      </c>
      <c r="D23" s="148" t="n">
        <f aca="false">+C23-B23</f>
        <v>0</v>
      </c>
      <c r="E23" s="45" t="n">
        <v>2.745</v>
      </c>
      <c r="G23" s="47" t="n">
        <v>-0.01</v>
      </c>
      <c r="H23" s="45" t="n">
        <v>0.1313</v>
      </c>
      <c r="I23" s="149" t="n">
        <v>0</v>
      </c>
    </row>
    <row r="24" customFormat="false" ht="12.75" hidden="false" customHeight="false" outlineLevel="0" collapsed="false">
      <c r="A24" s="34" t="n">
        <f aca="false">+A23+1</f>
        <v>12</v>
      </c>
      <c r="B24" s="34" t="n">
        <v>2389</v>
      </c>
      <c r="C24" s="147" t="n">
        <v>2389</v>
      </c>
      <c r="D24" s="148" t="n">
        <f aca="false">+C24-B24</f>
        <v>0</v>
      </c>
      <c r="E24" s="45" t="n">
        <f aca="false">+E23</f>
        <v>2.745</v>
      </c>
      <c r="G24" s="47" t="n">
        <v>-0.01</v>
      </c>
      <c r="H24" s="45" t="n">
        <v>0.1313</v>
      </c>
      <c r="I24" s="149" t="n">
        <v>0</v>
      </c>
    </row>
    <row r="25" customFormat="false" ht="12.75" hidden="false" customHeight="false" outlineLevel="0" collapsed="false">
      <c r="A25" s="34" t="n">
        <f aca="false">+A24+1</f>
        <v>13</v>
      </c>
      <c r="B25" s="34" t="n">
        <v>2389</v>
      </c>
      <c r="C25" s="147" t="n">
        <v>2389</v>
      </c>
      <c r="D25" s="148" t="n">
        <f aca="false">+C25-B25</f>
        <v>0</v>
      </c>
      <c r="E25" s="45" t="n">
        <f aca="false">+E24</f>
        <v>2.745</v>
      </c>
      <c r="G25" s="47" t="n">
        <v>-0.01</v>
      </c>
      <c r="H25" s="45" t="n">
        <v>0.1313</v>
      </c>
      <c r="I25" s="149" t="n">
        <v>0</v>
      </c>
    </row>
    <row r="26" customFormat="false" ht="12.75" hidden="false" customHeight="false" outlineLevel="0" collapsed="false">
      <c r="A26" s="34" t="n">
        <f aca="false">+A25+1</f>
        <v>14</v>
      </c>
      <c r="B26" s="34" t="n">
        <v>2389</v>
      </c>
      <c r="C26" s="147" t="n">
        <v>2389</v>
      </c>
      <c r="D26" s="148" t="n">
        <f aca="false">+C26-B26</f>
        <v>0</v>
      </c>
      <c r="E26" s="45" t="n">
        <v>2.795</v>
      </c>
      <c r="G26" s="47" t="n">
        <v>-0.01</v>
      </c>
      <c r="H26" s="45" t="n">
        <v>0.1313</v>
      </c>
      <c r="I26" s="149" t="n">
        <v>0</v>
      </c>
    </row>
    <row r="27" customFormat="false" ht="12.75" hidden="false" customHeight="false" outlineLevel="0" collapsed="false">
      <c r="A27" s="34" t="n">
        <f aca="false">+A26+1</f>
        <v>15</v>
      </c>
      <c r="B27" s="34" t="n">
        <v>1049</v>
      </c>
      <c r="C27" s="147" t="n">
        <v>2389</v>
      </c>
      <c r="D27" s="148" t="n">
        <f aca="false">+C27-B27</f>
        <v>1340</v>
      </c>
      <c r="E27" s="45" t="n">
        <v>2.805</v>
      </c>
      <c r="G27" s="47" t="n">
        <v>-0.01</v>
      </c>
      <c r="H27" s="45" t="n">
        <v>0.1313</v>
      </c>
      <c r="I27" s="149" t="n">
        <f aca="false">+D27*(E27+G27+H27)</f>
        <v>3921.242</v>
      </c>
    </row>
    <row r="28" customFormat="false" ht="12.75" hidden="false" customHeight="false" outlineLevel="0" collapsed="false">
      <c r="A28" s="34" t="n">
        <f aca="false">+A27+1</f>
        <v>16</v>
      </c>
      <c r="B28" s="34" t="n">
        <v>2389</v>
      </c>
      <c r="C28" s="147" t="n">
        <v>2389</v>
      </c>
      <c r="D28" s="148" t="n">
        <f aca="false">+C28-B28</f>
        <v>0</v>
      </c>
      <c r="E28" s="45" t="n">
        <v>2.745</v>
      </c>
      <c r="G28" s="47" t="n">
        <v>-0.01</v>
      </c>
      <c r="H28" s="45" t="n">
        <v>0.1313</v>
      </c>
      <c r="I28" s="149" t="n">
        <v>0</v>
      </c>
    </row>
    <row r="29" customFormat="false" ht="12.75" hidden="false" customHeight="false" outlineLevel="0" collapsed="false">
      <c r="A29" s="34" t="n">
        <f aca="false">+A28+1</f>
        <v>17</v>
      </c>
      <c r="B29" s="34" t="n">
        <v>2389</v>
      </c>
      <c r="C29" s="147" t="n">
        <v>2389</v>
      </c>
      <c r="D29" s="148" t="n">
        <f aca="false">+C29-B29</f>
        <v>0</v>
      </c>
      <c r="E29" s="45" t="n">
        <v>2.81</v>
      </c>
      <c r="G29" s="47" t="n">
        <v>-0.01</v>
      </c>
      <c r="H29" s="45" t="n">
        <v>0.1313</v>
      </c>
      <c r="I29" s="149" t="n">
        <v>0</v>
      </c>
    </row>
    <row r="30" customFormat="false" ht="12.75" hidden="false" customHeight="false" outlineLevel="0" collapsed="false">
      <c r="A30" s="34" t="n">
        <f aca="false">+A29+1</f>
        <v>18</v>
      </c>
      <c r="B30" s="34" t="n">
        <v>2389</v>
      </c>
      <c r="C30" s="147" t="n">
        <v>2389</v>
      </c>
      <c r="D30" s="148" t="n">
        <f aca="false">+C30-B30</f>
        <v>0</v>
      </c>
      <c r="E30" s="45" t="n">
        <f aca="false">+E31</f>
        <v>2.8</v>
      </c>
      <c r="G30" s="47" t="n">
        <v>-0.01</v>
      </c>
      <c r="H30" s="45" t="n">
        <v>0.1313</v>
      </c>
      <c r="I30" s="149" t="n">
        <v>0</v>
      </c>
    </row>
    <row r="31" customFormat="false" ht="12.75" hidden="false" customHeight="false" outlineLevel="0" collapsed="false">
      <c r="A31" s="34" t="n">
        <f aca="false">+A30+1</f>
        <v>19</v>
      </c>
      <c r="B31" s="34" t="n">
        <v>2389</v>
      </c>
      <c r="C31" s="147" t="n">
        <v>2389</v>
      </c>
      <c r="D31" s="148" t="n">
        <f aca="false">+C31-B31</f>
        <v>0</v>
      </c>
      <c r="E31" s="45" t="n">
        <f aca="false">+E32</f>
        <v>2.8</v>
      </c>
      <c r="G31" s="47" t="n">
        <v>-0.01</v>
      </c>
      <c r="H31" s="45" t="n">
        <v>0.1313</v>
      </c>
      <c r="I31" s="149" t="n">
        <v>0</v>
      </c>
    </row>
    <row r="32" customFormat="false" ht="12.75" hidden="false" customHeight="false" outlineLevel="0" collapsed="false">
      <c r="A32" s="34" t="n">
        <f aca="false">+A31+1</f>
        <v>20</v>
      </c>
      <c r="B32" s="34" t="n">
        <v>2389</v>
      </c>
      <c r="C32" s="147" t="n">
        <v>2389</v>
      </c>
      <c r="D32" s="148" t="n">
        <f aca="false">+C32-B32</f>
        <v>0</v>
      </c>
      <c r="E32" s="45" t="n">
        <v>2.8</v>
      </c>
      <c r="G32" s="47" t="n">
        <v>-0.01</v>
      </c>
      <c r="H32" s="45" t="n">
        <v>0.1313</v>
      </c>
      <c r="I32" s="149" t="n">
        <v>0</v>
      </c>
    </row>
    <row r="33" customFormat="false" ht="12.75" hidden="false" customHeight="false" outlineLevel="0" collapsed="false">
      <c r="A33" s="34" t="n">
        <f aca="false">+A32+1</f>
        <v>21</v>
      </c>
      <c r="B33" s="34" t="n">
        <v>2389</v>
      </c>
      <c r="C33" s="147" t="n">
        <v>2389</v>
      </c>
      <c r="D33" s="148" t="n">
        <f aca="false">+C33-B33</f>
        <v>0</v>
      </c>
      <c r="E33" s="45" t="n">
        <v>2.72</v>
      </c>
      <c r="G33" s="47" t="n">
        <v>-0.01</v>
      </c>
      <c r="H33" s="45" t="n">
        <v>0.1313</v>
      </c>
      <c r="I33" s="149" t="n">
        <v>0</v>
      </c>
    </row>
    <row r="34" customFormat="false" ht="12.75" hidden="false" customHeight="false" outlineLevel="0" collapsed="false">
      <c r="A34" s="34" t="n">
        <f aca="false">+A33+1</f>
        <v>22</v>
      </c>
      <c r="B34" s="34" t="n">
        <v>1389</v>
      </c>
      <c r="C34" s="147" t="n">
        <v>2389</v>
      </c>
      <c r="D34" s="148" t="n">
        <f aca="false">+C34-B34</f>
        <v>1000</v>
      </c>
      <c r="E34" s="45" t="n">
        <v>2.73</v>
      </c>
      <c r="G34" s="47" t="n">
        <v>-0.01</v>
      </c>
      <c r="H34" s="45" t="n">
        <v>0.1313</v>
      </c>
      <c r="I34" s="149" t="n">
        <f aca="false">+D34*(E34+G34+H34)</f>
        <v>2851.3</v>
      </c>
    </row>
    <row r="35" customFormat="false" ht="12.75" hidden="false" customHeight="false" outlineLevel="0" collapsed="false">
      <c r="A35" s="34" t="n">
        <f aca="false">+A34+1</f>
        <v>23</v>
      </c>
      <c r="B35" s="34" t="n">
        <v>909</v>
      </c>
      <c r="C35" s="147" t="n">
        <v>2389</v>
      </c>
      <c r="D35" s="148" t="n">
        <f aca="false">+C35-B35</f>
        <v>1480</v>
      </c>
      <c r="E35" s="45" t="n">
        <v>2.77</v>
      </c>
      <c r="G35" s="47" t="n">
        <v>-0.01</v>
      </c>
      <c r="H35" s="45" t="n">
        <v>0.1313</v>
      </c>
      <c r="I35" s="149" t="n">
        <f aca="false">+D35*(E35+G35+H35)</f>
        <v>4279.124</v>
      </c>
    </row>
    <row r="36" customFormat="false" ht="12.75" hidden="false" customHeight="false" outlineLevel="0" collapsed="false">
      <c r="A36" s="34" t="n">
        <f aca="false">+A35+1</f>
        <v>24</v>
      </c>
      <c r="B36" s="34" t="n">
        <v>788</v>
      </c>
      <c r="C36" s="147" t="n">
        <v>2389</v>
      </c>
      <c r="D36" s="148" t="n">
        <f aca="false">+C36-B36</f>
        <v>1601</v>
      </c>
      <c r="E36" s="45" t="n">
        <v>2.73</v>
      </c>
      <c r="G36" s="47" t="n">
        <v>-0.01</v>
      </c>
      <c r="H36" s="45" t="n">
        <v>0.1313</v>
      </c>
      <c r="I36" s="149" t="n">
        <f aca="false">+D36*(E36+G36+H36)</f>
        <v>4564.9313</v>
      </c>
    </row>
    <row r="37" customFormat="false" ht="12.75" hidden="false" customHeight="false" outlineLevel="0" collapsed="false">
      <c r="A37" s="34" t="n">
        <f aca="false">+A36+1</f>
        <v>25</v>
      </c>
      <c r="B37" s="34" t="n">
        <v>988</v>
      </c>
      <c r="C37" s="147" t="n">
        <v>2389</v>
      </c>
      <c r="D37" s="148" t="n">
        <f aca="false">+C37-B37</f>
        <v>1401</v>
      </c>
      <c r="E37" s="45" t="n">
        <f aca="false">+E38</f>
        <v>2.795</v>
      </c>
      <c r="G37" s="47" t="n">
        <v>-0.01</v>
      </c>
      <c r="H37" s="45" t="n">
        <v>0.1313</v>
      </c>
      <c r="I37" s="149" t="n">
        <f aca="false">+D37*(E37+G37+H37)</f>
        <v>4085.7363</v>
      </c>
    </row>
    <row r="38" customFormat="false" ht="12.75" hidden="false" customHeight="false" outlineLevel="0" collapsed="false">
      <c r="A38" s="34" t="n">
        <f aca="false">+A37+1</f>
        <v>26</v>
      </c>
      <c r="B38" s="34" t="n">
        <v>1068</v>
      </c>
      <c r="C38" s="147" t="n">
        <v>2389</v>
      </c>
      <c r="D38" s="148" t="n">
        <f aca="false">+C38-B38</f>
        <v>1321</v>
      </c>
      <c r="E38" s="45" t="n">
        <f aca="false">+E39</f>
        <v>2.795</v>
      </c>
      <c r="G38" s="47" t="n">
        <v>-0.01</v>
      </c>
      <c r="H38" s="45" t="n">
        <v>0.1313</v>
      </c>
      <c r="I38" s="149" t="n">
        <f aca="false">+D38*(E38+G38+H38)</f>
        <v>3852.4323</v>
      </c>
    </row>
    <row r="39" customFormat="false" ht="12.75" hidden="false" customHeight="false" outlineLevel="0" collapsed="false">
      <c r="A39" s="34" t="n">
        <f aca="false">+A38+1</f>
        <v>27</v>
      </c>
      <c r="B39" s="34" t="n">
        <v>1589</v>
      </c>
      <c r="C39" s="147" t="n">
        <v>2389</v>
      </c>
      <c r="D39" s="148" t="n">
        <f aca="false">+C39-B39</f>
        <v>800</v>
      </c>
      <c r="E39" s="45" t="n">
        <v>2.795</v>
      </c>
      <c r="G39" s="47" t="n">
        <v>-0.01</v>
      </c>
      <c r="H39" s="45" t="n">
        <v>0.1313</v>
      </c>
      <c r="I39" s="149" t="n">
        <f aca="false">+D39*(E39+G39+H39)</f>
        <v>2333.04</v>
      </c>
    </row>
    <row r="40" customFormat="false" ht="12.75" hidden="false" customHeight="false" outlineLevel="0" collapsed="false">
      <c r="A40" s="34" t="n">
        <f aca="false">+A39+1</f>
        <v>28</v>
      </c>
      <c r="B40" s="34" t="n">
        <v>1789</v>
      </c>
      <c r="C40" s="147" t="n">
        <v>2389</v>
      </c>
      <c r="D40" s="148" t="n">
        <f aca="false">+C40-B40</f>
        <v>600</v>
      </c>
      <c r="E40" s="45" t="n">
        <v>2.8</v>
      </c>
      <c r="G40" s="47" t="n">
        <v>-0.01</v>
      </c>
      <c r="H40" s="45" t="n">
        <v>0.1313</v>
      </c>
      <c r="I40" s="149" t="n">
        <f aca="false">+D40*(E40+G40+H40)</f>
        <v>1752.78</v>
      </c>
    </row>
    <row r="41" customFormat="false" ht="12.75" hidden="false" customHeight="false" outlineLevel="0" collapsed="false">
      <c r="A41" s="34" t="n">
        <f aca="false">+A40+1</f>
        <v>29</v>
      </c>
      <c r="B41" s="34" t="n">
        <v>1389</v>
      </c>
      <c r="C41" s="147" t="n">
        <v>2389</v>
      </c>
      <c r="D41" s="148" t="n">
        <f aca="false">+C41-B41</f>
        <v>1000</v>
      </c>
      <c r="E41" s="45" t="n">
        <v>2.895</v>
      </c>
      <c r="G41" s="47" t="n">
        <v>-0.01</v>
      </c>
      <c r="H41" s="45" t="n">
        <v>0.1313</v>
      </c>
      <c r="I41" s="149" t="n">
        <f aca="false">+D41*(E41+G41+H41)</f>
        <v>3016.3</v>
      </c>
    </row>
    <row r="42" customFormat="false" ht="12.75" hidden="false" customHeight="false" outlineLevel="0" collapsed="false">
      <c r="A42" s="34" t="n">
        <f aca="false">+A41+1</f>
        <v>30</v>
      </c>
      <c r="B42" s="34" t="n">
        <v>1689</v>
      </c>
      <c r="C42" s="147" t="n">
        <v>2389</v>
      </c>
      <c r="D42" s="148" t="n">
        <f aca="false">+C42-B42</f>
        <v>700</v>
      </c>
      <c r="E42" s="45" t="n">
        <v>2.895</v>
      </c>
      <c r="G42" s="47" t="n">
        <v>-0.01</v>
      </c>
      <c r="H42" s="45" t="n">
        <v>0.1313</v>
      </c>
      <c r="I42" s="149" t="n">
        <f aca="false">+D42*(E42+G42+H42)</f>
        <v>2111.41</v>
      </c>
    </row>
    <row r="43" customFormat="false" ht="12.75" hidden="false" customHeight="false" outlineLevel="0" collapsed="false">
      <c r="A43" s="34" t="n">
        <f aca="false">+A42+1</f>
        <v>31</v>
      </c>
      <c r="B43" s="34" t="n">
        <v>1489</v>
      </c>
      <c r="C43" s="147" t="n">
        <v>2389</v>
      </c>
      <c r="D43" s="148" t="n">
        <f aca="false">+C43-B43</f>
        <v>900</v>
      </c>
      <c r="E43" s="45" t="n">
        <v>2.8</v>
      </c>
      <c r="G43" s="47" t="n">
        <v>-0.01</v>
      </c>
      <c r="H43" s="45" t="n">
        <v>0.1313</v>
      </c>
      <c r="I43" s="149" t="n">
        <f aca="false">+D43*(E43+G43+H43)</f>
        <v>2629.17</v>
      </c>
    </row>
    <row r="44" customFormat="false" ht="12.75" hidden="false" customHeight="false" outlineLevel="0" collapsed="false">
      <c r="A44" s="34"/>
      <c r="B44" s="34"/>
      <c r="C44" s="34"/>
      <c r="D44" s="46"/>
      <c r="E44" s="45"/>
    </row>
    <row r="45" customFormat="false" ht="13.5" hidden="false" customHeight="false" outlineLevel="0" collapsed="false">
      <c r="A45" s="34" t="s">
        <v>506</v>
      </c>
      <c r="B45" s="150" t="n">
        <f aca="false">SUM(B13:B44)</f>
        <v>57236</v>
      </c>
      <c r="C45" s="150" t="n">
        <f aca="false">SUM(C13:C44)</f>
        <v>74059</v>
      </c>
      <c r="D45" s="150" t="n">
        <f aca="false">SUM(D13:D44)</f>
        <v>16823</v>
      </c>
      <c r="E45" s="45"/>
      <c r="I45" s="151" t="n">
        <f aca="false">SUM(I13:I44)</f>
        <v>48728.6499</v>
      </c>
    </row>
    <row r="46" customFormat="false" ht="13.5" hidden="false" customHeight="false" outlineLevel="0" collapsed="false">
      <c r="D46" s="46"/>
      <c r="E46" s="45"/>
    </row>
    <row r="47" customFormat="false" ht="12.75" hidden="false" customHeight="false" outlineLevel="0" collapsed="false">
      <c r="E47" s="45"/>
    </row>
    <row r="48" customFormat="false" ht="12.75" hidden="false" customHeight="false" outlineLevel="0" collapsed="false">
      <c r="E48" s="45" t="s">
        <v>507</v>
      </c>
      <c r="G48" s="45" t="n">
        <v>2.8965</v>
      </c>
    </row>
    <row r="49" customFormat="false" ht="12.75" hidden="false" customHeight="false" outlineLevel="0" collapsed="false">
      <c r="E49" s="45" t="s">
        <v>508</v>
      </c>
      <c r="G49" s="45" t="n">
        <v>2.79</v>
      </c>
    </row>
    <row r="50" customFormat="false" ht="12.75" hidden="false" customHeight="false" outlineLevel="0" collapsed="false">
      <c r="E50" s="45" t="s">
        <v>509</v>
      </c>
    </row>
    <row r="51" customFormat="false" ht="12.75" hidden="false" customHeight="false" outlineLevel="0" collapsed="false">
      <c r="E51" s="45" t="s">
        <v>510</v>
      </c>
    </row>
    <row r="52" customFormat="false" ht="12.75" hidden="false" customHeight="false" outlineLevel="0" collapsed="false">
      <c r="E52" s="45"/>
    </row>
    <row r="53" customFormat="false" ht="12.75" hidden="false" customHeight="false" outlineLevel="0" collapsed="false">
      <c r="E53" s="45"/>
    </row>
    <row r="54" customFormat="false" ht="12.75" hidden="false" customHeight="false" outlineLevel="0" collapsed="false">
      <c r="E54" s="45"/>
    </row>
    <row r="55" customFormat="false" ht="12.75" hidden="false" customHeight="false" outlineLevel="0" collapsed="false">
      <c r="E55" s="45"/>
    </row>
    <row r="56" customFormat="false" ht="12.75" hidden="false" customHeight="false" outlineLevel="0" collapsed="false">
      <c r="E56" s="45"/>
    </row>
    <row r="57" customFormat="false" ht="12.75" hidden="false" customHeight="false" outlineLevel="0" collapsed="false">
      <c r="E57" s="45"/>
    </row>
    <row r="58" customFormat="false" ht="12.75" hidden="false" customHeight="false" outlineLevel="0" collapsed="false">
      <c r="E58" s="45"/>
    </row>
    <row r="59" customFormat="false" ht="12.75" hidden="false" customHeight="false" outlineLevel="0" collapsed="false">
      <c r="E59" s="45"/>
    </row>
    <row r="60" customFormat="false" ht="12.75" hidden="false" customHeight="false" outlineLevel="0" collapsed="false">
      <c r="E60" s="45"/>
    </row>
    <row r="61" customFormat="false" ht="12.75" hidden="false" customHeight="false" outlineLevel="0" collapsed="false">
      <c r="E61" s="45"/>
    </row>
    <row r="62" customFormat="false" ht="12.75" hidden="false" customHeight="false" outlineLevel="0" collapsed="false">
      <c r="E62" s="45"/>
    </row>
    <row r="63" customFormat="false" ht="12.75" hidden="false" customHeight="false" outlineLevel="0" collapsed="false">
      <c r="E63" s="45"/>
    </row>
    <row r="64" customFormat="false" ht="12.75" hidden="false" customHeight="false" outlineLevel="0" collapsed="false">
      <c r="E64" s="45"/>
    </row>
    <row r="65" customFormat="false" ht="12.75" hidden="false" customHeight="false" outlineLevel="0" collapsed="false">
      <c r="E65" s="45"/>
    </row>
    <row r="66" customFormat="false" ht="12.75" hidden="false" customHeight="false" outlineLevel="0" collapsed="false">
      <c r="E66" s="45"/>
    </row>
    <row r="67" customFormat="false" ht="12.75" hidden="false" customHeight="false" outlineLevel="0" collapsed="false">
      <c r="E67" s="45"/>
    </row>
    <row r="68" customFormat="false" ht="12.75" hidden="false" customHeight="false" outlineLevel="0" collapsed="false">
      <c r="E68" s="45"/>
    </row>
    <row r="69" customFormat="false" ht="12.75" hidden="false" customHeight="false" outlineLevel="0" collapsed="false">
      <c r="E69" s="45"/>
    </row>
    <row r="70" customFormat="false" ht="12.75" hidden="false" customHeight="false" outlineLevel="0" collapsed="false">
      <c r="E70" s="45"/>
    </row>
    <row r="71" customFormat="false" ht="12.75" hidden="false" customHeight="false" outlineLevel="0" collapsed="false">
      <c r="E71" s="45"/>
    </row>
    <row r="72" customFormat="false" ht="12.75" hidden="false" customHeight="false" outlineLevel="0" collapsed="false">
      <c r="E72" s="45"/>
    </row>
    <row r="73" customFormat="false" ht="12.75" hidden="false" customHeight="false" outlineLevel="0" collapsed="false">
      <c r="E73" s="45"/>
    </row>
    <row r="74" customFormat="false" ht="12.75" hidden="false" customHeight="false" outlineLevel="0" collapsed="false">
      <c r="E74" s="45"/>
    </row>
    <row r="75" customFormat="false" ht="12.75" hidden="false" customHeight="false" outlineLevel="0" collapsed="false">
      <c r="E75" s="45"/>
    </row>
    <row r="76" customFormat="false" ht="12.75" hidden="false" customHeight="false" outlineLevel="0" collapsed="false">
      <c r="E76" s="45"/>
    </row>
    <row r="77" customFormat="false" ht="12.75" hidden="false" customHeight="false" outlineLevel="0" collapsed="false">
      <c r="E77" s="45"/>
    </row>
    <row r="78" customFormat="false" ht="12.75" hidden="false" customHeight="false" outlineLevel="0" collapsed="false">
      <c r="E78" s="45"/>
    </row>
    <row r="79" customFormat="false" ht="12.75" hidden="false" customHeight="false" outlineLevel="0" collapsed="false">
      <c r="E79" s="45"/>
    </row>
    <row r="80" customFormat="false" ht="12.75" hidden="false" customHeight="false" outlineLevel="0" collapsed="false">
      <c r="E80" s="45"/>
    </row>
    <row r="81" customFormat="false" ht="12.75" hidden="false" customHeight="false" outlineLevel="0" collapsed="false">
      <c r="E81" s="45"/>
    </row>
    <row r="82" customFormat="false" ht="12.75" hidden="false" customHeight="false" outlineLevel="0" collapsed="false">
      <c r="E82" s="45"/>
    </row>
    <row r="83" customFormat="false" ht="12.75" hidden="false" customHeight="false" outlineLevel="0" collapsed="false">
      <c r="E83" s="45"/>
    </row>
    <row r="84" customFormat="false" ht="12.75" hidden="false" customHeight="false" outlineLevel="0" collapsed="false">
      <c r="E84" s="45"/>
    </row>
    <row r="85" customFormat="false" ht="12.75" hidden="false" customHeight="false" outlineLevel="0" collapsed="false">
      <c r="E85" s="45"/>
    </row>
    <row r="86" customFormat="false" ht="12.75" hidden="false" customHeight="false" outlineLevel="0" collapsed="false">
      <c r="E86" s="45"/>
    </row>
    <row r="87" customFormat="false" ht="12.75" hidden="false" customHeight="false" outlineLevel="0" collapsed="false">
      <c r="E87" s="45"/>
    </row>
    <row r="88" customFormat="false" ht="12.75" hidden="false" customHeight="false" outlineLevel="0" collapsed="false">
      <c r="E88" s="45"/>
    </row>
    <row r="89" customFormat="false" ht="12.75" hidden="false" customHeight="false" outlineLevel="0" collapsed="false">
      <c r="E89" s="45"/>
    </row>
    <row r="90" customFormat="false" ht="12.75" hidden="false" customHeight="false" outlineLevel="0" collapsed="false">
      <c r="E90" s="45"/>
    </row>
    <row r="91" customFormat="false" ht="12.75" hidden="false" customHeight="false" outlineLevel="0" collapsed="false">
      <c r="E91" s="45"/>
    </row>
    <row r="92" customFormat="false" ht="12.75" hidden="false" customHeight="false" outlineLevel="0" collapsed="false">
      <c r="E92" s="45"/>
    </row>
    <row r="93" customFormat="false" ht="12.75" hidden="false" customHeight="false" outlineLevel="0" collapsed="false">
      <c r="E93" s="45"/>
    </row>
    <row r="94" customFormat="false" ht="12.75" hidden="false" customHeight="false" outlineLevel="0" collapsed="false">
      <c r="E94" s="45"/>
    </row>
    <row r="95" customFormat="false" ht="12.75" hidden="false" customHeight="false" outlineLevel="0" collapsed="false">
      <c r="E95" s="45"/>
    </row>
    <row r="96" customFormat="false" ht="12.75" hidden="false" customHeight="false" outlineLevel="0" collapsed="false">
      <c r="E96" s="45"/>
    </row>
    <row r="97" customFormat="false" ht="12.75" hidden="false" customHeight="false" outlineLevel="0" collapsed="false">
      <c r="E97" s="45"/>
    </row>
    <row r="98" customFormat="false" ht="12.75" hidden="false" customHeight="false" outlineLevel="0" collapsed="false">
      <c r="E98" s="45"/>
    </row>
    <row r="99" customFormat="false" ht="12.75" hidden="false" customHeight="false" outlineLevel="0" collapsed="false">
      <c r="E99" s="45"/>
    </row>
    <row r="100" customFormat="false" ht="12.75" hidden="false" customHeight="false" outlineLevel="0" collapsed="false">
      <c r="E100" s="45"/>
    </row>
    <row r="101" customFormat="false" ht="12.75" hidden="false" customHeight="false" outlineLevel="0" collapsed="false">
      <c r="E101" s="45"/>
    </row>
    <row r="102" customFormat="false" ht="12.75" hidden="false" customHeight="false" outlineLevel="0" collapsed="false">
      <c r="E102" s="45"/>
    </row>
    <row r="103" customFormat="false" ht="12.75" hidden="false" customHeight="false" outlineLevel="0" collapsed="false">
      <c r="E103" s="45"/>
    </row>
    <row r="104" customFormat="false" ht="12.75" hidden="false" customHeight="false" outlineLevel="0" collapsed="false">
      <c r="E104" s="45"/>
    </row>
    <row r="105" customFormat="false" ht="12.75" hidden="false" customHeight="false" outlineLevel="0" collapsed="false">
      <c r="E105" s="45"/>
    </row>
    <row r="106" customFormat="false" ht="12.75" hidden="false" customHeight="false" outlineLevel="0" collapsed="false">
      <c r="E106" s="45"/>
    </row>
    <row r="107" customFormat="false" ht="12.75" hidden="false" customHeight="false" outlineLevel="0" collapsed="false">
      <c r="E107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2000-03-31T11:24:31Z</cp:lastPrinted>
  <cp:revision>0</cp:revision>
  <dc:subject/>
  <dc:title/>
</cp:coreProperties>
</file>