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Wilton" sheetId="6" state="visible" r:id="rId8"/>
    <sheet name="Calvert City" sheetId="7" state="visible" r:id="rId9"/>
    <sheet name="Gleason" sheetId="8" state="visible" r:id="rId10"/>
    <sheet name="Wheatland" sheetId="9" state="visible" r:id="rId11"/>
  </sheets>
  <externalReferences>
    <externalReference r:id="rId12"/>
  </externalReferences>
  <definedNames>
    <definedName function="false" hidden="false" localSheetId="6" name="_xlnm.Print_Area" vbProcedure="false">'Calvert City'!$A$1:$BV$218</definedName>
    <definedName function="false" hidden="false" localSheetId="6" name="_xlnm.Print_Titles" vbProcedure="false">'Calvert City'!$A:$B,'Calvert City'!$1:$7</definedName>
    <definedName function="false" hidden="false" localSheetId="7" name="_xlnm.Print_Area" vbProcedure="false">Gleason!$A$1:$BY$242</definedName>
    <definedName function="false" hidden="false" localSheetId="7" name="_xlnm.Print_Titles" vbProcedure="false">Gleason!$A:$B,Gleason!$1:$7</definedName>
    <definedName function="false" hidden="false" localSheetId="4" name="_xlnm.Print_Area" vbProcedure="false">Summary!$A$1:$O$118</definedName>
    <definedName function="false" hidden="false" localSheetId="8" name="_xlnm.Print_Area" vbProcedure="false">Wheatland!$A$1:$BX$188</definedName>
    <definedName function="false" hidden="false" localSheetId="8" name="_xlnm.Print_Titles" vbProcedure="false">Wheatland!$A:$B,Wheatland!$1:$7</definedName>
    <definedName function="false" hidden="false" localSheetId="5" name="_xlnm.Print_Area" vbProcedure="false">Wilton!$A$1:$BY$181</definedName>
    <definedName function="false" hidden="false" localSheetId="5" name="_xlnm.Print_Titles" vbProcedure="false">Wilton!$A:$B,Wilton!$1:$7</definedName>
    <definedName function="false" hidden="false" name="To_Hide" vbProcedure="false">#REF!,#REF!,#REF!,#REF!</definedName>
    <definedName function="false" hidden="false" localSheetId="5" name="To_Hide" vbProcedure="false">Wilton!$C:$I,Wilton!$T:$BJ,Wilton!$BS:$BS,#REF!</definedName>
    <definedName function="false" hidden="false" localSheetId="6" name="To_Hide" vbProcedure="false">'Calvert City'!$C:$I,'Calvert City'!$T:$BL,'Calvert City'!$BO:$BP,'Calvert City'!$BM:$BM</definedName>
    <definedName function="false" hidden="false" localSheetId="7" name="To_Hide" vbProcedure="false">Gleason!$C:$I,Gleason!$T:$BL,Gleason!$BR:$BS,Gleason!$BP:$BP</definedName>
    <definedName function="false" hidden="false" localSheetId="8" name="To_Hide" vbProcedure="false">Wheatland!$C:$I,Wheatland!$T:$BJ,Wheatland!$BQ:$BR,#REF!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6/2/99 Per DD budget was changed
6/11/99 Per Shealy Budget changed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86</xdr:colOff>
                <xdr:row>0</xdr:row>
                <xdr:rowOff>13</xdr:rowOff>
              </xdr:from>
              <xdr:to>
                <xdr:col>72</xdr:col>
                <xdr:colOff>145</xdr:colOff>
                <xdr:row>7</xdr:row>
                <xdr:rowOff>3</xdr:rowOff>
              </xdr:to>
            </anchor>
          </commentPr>
        </mc:Choice>
        <mc:Fallback/>
      </mc:AlternateContent>
    </comment>
    <comment ref="BS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includes $2,024,000 CO#1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81</xdr:col>
                <xdr:colOff>21</xdr:colOff>
                <xdr:row>7</xdr:row>
                <xdr:rowOff>6</xdr:rowOff>
              </xdr:from>
              <xdr:to>
                <xdr:col>82</xdr:col>
                <xdr:colOff>-45</xdr:colOff>
                <xdr:row>11</xdr:row>
                <xdr:rowOff>14</xdr:rowOff>
              </xdr:to>
            </anchor>
          </commentPr>
        </mc:Choice>
        <mc:Fallback/>
      </mc:AlternateContent>
    </comment>
    <comment ref="BU108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LD against Braden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84</xdr:col>
                <xdr:colOff>13</xdr:colOff>
                <xdr:row>106</xdr:row>
                <xdr:rowOff>8</xdr:rowOff>
              </xdr:from>
              <xdr:to>
                <xdr:col>86</xdr:col>
                <xdr:colOff>53</xdr:colOff>
                <xdr:row>110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19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Legal Expenses incurred 1998 under the 2000 peaker work order.  Reclass to expense 5/99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209</xdr:colOff>
                <xdr:row>247</xdr:row>
                <xdr:rowOff>8</xdr:rowOff>
              </xdr:from>
              <xdr:to>
                <xdr:col>77</xdr:col>
                <xdr:colOff>67</xdr:colOff>
                <xdr:row>253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$3534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46</xdr:colOff>
                <xdr:row>204</xdr:row>
                <xdr:rowOff>8</xdr:rowOff>
              </xdr:from>
              <xdr:to>
                <xdr:col>93</xdr:col>
                <xdr:colOff>47</xdr:colOff>
                <xdr:row>208</xdr:row>
                <xdr:rowOff>11</xdr:rowOff>
              </xdr:to>
            </anchor>
          </commentPr>
        </mc:Choice>
        <mc:Fallback/>
      </mc:AlternateContent>
    </comment>
    <comment ref="AT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$7634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102</xdr:col>
                <xdr:colOff>16</xdr:colOff>
                <xdr:row>204</xdr:row>
                <xdr:rowOff>8</xdr:rowOff>
              </xdr:from>
              <xdr:to>
                <xdr:col>104</xdr:col>
                <xdr:colOff>15</xdr:colOff>
                <xdr:row>208</xdr:row>
                <xdr:rowOff>11</xdr:rowOff>
              </xdr:to>
            </anchor>
          </commentPr>
        </mc:Choice>
        <mc:Fallback/>
      </mc:AlternateContent>
    </comment>
    <comment ref="BF200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25</xdr:colOff>
                <xdr:row>198</xdr:row>
                <xdr:rowOff>8</xdr:rowOff>
              </xdr:from>
              <xdr:to>
                <xdr:col>116</xdr:col>
                <xdr:colOff>25</xdr:colOff>
                <xdr:row>202</xdr:row>
                <xdr:rowOff>11</xdr:rowOff>
              </xdr:to>
            </anchor>
          </commentPr>
        </mc:Choice>
        <mc:Fallback/>
      </mc:AlternateContent>
    </comment>
    <comment ref="BL200" authorId="0">
      <text>
        <r>
          <rPr>
            <b val="true"/>
            <sz val="8"/>
            <color rgb="FF000000"/>
            <rFont val="Tahoma"/>
            <family val="0"/>
          </rPr>
          <t xml:space="preserve">tvos:
</t>
        </r>
        <r>
          <rPr>
            <sz val="8"/>
            <color rgb="FF000000"/>
            <rFont val="Tahoma"/>
            <family val="0"/>
          </rPr>
          <t xml:space="preserve">$4578 adjustment to true up CWIP to G/L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80</xdr:colOff>
                <xdr:row>198</xdr:row>
                <xdr:rowOff>8</xdr:rowOff>
              </xdr:from>
              <xdr:to>
                <xdr:col>72</xdr:col>
                <xdr:colOff>66</xdr:colOff>
                <xdr:row>202</xdr:row>
                <xdr:rowOff>11</xdr:rowOff>
              </xdr:to>
            </anchor>
          </commentPr>
        </mc:Choice>
        <mc:Fallback/>
      </mc:AlternateContent>
    </comment>
    <comment ref="BO200" authorId="0">
      <text>
        <r>
          <rPr>
            <b val="true"/>
            <sz val="8"/>
            <color rgb="FF000000"/>
            <rFont val="Tahoma"/>
            <family val="0"/>
          </rPr>
          <t xml:space="preserve">tvos:
</t>
        </r>
        <r>
          <rPr>
            <sz val="8"/>
            <color rgb="FF000000"/>
            <rFont val="Tahoma"/>
            <family val="0"/>
          </rPr>
          <t xml:space="preserve">$4578 adjustment to true up CWIP to G/L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76</xdr:col>
                <xdr:colOff>21</xdr:colOff>
                <xdr:row>198</xdr:row>
                <xdr:rowOff>8</xdr:rowOff>
              </xdr:from>
              <xdr:to>
                <xdr:col>79</xdr:col>
                <xdr:colOff>22</xdr:colOff>
                <xdr:row>202</xdr:row>
                <xdr:rowOff>11</xdr:rowOff>
              </xdr:to>
            </anchor>
          </commentPr>
        </mc:Choice>
        <mc:Fallback/>
      </mc:AlternateContent>
    </comment>
    <comment ref="BU16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Westinghouse for Liquidated damages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126</xdr:col>
                <xdr:colOff>37</xdr:colOff>
                <xdr:row>14</xdr:row>
                <xdr:rowOff>8</xdr:rowOff>
              </xdr:from>
              <xdr:to>
                <xdr:col>128</xdr:col>
                <xdr:colOff>36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T12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WH for Liquidated damages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116</xdr:col>
                <xdr:colOff>64</xdr:colOff>
                <xdr:row>10</xdr:row>
                <xdr:rowOff>8</xdr:rowOff>
              </xdr:from>
              <xdr:to>
                <xdr:col>118</xdr:col>
                <xdr:colOff>66</xdr:colOff>
                <xdr:row>15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<sst xmlns="http://schemas.openxmlformats.org/spreadsheetml/2006/main" count="1713" uniqueCount="461">
  <si>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</si>
  <si>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</si>
  <si>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</si>
  <si>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</si>
  <si>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</si>
  <si>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</si>
  <si>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</si>
  <si>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</si>
  <si>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</si>
  <si>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</si>
  <si>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</si>
  <si>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</si>
  <si>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</si>
  <si>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</si>
  <si>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</si>
  <si>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</si>
  <si>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</si>
  <si>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</si>
  <si>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</si>
  <si>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</si>
  <si>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</si>
  <si>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</si>
  <si>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</si>
  <si>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</si>
  <si>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</si>
  <si>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</si>
  <si>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</si>
  <si>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</si>
  <si>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</si>
  <si>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</si>
  <si>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</si>
  <si>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</si>
  <si>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</si>
  <si>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</si>
  <si>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</si>
  <si>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</si>
  <si>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</si>
  <si>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</si>
  <si>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</si>
  <si>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</si>
  <si>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</si>
  <si>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</si>
  <si>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</si>
  <si>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</si>
  <si>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</si>
  <si>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</si>
  <si>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</si>
  <si>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</si>
  <si>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</si>
  <si>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</si>
  <si>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</si>
  <si>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</si>
  <si>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</si>
  <si>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"Q4"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</si>
  <si>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</si>
  <si>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</si>
  <si>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</si>
  <si>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</si>
  <si>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before; explain any changes on summary tab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</si>
  <si>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</si>
  <si>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</si>
  <si>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</si>
  <si>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Energy Services</t>
  </si>
  <si>
    <t xml:space="preserve">Report Date:</t>
  </si>
  <si>
    <t xml:space="preserve">Project 2000</t>
  </si>
  <si>
    <t xml:space="preserve">COST SUMMARY ($ thousands)</t>
  </si>
  <si>
    <t xml:space="preserve">Expenditures to date:</t>
  </si>
  <si>
    <t xml:space="preserve"> As of 11/17/00</t>
  </si>
  <si>
    <t xml:space="preserve">Revision # 68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</si>
  <si>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</si>
  <si>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</si>
  <si>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</si>
  <si>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</si>
  <si>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</si>
  <si>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</si>
  <si>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</si>
  <si>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</si>
  <si>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</si>
  <si>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</si>
  <si>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7/22/99</t>
  </si>
  <si>
    <t xml:space="preserve">from CE</t>
  </si>
  <si>
    <t xml:space="preserve">Complete</t>
  </si>
  <si>
    <t xml:space="preserve">Wilton Center, IL</t>
  </si>
  <si>
    <t xml:space="preserve">Wheatland, IN</t>
  </si>
  <si>
    <t xml:space="preserve">  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</si>
  <si>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</si>
  <si>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</si>
  <si>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</si>
  <si>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</si>
  <si>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Backup Sites</t>
  </si>
  <si>
    <t xml:space="preserve">Plano, IL</t>
  </si>
  <si>
    <t xml:space="preserve">Calvert City</t>
  </si>
  <si>
    <t xml:space="preserve">Petersburg, IN</t>
  </si>
  <si>
    <t xml:space="preserve">TOTAL PROGRAM</t>
  </si>
  <si>
    <t xml:space="preserve">Changes to Current Estimate Explanations</t>
  </si>
  <si>
    <t xml:space="preserve">All Plants</t>
  </si>
  <si>
    <t xml:space="preserve">Weekly</t>
  </si>
  <si>
    <t xml:space="preserve">Recalculated Interest During Construction ( 6.50%) </t>
  </si>
  <si>
    <t xml:space="preserve">Change in scope with addition of Union Labor</t>
  </si>
  <si>
    <t xml:space="preserve">Current Estimate vs Actual Variance Explanations (000s)</t>
  </si>
  <si>
    <t xml:space="preserve">EECC Development Costs incurred prior to 6/1/99 that is not included in the budget</t>
  </si>
  <si>
    <r>
      <rPr>
        <sz val="10"/>
        <rFont val="Arial"/>
        <family val="0"/>
      </rPr>
      <t xml:space="preserve">Increase in Nepco Construction Costs (</t>
    </r>
    <r>
      <rPr>
        <sz val="10"/>
        <color rgb="FFFF0000"/>
        <rFont val="Arial"/>
        <family val="2"/>
      </rPr>
      <t xml:space="preserve">includes 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</si>
  <si>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Turbines - Scope Change</t>
  </si>
  <si>
    <t xml:space="preserve">Increase Transformers -Scope Change</t>
  </si>
  <si>
    <t xml:space="preserve">Additional Gas Interconnect Costs </t>
  </si>
  <si>
    <t xml:space="preserve">Misc, $25 land over budget</t>
  </si>
  <si>
    <t xml:space="preserve">Increase in Power Interconnect cost associated with Com Ed</t>
  </si>
  <si>
    <t xml:space="preserve">Decrease in IDC</t>
  </si>
  <si>
    <t xml:space="preserve">Reduced Forecast - Capitalized Salaries</t>
  </si>
  <si>
    <t xml:space="preserve">Increase Development , including GLC consulting costs </t>
  </si>
  <si>
    <t xml:space="preserve">Cost related to Enron Generation Company, Standard &amp; poors, RW Beck and AES Corp</t>
  </si>
  <si>
    <t xml:space="preserve">Increase Permitting</t>
  </si>
  <si>
    <t xml:space="preserve">Start-up Fuel costs higher than budgeted</t>
  </si>
  <si>
    <t xml:space="preserve">Everest Legal Costs</t>
  </si>
  <si>
    <t xml:space="preserve">Use of Contingency ( Contingency is now zero)</t>
  </si>
  <si>
    <t xml:space="preserve">Insurance payment more than Budget</t>
  </si>
  <si>
    <t xml:space="preserve">Water Interconnect, budgeted at zero</t>
  </si>
  <si>
    <r>
      <rPr>
        <sz val="10"/>
        <color rgb="FFFF0000"/>
        <rFont val="Arial"/>
        <family val="2"/>
      </rPr>
      <t xml:space="preserve">Over </t>
    </r>
    <r>
      <rPr>
        <sz val="10"/>
        <rFont val="Arial"/>
        <family val="2"/>
      </rPr>
      <t xml:space="preserve">Original Budget -</t>
    </r>
    <r>
      <rPr>
        <sz val="10"/>
        <color rgb="FFFF0000"/>
        <rFont val="Arial"/>
        <family val="2"/>
      </rPr>
      <t xml:space="preserve">including unapproved Nepco scope changes</t>
    </r>
  </si>
  <si>
    <t xml:space="preserve">Gleason, TN</t>
  </si>
  <si>
    <t xml:space="preserve">Increase in Transformer Costs, including three spare bushings</t>
  </si>
  <si>
    <t xml:space="preserve">Increase in TVA interconnect Costs - Redesign burden</t>
  </si>
  <si>
    <t xml:space="preserve">Everest Legal</t>
  </si>
  <si>
    <t xml:space="preserve">Increase in Land -TVA Easement</t>
  </si>
  <si>
    <t xml:space="preserve">Increase in Environmental Permitting</t>
  </si>
  <si>
    <t xml:space="preserve">Increase in Start-up Fuel</t>
  </si>
  <si>
    <t xml:space="preserve">Increase in Electrical Interconnect - Non TVA</t>
  </si>
  <si>
    <t xml:space="preserve">Reduced Forecast - Capitalized Salaries &amp; Travel Expenses</t>
  </si>
  <si>
    <t xml:space="preserve">Temp variance, plant clerk will reclass labor as commerical not mobilization</t>
  </si>
  <si>
    <t xml:space="preserve">Other</t>
  </si>
  <si>
    <t xml:space="preserve">Under Original Budget -including unapproved Nepco scope changes</t>
  </si>
  <si>
    <r>
      <rPr>
        <sz val="10"/>
        <rFont val="Arial"/>
        <family val="0"/>
      </rPr>
      <t xml:space="preserve">Increase in Nepco Construction Costs (includes </t>
    </r>
    <r>
      <rPr>
        <sz val="10"/>
        <color rgb="FFFF0000"/>
        <rFont val="Arial"/>
        <family val="2"/>
      </rPr>
      <t xml:space="preserve">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</si>
  <si>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in Land Acquisition costs</t>
  </si>
  <si>
    <t xml:space="preserve">Increase in Permitting</t>
  </si>
  <si>
    <t xml:space="preserve">Cost related to Enron Generation Company, Standard &amp; Poors, RW Beck and AES Corp</t>
  </si>
  <si>
    <t xml:space="preserve">Decrease in Estimate to complete Power Interconnect</t>
  </si>
  <si>
    <t xml:space="preserve">Decrease  Interest During Construction</t>
  </si>
  <si>
    <t xml:space="preserve">Overtime assoc. with start-up &amp; backfeed invoices not included in budget</t>
  </si>
  <si>
    <t xml:space="preserve">As of 07/31/00</t>
  </si>
  <si>
    <t xml:space="preserve"> As of 11/03/00</t>
  </si>
  <si>
    <t xml:space="preserve">Anticipated</t>
  </si>
  <si>
    <t xml:space="preserve">Expense /</t>
  </si>
  <si>
    <t xml:space="preserve">ECT</t>
  </si>
  <si>
    <t xml:space="preserve">Increase /</t>
  </si>
  <si>
    <t xml:space="preserve">(Mo-to-date)</t>
  </si>
  <si>
    <t xml:space="preserve">ESTIMATE</t>
  </si>
  <si>
    <t xml:space="preserve">TOTAL</t>
  </si>
  <si>
    <t xml:space="preserve">(Increase)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</si>
  <si>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</si>
  <si>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</si>
  <si>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</si>
  <si>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</si>
  <si>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</si>
  <si>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</si>
  <si>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</si>
  <si>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</si>
  <si>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</si>
  <si>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</si>
  <si>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</si>
  <si>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</si>
  <si>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MAJOR EQUIPMENT</t>
  </si>
  <si>
    <t xml:space="preserve">TURBINE UNITS, Purchase -GE 7ea (8)</t>
  </si>
  <si>
    <t xml:space="preserve">Subtotal GE</t>
  </si>
  <si>
    <t xml:space="preserve">SPARE PARTS</t>
  </si>
  <si>
    <t xml:space="preserve">TRANSFORMERS (Not included w/TDEC)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</si>
  <si>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</si>
  <si>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</si>
  <si>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</si>
  <si>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</si>
  <si>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</si>
  <si>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</si>
  <si>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</si>
  <si>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</si>
  <si>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</si>
  <si>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</si>
  <si>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</si>
  <si>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</si>
  <si>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</si>
  <si>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</si>
  <si>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</si>
  <si>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</si>
  <si>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</si>
  <si>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</si>
  <si>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</si>
  <si>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</si>
  <si>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</si>
  <si>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</si>
  <si>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</si>
  <si>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</si>
  <si>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</si>
  <si>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</si>
  <si>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</si>
  <si>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</si>
  <si>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</si>
  <si>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</si>
  <si>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</si>
  <si>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</si>
  <si>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</si>
  <si>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</si>
  <si>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ELECTRICAL - M</t>
  </si>
  <si>
    <t xml:space="preserve">UNDERGROUND ELECTRICAL - L &amp; S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</si>
  <si>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</si>
  <si>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</si>
  <si>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</si>
  <si>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</si>
  <si>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</t>
  </si>
  <si>
    <t xml:space="preserve">GROUT - M</t>
  </si>
  <si>
    <t xml:space="preserve">STRUCTURAL STEEL - L</t>
  </si>
  <si>
    <t xml:space="preserve">STRUCTURAL STEEL - M</t>
  </si>
  <si>
    <t xml:space="preserve">ARCHITECTURAL -S</t>
  </si>
  <si>
    <t xml:space="preserve">BUILDINGS/ENCLOSURES -S</t>
  </si>
  <si>
    <t xml:space="preserve">A/G PIPING - L &amp; S</t>
  </si>
  <si>
    <t xml:space="preserve">A/G ELECTRICAL - L &amp; S</t>
  </si>
  <si>
    <t xml:space="preserve">INSTRUMENTATION - L</t>
  </si>
  <si>
    <t xml:space="preserve">INSULATION &amp; PAINTING -S</t>
  </si>
  <si>
    <t xml:space="preserve">MECHANICAL EQUIPMENT - L &amp; S</t>
  </si>
  <si>
    <t xml:space="preserve">PLANT STARTUP - L, M &amp; S</t>
  </si>
  <si>
    <t xml:space="preserve">UNION ADDER ESTIMATE ERROR</t>
  </si>
  <si>
    <t xml:space="preserve">ENGINEERING REWORK</t>
  </si>
  <si>
    <t xml:space="preserve">CHANGE ORDERS</t>
  </si>
  <si>
    <t xml:space="preserve">BACKCHARGES</t>
  </si>
  <si>
    <t xml:space="preserve">TOTAL Construction</t>
  </si>
  <si>
    <t xml:space="preserve">Switchyard</t>
  </si>
  <si>
    <t xml:space="preserve">SWITCHYARD</t>
  </si>
  <si>
    <t xml:space="preserve">TOTAL SWITCHYARD</t>
  </si>
  <si>
    <t xml:space="preserve">Plug to get back to Nepco's Forecast (In some cases Actuals are higher than forecast)</t>
  </si>
  <si>
    <t xml:space="preserve">Nepco % Cash (difference between prior </t>
  </si>
  <si>
    <t xml:space="preserve">  month actual and current month % of Cash Curves)</t>
  </si>
  <si>
    <t xml:space="preserve">TOTAL NEPCO SITE CONSTRUCTION COSTS</t>
  </si>
  <si>
    <t xml:space="preserve">OVERHEADS &amp; FEES</t>
  </si>
  <si>
    <t xml:space="preserve">EE&amp; 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</si>
  <si>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</si>
  <si>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</si>
  <si>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</si>
  <si>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</si>
  <si>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</si>
  <si>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TOTAL OVERHEADS &amp; FEES</t>
  </si>
  <si>
    <t xml:space="preserve">ADDERS OUTSIDE EECC SCOPE</t>
  </si>
  <si>
    <t xml:space="preserve">Sound Mitigation</t>
  </si>
  <si>
    <t xml:space="preserve">Evaporative Coolers</t>
  </si>
  <si>
    <t xml:space="preserve">Roads &amp; Ditches</t>
  </si>
  <si>
    <t xml:space="preserve">Drainage</t>
  </si>
  <si>
    <t xml:space="preserve">On-Site Well/Water System</t>
  </si>
  <si>
    <t xml:space="preserve">TOTAL ADDERS</t>
  </si>
  <si>
    <t xml:space="preserve">ECT PROJECT COSTS</t>
  </si>
  <si>
    <t xml:space="preserve">MOBILIZATION OF O&amp;M</t>
  </si>
  <si>
    <t xml:space="preserve">Mobilization Fee OEC</t>
  </si>
  <si>
    <t xml:space="preserve">Reimbursable Costs OEC</t>
  </si>
  <si>
    <t xml:space="preserve">   Subtotal Mobilization of O&amp;M</t>
  </si>
  <si>
    <t xml:space="preserve">WATER INTERCONNECT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</si>
  <si>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</si>
  <si>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</si>
  <si>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</si>
  <si>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</si>
  <si>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</si>
  <si>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Closing Costs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</si>
  <si>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</si>
  <si>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</si>
  <si>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</si>
  <si>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</si>
  <si>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</si>
  <si>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</si>
  <si>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Annexation agreement/roadway improvement</t>
  </si>
  <si>
    <t xml:space="preserve">Subtotal Environmental Permitting</t>
  </si>
  <si>
    <t xml:space="preserve">POWER INTERCONNECTION -Com Ed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</si>
  <si>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</si>
  <si>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</si>
  <si>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</si>
  <si>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</si>
  <si>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</si>
  <si>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</si>
  <si>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</si>
  <si>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</si>
  <si>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</si>
  <si>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</si>
  <si>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GLC</t>
  </si>
  <si>
    <t xml:space="preserve">Enron Generation Company Costs</t>
  </si>
  <si>
    <t xml:space="preserve">EECC cost incurred prior to 6/1/99  (includes Capital &amp; Exp)</t>
  </si>
  <si>
    <t xml:space="preserve">TOTAL DEVELOPMENT EXPENSE</t>
  </si>
  <si>
    <t xml:space="preserve">LEGAL EXPENSES</t>
  </si>
  <si>
    <t xml:space="preserve">Vinson &amp; Elkins</t>
  </si>
  <si>
    <t xml:space="preserve">Everst Legal Expense</t>
  </si>
  <si>
    <t xml:space="preserve">TOTAL LEGAL EXPENSE</t>
  </si>
  <si>
    <t xml:space="preserve">INTEREST DURING CONSTRUCTION (6.5%)</t>
  </si>
  <si>
    <t xml:space="preserve">ECT TOTAL Project Costs</t>
  </si>
  <si>
    <t xml:space="preserve">GRAND TOTAL (without Financing Fees &amp; SWAP)</t>
  </si>
  <si>
    <t xml:space="preserve">$/Kw</t>
  </si>
  <si>
    <t xml:space="preserve">Spare parts</t>
  </si>
  <si>
    <t xml:space="preserve">Mobilization</t>
  </si>
  <si>
    <t xml:space="preserve">Sales Tax</t>
  </si>
  <si>
    <t xml:space="preserve">Expenses </t>
  </si>
  <si>
    <t xml:space="preserve">October Activity</t>
  </si>
  <si>
    <t xml:space="preserve">Project Reports</t>
  </si>
  <si>
    <t xml:space="preserve">INTEREST SWAP</t>
  </si>
  <si>
    <t xml:space="preserve">Franchise tax</t>
  </si>
  <si>
    <t xml:space="preserve">Property Tax</t>
  </si>
  <si>
    <t xml:space="preserve">Current FIT</t>
  </si>
  <si>
    <t xml:space="preserve">Grand Total Including SWAP &amp; Financial Fees</t>
  </si>
  <si>
    <t xml:space="preserve">LAND</t>
  </si>
  <si>
    <t xml:space="preserve">TOTAL-Plano, IL</t>
  </si>
  <si>
    <t xml:space="preserve">TOTAL ILLINOIS PLANT COSTS</t>
  </si>
  <si>
    <t xml:space="preserve">54C 1070</t>
  </si>
  <si>
    <t xml:space="preserve">44Q 1070</t>
  </si>
  <si>
    <t xml:space="preserve">44Q 9310</t>
  </si>
  <si>
    <t xml:space="preserve">IDC correction</t>
  </si>
  <si>
    <t xml:space="preserve">2360  Property tax</t>
  </si>
  <si>
    <t xml:space="preserve">4082-400 franchise</t>
  </si>
  <si>
    <t xml:space="preserve">44Q 2160</t>
  </si>
  <si>
    <t xml:space="preserve">Calvert City, KY</t>
  </si>
  <si>
    <t xml:space="preserve"> As of 4/14/00</t>
  </si>
  <si>
    <t xml:space="preserve">Tran.to Gleason</t>
  </si>
  <si>
    <t xml:space="preserve">TURBINE UNITS, Purchase - WH501FD (2)</t>
  </si>
  <si>
    <t xml:space="preserve">TURBINE UNITS, Purchase - WH501F (1)</t>
  </si>
  <si>
    <t xml:space="preserve">TURBINE UNITS, Disassemble</t>
  </si>
  <si>
    <t xml:space="preserve">TURBINE UNITS, Freight Commission</t>
  </si>
  <si>
    <t xml:space="preserve">TURBINE REFURBISHMENT</t>
  </si>
  <si>
    <t xml:space="preserve">Subtotal Westinghouse</t>
  </si>
  <si>
    <t xml:space="preserve">CONSTRUCTION DIRECTS</t>
  </si>
  <si>
    <t xml:space="preserve">CONSTRUCTION INDIRECTS</t>
  </si>
  <si>
    <t xml:space="preserve">NEPCO PURCHASED BOP EQUIPMENT</t>
  </si>
  <si>
    <t xml:space="preserve">START-UP</t>
  </si>
  <si>
    <t xml:space="preserve">LANDSCAPING</t>
  </si>
  <si>
    <t xml:space="preserve">WATER WELLS</t>
  </si>
  <si>
    <t xml:space="preserve">UNION ADDER/OTHER</t>
  </si>
  <si>
    <t xml:space="preserve">DRY TRANSFORMS AND PANELS</t>
  </si>
  <si>
    <t xml:space="preserve">5KV &amp; 600 V SWITCHGEAR AND MCC'S</t>
  </si>
  <si>
    <t xml:space="preserve">15 KV SWITCHGEAR</t>
  </si>
  <si>
    <t xml:space="preserve">CONTROL PANELS/TERMINATION BOXES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</si>
  <si>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</si>
  <si>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</si>
  <si>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</si>
  <si>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</si>
  <si>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</si>
  <si>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</si>
  <si>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BRIDGE CRANE</t>
  </si>
  <si>
    <t xml:space="preserve">MINOR MECHANICAL EQUIPMENT</t>
  </si>
  <si>
    <t xml:space="preserve">COMBUSTION TURBINE GENERATOR</t>
  </si>
  <si>
    <t xml:space="preserve">PRESSURE REDUCING STATION</t>
  </si>
  <si>
    <t xml:space="preserve">WATER WASH SKID</t>
  </si>
  <si>
    <t xml:space="preserve">FIELD/SHOP FAB VESSELS</t>
  </si>
  <si>
    <t xml:space="preserve">PUMPS</t>
  </si>
  <si>
    <t xml:space="preserve">Other -1/2 of redsign costs to change project to Gleason</t>
  </si>
  <si>
    <t xml:space="preserve">PIPING</t>
  </si>
  <si>
    <t xml:space="preserve">ELECTRICAL</t>
  </si>
  <si>
    <t xml:space="preserve">CIVIL</t>
  </si>
  <si>
    <t xml:space="preserve">CONSTRUCTION</t>
  </si>
  <si>
    <t xml:space="preserve">SITE PREPARATION</t>
  </si>
  <si>
    <t xml:space="preserve">SITE IMPROVEMENTS</t>
  </si>
  <si>
    <t xml:space="preserve">UNDERGROUND ELECTRICAL (LAB &amp; MATL)</t>
  </si>
  <si>
    <t xml:space="preserve">UNDERGROUND PIPING (LAB &amp; MATL)</t>
  </si>
  <si>
    <t xml:space="preserve">CONCRETE</t>
  </si>
  <si>
    <t xml:space="preserve">GROUT &amp; SPECIAL COATINGS</t>
  </si>
  <si>
    <t xml:space="preserve">STRUCTURAL STEEL (LAB &amp; MATL)</t>
  </si>
  <si>
    <t xml:space="preserve">ARCHITECTURAL</t>
  </si>
  <si>
    <t xml:space="preserve">SUBCONTRACT ERECTED BUILDINGS</t>
  </si>
  <si>
    <t xml:space="preserve">ABOVE GROUND PIPING</t>
  </si>
  <si>
    <t xml:space="preserve">MATERIAL</t>
  </si>
  <si>
    <t xml:space="preserve">SUBCONTRACT </t>
  </si>
  <si>
    <t xml:space="preserve">LABOR</t>
  </si>
  <si>
    <t xml:space="preserve">ABOVE GROUND ELECTRICAL</t>
  </si>
  <si>
    <t xml:space="preserve">INSULATION</t>
  </si>
  <si>
    <t xml:space="preserve">PAINTING</t>
  </si>
  <si>
    <t xml:space="preserve">COMBUSTION TURBINE/GENERATOR</t>
  </si>
  <si>
    <t xml:space="preserve">MAJOR MECHANICAL EQUIPMENT</t>
  </si>
  <si>
    <t xml:space="preserve">TOTAL CONSTRUCTION</t>
  </si>
  <si>
    <t xml:space="preserve">ENGINEERING-DIRECT LABOR</t>
  </si>
  <si>
    <t xml:space="preserve">ENGINEERING-CONTRACT LABOR</t>
  </si>
  <si>
    <t xml:space="preserve">EQUIP RENTAL, FUEL, SMALL TOOLS</t>
  </si>
  <si>
    <t xml:space="preserve">INDIRECT CONSTRUCTION LABOR</t>
  </si>
  <si>
    <t xml:space="preserve">OVERHEAD</t>
  </si>
  <si>
    <t xml:space="preserve">GENERAL PROVISIONS</t>
  </si>
  <si>
    <t xml:space="preserve">PRORATABLE, ALLOWANCES</t>
  </si>
  <si>
    <t xml:space="preserve">STARTUP, TRAINING, MANUALS</t>
  </si>
  <si>
    <t xml:space="preserve">CONSTRUCTION MANAGEMENT</t>
  </si>
  <si>
    <t xml:space="preserve">TOTAL ENGINEERING</t>
  </si>
  <si>
    <t xml:space="preserve">Reimbursable Cost OEC</t>
  </si>
  <si>
    <t xml:space="preserve">RESALE HANDLING FEES (.25%)</t>
  </si>
  <si>
    <t xml:space="preserve">Land Purchase - Marshall County Rd Pavement, Water Supply to land owners</t>
  </si>
  <si>
    <t xml:space="preserve">Air Permitting -ENSR</t>
  </si>
  <si>
    <t xml:space="preserve">Groundwater - ENSR</t>
  </si>
  <si>
    <t xml:space="preserve">Groundwater - NS</t>
  </si>
  <si>
    <t xml:space="preserve">Other-NS</t>
  </si>
  <si>
    <t xml:space="preserve">Other -ENSR</t>
  </si>
  <si>
    <t xml:space="preserve">ELECTRICAL INTERCONNECTION</t>
  </si>
  <si>
    <t xml:space="preserve">Facilities Study</t>
  </si>
  <si>
    <t xml:space="preserve">System Impact Study</t>
  </si>
  <si>
    <t xml:space="preserve">Work Order Cost</t>
  </si>
  <si>
    <t xml:space="preserve">Subtotal Electrical Interconnection</t>
  </si>
  <si>
    <t xml:space="preserve">Consulting - Calpine</t>
  </si>
  <si>
    <t xml:space="preserve">EECC cost incurred prior to 6/1/99 (includes Capital &amp; Exp)</t>
  </si>
  <si>
    <t xml:space="preserve">Andrews &amp; Kurth</t>
  </si>
  <si>
    <t xml:space="preserve">Middleton &amp; Reutlinger</t>
  </si>
  <si>
    <t xml:space="preserve">Ogden Newell &amp; Welch</t>
  </si>
  <si>
    <t xml:space="preserve">Payment from AES </t>
  </si>
  <si>
    <t xml:space="preserve">Income</t>
  </si>
  <si>
    <t xml:space="preserve">Franchise Tax</t>
  </si>
  <si>
    <t xml:space="preserve"> </t>
  </si>
  <si>
    <t xml:space="preserve">Tran.from Calvert</t>
  </si>
  <si>
    <t xml:space="preserve">BACKCHARGE</t>
  </si>
  <si>
    <t xml:space="preserve">SITE RELOCATION</t>
  </si>
  <si>
    <t xml:space="preserve">STRUCTURAL STEEL - L </t>
  </si>
  <si>
    <t xml:space="preserve">BUILDINGS -S</t>
  </si>
  <si>
    <t xml:space="preserve">INSTRUMENTATION - L &amp; S</t>
  </si>
  <si>
    <t xml:space="preserve">PLANT STARTUP - L &amp; S</t>
  </si>
  <si>
    <t xml:space="preserve">Nepco % Complete</t>
  </si>
  <si>
    <t xml:space="preserve">Electrical Interconnect - Not TVA</t>
  </si>
  <si>
    <t xml:space="preserve">SALES TAX ON EQUIPMENT &amp; Materials</t>
  </si>
  <si>
    <t xml:space="preserve">ELECTRICAL INTERCONNECTION - TVA"S side of fence</t>
  </si>
  <si>
    <t xml:space="preserve">Johnsonville-Weakly 500-kV TlL--Install Interconnection Facility</t>
  </si>
  <si>
    <t xml:space="preserve">Gleason, TN 500 kV Sw Sta--Provide Interconnection</t>
  </si>
  <si>
    <t xml:space="preserve">Gleason Power 1, LLC --Provide Engr/Matl Support</t>
  </si>
  <si>
    <t xml:space="preserve">Johnsonville FP--Provide Relaying Circuits </t>
  </si>
  <si>
    <t xml:space="preserve">Weakly, TN 500 kV Sub--Install MW Terminal</t>
  </si>
  <si>
    <t xml:space="preserve">Shawnee FP--Provide Channel Interconnections</t>
  </si>
  <si>
    <t xml:space="preserve">S. Nashville, Tn 161 kV Sub --Provide Channel Interconnect</t>
  </si>
  <si>
    <t xml:space="preserve">S Jackson, TN 161 kV Sub--Provide Channel Interconnections</t>
  </si>
  <si>
    <t xml:space="preserve">Wilson HP--Provide Channel Crossconnection</t>
  </si>
  <si>
    <t xml:space="preserve">Jackson, TN  500kV Sub--Install MW Terminal </t>
  </si>
  <si>
    <t xml:space="preserve">Rock Springs MW Rptr Sta--Intall MW Repeater Equipment</t>
  </si>
  <si>
    <t xml:space="preserve">PSCC--Provide SCADA Terminations </t>
  </si>
  <si>
    <t xml:space="preserve">COC/PBS--Provide SCADA Terminations</t>
  </si>
  <si>
    <t xml:space="preserve">Martin, TN 161 kV Sub--Install DTL Mux</t>
  </si>
  <si>
    <t xml:space="preserve">Marshall, KY 500 kV Sub--Install DTL Mux</t>
  </si>
  <si>
    <t xml:space="preserve">Lynn Grove MW Rpt Sta--Install DTL Mux</t>
  </si>
  <si>
    <t xml:space="preserve">Plug to get back to budget</t>
  </si>
  <si>
    <t xml:space="preserve">Startup Fuel * Power</t>
  </si>
  <si>
    <t xml:space="preserve">Fuel Cost/Power Revenue</t>
  </si>
  <si>
    <t xml:space="preserve">Enron Generation Comp Costs</t>
  </si>
  <si>
    <t xml:space="preserve">Legal</t>
  </si>
  <si>
    <t xml:space="preserve">SWAP</t>
  </si>
  <si>
    <t xml:space="preserve">Expenses</t>
  </si>
  <si>
    <t xml:space="preserve">Project Report</t>
  </si>
  <si>
    <t xml:space="preserve">SHELBY</t>
  </si>
  <si>
    <t xml:space="preserve">Shelby, TN 500KV SS - Install 500 161 KV Transformer Bank#2</t>
  </si>
  <si>
    <t xml:space="preserve">Cordova-Shelby 500KV TL  Reterminate at Shelby</t>
  </si>
  <si>
    <t xml:space="preserve">44A26</t>
  </si>
  <si>
    <t xml:space="preserve">Milan -Weakly 161 kV Tl--Upgrade Milan -Rutherford Section</t>
  </si>
  <si>
    <t xml:space="preserve">*Note: Costs being booked as a receivable, with the receivable being reduced over time equal to the transmission credits used. Ending receivable balance to be repaid by TVA to ENA 2009</t>
  </si>
  <si>
    <t xml:space="preserve">Grand Total Including SHELBY</t>
  </si>
  <si>
    <t xml:space="preserve">44W 1070</t>
  </si>
  <si>
    <t xml:space="preserve">44W CWIP</t>
  </si>
  <si>
    <t xml:space="preserve">44W 9310</t>
  </si>
  <si>
    <t xml:space="preserve">mobilization</t>
  </si>
  <si>
    <t xml:space="preserve">IDC</t>
  </si>
  <si>
    <t xml:space="preserve">44W A/R - shelby</t>
  </si>
  <si>
    <t xml:space="preserve">44W 2360</t>
  </si>
  <si>
    <t xml:space="preserve">October</t>
  </si>
  <si>
    <t xml:space="preserve">Capital - 39B</t>
  </si>
  <si>
    <t xml:space="preserve">44W 4092</t>
  </si>
  <si>
    <t xml:space="preserve">Expense - 413</t>
  </si>
  <si>
    <t xml:space="preserve">Start Up Fuel</t>
  </si>
  <si>
    <t xml:space="preserve">Rev accrual</t>
  </si>
  <si>
    <t xml:space="preserve">Legal Reclass</t>
  </si>
  <si>
    <t xml:space="preserve">Per Above</t>
  </si>
  <si>
    <t xml:space="preserve">Difference</t>
  </si>
  <si>
    <t xml:space="preserve">diff</t>
  </si>
  <si>
    <t xml:space="preserve">TURBINE UNITS - WH501D5A (4)</t>
  </si>
  <si>
    <t xml:space="preserve">TRANSFORMERS - Other Misc Charges</t>
  </si>
  <si>
    <t xml:space="preserve">GROUT - L &amp; S</t>
  </si>
  <si>
    <t xml:space="preserve">Backing out Acceleration Scope Change</t>
  </si>
  <si>
    <t xml:space="preserve">Reimbursble Costs OEC</t>
  </si>
  <si>
    <t xml:space="preserve">Power INTERCONNECTION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</si>
</sst>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_(* #,##0_);_(* \(#,##0\);_(* \-??_);_(@_)"/>
    <numFmt numFmtId="241" formatCode="_(\$* #,##0_);_(\$* \(#,##0\);_(\$* \-??_);_(@_)"/>
    <numFmt numFmtId="242" formatCode="mmmm\ d&quot;, &quot;yyyy"/>
    <numFmt numFmtId="243" formatCode="[$-409]m/d/yyyy"/>
    <numFmt numFmtId="244" formatCode="0%"/>
    <numFmt numFmtId="245" formatCode="0.0%"/>
    <numFmt numFmtId="246" formatCode="[$-409]d\-mmm"/>
    <numFmt numFmtId="247" formatCode="@"/>
    <numFmt numFmtId="248" formatCode="\$#,##0"/>
    <numFmt numFmtId="249" formatCode="\$#,##0_);&quot;($&quot;#,##0\)"/>
    <numFmt numFmtId="250" formatCode="0_);\(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3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5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0" fontId="5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5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8" fontId="9" fillId="0" borderId="32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7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Draw%20Schedule/Draw%20Sched%20-%20063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5% - Swap"/>
      <sheetName val="Calvert City"/>
      <sheetName val="Wilton"/>
      <sheetName val="Gleason"/>
      <sheetName val="Wheatland"/>
      <sheetName val="Wilton Leaseback Only"/>
      <sheetName val="Wheatland (2)"/>
      <sheetName val="Gleason (2)"/>
    </sheetNames>
    <sheetDataSet>
      <sheetData sheetId="0"/>
      <sheetData sheetId="1">
        <row r="38">
          <cell r="I38">
            <v>481371.224966667</v>
          </cell>
          <cell r="J38">
            <v>488494.443169958</v>
          </cell>
          <cell r="K38">
            <v>500068.524230185</v>
          </cell>
        </row>
        <row r="64">
          <cell r="X64">
            <v>811034.87</v>
          </cell>
        </row>
      </sheetData>
      <sheetData sheetId="2">
        <row r="40">
          <cell r="K40">
            <v>463711.375388706</v>
          </cell>
          <cell r="L40">
            <v>505639.68570277</v>
          </cell>
        </row>
        <row r="40">
          <cell r="N40">
            <v>663422.293877047</v>
          </cell>
          <cell r="O40">
            <v>873819.325295269</v>
          </cell>
          <cell r="P40">
            <v>891069.815904508</v>
          </cell>
          <cell r="Q40">
            <v>1048965.86877121</v>
          </cell>
          <cell r="R40">
            <v>1175441.84449095</v>
          </cell>
        </row>
        <row r="62">
          <cell r="Y62">
            <v>22604</v>
          </cell>
        </row>
      </sheetData>
      <sheetData sheetId="3">
        <row r="40">
          <cell r="M40">
            <v>505668.93</v>
          </cell>
          <cell r="N40">
            <v>517447.922676389</v>
          </cell>
          <cell r="O40">
            <v>557933.423229775</v>
          </cell>
          <cell r="P40">
            <v>574337.945273658</v>
          </cell>
          <cell r="Q40">
            <v>616751.796941113</v>
          </cell>
          <cell r="R40">
            <v>657673.008063433</v>
          </cell>
          <cell r="S40">
            <v>719263.876154332</v>
          </cell>
        </row>
        <row r="40">
          <cell r="V40">
            <v>596910.341292855</v>
          </cell>
        </row>
      </sheetData>
      <sheetData sheetId="4">
        <row r="39">
          <cell r="I39">
            <v>431577.418620833</v>
          </cell>
          <cell r="J39">
            <v>437225.482138363</v>
          </cell>
          <cell r="K39">
            <v>445286.676416612</v>
          </cell>
          <cell r="L39">
            <v>454783</v>
          </cell>
          <cell r="M39">
            <v>462626.315506925</v>
          </cell>
          <cell r="N39">
            <v>491955.34096592</v>
          </cell>
          <cell r="O39">
            <v>516340</v>
          </cell>
          <cell r="P39">
            <v>563836.325110041</v>
          </cell>
          <cell r="Q39">
            <v>615994.858259943</v>
          </cell>
          <cell r="R39">
            <v>668433.200158851</v>
          </cell>
        </row>
        <row r="39">
          <cell r="T39">
            <v>720582.029937489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28.14"/>
    <col collapsed="false" customWidth="true" hidden="false" outlineLevel="0" max="2" min="2" style="26" width="3.14"/>
    <col collapsed="false" customWidth="true" hidden="false" outlineLevel="0" max="3" min="3" style="26" width="14.99"/>
    <col collapsed="false" customWidth="true" hidden="false" outlineLevel="0" max="4" min="4" style="26" width="2.42"/>
    <col collapsed="false" customWidth="true" hidden="false" outlineLevel="0" max="5" min="5" style="26" width="17.28"/>
    <col collapsed="false" customWidth="true" hidden="false" outlineLevel="0" max="6" min="6" style="26" width="2.42"/>
    <col collapsed="false" customWidth="true" hidden="false" outlineLevel="0" max="7" min="7" style="26" width="17.28"/>
    <col collapsed="false" customWidth="true" hidden="false" outlineLevel="0" max="8" min="8" style="26" width="2.42"/>
    <col collapsed="false" customWidth="true" hidden="false" outlineLevel="0" max="9" min="9" style="26" width="21.7"/>
    <col collapsed="false" customWidth="true" hidden="false" outlineLevel="0" max="10" min="10" style="26" width="2.13"/>
    <col collapsed="false" customWidth="true" hidden="false" outlineLevel="0" max="11" min="11" style="26" width="18.7"/>
    <col collapsed="false" customWidth="true" hidden="false" outlineLevel="0" max="12" min="12" style="26" width="2.7"/>
    <col collapsed="false" customWidth="true" hidden="false" outlineLevel="0" max="13" min="13" style="26" width="13.28"/>
    <col collapsed="false" customWidth="true" hidden="false" outlineLevel="0" max="14" min="14" style="26" width="2.7"/>
    <col collapsed="false" customWidth="true" hidden="false" outlineLevel="0" max="15" min="15" style="26" width="20.28"/>
    <col collapsed="false" customWidth="false" hidden="true" outlineLevel="0" max="17" min="16" style="0" width="9.06"/>
    <col collapsed="false" customWidth="true" hidden="true" outlineLevel="0" max="18" min="18" style="0" width="0.13"/>
    <col collapsed="false" customWidth="false" hidden="true" outlineLevel="0" max="46" min="20" style="0" width="9.06"/>
    <col collapsed="false" customWidth="true" hidden="true" outlineLevel="0" max="58" min="47" style="0" width="9.14"/>
    <col collapsed="false" customWidth="false" hidden="true" outlineLevel="0" max="62" min="59" style="0" width="9.06"/>
    <col collapsed="false" customWidth="true" hidden="false" outlineLevel="0" max="66" min="66" style="0" width="2.13"/>
    <col collapsed="false" customWidth="true" hidden="false" outlineLevel="0" max="67" min="67" style="0" width="10.56"/>
  </cols>
  <sheetData>
    <row r="1" customFormat="false" ht="15" hidden="false" customHeight="false" outlineLevel="0" collapsed="false">
      <c r="A1" s="27" t="s">
        <v>61</v>
      </c>
    </row>
    <row r="2" customFormat="false" ht="15" hidden="false" customHeight="false" outlineLevel="0" collapsed="false">
      <c r="A2" s="27" t="s">
        <v>62</v>
      </c>
      <c r="J2" s="28" t="s">
        <v>63</v>
      </c>
      <c r="O2" s="29" t="n">
        <f aca="true">NOW()</f>
        <v>45926.9291515222</v>
      </c>
    </row>
    <row r="3" customFormat="false" ht="15" hidden="false" customHeight="false" outlineLevel="0" collapsed="false">
      <c r="A3" s="30" t="s">
        <v>64</v>
      </c>
      <c r="G3" s="29"/>
      <c r="J3" s="28"/>
      <c r="O3" s="29"/>
      <c r="BW3" s="0" t="str">
        <f aca="false">Summary!A5</f>
        <v>Revision # 68</v>
      </c>
    </row>
    <row r="4" customFormat="false" ht="15" hidden="false" customHeight="false" outlineLevel="0" collapsed="false">
      <c r="A4" s="27" t="s">
        <v>65</v>
      </c>
      <c r="J4" s="28" t="s">
        <v>66</v>
      </c>
      <c r="O4" s="31" t="s">
        <v>67</v>
      </c>
    </row>
    <row r="5" customFormat="false" ht="15" hidden="false" customHeight="false" outlineLevel="0" collapsed="false">
      <c r="A5" s="30" t="s">
        <v>68</v>
      </c>
      <c r="G5" s="29"/>
      <c r="I5" s="32"/>
      <c r="O5" s="33"/>
    </row>
    <row r="6" customFormat="false" ht="15.75" hidden="false" customHeight="false" outlineLevel="0" collapsed="false">
      <c r="A6" s="27"/>
      <c r="I6" s="32"/>
      <c r="O6" s="33"/>
      <c r="BO6" s="34" t="n">
        <v>36860</v>
      </c>
    </row>
    <row r="7" customFormat="false" ht="15.75" hidden="false" customHeight="false" outlineLevel="0" collapsed="false">
      <c r="A7" s="27"/>
      <c r="G7" s="35" t="s">
        <v>69</v>
      </c>
      <c r="H7" s="36"/>
      <c r="I7" s="36"/>
      <c r="J7" s="36"/>
      <c r="K7" s="37"/>
      <c r="L7" s="27"/>
      <c r="M7" s="27"/>
    </row>
    <row r="8" customFormat="false" ht="12.75" hidden="false" customHeight="false" outlineLevel="0" collapsed="false">
      <c r="A8" s="38" t="s">
        <v>70</v>
      </c>
      <c r="C8" s="39"/>
      <c r="E8" s="40" t="s">
        <v>71</v>
      </c>
      <c r="G8" s="41" t="s">
        <v>72</v>
      </c>
      <c r="H8" s="42"/>
      <c r="I8" s="43" t="s">
        <v>73</v>
      </c>
      <c r="J8" s="42"/>
      <c r="K8" s="44" t="s">
        <v>74</v>
      </c>
      <c r="M8" s="40" t="s">
        <v>75</v>
      </c>
      <c r="O8" s="40" t="s">
        <v>76</v>
      </c>
    </row>
    <row r="9" customFormat="false" ht="12.75" hidden="false" customHeight="false" outlineLevel="0" collapsed="false">
      <c r="A9" s="45" t="s">
        <v>77</v>
      </c>
      <c r="C9" s="45" t="s">
        <v>78</v>
      </c>
      <c r="E9" s="46" t="s">
        <v>79</v>
      </c>
      <c r="G9" s="47" t="str">
        <f aca="false">+O4</f>
        <v> As of 11/17/00</v>
      </c>
      <c r="H9" s="48"/>
      <c r="I9" s="49" t="str">
        <f aca="false">+O4</f>
        <v> As of 11/17/00</v>
      </c>
      <c r="J9" s="48"/>
      <c r="K9" s="50" t="str">
        <f aca="false">+O4</f>
        <v> As of 11/17/00</v>
      </c>
      <c r="M9" s="49" t="s">
        <v>80</v>
      </c>
      <c r="O9" s="49" t="s">
        <v>81</v>
      </c>
    </row>
    <row r="10" customFormat="false" ht="12.75" hidden="false" customHeight="false" outlineLevel="0" collapsed="false">
      <c r="A10" s="39"/>
      <c r="C10" s="40"/>
      <c r="E10" s="39"/>
      <c r="G10" s="51"/>
      <c r="H10" s="48"/>
      <c r="I10" s="39"/>
      <c r="J10" s="48"/>
      <c r="K10" s="52"/>
      <c r="M10" s="39"/>
      <c r="O10" s="39"/>
    </row>
    <row r="11" customFormat="false" ht="12.75" hidden="false" customHeight="false" outlineLevel="0" collapsed="false">
      <c r="A11" s="53" t="s">
        <v>82</v>
      </c>
      <c r="C11" s="54" t="n">
        <v>608</v>
      </c>
      <c r="E11" s="55" t="n">
        <f aca="false">Wilton!R179/1000</f>
        <v>239675.46775</v>
      </c>
      <c r="F11" s="12"/>
      <c r="G11" s="56" t="n">
        <f aca="false">Wilton!BQ179/1000</f>
        <v>268951.920028692</v>
      </c>
      <c r="H11" s="48"/>
      <c r="I11" s="55" t="n">
        <f aca="false">K11-G11</f>
        <v>-23.5826399999787</v>
      </c>
      <c r="J11" s="48"/>
      <c r="K11" s="57" t="n">
        <f aca="false">Wilton!BW179/1000</f>
        <v>268928.337388692</v>
      </c>
      <c r="M11" s="55" t="n">
        <f aca="false">+E11-K11</f>
        <v>-29252.869638692</v>
      </c>
      <c r="O11" s="58" t="n">
        <f aca="false">+G11/K11</f>
        <v>1.00008769116795</v>
      </c>
    </row>
    <row r="12" customFormat="false" ht="12.75" hidden="false" customHeight="false" outlineLevel="0" collapsed="false">
      <c r="A12" s="59"/>
      <c r="C12" s="54"/>
      <c r="E12" s="60"/>
      <c r="F12" s="12"/>
      <c r="G12" s="61"/>
      <c r="H12" s="48"/>
      <c r="I12" s="60"/>
      <c r="J12" s="48"/>
      <c r="K12" s="62"/>
      <c r="M12" s="60"/>
      <c r="O12" s="63"/>
    </row>
    <row r="13" customFormat="false" ht="12.75" hidden="false" customHeight="false" outlineLevel="0" collapsed="false">
      <c r="A13" s="53" t="str">
        <f aca="false">Gleason!A3</f>
        <v>Gleason, TN</v>
      </c>
      <c r="C13" s="54" t="n">
        <v>509</v>
      </c>
      <c r="E13" s="55" t="n">
        <f aca="false">Gleason!R219/1000</f>
        <v>170575.01</v>
      </c>
      <c r="F13" s="12"/>
      <c r="G13" s="56" t="n">
        <f aca="false">Gleason!BQ219/1000</f>
        <v>170502.666353668</v>
      </c>
      <c r="H13" s="48"/>
      <c r="I13" s="55" t="n">
        <f aca="false">K13-G13</f>
        <v>5530.75836000001</v>
      </c>
      <c r="J13" s="48"/>
      <c r="K13" s="57" t="n">
        <f aca="false">Gleason!BW219/1000</f>
        <v>176033.424713668</v>
      </c>
      <c r="M13" s="55" t="n">
        <f aca="false">+E13-K13</f>
        <v>-5458.4147136675</v>
      </c>
      <c r="O13" s="58" t="n">
        <f aca="false">+G13/K13</f>
        <v>0.968581203433404</v>
      </c>
    </row>
    <row r="14" customFormat="false" ht="12.75" hidden="false" customHeight="false" outlineLevel="0" collapsed="false">
      <c r="A14" s="59"/>
      <c r="C14" s="54"/>
      <c r="E14" s="60"/>
      <c r="F14" s="12"/>
      <c r="G14" s="61"/>
      <c r="H14" s="48"/>
      <c r="I14" s="60"/>
      <c r="J14" s="48"/>
      <c r="K14" s="62"/>
      <c r="M14" s="60"/>
      <c r="O14" s="63"/>
    </row>
    <row r="15" customFormat="false" ht="12.75" hidden="false" customHeight="false" outlineLevel="0" collapsed="false">
      <c r="A15" s="53" t="s">
        <v>83</v>
      </c>
      <c r="C15" s="54" t="n">
        <v>470</v>
      </c>
      <c r="E15" s="55" t="n">
        <f aca="false">Wheatland!R176/1000</f>
        <v>158451.2481</v>
      </c>
      <c r="F15" s="12"/>
      <c r="G15" s="56" t="n">
        <f aca="false">Wheatland!BP176/1000</f>
        <v>154433.673840295</v>
      </c>
      <c r="H15" s="48"/>
      <c r="I15" s="55" t="n">
        <f aca="false">K15-G15</f>
        <v>3547.08884333333</v>
      </c>
      <c r="J15" s="48"/>
      <c r="K15" s="57" t="n">
        <f aca="false">Wheatland!BV176/1000</f>
        <v>157980.762683629</v>
      </c>
      <c r="M15" s="55" t="n">
        <f aca="false">+E15-K15</f>
        <v>470.485416371492</v>
      </c>
      <c r="O15" s="58" t="n">
        <f aca="false">+G15/K15</f>
        <v>0.977547336884069</v>
      </c>
      <c r="AC15" s="0" t="s">
        <v>84</v>
      </c>
    </row>
    <row r="16" customFormat="false" ht="8.25" hidden="false" customHeight="true" outlineLevel="0" collapsed="false">
      <c r="A16" s="59"/>
      <c r="B16" s="48"/>
      <c r="C16" s="64"/>
      <c r="D16" s="48"/>
      <c r="E16" s="65"/>
      <c r="F16" s="48"/>
      <c r="G16" s="66"/>
      <c r="H16" s="48"/>
      <c r="I16" s="65"/>
      <c r="J16" s="48"/>
      <c r="K16" s="67"/>
      <c r="L16" s="48"/>
      <c r="M16" s="65"/>
      <c r="N16" s="48"/>
      <c r="O16" s="59"/>
    </row>
    <row r="17" customFormat="false" ht="12.75" hidden="false" customHeight="false" outlineLevel="0" collapsed="false">
      <c r="A17" s="68" t="s">
        <v>85</v>
      </c>
      <c r="B17" s="69"/>
      <c r="C17" s="70" t="n">
        <f aca="false">SUM(C11:C15)</f>
        <v>1587</v>
      </c>
      <c r="D17" s="48"/>
      <c r="E17" s="71" t="n">
        <f aca="false">SUM(E11:E15)</f>
        <v>568701.72585</v>
      </c>
      <c r="F17" s="72"/>
      <c r="G17" s="73" t="n">
        <f aca="false">SUM(G11:G15)</f>
        <v>593888.260222655</v>
      </c>
      <c r="H17" s="72"/>
      <c r="I17" s="71" t="n">
        <f aca="false">SUM(I11:I15)</f>
        <v>9054.26456333336</v>
      </c>
      <c r="J17" s="48"/>
      <c r="K17" s="74" t="n">
        <f aca="false">SUM(K11:K15)</f>
        <v>602942.524785988</v>
      </c>
      <c r="L17" s="48"/>
      <c r="M17" s="71" t="n">
        <f aca="false">SUM(M10:M15)</f>
        <v>-34240.798935988</v>
      </c>
      <c r="N17" s="48"/>
      <c r="O17" s="75" t="n">
        <f aca="false">+G17/K17</f>
        <v>0.984983204549145</v>
      </c>
    </row>
    <row r="18" customFormat="false" ht="13.5" hidden="false" customHeight="false" outlineLevel="0" collapsed="false">
      <c r="A18" s="76" t="s">
        <v>86</v>
      </c>
      <c r="B18" s="69"/>
      <c r="C18" s="76"/>
      <c r="D18" s="48"/>
      <c r="E18" s="77" t="n">
        <f aca="false">E17/C17</f>
        <v>358.350173818526</v>
      </c>
      <c r="F18" s="72"/>
      <c r="G18" s="78"/>
      <c r="H18" s="79"/>
      <c r="I18" s="80"/>
      <c r="J18" s="81"/>
      <c r="K18" s="82" t="n">
        <f aca="false">+K17/C17</f>
        <v>379.925976550717</v>
      </c>
      <c r="L18" s="48"/>
      <c r="M18" s="77"/>
      <c r="N18" s="48"/>
      <c r="O18" s="83"/>
    </row>
    <row r="19" customFormat="false" ht="12.75" hidden="false" customHeight="false" outlineLevel="0" collapsed="false">
      <c r="A19" s="84"/>
      <c r="B19" s="84"/>
      <c r="C19" s="84"/>
      <c r="D19" s="85"/>
      <c r="E19" s="72"/>
      <c r="F19" s="72"/>
      <c r="G19" s="72"/>
      <c r="H19" s="72"/>
      <c r="I19" s="72"/>
      <c r="J19" s="85"/>
      <c r="K19" s="72"/>
      <c r="L19" s="85"/>
      <c r="M19" s="72"/>
      <c r="N19" s="85"/>
      <c r="O19" s="8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</row>
    <row r="20" customFormat="false" ht="15.75" hidden="true" customHeight="false" outlineLevel="0" collapsed="false">
      <c r="A20" s="27"/>
      <c r="C20" s="0"/>
      <c r="G20" s="35" t="s">
        <v>69</v>
      </c>
      <c r="H20" s="36"/>
      <c r="I20" s="36"/>
      <c r="J20" s="36"/>
      <c r="K20" s="37"/>
      <c r="L20" s="27"/>
      <c r="M20" s="27"/>
      <c r="O20" s="0"/>
    </row>
    <row r="21" customFormat="false" ht="12.75" hidden="true" customHeight="false" outlineLevel="0" collapsed="false">
      <c r="A21" s="38" t="s">
        <v>87</v>
      </c>
      <c r="C21" s="0"/>
      <c r="E21" s="40" t="s">
        <v>71</v>
      </c>
      <c r="G21" s="41" t="s">
        <v>72</v>
      </c>
      <c r="H21" s="42"/>
      <c r="I21" s="43" t="s">
        <v>73</v>
      </c>
      <c r="J21" s="42"/>
      <c r="K21" s="44" t="s">
        <v>74</v>
      </c>
      <c r="M21" s="40" t="s">
        <v>75</v>
      </c>
      <c r="O21" s="0"/>
    </row>
    <row r="22" customFormat="false" ht="12.75" hidden="true" customHeight="false" outlineLevel="0" collapsed="false">
      <c r="A22" s="45" t="s">
        <v>88</v>
      </c>
      <c r="C22" s="0"/>
      <c r="E22" s="46" t="str">
        <f aca="false">E9</f>
        <v>as of 7/22/99</v>
      </c>
      <c r="G22" s="47" t="str">
        <f aca="false">G9</f>
        <v> As of 11/17/00</v>
      </c>
      <c r="H22" s="48"/>
      <c r="I22" s="49" t="str">
        <f aca="false">I9</f>
        <v> As of 11/17/00</v>
      </c>
      <c r="J22" s="48"/>
      <c r="K22" s="50" t="str">
        <f aca="false">K9</f>
        <v> As of 11/17/00</v>
      </c>
      <c r="M22" s="49" t="s">
        <v>80</v>
      </c>
      <c r="O22" s="0"/>
    </row>
    <row r="23" customFormat="false" ht="12.75" hidden="true" customHeight="false" outlineLevel="0" collapsed="false">
      <c r="A23" s="39"/>
      <c r="C23" s="0"/>
      <c r="E23" s="39"/>
      <c r="G23" s="51"/>
      <c r="H23" s="48"/>
      <c r="I23" s="39"/>
      <c r="J23" s="48"/>
      <c r="K23" s="52"/>
      <c r="M23" s="39"/>
      <c r="O23" s="0"/>
    </row>
    <row r="24" customFormat="false" ht="12.75" hidden="true" customHeight="false" outlineLevel="0" collapsed="false">
      <c r="A24" s="53" t="s">
        <v>82</v>
      </c>
      <c r="C24" s="0"/>
      <c r="E24" s="55" t="n">
        <v>1500</v>
      </c>
      <c r="F24" s="12"/>
      <c r="G24" s="56" t="n">
        <v>0</v>
      </c>
      <c r="H24" s="48"/>
      <c r="I24" s="55" t="n">
        <f aca="false">K24-G24</f>
        <v>1500</v>
      </c>
      <c r="J24" s="48"/>
      <c r="K24" s="57" t="n">
        <v>1500</v>
      </c>
      <c r="M24" s="55" t="n">
        <f aca="false">+E24-K24</f>
        <v>0</v>
      </c>
      <c r="O24" s="0"/>
    </row>
    <row r="25" customFormat="false" ht="12.75" hidden="true" customHeight="false" outlineLevel="0" collapsed="false">
      <c r="A25" s="59"/>
      <c r="C25" s="0"/>
      <c r="E25" s="60"/>
      <c r="F25" s="12"/>
      <c r="G25" s="61"/>
      <c r="H25" s="48"/>
      <c r="I25" s="60"/>
      <c r="J25" s="48"/>
      <c r="K25" s="62"/>
      <c r="M25" s="60"/>
      <c r="O25" s="0"/>
    </row>
    <row r="26" customFormat="false" ht="12.75" hidden="true" customHeight="false" outlineLevel="0" collapsed="false">
      <c r="A26" s="53" t="str">
        <f aca="false">+'Calvert City'!$A$3</f>
        <v>Calvert City, KY</v>
      </c>
      <c r="C26" s="0"/>
      <c r="E26" s="55" t="n">
        <v>1500</v>
      </c>
      <c r="F26" s="12"/>
      <c r="G26" s="56" t="n">
        <v>0</v>
      </c>
      <c r="H26" s="48"/>
      <c r="I26" s="55" t="n">
        <f aca="false">K26-G26</f>
        <v>1500</v>
      </c>
      <c r="J26" s="48"/>
      <c r="K26" s="57" t="n">
        <v>1500</v>
      </c>
      <c r="M26" s="55" t="n">
        <f aca="false">+E26-K26</f>
        <v>0</v>
      </c>
      <c r="O26" s="0"/>
    </row>
    <row r="27" customFormat="false" ht="12.75" hidden="true" customHeight="false" outlineLevel="0" collapsed="false">
      <c r="A27" s="59"/>
      <c r="C27" s="0"/>
      <c r="E27" s="60"/>
      <c r="F27" s="12"/>
      <c r="G27" s="61"/>
      <c r="H27" s="48"/>
      <c r="I27" s="60"/>
      <c r="J27" s="48"/>
      <c r="K27" s="62"/>
      <c r="M27" s="60"/>
      <c r="O27" s="0"/>
    </row>
    <row r="28" customFormat="false" ht="12.75" hidden="true" customHeight="false" outlineLevel="0" collapsed="false">
      <c r="A28" s="53" t="s">
        <v>83</v>
      </c>
      <c r="C28" s="0"/>
      <c r="E28" s="55" t="n">
        <v>1500</v>
      </c>
      <c r="F28" s="12"/>
      <c r="G28" s="56" t="n">
        <v>0</v>
      </c>
      <c r="H28" s="48"/>
      <c r="I28" s="55" t="n">
        <f aca="false">K28-G28</f>
        <v>1500</v>
      </c>
      <c r="J28" s="48"/>
      <c r="K28" s="57" t="n">
        <v>1500</v>
      </c>
      <c r="M28" s="55" t="n">
        <f aca="false">+E28-K28</f>
        <v>0</v>
      </c>
      <c r="O28" s="0"/>
      <c r="AC28" s="0" t="s">
        <v>84</v>
      </c>
    </row>
    <row r="29" customFormat="false" ht="8.25" hidden="true" customHeight="true" outlineLevel="0" collapsed="false">
      <c r="A29" s="59"/>
      <c r="B29" s="48"/>
      <c r="C29" s="0"/>
      <c r="D29" s="48"/>
      <c r="E29" s="65"/>
      <c r="F29" s="48"/>
      <c r="G29" s="66"/>
      <c r="H29" s="48"/>
      <c r="I29" s="65"/>
      <c r="J29" s="48"/>
      <c r="K29" s="67"/>
      <c r="L29" s="48"/>
      <c r="M29" s="65"/>
      <c r="N29" s="48"/>
      <c r="O29" s="0"/>
    </row>
    <row r="30" customFormat="false" ht="12.75" hidden="true" customHeight="false" outlineLevel="0" collapsed="false">
      <c r="A30" s="87" t="s">
        <v>85</v>
      </c>
      <c r="B30" s="69"/>
      <c r="C30" s="0"/>
      <c r="D30" s="48"/>
      <c r="E30" s="88" t="n">
        <f aca="false">SUM(E24:E28)</f>
        <v>4500</v>
      </c>
      <c r="F30" s="72"/>
      <c r="G30" s="89" t="n">
        <f aca="false">SUM(G24:G28)</f>
        <v>0</v>
      </c>
      <c r="H30" s="72"/>
      <c r="I30" s="88" t="n">
        <f aca="false">SUM(I24:I28)</f>
        <v>4500</v>
      </c>
      <c r="J30" s="48"/>
      <c r="K30" s="90" t="n">
        <f aca="false">SUM(K24:K28)</f>
        <v>4500</v>
      </c>
      <c r="L30" s="48"/>
      <c r="M30" s="88" t="n">
        <f aca="false">SUM(M23:M28)</f>
        <v>0</v>
      </c>
      <c r="N30" s="48"/>
      <c r="O30" s="0"/>
    </row>
    <row r="31" customFormat="false" ht="12.75" hidden="true" customHeight="false" outlineLevel="0" collapsed="false">
      <c r="A31" s="84"/>
      <c r="B31" s="84"/>
      <c r="C31" s="0"/>
      <c r="D31" s="85"/>
      <c r="E31" s="72"/>
      <c r="F31" s="72"/>
      <c r="G31" s="72"/>
      <c r="H31" s="72"/>
      <c r="I31" s="72"/>
      <c r="J31" s="85"/>
      <c r="K31" s="72"/>
      <c r="L31" s="85"/>
      <c r="M31" s="72"/>
      <c r="N31" s="85"/>
      <c r="O31" s="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customFormat="false" ht="13.5" hidden="false" customHeight="false" outlineLevel="0" collapsed="false">
      <c r="A32" s="84"/>
      <c r="B32" s="84"/>
      <c r="C32" s="84"/>
      <c r="D32" s="85"/>
      <c r="E32" s="72"/>
      <c r="F32" s="72"/>
      <c r="G32" s="72"/>
      <c r="H32" s="72"/>
      <c r="I32" s="72"/>
      <c r="J32" s="85"/>
      <c r="K32" s="72"/>
      <c r="L32" s="85"/>
      <c r="M32" s="72"/>
      <c r="N32" s="85"/>
      <c r="O32" s="86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</row>
    <row r="33" customFormat="false" ht="15.75" hidden="false" customHeight="false" outlineLevel="0" collapsed="false">
      <c r="A33" s="91" t="s">
        <v>89</v>
      </c>
      <c r="G33" s="35" t="s">
        <v>69</v>
      </c>
      <c r="H33" s="36"/>
      <c r="I33" s="36"/>
      <c r="J33" s="36"/>
      <c r="K33" s="37"/>
      <c r="L33" s="27"/>
      <c r="M33" s="27"/>
    </row>
    <row r="34" customFormat="false" ht="12.75" hidden="false" customHeight="false" outlineLevel="0" collapsed="false">
      <c r="A34" s="59"/>
      <c r="E34" s="40" t="s">
        <v>71</v>
      </c>
      <c r="G34" s="41" t="s">
        <v>72</v>
      </c>
      <c r="H34" s="42"/>
      <c r="I34" s="43" t="s">
        <v>73</v>
      </c>
      <c r="J34" s="42"/>
      <c r="K34" s="44" t="s">
        <v>74</v>
      </c>
    </row>
    <row r="35" customFormat="false" ht="12.75" hidden="false" customHeight="false" outlineLevel="0" collapsed="false">
      <c r="A35" s="45" t="s">
        <v>88</v>
      </c>
      <c r="E35" s="46" t="n">
        <v>36433</v>
      </c>
      <c r="G35" s="47" t="str">
        <f aca="false">O4</f>
        <v> As of 11/17/00</v>
      </c>
      <c r="H35" s="48"/>
      <c r="I35" s="49" t="str">
        <f aca="false">O4</f>
        <v> As of 11/17/00</v>
      </c>
      <c r="J35" s="48"/>
      <c r="K35" s="50" t="str">
        <f aca="false">O4</f>
        <v> As of 11/17/00</v>
      </c>
    </row>
    <row r="36" customFormat="false" ht="12.75" hidden="false" customHeight="false" outlineLevel="0" collapsed="false">
      <c r="A36" s="39"/>
      <c r="E36" s="39"/>
      <c r="G36" s="51"/>
      <c r="H36" s="48"/>
      <c r="I36" s="39"/>
      <c r="J36" s="48"/>
      <c r="K36" s="52"/>
    </row>
    <row r="37" customFormat="false" ht="12.75" hidden="false" customHeight="false" outlineLevel="0" collapsed="false">
      <c r="A37" s="53" t="s">
        <v>90</v>
      </c>
      <c r="E37" s="55"/>
      <c r="F37" s="12"/>
      <c r="G37" s="56" t="n">
        <f aca="false">Wilton!BQ256/1000</f>
        <v>314.52427</v>
      </c>
      <c r="H37" s="48"/>
      <c r="I37" s="55"/>
      <c r="J37" s="48"/>
      <c r="K37" s="57" t="n">
        <f aca="false">+I37+G37</f>
        <v>314.52427</v>
      </c>
    </row>
    <row r="38" customFormat="false" ht="12.75" hidden="false" customHeight="false" outlineLevel="0" collapsed="false">
      <c r="A38" s="59"/>
      <c r="E38" s="60"/>
      <c r="F38" s="12"/>
      <c r="G38" s="61"/>
      <c r="H38" s="48"/>
      <c r="I38" s="60"/>
      <c r="J38" s="48"/>
      <c r="K38" s="62"/>
    </row>
    <row r="39" customFormat="false" ht="12.75" hidden="false" customHeight="false" outlineLevel="0" collapsed="false">
      <c r="A39" s="53" t="s">
        <v>91</v>
      </c>
      <c r="E39" s="55" t="n">
        <f aca="false">'Calvert City'!BT216/1000</f>
        <v>518.971063333333</v>
      </c>
      <c r="F39" s="12"/>
      <c r="G39" s="56" t="n">
        <f aca="false">'Calvert City'!BN216/1000</f>
        <v>518.970443333333</v>
      </c>
      <c r="H39" s="48"/>
      <c r="I39" s="55" t="n">
        <f aca="false">E39-G39</f>
        <v>0.0006200000005947</v>
      </c>
      <c r="J39" s="48"/>
      <c r="K39" s="57" t="n">
        <f aca="false">+I39+G39</f>
        <v>518.971063333333</v>
      </c>
    </row>
    <row r="40" customFormat="false" ht="12.75" hidden="false" customHeight="false" outlineLevel="0" collapsed="false">
      <c r="A40" s="59"/>
      <c r="E40" s="60"/>
      <c r="F40" s="12"/>
      <c r="G40" s="61"/>
      <c r="H40" s="48"/>
      <c r="I40" s="60"/>
      <c r="J40" s="48"/>
      <c r="K40" s="62"/>
    </row>
    <row r="41" customFormat="false" ht="12.75" hidden="false" customHeight="false" outlineLevel="0" collapsed="false">
      <c r="A41" s="53" t="s">
        <v>92</v>
      </c>
      <c r="E41" s="55"/>
      <c r="F41" s="12"/>
      <c r="G41" s="56" t="n">
        <v>15</v>
      </c>
      <c r="H41" s="48"/>
      <c r="I41" s="55"/>
      <c r="J41" s="48"/>
      <c r="K41" s="57" t="n">
        <f aca="false">+I41+G41</f>
        <v>15</v>
      </c>
      <c r="AC41" s="0" t="s">
        <v>84</v>
      </c>
    </row>
    <row r="42" customFormat="false" ht="8.25" hidden="false" customHeight="true" outlineLevel="0" collapsed="false">
      <c r="A42" s="59"/>
      <c r="B42" s="48"/>
      <c r="D42" s="48"/>
      <c r="E42" s="65"/>
      <c r="F42" s="48"/>
      <c r="G42" s="66"/>
      <c r="H42" s="48"/>
      <c r="I42" s="65"/>
      <c r="J42" s="48"/>
      <c r="K42" s="67"/>
      <c r="L42" s="48"/>
    </row>
    <row r="43" customFormat="false" ht="13.5" hidden="false" customHeight="false" outlineLevel="0" collapsed="false">
      <c r="A43" s="76" t="s">
        <v>93</v>
      </c>
      <c r="B43" s="69"/>
      <c r="D43" s="48"/>
      <c r="E43" s="77" t="n">
        <f aca="false">SUM(E37:E41)</f>
        <v>518.971063333333</v>
      </c>
      <c r="F43" s="72"/>
      <c r="G43" s="78" t="n">
        <f aca="false">SUM(G37:G41)</f>
        <v>848.494713333333</v>
      </c>
      <c r="H43" s="79"/>
      <c r="I43" s="80" t="n">
        <f aca="false">SUM(I37:I41)</f>
        <v>0.0006200000005947</v>
      </c>
      <c r="J43" s="81"/>
      <c r="K43" s="82" t="n">
        <f aca="false">SUM(K37:K41)</f>
        <v>848.495333333333</v>
      </c>
      <c r="L43" s="48"/>
    </row>
    <row r="44" customFormat="false" ht="13.5" hidden="false" customHeight="false" outlineLevel="0" collapsed="false"/>
    <row r="45" customFormat="false" ht="13.5" hidden="false" customHeight="false" outlineLevel="0" collapsed="false">
      <c r="A45" s="92" t="s">
        <v>94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3"/>
      <c r="M45" s="93"/>
      <c r="N45" s="93"/>
      <c r="O45" s="93"/>
      <c r="P45" s="94"/>
      <c r="Q45" s="95"/>
    </row>
    <row r="46" customFormat="false" ht="12.75" hidden="false" customHeight="false" outlineLevel="0" collapsed="false">
      <c r="A46" s="96"/>
      <c r="B46" s="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0"/>
      <c r="N46" s="0"/>
      <c r="O46" s="0"/>
    </row>
    <row r="47" customFormat="false" ht="12.75" hidden="false" customHeight="false" outlineLevel="0" collapsed="false">
      <c r="A47" s="96" t="s">
        <v>95</v>
      </c>
      <c r="B47" s="0"/>
      <c r="C47" s="97" t="s">
        <v>96</v>
      </c>
      <c r="D47" s="13"/>
      <c r="E47" s="98" t="s">
        <v>97</v>
      </c>
      <c r="F47" s="13"/>
      <c r="G47" s="13"/>
      <c r="H47" s="13"/>
      <c r="I47" s="13"/>
      <c r="J47" s="13"/>
      <c r="K47" s="13"/>
      <c r="L47" s="13"/>
      <c r="M47" s="0"/>
      <c r="N47" s="0"/>
      <c r="O47" s="0"/>
    </row>
    <row r="48" customFormat="false" ht="12.75" hidden="false" customHeight="false" outlineLevel="0" collapsed="false">
      <c r="A48" s="96"/>
      <c r="B48" s="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0"/>
      <c r="N48" s="0"/>
      <c r="O48" s="0"/>
    </row>
    <row r="49" customFormat="false" ht="12.75" hidden="false" customHeight="false" outlineLevel="0" collapsed="false">
      <c r="A49" s="96" t="s">
        <v>95</v>
      </c>
      <c r="B49" s="0"/>
      <c r="C49" s="99" t="n">
        <v>36363</v>
      </c>
      <c r="D49" s="13"/>
      <c r="E49" s="13" t="s">
        <v>98</v>
      </c>
      <c r="F49" s="13"/>
      <c r="G49" s="0"/>
      <c r="H49" s="13"/>
      <c r="I49" s="13"/>
      <c r="J49" s="13"/>
      <c r="K49" s="13"/>
      <c r="L49" s="0"/>
      <c r="M49" s="0"/>
      <c r="N49" s="0"/>
      <c r="O49" s="0"/>
    </row>
    <row r="50" customFormat="false" ht="13.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3.5" hidden="true" customHeight="false" outlineLevel="0" collapsed="false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</row>
    <row r="52" customFormat="false" ht="13.5" hidden="true" customHeight="false" outlineLevel="0" collapsed="false"/>
    <row r="53" customFormat="false" ht="13.5" hidden="true" customHeight="false" outlineLevel="0" collapsed="false"/>
    <row r="54" customFormat="false" ht="13.5" hidden="false" customHeight="false" outlineLevel="0" collapsed="false">
      <c r="A54" s="92" t="s">
        <v>99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4"/>
      <c r="M54" s="94"/>
      <c r="N54" s="94"/>
      <c r="O54" s="95"/>
    </row>
    <row r="56" customFormat="false" ht="12.75" hidden="false" customHeight="false" outlineLevel="0" collapsed="false">
      <c r="J56" s="102"/>
    </row>
    <row r="57" customFormat="false" ht="12.75" hidden="false" customHeight="false" outlineLevel="0" collapsed="false">
      <c r="A57" s="103" t="s">
        <v>82</v>
      </c>
      <c r="C57" s="5" t="n">
        <f aca="false">Wilton!BY162/1000</f>
        <v>-207.05902</v>
      </c>
      <c r="E57" s="102" t="s">
        <v>100</v>
      </c>
      <c r="F57" s="102"/>
      <c r="G57" s="102"/>
      <c r="H57" s="102"/>
      <c r="I57" s="102"/>
      <c r="J57" s="102"/>
    </row>
    <row r="58" customFormat="false" ht="12.75" hidden="false" customHeight="false" outlineLevel="0" collapsed="false">
      <c r="A58" s="48"/>
      <c r="C58" s="5" t="n">
        <f aca="false">Wilton!BY89/1000</f>
        <v>-24287.358</v>
      </c>
      <c r="E58" s="26" t="s">
        <v>101</v>
      </c>
    </row>
    <row r="59" customFormat="false" ht="12.75" hidden="false" customHeight="false" outlineLevel="0" collapsed="false">
      <c r="A59" s="48"/>
      <c r="C59" s="5" t="n">
        <f aca="false">Wilton!BY12/1000</f>
        <v>-1832.00044</v>
      </c>
      <c r="E59" s="26" t="s">
        <v>102</v>
      </c>
    </row>
    <row r="60" customFormat="false" ht="12.75" hidden="false" customHeight="false" outlineLevel="0" collapsed="false">
      <c r="A60" s="48"/>
      <c r="C60" s="5" t="n">
        <f aca="false">Wilton!BY15/1000</f>
        <v>-464.048</v>
      </c>
      <c r="E60" s="26" t="s">
        <v>103</v>
      </c>
    </row>
    <row r="61" customFormat="false" ht="12.75" hidden="false" customHeight="false" outlineLevel="0" collapsed="false">
      <c r="A61" s="48"/>
      <c r="C61" s="5" t="n">
        <f aca="false">Wilton!BY144/1000</f>
        <v>-6989.39522</v>
      </c>
      <c r="E61" s="26" t="s">
        <v>104</v>
      </c>
    </row>
    <row r="62" customFormat="false" ht="12.75" hidden="false" customHeight="false" outlineLevel="0" collapsed="false">
      <c r="A62" s="48"/>
      <c r="C62" s="5" t="n">
        <f aca="false">(Wilton!BY132+Wilton!BY99+Wilton!BY108)/1000</f>
        <v>-236.675613333333</v>
      </c>
      <c r="E62" s="26" t="s">
        <v>105</v>
      </c>
    </row>
    <row r="63" customFormat="false" ht="12.75" hidden="false" customHeight="false" outlineLevel="0" collapsed="false">
      <c r="A63" s="48"/>
      <c r="C63" s="5" t="n">
        <f aca="false">Wilton!BY142/1000</f>
        <v>540.6819</v>
      </c>
      <c r="E63" s="26" t="s">
        <v>106</v>
      </c>
    </row>
    <row r="64" customFormat="false" ht="12.75" hidden="false" customHeight="false" outlineLevel="0" collapsed="false">
      <c r="A64" s="48"/>
      <c r="C64" s="5" t="n">
        <f aca="false">Wilton!BY172/1000</f>
        <v>1791.28179464131</v>
      </c>
      <c r="E64" s="26" t="s">
        <v>107</v>
      </c>
    </row>
    <row r="65" customFormat="false" ht="12.75" hidden="false" customHeight="false" outlineLevel="0" collapsed="false">
      <c r="A65" s="48"/>
      <c r="C65" s="5" t="n">
        <f aca="false">Wilton!BY154/1000</f>
        <v>90.305</v>
      </c>
      <c r="E65" s="26" t="s">
        <v>108</v>
      </c>
    </row>
    <row r="66" customFormat="false" ht="12.75" hidden="false" customHeight="false" outlineLevel="0" collapsed="false">
      <c r="A66" s="48"/>
      <c r="C66" s="5" t="n">
        <f aca="false">(Wilton!BY157+Wilton!BY158+Wilton!BY159+Wilton!BY160)/1000</f>
        <v>-918.498</v>
      </c>
      <c r="E66" s="26" t="s">
        <v>109</v>
      </c>
    </row>
    <row r="67" customFormat="false" ht="12.75" hidden="false" customHeight="false" outlineLevel="0" collapsed="false">
      <c r="A67" s="48"/>
      <c r="C67" s="5" t="n">
        <f aca="false">-Wilton!BW161/1000</f>
        <v>-191.01289</v>
      </c>
      <c r="E67" s="26" t="s">
        <v>110</v>
      </c>
    </row>
    <row r="68" customFormat="false" ht="12.75" hidden="false" customHeight="false" outlineLevel="0" collapsed="false">
      <c r="A68" s="48"/>
      <c r="C68" s="5" t="n">
        <f aca="false">Wilton!BY140/1000</f>
        <v>-478.22089</v>
      </c>
      <c r="E68" s="26" t="s">
        <v>111</v>
      </c>
    </row>
    <row r="69" customFormat="false" ht="12.75" hidden="false" customHeight="false" outlineLevel="0" collapsed="false">
      <c r="A69" s="48"/>
      <c r="C69" s="5" t="n">
        <f aca="false">Wilton!BY148/1000</f>
        <v>-353.4685</v>
      </c>
      <c r="E69" s="26" t="s">
        <v>112</v>
      </c>
    </row>
    <row r="70" customFormat="false" ht="12.75" hidden="false" customHeight="false" outlineLevel="0" collapsed="false">
      <c r="A70" s="48"/>
      <c r="C70" s="5" t="n">
        <f aca="false">Wilton!BY170/1000</f>
        <v>-352.43774</v>
      </c>
      <c r="E70" s="26" t="s">
        <v>113</v>
      </c>
    </row>
    <row r="71" customFormat="false" ht="12.75" hidden="false" customHeight="false" outlineLevel="0" collapsed="false">
      <c r="A71" s="48"/>
      <c r="C71" s="5" t="n">
        <v>4405</v>
      </c>
      <c r="E71" s="48" t="s">
        <v>114</v>
      </c>
      <c r="F71" s="48"/>
      <c r="G71" s="48"/>
      <c r="H71" s="48"/>
      <c r="I71" s="48"/>
    </row>
    <row r="72" customFormat="false" ht="12.75" hidden="false" customHeight="false" outlineLevel="0" collapsed="false">
      <c r="A72" s="48"/>
      <c r="C72" s="5" t="n">
        <f aca="false">Wilton!BY152/1000</f>
        <v>-121.30825</v>
      </c>
      <c r="E72" s="48" t="s">
        <v>115</v>
      </c>
      <c r="F72" s="48"/>
      <c r="G72" s="48"/>
      <c r="H72" s="48"/>
      <c r="I72" s="48"/>
    </row>
    <row r="73" customFormat="false" ht="12.75" hidden="false" customHeight="false" outlineLevel="0" collapsed="false">
      <c r="A73" s="48"/>
      <c r="C73" s="7" t="n">
        <f aca="false">Wilton!BY121/1000</f>
        <v>-396.66321</v>
      </c>
      <c r="D73" s="104"/>
      <c r="E73" s="104" t="s">
        <v>116</v>
      </c>
      <c r="F73" s="104"/>
      <c r="G73" s="104"/>
      <c r="H73" s="104"/>
      <c r="I73" s="104"/>
      <c r="J73" s="104"/>
      <c r="K73" s="104"/>
    </row>
    <row r="74" customFormat="false" ht="12.75" hidden="false" customHeight="false" outlineLevel="0" collapsed="false">
      <c r="A74" s="48"/>
      <c r="C74" s="105" t="n">
        <f aca="false">SUM(C57:C73)</f>
        <v>-30000.877078692</v>
      </c>
      <c r="D74" s="106"/>
      <c r="E74" s="107" t="s">
        <v>117</v>
      </c>
      <c r="F74" s="106"/>
      <c r="G74" s="106"/>
      <c r="H74" s="106"/>
      <c r="I74" s="106"/>
      <c r="J74" s="106"/>
      <c r="K74" s="106"/>
      <c r="L74" s="48"/>
    </row>
    <row r="75" customFormat="false" ht="12.75" hidden="false" customHeight="false" outlineLevel="0" collapsed="false">
      <c r="A75" s="48"/>
      <c r="C75" s="108"/>
      <c r="D75" s="48"/>
      <c r="E75" s="109"/>
      <c r="F75" s="48"/>
      <c r="G75" s="48"/>
      <c r="H75" s="48"/>
      <c r="I75" s="48"/>
      <c r="J75" s="48"/>
      <c r="K75" s="48"/>
      <c r="L75" s="48"/>
    </row>
    <row r="76" customFormat="false" ht="12.75" hidden="false" customHeight="false" outlineLevel="0" collapsed="false">
      <c r="A76" s="48"/>
      <c r="C76" s="110"/>
    </row>
    <row r="77" customFormat="false" ht="12.75" hidden="false" customHeight="false" outlineLevel="0" collapsed="false">
      <c r="A77" s="48"/>
      <c r="C77" s="5"/>
    </row>
    <row r="78" customFormat="false" ht="12.75" hidden="false" customHeight="false" outlineLevel="0" collapsed="false">
      <c r="A78" s="103" t="s">
        <v>118</v>
      </c>
      <c r="C78" s="5" t="n">
        <f aca="false">Gleason!BY202/1000</f>
        <v>-32.20328</v>
      </c>
      <c r="E78" s="102" t="s">
        <v>100</v>
      </c>
      <c r="F78" s="102"/>
      <c r="G78" s="102"/>
      <c r="H78" s="102"/>
      <c r="I78" s="102"/>
    </row>
    <row r="79" customFormat="false" ht="12.75" hidden="false" customHeight="false" outlineLevel="0" collapsed="false">
      <c r="A79" s="103"/>
      <c r="C79" s="5" t="n">
        <f aca="false">Gleason!BY97/1000</f>
        <v>-5243.6</v>
      </c>
      <c r="D79" s="48"/>
      <c r="E79" s="26" t="s">
        <v>101</v>
      </c>
      <c r="F79" s="85"/>
      <c r="G79" s="85"/>
      <c r="H79" s="85"/>
      <c r="I79" s="85"/>
      <c r="J79" s="48"/>
      <c r="K79" s="48"/>
    </row>
    <row r="80" customFormat="false" ht="12.75" hidden="false" customHeight="false" outlineLevel="0" collapsed="false">
      <c r="A80" s="103"/>
      <c r="C80" s="5" t="n">
        <f aca="false">Gleason!BY16/1000</f>
        <v>-3392.74005</v>
      </c>
      <c r="E80" s="26" t="s">
        <v>102</v>
      </c>
      <c r="F80" s="85"/>
      <c r="G80" s="85"/>
      <c r="H80" s="85"/>
      <c r="I80" s="85"/>
      <c r="J80" s="48"/>
      <c r="K80" s="48"/>
    </row>
    <row r="81" customFormat="false" ht="12.75" hidden="false" customHeight="false" outlineLevel="0" collapsed="false">
      <c r="A81" s="103"/>
      <c r="C81" s="5" t="n">
        <f aca="false">Gleason!BY35/1000</f>
        <v>-579.65</v>
      </c>
      <c r="E81" s="26" t="s">
        <v>119</v>
      </c>
      <c r="F81" s="85"/>
      <c r="G81" s="85"/>
      <c r="H81" s="85"/>
      <c r="I81" s="85"/>
      <c r="J81" s="48"/>
      <c r="K81" s="48"/>
    </row>
    <row r="82" customFormat="false" ht="12.75" hidden="false" customHeight="false" outlineLevel="0" collapsed="false">
      <c r="A82" s="103"/>
      <c r="C82" s="5" t="n">
        <f aca="false">Gleason!BY182/1000</f>
        <v>-965.97983</v>
      </c>
      <c r="E82" s="26" t="s">
        <v>120</v>
      </c>
      <c r="F82" s="85"/>
      <c r="G82" s="85"/>
      <c r="H82" s="85"/>
      <c r="I82" s="85"/>
      <c r="J82" s="48"/>
      <c r="K82" s="48"/>
    </row>
    <row r="83" customFormat="false" ht="12.75" hidden="false" customHeight="false" outlineLevel="0" collapsed="false">
      <c r="A83" s="103"/>
      <c r="C83" s="5" t="n">
        <f aca="false">Gleason!BY201/1000</f>
        <v>-191.0129</v>
      </c>
      <c r="E83" s="26" t="s">
        <v>110</v>
      </c>
      <c r="F83" s="85"/>
      <c r="G83" s="85"/>
      <c r="H83" s="85"/>
      <c r="I83" s="85"/>
      <c r="J83" s="48"/>
      <c r="K83" s="48"/>
    </row>
    <row r="84" customFormat="false" ht="12.75" hidden="false" customHeight="false" outlineLevel="0" collapsed="false">
      <c r="A84" s="103"/>
      <c r="C84" s="5" t="n">
        <f aca="false">Gleason!BY211/1000</f>
        <v>681.587846332515</v>
      </c>
      <c r="E84" s="26" t="s">
        <v>107</v>
      </c>
      <c r="F84" s="85"/>
      <c r="G84" s="85"/>
      <c r="H84" s="85"/>
      <c r="I84" s="85"/>
      <c r="J84" s="48"/>
      <c r="K84" s="48"/>
    </row>
    <row r="85" customFormat="false" ht="12.75" hidden="false" customHeight="false" outlineLevel="0" collapsed="false">
      <c r="A85" s="103"/>
      <c r="C85" s="5" t="n">
        <f aca="false">Gleason!BY209/1000</f>
        <v>-252.20846</v>
      </c>
      <c r="E85" s="26" t="s">
        <v>121</v>
      </c>
      <c r="F85" s="85"/>
      <c r="G85" s="85"/>
      <c r="H85" s="85"/>
      <c r="I85" s="85"/>
      <c r="J85" s="48"/>
      <c r="K85" s="48"/>
    </row>
    <row r="86" customFormat="false" ht="12.75" hidden="false" customHeight="false" outlineLevel="0" collapsed="false">
      <c r="A86" s="103"/>
      <c r="C86" s="5" t="n">
        <f aca="false">Gleason!BY149/1000</f>
        <v>-113.825</v>
      </c>
      <c r="E86" s="26" t="s">
        <v>122</v>
      </c>
      <c r="F86" s="85"/>
      <c r="G86" s="85"/>
      <c r="H86" s="85"/>
      <c r="I86" s="85"/>
      <c r="J86" s="48"/>
      <c r="K86" s="48"/>
    </row>
    <row r="87" customFormat="false" ht="12.75" hidden="false" customHeight="false" outlineLevel="0" collapsed="false">
      <c r="A87" s="103"/>
      <c r="C87" s="5" t="n">
        <f aca="false">Gleason!BY159/1000</f>
        <v>-705.48347</v>
      </c>
      <c r="E87" s="26" t="s">
        <v>123</v>
      </c>
      <c r="F87" s="85"/>
      <c r="G87" s="85"/>
      <c r="H87" s="85"/>
      <c r="I87" s="85"/>
      <c r="J87" s="48"/>
      <c r="K87" s="48"/>
    </row>
    <row r="88" customFormat="false" ht="12.75" hidden="false" customHeight="false" outlineLevel="0" collapsed="false">
      <c r="A88" s="103"/>
      <c r="C88" s="5" t="n">
        <f aca="false">Gleason!BY190/1000</f>
        <v>-597.87992</v>
      </c>
      <c r="E88" s="26" t="s">
        <v>124</v>
      </c>
      <c r="F88" s="85"/>
      <c r="G88" s="85"/>
      <c r="H88" s="85"/>
      <c r="I88" s="85"/>
      <c r="J88" s="48"/>
      <c r="K88" s="48"/>
    </row>
    <row r="89" customFormat="false" ht="12.75" hidden="false" customHeight="false" outlineLevel="0" collapsed="false">
      <c r="A89" s="103"/>
      <c r="C89" s="5" t="n">
        <f aca="false">Gleason!BY136/1000</f>
        <v>-112.3207</v>
      </c>
      <c r="E89" s="26" t="s">
        <v>125</v>
      </c>
      <c r="F89" s="85"/>
      <c r="G89" s="85"/>
      <c r="H89" s="85"/>
      <c r="I89" s="85"/>
      <c r="J89" s="48"/>
      <c r="K89" s="48"/>
    </row>
    <row r="90" customFormat="false" ht="12.75" hidden="false" customHeight="false" outlineLevel="0" collapsed="false">
      <c r="A90" s="103"/>
      <c r="C90" s="5" t="n">
        <f aca="false">Gleason!BY194/1000+Gleason!BY198/1000</f>
        <v>136.97965</v>
      </c>
      <c r="E90" s="26" t="s">
        <v>126</v>
      </c>
      <c r="F90" s="85"/>
      <c r="G90" s="85"/>
      <c r="H90" s="85"/>
      <c r="I90" s="85"/>
      <c r="J90" s="48"/>
      <c r="K90" s="48"/>
    </row>
    <row r="91" customFormat="false" ht="12.75" hidden="false" customHeight="false" outlineLevel="0" collapsed="false">
      <c r="A91" s="103"/>
      <c r="C91" s="5" t="n">
        <f aca="false">Gleason!BY200/1000</f>
        <v>-624.50999</v>
      </c>
      <c r="E91" s="26" t="s">
        <v>109</v>
      </c>
      <c r="F91" s="85"/>
      <c r="G91" s="85"/>
      <c r="H91" s="85"/>
      <c r="I91" s="85"/>
      <c r="J91" s="48"/>
      <c r="K91" s="48"/>
    </row>
    <row r="92" customFormat="false" ht="12.75" hidden="false" customHeight="false" outlineLevel="0" collapsed="false">
      <c r="A92" s="103"/>
      <c r="C92" s="5" t="n">
        <f aca="false">Gleason!BY215/1000</f>
        <v>5423.498</v>
      </c>
      <c r="D92" s="48"/>
      <c r="E92" s="48" t="s">
        <v>114</v>
      </c>
      <c r="F92" s="85"/>
      <c r="G92" s="85"/>
      <c r="H92" s="85"/>
      <c r="I92" s="85"/>
      <c r="J92" s="48"/>
      <c r="K92" s="48"/>
    </row>
    <row r="93" customFormat="false" ht="12.75" hidden="false" customHeight="false" outlineLevel="0" collapsed="false">
      <c r="A93" s="103"/>
      <c r="C93" s="5" t="n">
        <f aca="false">Gleason!BY134/1000</f>
        <v>-175.55516</v>
      </c>
      <c r="D93" s="48"/>
      <c r="E93" s="26" t="s">
        <v>127</v>
      </c>
      <c r="F93" s="85"/>
      <c r="G93" s="85"/>
      <c r="H93" s="85"/>
      <c r="I93" s="85"/>
      <c r="J93" s="48"/>
      <c r="K93" s="48"/>
    </row>
    <row r="94" customFormat="false" ht="12" hidden="false" customHeight="true" outlineLevel="0" collapsed="false">
      <c r="A94" s="103"/>
      <c r="B94" s="48"/>
      <c r="C94" s="7" t="n">
        <v>66</v>
      </c>
      <c r="D94" s="104"/>
      <c r="E94" s="111" t="s">
        <v>128</v>
      </c>
      <c r="F94" s="112"/>
      <c r="G94" s="112"/>
      <c r="H94" s="112"/>
      <c r="I94" s="112"/>
      <c r="J94" s="104"/>
      <c r="K94" s="104"/>
      <c r="L94" s="48"/>
      <c r="M94" s="48"/>
      <c r="N94" s="48"/>
      <c r="O94" s="4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</row>
    <row r="95" customFormat="false" ht="12.75" hidden="false" customHeight="false" outlineLevel="0" collapsed="false">
      <c r="A95" s="103"/>
      <c r="C95" s="105" t="n">
        <f aca="false">SUM(C78:C94)</f>
        <v>-6678.90326366748</v>
      </c>
      <c r="D95" s="106"/>
      <c r="E95" s="113" t="s">
        <v>129</v>
      </c>
      <c r="F95" s="114"/>
      <c r="G95" s="114"/>
      <c r="H95" s="114"/>
      <c r="I95" s="114"/>
      <c r="J95" s="106"/>
      <c r="K95" s="106"/>
    </row>
    <row r="96" customFormat="false" ht="12.75" hidden="false" customHeight="false" outlineLevel="0" collapsed="false">
      <c r="A96" s="48"/>
      <c r="C96" s="5"/>
      <c r="E96" s="102"/>
      <c r="F96" s="102"/>
      <c r="G96" s="102"/>
      <c r="H96" s="102"/>
      <c r="I96" s="102"/>
    </row>
    <row r="97" customFormat="false" ht="12.75" hidden="false" customHeight="false" outlineLevel="0" collapsed="false">
      <c r="A97" s="48"/>
      <c r="C97" s="5"/>
      <c r="E97" s="102"/>
      <c r="F97" s="102"/>
      <c r="G97" s="102"/>
      <c r="H97" s="102"/>
      <c r="I97" s="102"/>
    </row>
    <row r="98" customFormat="false" ht="12.75" hidden="false" customHeight="false" outlineLevel="0" collapsed="false">
      <c r="A98" s="103" t="s">
        <v>83</v>
      </c>
      <c r="C98" s="5" t="n">
        <f aca="false">Wheatland!BX159/1000</f>
        <v>-168.35608</v>
      </c>
      <c r="E98" s="102" t="s">
        <v>100</v>
      </c>
    </row>
    <row r="99" customFormat="false" ht="12.75" hidden="false" customHeight="false" outlineLevel="0" collapsed="false">
      <c r="C99" s="5" t="n">
        <f aca="false">Wheatland!BX91/1000</f>
        <v>-5550.8</v>
      </c>
      <c r="E99" s="26" t="s">
        <v>130</v>
      </c>
    </row>
    <row r="100" customFormat="false" ht="12.75" hidden="false" customHeight="false" outlineLevel="0" collapsed="false">
      <c r="A100" s="115"/>
      <c r="B100" s="101"/>
      <c r="C100" s="5" t="n">
        <f aca="false">Wheatland!BX12/1000</f>
        <v>-966.489</v>
      </c>
      <c r="D100" s="101"/>
      <c r="E100" s="26" t="s">
        <v>102</v>
      </c>
      <c r="F100" s="101"/>
      <c r="G100" s="101"/>
      <c r="H100" s="101"/>
      <c r="I100" s="101"/>
      <c r="J100" s="101"/>
      <c r="K100" s="101"/>
      <c r="L100" s="101"/>
      <c r="M100" s="101"/>
      <c r="N100" s="101"/>
      <c r="BO100" s="0" t="n">
        <v>0</v>
      </c>
    </row>
    <row r="101" customFormat="false" ht="12.75" hidden="false" customHeight="false" outlineLevel="0" collapsed="false">
      <c r="C101" s="5" t="n">
        <f aca="false">Wheatland!BX32/1000</f>
        <v>-428.4806</v>
      </c>
      <c r="E101" s="26" t="s">
        <v>103</v>
      </c>
    </row>
    <row r="102" customFormat="false" ht="12.75" hidden="false" customHeight="false" outlineLevel="0" collapsed="false">
      <c r="C102" s="5" t="n">
        <f aca="false">Wheatland!BX130/1000</f>
        <v>-1396.01557</v>
      </c>
      <c r="E102" s="26" t="s">
        <v>131</v>
      </c>
    </row>
    <row r="103" customFormat="false" ht="12.75" hidden="false" customHeight="false" outlineLevel="0" collapsed="false">
      <c r="C103" s="5" t="n">
        <f aca="false">Wheatland!BX135/1000</f>
        <v>-22.61628</v>
      </c>
      <c r="E103" s="26" t="s">
        <v>132</v>
      </c>
    </row>
    <row r="104" customFormat="false" ht="12.75" hidden="false" customHeight="false" outlineLevel="0" collapsed="false">
      <c r="C104" s="5" t="n">
        <f aca="false">Wheatland!BX157/1000</f>
        <v>-339.32418</v>
      </c>
      <c r="E104" s="26" t="s">
        <v>109</v>
      </c>
    </row>
    <row r="105" customFormat="false" ht="12.75" hidden="false" customHeight="false" outlineLevel="0" collapsed="false">
      <c r="C105" s="5" t="n">
        <f aca="false">Wheatland!BX158/1000</f>
        <v>-195.04081</v>
      </c>
      <c r="E105" s="26" t="s">
        <v>133</v>
      </c>
    </row>
    <row r="106" customFormat="false" ht="12.75" hidden="false" customHeight="false" outlineLevel="0" collapsed="false">
      <c r="C106" s="5" t="n">
        <f aca="false">Wheatland!BX151/1000</f>
        <v>84.56859</v>
      </c>
      <c r="E106" s="26" t="s">
        <v>108</v>
      </c>
    </row>
    <row r="107" customFormat="false" ht="12.75" hidden="false" customHeight="false" outlineLevel="0" collapsed="false">
      <c r="C107" s="5" t="n">
        <f aca="false">Wheatland!BX167/1000</f>
        <v>-301.67213</v>
      </c>
      <c r="E107" s="26" t="s">
        <v>121</v>
      </c>
    </row>
    <row r="108" customFormat="false" ht="12.75" hidden="false" customHeight="false" outlineLevel="0" collapsed="false">
      <c r="C108" s="5" t="n">
        <f aca="false">Wheatland!BX139/1000</f>
        <v>4169.42221</v>
      </c>
      <c r="E108" s="26" t="s">
        <v>134</v>
      </c>
    </row>
    <row r="109" customFormat="false" ht="12.75" hidden="false" customHeight="false" outlineLevel="0" collapsed="false">
      <c r="C109" s="5" t="n">
        <f aca="false">Wheatland!BX169/1000</f>
        <v>1031.76092970482</v>
      </c>
      <c r="E109" s="26" t="s">
        <v>135</v>
      </c>
    </row>
    <row r="110" customFormat="false" ht="12.75" hidden="false" customHeight="false" outlineLevel="0" collapsed="false">
      <c r="C110" s="5" t="n">
        <f aca="false">Wheatland!BX115/1000</f>
        <v>-211.37313</v>
      </c>
      <c r="E110" s="48" t="s">
        <v>136</v>
      </c>
    </row>
    <row r="111" customFormat="false" ht="12.75" hidden="false" customHeight="false" outlineLevel="0" collapsed="false">
      <c r="A111" s="115"/>
      <c r="B111" s="101"/>
      <c r="C111" s="5" t="n">
        <v>3317</v>
      </c>
      <c r="D111" s="109"/>
      <c r="E111" s="48" t="s">
        <v>114</v>
      </c>
      <c r="F111" s="109"/>
      <c r="G111" s="109"/>
      <c r="H111" s="109"/>
      <c r="I111" s="109"/>
      <c r="J111" s="109"/>
      <c r="K111" s="109"/>
      <c r="L111" s="101"/>
      <c r="M111" s="101"/>
    </row>
    <row r="112" customFormat="false" ht="14.25" hidden="false" customHeight="true" outlineLevel="0" collapsed="false">
      <c r="C112" s="116" t="n">
        <f aca="false">SUM(C98:C111)</f>
        <v>-977.416050295183</v>
      </c>
      <c r="D112" s="106"/>
      <c r="E112" s="107" t="s">
        <v>117</v>
      </c>
      <c r="F112" s="106"/>
      <c r="G112" s="106"/>
      <c r="H112" s="106"/>
      <c r="I112" s="106"/>
      <c r="J112" s="106"/>
      <c r="K112" s="106"/>
    </row>
    <row r="114" customFormat="false" ht="12.75" hidden="false" customHeight="false" outlineLevel="0" collapsed="false">
      <c r="C114" s="0"/>
      <c r="D114" s="0"/>
      <c r="E114" s="0"/>
      <c r="F114" s="0"/>
      <c r="G114" s="0"/>
      <c r="H114" s="0"/>
      <c r="I114" s="0"/>
      <c r="J114" s="0"/>
      <c r="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BO115" s="0" t="n">
        <v>0</v>
      </c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false" customHeight="false" outlineLevel="0" collapsed="false">
      <c r="B117" s="32"/>
      <c r="C117" s="28"/>
    </row>
    <row r="118" customFormat="false" ht="12.75" hidden="false" customHeight="false" outlineLevel="0" collapsed="false">
      <c r="A118" s="117" t="str">
        <f aca="true">CELL("FILENAME")</f>
        <v>'file:///mnt/12tb/@roms/datasets/enron/EDRM Enron Email Data Set v2 XML/filtered-attachments/xls/2000_Weekly_Report___112000.xls'#$Summary</v>
      </c>
      <c r="B118" s="28"/>
      <c r="C118" s="28"/>
    </row>
    <row r="132" customFormat="false" ht="12.75" hidden="false" customHeight="false" outlineLevel="0" collapsed="false">
      <c r="BO132" s="0" t="n">
        <v>0</v>
      </c>
    </row>
    <row r="138" customFormat="false" ht="12.75" hidden="false" customHeight="false" outlineLevel="0" collapsed="false">
      <c r="BO138" s="0" t="n">
        <v>0</v>
      </c>
    </row>
    <row r="142" customFormat="false" ht="12.75" hidden="false" customHeight="false" outlineLevel="0" collapsed="false">
      <c r="BO142" s="0" t="n">
        <v>0</v>
      </c>
    </row>
    <row r="144" customFormat="false" ht="12.75" hidden="false" customHeight="false" outlineLevel="0" collapsed="false">
      <c r="BO144" s="0" t="n">
        <v>0</v>
      </c>
    </row>
    <row r="147" customFormat="false" ht="12.75" hidden="false" customHeight="false" outlineLevel="0" collapsed="false">
      <c r="BO147" s="0" t="n">
        <v>0</v>
      </c>
    </row>
    <row r="155" customFormat="false" ht="12.75" hidden="false" customHeight="false" outlineLevel="0" collapsed="false">
      <c r="BO155" s="0" t="n">
        <v>0</v>
      </c>
    </row>
    <row r="157" customFormat="false" ht="12.75" hidden="false" customHeight="false" outlineLevel="0" collapsed="false">
      <c r="BO157" s="0" t="n">
        <v>0</v>
      </c>
    </row>
    <row r="160" customFormat="false" ht="12.75" hidden="false" customHeight="false" outlineLevel="0" collapsed="false">
      <c r="BO160" s="0" t="n">
        <v>0</v>
      </c>
    </row>
    <row r="164" customFormat="false" ht="12.75" hidden="false" customHeight="false" outlineLevel="0" collapsed="false">
      <c r="BO164" s="0" t="n">
        <v>0</v>
      </c>
    </row>
    <row r="165" customFormat="false" ht="12.75" hidden="false" customHeight="false" outlineLevel="0" collapsed="false">
      <c r="BO165" s="0" t="n">
        <v>0</v>
      </c>
    </row>
    <row r="166" customFormat="false" ht="12.75" hidden="false" customHeight="false" outlineLevel="0" collapsed="false">
      <c r="BO166" s="0" t="n">
        <v>0</v>
      </c>
    </row>
    <row r="167" customFormat="false" ht="12.75" hidden="false" customHeight="false" outlineLevel="0" collapsed="false">
      <c r="BO167" s="0" t="n">
        <v>0</v>
      </c>
    </row>
    <row r="168" customFormat="false" ht="12.75" hidden="false" customHeight="false" outlineLevel="0" collapsed="false">
      <c r="BO168" s="0" t="n">
        <v>0</v>
      </c>
    </row>
    <row r="169" customFormat="false" ht="12.75" hidden="false" customHeight="false" outlineLevel="0" collapsed="false">
      <c r="BO169" s="0" t="n">
        <v>0</v>
      </c>
    </row>
    <row r="170" customFormat="false" ht="12.75" hidden="false" customHeight="false" outlineLevel="0" collapsed="false">
      <c r="BO170" s="0" t="n">
        <v>0</v>
      </c>
    </row>
    <row r="171" customFormat="false" ht="12.75" hidden="false" customHeight="false" outlineLevel="0" collapsed="false">
      <c r="BO171" s="0" t="n">
        <v>0</v>
      </c>
    </row>
    <row r="172" customFormat="false" ht="12.75" hidden="false" customHeight="false" outlineLevel="0" collapsed="false">
      <c r="BO172" s="0" t="n">
        <v>0</v>
      </c>
    </row>
    <row r="173" customFormat="false" ht="12.75" hidden="false" customHeight="false" outlineLevel="0" collapsed="false">
      <c r="BO173" s="0" t="n">
        <v>0</v>
      </c>
    </row>
    <row r="174" customFormat="false" ht="12.75" hidden="false" customHeight="false" outlineLevel="0" collapsed="false">
      <c r="BO174" s="0" t="n">
        <v>0</v>
      </c>
    </row>
    <row r="175" customFormat="false" ht="12.75" hidden="false" customHeight="false" outlineLevel="0" collapsed="false">
      <c r="BO175" s="0" t="n">
        <v>0</v>
      </c>
    </row>
    <row r="176" customFormat="false" ht="12.75" hidden="false" customHeight="false" outlineLevel="0" collapsed="false">
      <c r="BO176" s="0" t="n">
        <v>0</v>
      </c>
    </row>
    <row r="177" customFormat="false" ht="12.75" hidden="false" customHeight="false" outlineLevel="0" collapsed="false">
      <c r="BO177" s="0" t="n">
        <v>0</v>
      </c>
    </row>
    <row r="178" customFormat="false" ht="12.75" hidden="false" customHeight="false" outlineLevel="0" collapsed="false">
      <c r="BO178" s="0" t="n">
        <v>0</v>
      </c>
    </row>
    <row r="179" customFormat="false" ht="12.75" hidden="false" customHeight="false" outlineLevel="0" collapsed="false">
      <c r="BO179" s="0" t="n">
        <v>0</v>
      </c>
    </row>
    <row r="180" customFormat="false" ht="12.75" hidden="false" customHeight="false" outlineLevel="0" collapsed="false">
      <c r="BO180" s="0" t="n">
        <v>0</v>
      </c>
    </row>
    <row r="184" customFormat="false" ht="12.75" hidden="false" customHeight="false" outlineLevel="0" collapsed="false">
      <c r="BO184" s="0" t="n">
        <v>0</v>
      </c>
    </row>
    <row r="200" customFormat="false" ht="12.75" hidden="false" customHeight="false" outlineLevel="0" collapsed="false">
      <c r="BO200" s="0" t="n">
        <v>0</v>
      </c>
    </row>
  </sheetData>
  <mergeCells count="2">
    <mergeCell ref="A45:K45"/>
    <mergeCell ref="A54:K54"/>
  </mergeCells>
  <printOptions headings="false" gridLines="false" gridLinesSet="true" horizontalCentered="true" verticalCentered="false"/>
  <pageMargins left="0.25" right="0.25" top="0.5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8" topLeftCell="BR164" activePane="bottomRight" state="frozen"/>
      <selection pane="topLeft" activeCell="A1" activeCellId="0" sqref="A1"/>
      <selection pane="topRight" activeCell="BR1" activeCellId="0" sqref="BR1"/>
      <selection pane="bottomLeft" activeCell="A164" activeCellId="0" sqref="A164"/>
      <selection pane="bottomRight" activeCell="BU205" activeCellId="0" sqref="BU20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1.99"/>
    <col collapsed="false" customWidth="true" hidden="tru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false" outlineLevel="0" max="17" min="17" style="119" width="0.85"/>
    <col collapsed="false" customWidth="true" hidden="false" outlineLevel="0" max="18" min="18" style="110" width="21.28"/>
    <col collapsed="false" customWidth="true" hidden="false" outlineLevel="0" max="19" min="19" style="119" width="2.13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8.28"/>
    <col collapsed="false" customWidth="true" hidden="true" outlineLevel="0" max="31" min="31" style="110" width="0.85"/>
    <col collapsed="false" customWidth="true" hidden="true" outlineLevel="0" max="32" min="32" style="110" width="17.85"/>
    <col collapsed="false" customWidth="true" hidden="true" outlineLevel="0" max="33" min="33" style="110" width="0.7"/>
    <col collapsed="false" customWidth="true" hidden="true" outlineLevel="0" max="34" min="34" style="110" width="19.14"/>
    <col collapsed="false" customWidth="true" hidden="true" outlineLevel="0" max="35" min="35" style="110" width="1.41"/>
    <col collapsed="false" customWidth="true" hidden="true" outlineLevel="0" max="36" min="36" style="110" width="19.41"/>
    <col collapsed="false" customWidth="true" hidden="true" outlineLevel="0" max="37" min="37" style="119" width="0.99"/>
    <col collapsed="false" customWidth="true" hidden="true" outlineLevel="0" max="38" min="38" style="110" width="19.41"/>
    <col collapsed="false" customWidth="true" hidden="true" outlineLevel="0" max="39" min="39" style="119" width="0.85"/>
    <col collapsed="false" customWidth="true" hidden="true" outlineLevel="0" max="40" min="40" style="110" width="17.85"/>
    <col collapsed="false" customWidth="true" hidden="tru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56"/>
    <col collapsed="false" customWidth="true" hidden="true" outlineLevel="0" max="44" min="44" style="110" width="17.28"/>
    <col collapsed="false" customWidth="true" hidden="true" outlineLevel="0" max="45" min="45" style="110" width="1.99"/>
    <col collapsed="false" customWidth="true" hidden="true" outlineLevel="0" max="46" min="46" style="110" width="18.56"/>
    <col collapsed="false" customWidth="true" hidden="true" outlineLevel="0" max="47" min="47" style="110" width="6.41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9" width="0.85"/>
    <col collapsed="false" customWidth="true" hidden="true" outlineLevel="0" max="58" min="58" style="110" width="17.85"/>
    <col collapsed="false" customWidth="true" hidden="true" outlineLevel="0" max="59" min="59" style="119" width="0.85"/>
    <col collapsed="false" customWidth="true" hidden="true" outlineLevel="0" max="60" min="60" style="110" width="17.85"/>
    <col collapsed="false" customWidth="true" hidden="true" outlineLevel="0" max="61" min="61" style="119" width="0.85"/>
    <col collapsed="false" customWidth="true" hidden="true" outlineLevel="0" max="62" min="62" style="122" width="0.13"/>
    <col collapsed="false" customWidth="true" hidden="false" outlineLevel="0" max="63" min="63" style="119" width="0.85"/>
    <col collapsed="false" customWidth="true" hidden="true" outlineLevel="0" max="64" min="64" style="119" width="0.85"/>
    <col collapsed="false" customWidth="true" hidden="true" outlineLevel="0" max="65" min="65" style="122" width="21.56"/>
    <col collapsed="false" customWidth="true" hidden="true" outlineLevel="0" max="66" min="66" style="119" width="0.85"/>
    <col collapsed="false" customWidth="true" hidden="true" outlineLevel="0" max="67" min="67" style="122" width="21.56"/>
    <col collapsed="false" customWidth="true" hidden="false" outlineLevel="0" max="68" min="68" style="122" width="1.85"/>
    <col collapsed="false" customWidth="true" hidden="false" outlineLevel="0" max="69" min="69" style="110" width="20.85"/>
    <col collapsed="false" customWidth="true" hidden="false" outlineLevel="0" max="70" min="70" style="110" width="2.13"/>
    <col collapsed="false" customWidth="true" hidden="false" outlineLevel="0" max="71" min="71" style="122" width="19.14"/>
    <col collapsed="false" customWidth="true" hidden="false" outlineLevel="0" max="72" min="72" style="119" width="0.85"/>
    <col collapsed="false" customWidth="true" hidden="false" outlineLevel="0" max="73" min="73" style="110" width="23.85"/>
    <col collapsed="false" customWidth="true" hidden="false" outlineLevel="0" max="74" min="74" style="110" width="1.7"/>
    <col collapsed="false" customWidth="true" hidden="false" outlineLevel="0" max="75" min="75" style="110" width="20.85"/>
    <col collapsed="false" customWidth="true" hidden="false" outlineLevel="0" max="76" min="76" style="110" width="1.7"/>
    <col collapsed="false" customWidth="true" hidden="false" outlineLevel="0" max="77" min="77" style="110" width="22.28"/>
    <col collapsed="false" customWidth="true" hidden="false" outlineLevel="0" max="78" min="78" style="119" width="0.85"/>
    <col collapsed="false" customWidth="true" hidden="true" outlineLevel="0" max="79" min="79" style="119" width="75.85"/>
    <col collapsed="false" customWidth="false" hidden="false" outlineLevel="0" max="257" min="80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126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 t="s">
        <v>137</v>
      </c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19"/>
      <c r="AJ1" s="132"/>
      <c r="AL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F1" s="132"/>
      <c r="BH1" s="132"/>
      <c r="BJ1" s="133"/>
      <c r="BM1" s="133"/>
      <c r="BO1" s="133"/>
      <c r="BP1" s="133"/>
      <c r="BQ1" s="135"/>
      <c r="BR1" s="135"/>
      <c r="BS1" s="133"/>
      <c r="BU1" s="135"/>
      <c r="BV1" s="135"/>
      <c r="BW1" s="135"/>
      <c r="BX1" s="135"/>
      <c r="BY1" s="132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126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19"/>
      <c r="AJ2" s="132"/>
      <c r="AL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F2" s="132"/>
      <c r="BH2" s="132"/>
      <c r="BJ2" s="133"/>
      <c r="BM2" s="133"/>
      <c r="BO2" s="133"/>
      <c r="BP2" s="133"/>
      <c r="BQ2" s="132"/>
      <c r="BR2" s="132"/>
      <c r="BS2" s="133"/>
      <c r="BU2" s="132"/>
      <c r="BV2" s="132"/>
      <c r="BW2" s="132"/>
      <c r="BX2" s="132"/>
      <c r="BY2" s="136" t="str">
        <f aca="true">CELL("filename")</f>
        <v>'file:///mnt/12tb/@roms/datasets/enron/EDRM Enron Email Data Set v2 XML/filtered-attachments/xls/2000_Weekly_Report___112000.xls'#$Wilton</v>
      </c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82</v>
      </c>
      <c r="B3" s="125"/>
      <c r="C3" s="126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/>
      <c r="O3" s="127"/>
      <c r="P3" s="140"/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19"/>
      <c r="AJ3" s="132"/>
      <c r="AL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F3" s="132"/>
      <c r="BH3" s="132"/>
      <c r="BJ3" s="133"/>
      <c r="BM3" s="133"/>
      <c r="BO3" s="133"/>
      <c r="BP3" s="133"/>
      <c r="BQ3" s="141"/>
      <c r="BR3" s="141"/>
      <c r="BS3" s="133"/>
      <c r="BU3" s="141" t="n">
        <f aca="true">NOW()</f>
        <v>45926.9291515927</v>
      </c>
      <c r="BV3" s="131"/>
      <c r="BW3" s="141"/>
      <c r="BX3" s="131"/>
      <c r="BY3" s="135" t="str">
        <f aca="false">Summary!A5</f>
        <v>Revision # 68</v>
      </c>
      <c r="BZ3" s="131"/>
      <c r="CA3" s="131" t="str">
        <f aca="false">Summary!A5</f>
        <v>Revision # 68</v>
      </c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Summary!C11</f>
        <v>608</v>
      </c>
      <c r="D4" s="131"/>
      <c r="E4" s="131"/>
      <c r="F4" s="131"/>
      <c r="G4" s="144"/>
      <c r="H4" s="131"/>
      <c r="I4" s="131"/>
      <c r="J4" s="144"/>
      <c r="K4" s="131"/>
      <c r="L4" s="145"/>
      <c r="M4" s="131"/>
      <c r="N4" s="133"/>
      <c r="O4" s="146" t="s">
        <v>138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19"/>
      <c r="AJ4" s="147" t="s">
        <v>69</v>
      </c>
      <c r="AL4" s="147" t="s">
        <v>69</v>
      </c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47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F4" s="147" t="s">
        <v>69</v>
      </c>
      <c r="BH4" s="147" t="s">
        <v>69</v>
      </c>
      <c r="BJ4" s="147" t="s">
        <v>69</v>
      </c>
      <c r="BM4" s="147" t="s">
        <v>69</v>
      </c>
      <c r="BO4" s="147" t="s">
        <v>69</v>
      </c>
      <c r="BP4" s="147"/>
      <c r="BQ4" s="148"/>
      <c r="BR4" s="148"/>
      <c r="BS4" s="147" t="s">
        <v>139</v>
      </c>
      <c r="BU4" s="148"/>
      <c r="BV4" s="131"/>
      <c r="BW4" s="148"/>
      <c r="BX4" s="131"/>
      <c r="BY4" s="148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tr">
        <f aca="false">Summary!A5</f>
        <v>Revision # 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140</v>
      </c>
      <c r="M5" s="131"/>
      <c r="N5" s="147" t="s">
        <v>141</v>
      </c>
      <c r="O5" s="146"/>
      <c r="P5" s="147" t="s">
        <v>142</v>
      </c>
      <c r="Q5" s="131"/>
      <c r="R5" s="148" t="s">
        <v>141</v>
      </c>
      <c r="S5" s="131"/>
      <c r="T5" s="147" t="s">
        <v>72</v>
      </c>
      <c r="U5" s="134"/>
      <c r="V5" s="147" t="s">
        <v>143</v>
      </c>
      <c r="W5" s="133"/>
      <c r="X5" s="147" t="s">
        <v>143</v>
      </c>
      <c r="Y5" s="133"/>
      <c r="Z5" s="147" t="s">
        <v>143</v>
      </c>
      <c r="AA5" s="133"/>
      <c r="AB5" s="147" t="s">
        <v>143</v>
      </c>
      <c r="AC5" s="133"/>
      <c r="AD5" s="147" t="s">
        <v>143</v>
      </c>
      <c r="AE5" s="133"/>
      <c r="AF5" s="147" t="s">
        <v>143</v>
      </c>
      <c r="AG5" s="133"/>
      <c r="AH5" s="147" t="s">
        <v>143</v>
      </c>
      <c r="AI5" s="119"/>
      <c r="AJ5" s="147" t="s">
        <v>143</v>
      </c>
      <c r="AL5" s="147" t="s">
        <v>143</v>
      </c>
      <c r="AN5" s="147" t="s">
        <v>143</v>
      </c>
      <c r="AO5" s="133"/>
      <c r="AP5" s="147" t="s">
        <v>143</v>
      </c>
      <c r="AQ5" s="133"/>
      <c r="AR5" s="147" t="s">
        <v>143</v>
      </c>
      <c r="AS5" s="133"/>
      <c r="AT5" s="147" t="s">
        <v>143</v>
      </c>
      <c r="AU5" s="147"/>
      <c r="AV5" s="147" t="s">
        <v>143</v>
      </c>
      <c r="AW5" s="147"/>
      <c r="AX5" s="147" t="s">
        <v>143</v>
      </c>
      <c r="AY5" s="147"/>
      <c r="AZ5" s="147" t="s">
        <v>143</v>
      </c>
      <c r="BA5" s="147"/>
      <c r="BB5" s="147" t="s">
        <v>143</v>
      </c>
      <c r="BC5" s="147"/>
      <c r="BD5" s="147" t="s">
        <v>143</v>
      </c>
      <c r="BF5" s="147" t="s">
        <v>143</v>
      </c>
      <c r="BH5" s="147" t="s">
        <v>143</v>
      </c>
      <c r="BJ5" s="147" t="s">
        <v>143</v>
      </c>
      <c r="BM5" s="147" t="s">
        <v>143</v>
      </c>
      <c r="BO5" s="147" t="s">
        <v>143</v>
      </c>
      <c r="BP5" s="147"/>
      <c r="BQ5" s="148" t="s">
        <v>72</v>
      </c>
      <c r="BR5" s="148"/>
      <c r="BS5" s="147" t="s">
        <v>142</v>
      </c>
      <c r="BU5" s="148" t="s">
        <v>144</v>
      </c>
      <c r="BV5" s="131"/>
      <c r="BW5" s="148" t="s">
        <v>145</v>
      </c>
      <c r="BX5" s="131"/>
      <c r="BY5" s="148" t="s">
        <v>146</v>
      </c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147</v>
      </c>
      <c r="D6" s="131"/>
      <c r="E6" s="151" t="s">
        <v>148</v>
      </c>
      <c r="F6" s="131"/>
      <c r="G6" s="151" t="s">
        <v>149</v>
      </c>
      <c r="H6" s="131"/>
      <c r="I6" s="151" t="s">
        <v>150</v>
      </c>
      <c r="J6" s="152"/>
      <c r="K6" s="131"/>
      <c r="L6" s="153" t="s">
        <v>151</v>
      </c>
      <c r="M6" s="131"/>
      <c r="N6" s="154" t="s">
        <v>152</v>
      </c>
      <c r="O6" s="146"/>
      <c r="P6" s="154" t="s">
        <v>153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19"/>
      <c r="AJ6" s="153" t="n">
        <v>36403</v>
      </c>
      <c r="AL6" s="153" t="n">
        <v>36433</v>
      </c>
      <c r="AN6" s="153" t="n">
        <v>36464</v>
      </c>
      <c r="AO6" s="145"/>
      <c r="AP6" s="153" t="n">
        <v>36494</v>
      </c>
      <c r="AQ6" s="145"/>
      <c r="AR6" s="153" t="n">
        <v>36525</v>
      </c>
      <c r="AS6" s="145"/>
      <c r="AT6" s="153" t="n">
        <v>36556</v>
      </c>
      <c r="AU6" s="150"/>
      <c r="AV6" s="153" t="n">
        <v>36585</v>
      </c>
      <c r="AW6" s="150"/>
      <c r="AX6" s="153" t="n">
        <v>36616</v>
      </c>
      <c r="AY6" s="150"/>
      <c r="AZ6" s="153" t="n">
        <v>36646</v>
      </c>
      <c r="BA6" s="150"/>
      <c r="BB6" s="153" t="n">
        <v>36677</v>
      </c>
      <c r="BC6" s="150"/>
      <c r="BD6" s="153" t="n">
        <v>36707</v>
      </c>
      <c r="BF6" s="153" t="n">
        <v>36738</v>
      </c>
      <c r="BH6" s="153" t="n">
        <v>36769</v>
      </c>
      <c r="BJ6" s="153" t="n">
        <v>36799</v>
      </c>
      <c r="BM6" s="153" t="n">
        <v>36830</v>
      </c>
      <c r="BO6" s="153" t="n">
        <v>36860</v>
      </c>
      <c r="BP6" s="153"/>
      <c r="BQ6" s="156" t="s">
        <v>154</v>
      </c>
      <c r="BR6" s="156"/>
      <c r="BS6" s="153" t="s">
        <v>153</v>
      </c>
      <c r="BU6" s="156" t="s">
        <v>155</v>
      </c>
      <c r="BV6" s="131"/>
      <c r="BW6" s="156" t="s">
        <v>156</v>
      </c>
      <c r="BX6" s="131"/>
      <c r="BY6" s="156" t="s">
        <v>157</v>
      </c>
      <c r="BZ6" s="131"/>
      <c r="CA6" s="156" t="s">
        <v>158</v>
      </c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11/17/00</v>
      </c>
      <c r="U7" s="134"/>
      <c r="V7" s="147" t="str">
        <f aca="false">+Summary!$O$4</f>
        <v> As of 11/17/00</v>
      </c>
      <c r="W7" s="133"/>
      <c r="X7" s="147" t="str">
        <f aca="false">+Summary!$O$4</f>
        <v> As of 11/17/00</v>
      </c>
      <c r="Y7" s="133"/>
      <c r="Z7" s="147" t="str">
        <f aca="false">+Summary!$O$4</f>
        <v> As of 11/17/00</v>
      </c>
      <c r="AA7" s="133"/>
      <c r="AB7" s="147" t="str">
        <f aca="false">+Summary!$O$4</f>
        <v> As of 11/17/00</v>
      </c>
      <c r="AC7" s="133"/>
      <c r="AD7" s="147" t="str">
        <f aca="false">+Summary!$O$4</f>
        <v> As of 11/17/00</v>
      </c>
      <c r="AE7" s="133"/>
      <c r="AF7" s="147" t="str">
        <f aca="false">+Summary!$O$4</f>
        <v> As of 11/17/00</v>
      </c>
      <c r="AG7" s="133"/>
      <c r="AH7" s="147" t="str">
        <f aca="false">+Summary!$O$4</f>
        <v> As of 11/17/00</v>
      </c>
      <c r="AI7" s="119"/>
      <c r="AJ7" s="147" t="str">
        <f aca="false">+Summary!$O$4</f>
        <v> As of 11/17/00</v>
      </c>
      <c r="AL7" s="147" t="str">
        <f aca="false">+Summary!$O$4</f>
        <v> As of 11/17/00</v>
      </c>
      <c r="AN7" s="147" t="str">
        <f aca="false">+Summary!$O$4</f>
        <v> As of 11/17/00</v>
      </c>
      <c r="AO7" s="133"/>
      <c r="AP7" s="147" t="str">
        <f aca="false">+Summary!$O$4</f>
        <v> As of 11/17/00</v>
      </c>
      <c r="AQ7" s="133"/>
      <c r="AR7" s="147" t="str">
        <f aca="false">+Summary!$O$4</f>
        <v> As of 11/17/00</v>
      </c>
      <c r="AS7" s="133"/>
      <c r="AT7" s="147" t="str">
        <f aca="false">+Summary!$O$4</f>
        <v> As of 11/17/00</v>
      </c>
      <c r="AU7" s="147"/>
      <c r="AV7" s="147" t="str">
        <f aca="false">+Summary!$O$4</f>
        <v> As of 11/17/00</v>
      </c>
      <c r="AW7" s="147"/>
      <c r="AX7" s="147" t="str">
        <f aca="false">+Summary!$O$4</f>
        <v> As of 11/17/00</v>
      </c>
      <c r="AY7" s="147"/>
      <c r="AZ7" s="147"/>
      <c r="BA7" s="147"/>
      <c r="BB7" s="147"/>
      <c r="BC7" s="147"/>
      <c r="BD7" s="147" t="str">
        <f aca="false">+Summary!$O$4</f>
        <v> As of 11/17/00</v>
      </c>
      <c r="BF7" s="147" t="str">
        <f aca="false">+Summary!$O$4</f>
        <v> As of 11/17/00</v>
      </c>
      <c r="BH7" s="147" t="str">
        <f aca="false">+Summary!$O$4</f>
        <v> As of 11/17/00</v>
      </c>
      <c r="BJ7" s="147" t="str">
        <f aca="false">+Summary!$O$4</f>
        <v> As of 11/17/00</v>
      </c>
      <c r="BM7" s="147" t="str">
        <f aca="false">+Summary!$O$4</f>
        <v> As of 11/17/00</v>
      </c>
      <c r="BO7" s="147" t="str">
        <f aca="false">+Summary!$O$4</f>
        <v> As of 11/17/00</v>
      </c>
      <c r="BP7" s="147"/>
      <c r="BQ7" s="148" t="str">
        <f aca="false">Summary!O4</f>
        <v> As of 11/17/00</v>
      </c>
      <c r="BR7" s="148"/>
      <c r="BS7" s="159" t="str">
        <f aca="false">+Summary!$O$4</f>
        <v> As of 11/17/00</v>
      </c>
      <c r="BU7" s="148"/>
      <c r="BV7" s="131"/>
      <c r="BW7" s="148"/>
      <c r="BX7" s="131"/>
      <c r="BY7" s="148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159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AI8" s="119"/>
      <c r="BJ8" s="110"/>
      <c r="BM8" s="110"/>
      <c r="BO8" s="110"/>
      <c r="BP8" s="110"/>
      <c r="BS8" s="110"/>
      <c r="BZ8" s="110"/>
    </row>
    <row r="9" customFormat="false" ht="12.75" hidden="false" customHeight="false" outlineLevel="0" collapsed="false">
      <c r="A9" s="164"/>
      <c r="B9" s="161" t="s">
        <v>160</v>
      </c>
      <c r="E9" s="119"/>
      <c r="G9" s="119"/>
      <c r="I9" s="119"/>
      <c r="J9" s="120" t="s">
        <v>141</v>
      </c>
      <c r="L9" s="163" t="s">
        <v>151</v>
      </c>
      <c r="M9" s="110"/>
      <c r="N9" s="110" t="n">
        <v>0</v>
      </c>
      <c r="O9" s="110"/>
      <c r="P9" s="110" t="n">
        <v>0</v>
      </c>
      <c r="Q9" s="110"/>
      <c r="R9" s="110" t="n">
        <v>140040940</v>
      </c>
      <c r="S9" s="110"/>
      <c r="T9" s="110" t="n">
        <v>6800000</v>
      </c>
      <c r="U9" s="110"/>
      <c r="V9" s="110"/>
      <c r="X9" s="110" t="n">
        <v>32884800</v>
      </c>
      <c r="Z9" s="110"/>
      <c r="AB9" s="110"/>
      <c r="AD9" s="110" t="n">
        <v>18310527</v>
      </c>
      <c r="AF9" s="110" t="n">
        <v>6800000</v>
      </c>
      <c r="AH9" s="110" t="n">
        <v>5225143.44</v>
      </c>
      <c r="AI9" s="119"/>
      <c r="AJ9" s="110" t="n">
        <v>6152847</v>
      </c>
      <c r="AL9" s="110" t="n">
        <v>6924847</v>
      </c>
      <c r="AN9" s="110" t="n">
        <v>6924847</v>
      </c>
      <c r="AP9" s="110" t="n">
        <v>6924847</v>
      </c>
      <c r="AR9" s="110" t="n">
        <v>24688143.63</v>
      </c>
      <c r="AT9" s="110" t="n">
        <v>0</v>
      </c>
      <c r="AV9" s="110" t="n">
        <v>13325691.37</v>
      </c>
      <c r="AX9" s="110" t="n">
        <v>7103247</v>
      </c>
      <c r="AZ9" s="110" t="n">
        <v>0</v>
      </c>
      <c r="BB9" s="110" t="n">
        <v>0</v>
      </c>
      <c r="BD9" s="110" t="n">
        <v>0</v>
      </c>
      <c r="BF9" s="110" t="n">
        <v>0</v>
      </c>
      <c r="BH9" s="110" t="n">
        <v>0</v>
      </c>
      <c r="BJ9" s="110" t="n">
        <v>0</v>
      </c>
      <c r="BM9" s="110" t="n">
        <v>0</v>
      </c>
      <c r="BO9" s="110" t="n">
        <v>0</v>
      </c>
      <c r="BP9" s="110"/>
      <c r="BQ9" s="110" t="n">
        <f aca="false">SUM(T9:BP9)</f>
        <v>142064940.44</v>
      </c>
      <c r="BS9" s="110" t="n">
        <f aca="false">142064940-R9-192000</f>
        <v>1832000</v>
      </c>
      <c r="BU9" s="110" t="n">
        <f aca="false">IF(+R9-BQ9+BS9&gt;0,R9-BQ9+BS9,0)</f>
        <v>0</v>
      </c>
      <c r="BW9" s="110" t="n">
        <f aca="false">+BQ9+BU9</f>
        <v>142064940.44</v>
      </c>
      <c r="BY9" s="110" t="n">
        <f aca="false">+R9-BW9</f>
        <v>-2024000.44</v>
      </c>
      <c r="BZ9" s="110"/>
    </row>
    <row r="10" customFormat="false" ht="12.75" hidden="false" customHeight="false" outlineLevel="0" collapsed="false">
      <c r="A10" s="164"/>
      <c r="B10" s="161" t="s">
        <v>128</v>
      </c>
      <c r="E10" s="119"/>
      <c r="G10" s="119"/>
      <c r="I10" s="119"/>
      <c r="J10" s="120" t="s">
        <v>141</v>
      </c>
      <c r="L10" s="163" t="s">
        <v>151</v>
      </c>
      <c r="M10" s="110"/>
      <c r="N10" s="110" t="n">
        <v>93330000</v>
      </c>
      <c r="O10" s="110"/>
      <c r="P10" s="110" t="n">
        <v>0</v>
      </c>
      <c r="Q10" s="110"/>
      <c r="R10" s="110" t="n">
        <v>192000</v>
      </c>
      <c r="S10" s="110"/>
      <c r="T10" s="110"/>
      <c r="U10" s="110"/>
      <c r="V10" s="110"/>
      <c r="X10" s="110"/>
      <c r="Z10" s="110"/>
      <c r="AB10" s="110"/>
      <c r="AD10" s="110" t="n">
        <v>0</v>
      </c>
      <c r="AF10" s="110" t="n">
        <v>0</v>
      </c>
      <c r="AH10" s="110" t="n">
        <v>0</v>
      </c>
      <c r="AI10" s="119"/>
      <c r="AJ10" s="110" t="n">
        <v>0</v>
      </c>
      <c r="AL10" s="110" t="n">
        <v>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M10" s="110" t="n">
        <v>0</v>
      </c>
      <c r="BO10" s="110" t="n">
        <v>0</v>
      </c>
      <c r="BP10" s="110"/>
      <c r="BQ10" s="110" t="n">
        <f aca="false">SUM(T10:BP10)</f>
        <v>0</v>
      </c>
      <c r="BS10" s="110" t="n">
        <v>-192000</v>
      </c>
      <c r="BU10" s="110" t="n">
        <f aca="false">IF(+R10-BQ10+BS10&gt;0,R10-BQ10+BS10,0)</f>
        <v>0</v>
      </c>
      <c r="BW10" s="110" t="n">
        <f aca="false">+BQ10+BU10</f>
        <v>0</v>
      </c>
      <c r="BY10" s="110" t="n">
        <f aca="false">+R10-BW10</f>
        <v>192000</v>
      </c>
      <c r="BZ10" s="110"/>
    </row>
    <row r="11" customFormat="false" ht="12.75" hidden="false" customHeight="false" outlineLevel="0" collapsed="false">
      <c r="A11" s="164"/>
      <c r="B11" s="161"/>
      <c r="E11" s="119"/>
      <c r="G11" s="119"/>
      <c r="I11" s="119"/>
      <c r="L11" s="163"/>
      <c r="M11" s="110"/>
      <c r="O11" s="110"/>
      <c r="Q11" s="110"/>
      <c r="S11" s="110"/>
      <c r="T11" s="110"/>
      <c r="U11" s="110"/>
      <c r="V11" s="110"/>
      <c r="X11" s="110"/>
      <c r="Z11" s="110"/>
      <c r="AB11" s="110"/>
      <c r="AD11" s="110"/>
      <c r="AI11" s="119"/>
      <c r="BJ11" s="110"/>
      <c r="BM11" s="110"/>
      <c r="BO11" s="110"/>
      <c r="BP11" s="110"/>
      <c r="BQ11" s="110" t="n">
        <f aca="false">SUM(T11:BP11)</f>
        <v>0</v>
      </c>
      <c r="BS11" s="110"/>
      <c r="BU11" s="110" t="n">
        <f aca="false">IF(+R11-BQ11+BS11&gt;0,R11-BQ11+BS11,0)</f>
        <v>0</v>
      </c>
      <c r="BZ11" s="110"/>
    </row>
    <row r="12" customFormat="false" ht="12.75" hidden="false" customHeight="false" outlineLevel="0" collapsed="false">
      <c r="A12" s="164"/>
      <c r="B12" s="161" t="s">
        <v>161</v>
      </c>
      <c r="E12" s="119"/>
      <c r="G12" s="119"/>
      <c r="I12" s="119"/>
      <c r="L12" s="163"/>
      <c r="M12" s="110"/>
      <c r="N12" s="165" t="n">
        <f aca="false">SUM(N9:N11)</f>
        <v>93330000</v>
      </c>
      <c r="O12" s="110"/>
      <c r="P12" s="165" t="n">
        <f aca="false">SUM(P9:P11)</f>
        <v>0</v>
      </c>
      <c r="Q12" s="110"/>
      <c r="R12" s="165" t="n">
        <f aca="false">SUM(R9:R11)</f>
        <v>140232940</v>
      </c>
      <c r="S12" s="110"/>
      <c r="T12" s="165" t="n">
        <f aca="false">SUM(T9:T11)</f>
        <v>6800000</v>
      </c>
      <c r="U12" s="110"/>
      <c r="V12" s="165" t="n">
        <f aca="false">SUM(V9:V11)</f>
        <v>0</v>
      </c>
      <c r="X12" s="165" t="n">
        <f aca="false">SUM(X9:X11)</f>
        <v>32884800</v>
      </c>
      <c r="Z12" s="165" t="n">
        <f aca="false">SUM(Z9:Z11)</f>
        <v>0</v>
      </c>
      <c r="AB12" s="165" t="n">
        <f aca="false">SUM(AB9:AB11)</f>
        <v>0</v>
      </c>
      <c r="AD12" s="165" t="n">
        <f aca="false">SUM(AD9:AD11)</f>
        <v>18310527</v>
      </c>
      <c r="AF12" s="165" t="n">
        <f aca="false">SUM(AF9:AF11)</f>
        <v>6800000</v>
      </c>
      <c r="AH12" s="165" t="n">
        <f aca="false">SUM(AH9:AH11)</f>
        <v>5225143.44</v>
      </c>
      <c r="AI12" s="119"/>
      <c r="AJ12" s="165" t="n">
        <f aca="false">SUM(AJ9:AJ11)</f>
        <v>6152847</v>
      </c>
      <c r="AL12" s="165" t="n">
        <f aca="false">SUM(AL9:AL11)</f>
        <v>6924847</v>
      </c>
      <c r="AN12" s="165" t="n">
        <f aca="false">SUM(AN9:AN11)</f>
        <v>6924847</v>
      </c>
      <c r="AP12" s="165" t="n">
        <f aca="false">SUM(AP9:AP11)</f>
        <v>6924847</v>
      </c>
      <c r="AR12" s="165" t="n">
        <f aca="false">SUM(AR9:AR11)</f>
        <v>24688143.63</v>
      </c>
      <c r="AT12" s="165" t="n">
        <f aca="false">SUM(AT9:AT11)</f>
        <v>0</v>
      </c>
      <c r="AV12" s="165" t="n">
        <f aca="false">SUM(AV9:AV11)</f>
        <v>13325691.37</v>
      </c>
      <c r="AX12" s="165" t="n">
        <f aca="false">SUM(AX9:AX11)</f>
        <v>7103247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0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M12" s="165" t="n">
        <f aca="false">SUM(BM9:BM11)</f>
        <v>0</v>
      </c>
      <c r="BO12" s="165" t="n">
        <f aca="false">SUM(BO9:BO11)</f>
        <v>0</v>
      </c>
      <c r="BP12" s="165"/>
      <c r="BQ12" s="165" t="n">
        <f aca="false">SUM(BQ9:BQ11)</f>
        <v>142064940.44</v>
      </c>
      <c r="BR12" s="165"/>
      <c r="BS12" s="165" t="n">
        <f aca="false">SUM(BS9:BS11)</f>
        <v>1640000</v>
      </c>
      <c r="BU12" s="165" t="n">
        <f aca="false">SUM(BU9:BU11)</f>
        <v>0</v>
      </c>
      <c r="BW12" s="165" t="n">
        <f aca="false">SUM(BW9:BW11)</f>
        <v>142064940.44</v>
      </c>
      <c r="BY12" s="165" t="n">
        <f aca="false">SUM(BY9:BY11)</f>
        <v>-1832000.44</v>
      </c>
      <c r="BZ12" s="110"/>
    </row>
    <row r="13" customFormat="false" ht="12.75" hidden="false" customHeight="false" outlineLevel="0" collapsed="false">
      <c r="A13" s="164"/>
      <c r="B13" s="161"/>
      <c r="E13" s="119"/>
      <c r="G13" s="119"/>
      <c r="I13" s="119"/>
      <c r="L13" s="163"/>
      <c r="M13" s="110"/>
      <c r="O13" s="110"/>
      <c r="Q13" s="110"/>
      <c r="S13" s="110"/>
      <c r="T13" s="110"/>
      <c r="U13" s="110"/>
      <c r="V13" s="110"/>
      <c r="X13" s="110"/>
      <c r="Z13" s="110"/>
      <c r="AB13" s="110"/>
      <c r="AD13" s="110"/>
      <c r="AI13" s="119"/>
      <c r="BJ13" s="110"/>
      <c r="BM13" s="110"/>
      <c r="BO13" s="110"/>
      <c r="BP13" s="110"/>
      <c r="BS13" s="110"/>
      <c r="BZ13" s="110"/>
    </row>
    <row r="14" customFormat="false" ht="12.75" hidden="true" customHeight="false" outlineLevel="0" collapsed="false">
      <c r="A14" s="164"/>
      <c r="B14" s="161" t="s">
        <v>162</v>
      </c>
      <c r="E14" s="119"/>
      <c r="G14" s="119"/>
      <c r="I14" s="119"/>
      <c r="L14" s="163" t="s">
        <v>151</v>
      </c>
      <c r="M14" s="110"/>
      <c r="N14" s="110" t="n">
        <v>0</v>
      </c>
      <c r="O14" s="110"/>
      <c r="P14" s="110" t="n">
        <v>0</v>
      </c>
      <c r="Q14" s="110"/>
      <c r="R14" s="110" t="n">
        <f aca="false">+N14+P14</f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I14" s="119"/>
      <c r="AJ14" s="110" t="n">
        <v>0</v>
      </c>
      <c r="AL14" s="110" t="n">
        <v>0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M14" s="110" t="n">
        <v>0</v>
      </c>
      <c r="BO14" s="110" t="n">
        <v>0</v>
      </c>
      <c r="BP14" s="110"/>
      <c r="BQ14" s="110" t="n">
        <f aca="false">SUM(T14:BM14)</f>
        <v>0</v>
      </c>
      <c r="BS14" s="110" t="n">
        <v>0</v>
      </c>
      <c r="BU14" s="110" t="n">
        <f aca="false">+R14-BQ14+BS14</f>
        <v>0</v>
      </c>
      <c r="BW14" s="110" t="n">
        <f aca="false">+BQ14+BU14</f>
        <v>0</v>
      </c>
      <c r="BY14" s="110" t="n">
        <f aca="false">+R14-BW14</f>
        <v>0</v>
      </c>
      <c r="BZ14" s="110"/>
    </row>
    <row r="15" customFormat="false" ht="12.75" hidden="false" customHeight="false" outlineLevel="0" collapsed="false">
      <c r="A15" s="164"/>
      <c r="B15" s="161" t="s">
        <v>163</v>
      </c>
      <c r="E15" s="119"/>
      <c r="G15" s="119"/>
      <c r="I15" s="119"/>
      <c r="J15" s="120" t="s">
        <v>141</v>
      </c>
      <c r="L15" s="163" t="s">
        <v>151</v>
      </c>
      <c r="M15" s="110"/>
      <c r="N15" s="110" t="n">
        <v>0</v>
      </c>
      <c r="O15" s="110"/>
      <c r="P15" s="110" t="n">
        <v>0</v>
      </c>
      <c r="Q15" s="110"/>
      <c r="R15" s="110" t="n">
        <v>5878600</v>
      </c>
      <c r="S15" s="110"/>
      <c r="T15" s="110" t="n">
        <v>0</v>
      </c>
      <c r="U15" s="110"/>
      <c r="V15" s="110" t="n">
        <v>1250000</v>
      </c>
      <c r="X15" s="110" t="n">
        <v>0</v>
      </c>
      <c r="Z15" s="110" t="n">
        <v>0</v>
      </c>
      <c r="AB15" s="110" t="n">
        <v>0</v>
      </c>
      <c r="AD15" s="110" t="n">
        <v>0</v>
      </c>
      <c r="AF15" s="110" t="n">
        <v>0</v>
      </c>
      <c r="AH15" s="110" t="n">
        <f aca="false">-740943.25+666672.85</f>
        <v>-74270.4</v>
      </c>
      <c r="AI15" s="119"/>
      <c r="AJ15" s="110" t="n">
        <v>7480</v>
      </c>
      <c r="AL15" s="110" t="n">
        <v>0</v>
      </c>
      <c r="AN15" s="110" t="n">
        <v>1774814.4</v>
      </c>
      <c r="AP15" s="110" t="n">
        <v>0</v>
      </c>
      <c r="AR15" s="110" t="n">
        <v>1774814.4</v>
      </c>
      <c r="AT15" s="110" t="n">
        <v>591604.8</v>
      </c>
      <c r="AX15" s="110" t="n">
        <v>0</v>
      </c>
      <c r="AZ15" s="110" t="n">
        <v>427250</v>
      </c>
      <c r="BB15" s="110" t="n">
        <v>590954.8</v>
      </c>
      <c r="BD15" s="110" t="n">
        <v>0</v>
      </c>
      <c r="BF15" s="110" t="n">
        <v>0</v>
      </c>
      <c r="BH15" s="110" t="n">
        <v>0</v>
      </c>
      <c r="BJ15" s="110" t="n">
        <v>0</v>
      </c>
      <c r="BM15" s="110" t="n">
        <v>0</v>
      </c>
      <c r="BO15" s="110" t="n">
        <v>0</v>
      </c>
      <c r="BP15" s="110"/>
      <c r="BQ15" s="110" t="n">
        <f aca="false">SUM(T15:BP15)</f>
        <v>6342648</v>
      </c>
      <c r="BS15" s="110" t="n">
        <f aca="false">5916048-5878600+220650+206600</f>
        <v>464698</v>
      </c>
      <c r="BU15" s="110" t="n">
        <v>0</v>
      </c>
      <c r="BW15" s="110" t="n">
        <f aca="false">+BQ15+BU15</f>
        <v>6342648</v>
      </c>
      <c r="BY15" s="110" t="n">
        <f aca="false">+R15-BW15</f>
        <v>-464048</v>
      </c>
      <c r="BZ15" s="110"/>
    </row>
    <row r="16" customFormat="false" ht="12.75" hidden="false" customHeight="false" outlineLevel="0" collapsed="false">
      <c r="A16" s="164"/>
      <c r="B16" s="161" t="s">
        <v>164</v>
      </c>
      <c r="E16" s="119"/>
      <c r="G16" s="119"/>
      <c r="I16" s="119"/>
      <c r="J16" s="120" t="s">
        <v>141</v>
      </c>
      <c r="L16" s="163" t="s">
        <v>151</v>
      </c>
      <c r="M16" s="110"/>
      <c r="O16" s="110"/>
      <c r="Q16" s="110"/>
      <c r="S16" s="110"/>
      <c r="T16" s="110"/>
      <c r="U16" s="110"/>
      <c r="V16" s="110"/>
      <c r="X16" s="110"/>
      <c r="Z16" s="110"/>
      <c r="AB16" s="110"/>
      <c r="AD16" s="110"/>
      <c r="AI16" s="119"/>
      <c r="BJ16" s="110"/>
      <c r="BM16" s="110"/>
      <c r="BO16" s="110"/>
      <c r="BP16" s="110"/>
      <c r="BQ16" s="110" t="n">
        <f aca="false">SUM(T16:BP16)</f>
        <v>0</v>
      </c>
      <c r="BS16" s="110"/>
      <c r="BU16" s="110" t="n">
        <f aca="false">IF(+R16-BQ16+BS16&gt;0,R16-BQ16+BS16,0)</f>
        <v>0</v>
      </c>
      <c r="BW16" s="110" t="n">
        <f aca="false">+BQ16+BU16</f>
        <v>0</v>
      </c>
      <c r="BY16" s="110" t="n">
        <f aca="false">+R16-BW16</f>
        <v>0</v>
      </c>
      <c r="BZ16" s="110"/>
    </row>
    <row r="17" customFormat="false" ht="12.75" hidden="false" customHeight="false" outlineLevel="0" collapsed="false">
      <c r="A17" s="164"/>
      <c r="B17" s="161" t="s">
        <v>165</v>
      </c>
      <c r="E17" s="119"/>
      <c r="G17" s="119"/>
      <c r="I17" s="119"/>
      <c r="J17" s="120" t="s">
        <v>141</v>
      </c>
      <c r="L17" s="163" t="s">
        <v>151</v>
      </c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AI17" s="119"/>
      <c r="BJ17" s="110"/>
      <c r="BM17" s="110"/>
      <c r="BO17" s="110"/>
      <c r="BP17" s="110"/>
      <c r="BQ17" s="110" t="n">
        <f aca="false">SUM(T17:BP17)</f>
        <v>0</v>
      </c>
      <c r="BS17" s="110"/>
      <c r="BU17" s="110" t="n">
        <f aca="false">IF(+R17-BQ17+BS17&gt;0,R17-BQ17+BS17,0)</f>
        <v>0</v>
      </c>
      <c r="BW17" s="110" t="n">
        <f aca="false">+BQ17+BU17</f>
        <v>0</v>
      </c>
      <c r="BY17" s="110" t="n">
        <f aca="false">+R17-BW17</f>
        <v>0</v>
      </c>
      <c r="BZ17" s="110"/>
    </row>
    <row r="18" customFormat="false" ht="12.75" hidden="false" customHeight="false" outlineLevel="0" collapsed="false">
      <c r="A18" s="164"/>
      <c r="B18" s="161" t="s">
        <v>166</v>
      </c>
      <c r="E18" s="119"/>
      <c r="G18" s="119"/>
      <c r="I18" s="119"/>
      <c r="J18" s="120" t="s">
        <v>141</v>
      </c>
      <c r="L18" s="163" t="s">
        <v>151</v>
      </c>
      <c r="M18" s="110"/>
      <c r="O18" s="110"/>
      <c r="Q18" s="110"/>
      <c r="S18" s="110"/>
      <c r="T18" s="110"/>
      <c r="U18" s="110"/>
      <c r="V18" s="110"/>
      <c r="X18" s="110"/>
      <c r="Z18" s="110"/>
      <c r="AB18" s="110"/>
      <c r="AD18" s="110"/>
      <c r="AI18" s="119"/>
      <c r="BJ18" s="110"/>
      <c r="BM18" s="110"/>
      <c r="BO18" s="110"/>
      <c r="BP18" s="110"/>
      <c r="BQ18" s="110" t="n">
        <f aca="false">SUM(T18:BP18)</f>
        <v>0</v>
      </c>
      <c r="BS18" s="110"/>
      <c r="BU18" s="110" t="n">
        <f aca="false">IF(+R18-BQ18+BS18&gt;0,R18-BQ18+BS18,0)</f>
        <v>0</v>
      </c>
      <c r="BW18" s="110" t="n">
        <f aca="false">+BQ18+BU18</f>
        <v>0</v>
      </c>
      <c r="BY18" s="110" t="n">
        <f aca="false">+R18-BW18</f>
        <v>0</v>
      </c>
      <c r="BZ18" s="110"/>
    </row>
    <row r="19" customFormat="false" ht="12.75" hidden="false" customHeight="false" outlineLevel="0" collapsed="false">
      <c r="A19" s="164"/>
      <c r="B19" s="161" t="s">
        <v>167</v>
      </c>
      <c r="E19" s="119"/>
      <c r="G19" s="119"/>
      <c r="I19" s="119"/>
      <c r="J19" s="120" t="s">
        <v>141</v>
      </c>
      <c r="L19" s="163" t="s">
        <v>151</v>
      </c>
      <c r="M19" s="110"/>
      <c r="O19" s="110"/>
      <c r="Q19" s="110"/>
      <c r="R19" s="110" t="n">
        <v>0</v>
      </c>
      <c r="S19" s="110"/>
      <c r="T19" s="110"/>
      <c r="U19" s="110"/>
      <c r="V19" s="110"/>
      <c r="X19" s="110"/>
      <c r="Z19" s="110"/>
      <c r="AB19" s="110"/>
      <c r="AD19" s="110"/>
      <c r="AI19" s="119"/>
      <c r="BJ19" s="110"/>
      <c r="BM19" s="110"/>
      <c r="BO19" s="110"/>
      <c r="BP19" s="110"/>
      <c r="BQ19" s="110" t="n">
        <f aca="false">SUM(T19:BP19)</f>
        <v>0</v>
      </c>
      <c r="BS19" s="110"/>
      <c r="BU19" s="110" t="n">
        <f aca="false">IF(+R19-BQ19+BS19&gt;0,R19-BQ19+BS19,0)</f>
        <v>0</v>
      </c>
      <c r="BW19" s="110" t="n">
        <f aca="false">+BQ19+BU19</f>
        <v>0</v>
      </c>
      <c r="BY19" s="110" t="n">
        <f aca="false">+R19-BW19</f>
        <v>0</v>
      </c>
      <c r="BZ19" s="110"/>
    </row>
    <row r="20" customFormat="false" ht="12.75" hidden="true" customHeight="false" outlineLevel="0" collapsed="false">
      <c r="A20" s="164"/>
      <c r="B20" s="161"/>
      <c r="E20" s="119"/>
      <c r="G20" s="119"/>
      <c r="I20" s="119"/>
      <c r="J20" s="120" t="s">
        <v>141</v>
      </c>
      <c r="L20" s="163"/>
      <c r="M20" s="110"/>
      <c r="O20" s="110"/>
      <c r="Q20" s="110"/>
      <c r="S20" s="110"/>
      <c r="T20" s="110"/>
      <c r="U20" s="110"/>
      <c r="V20" s="110"/>
      <c r="X20" s="110"/>
      <c r="Z20" s="110"/>
      <c r="AB20" s="110"/>
      <c r="AD20" s="110"/>
      <c r="AI20" s="119"/>
      <c r="BJ20" s="110"/>
      <c r="BM20" s="110"/>
      <c r="BO20" s="110"/>
      <c r="BP20" s="110"/>
      <c r="BQ20" s="110" t="n">
        <f aca="false">SUM(T20:BP20)</f>
        <v>0</v>
      </c>
      <c r="BS20" s="110"/>
      <c r="BU20" s="110" t="n">
        <f aca="false">IF(+R20-BQ20+BS20&gt;0,R20-BQ20+BS20,0)</f>
        <v>0</v>
      </c>
      <c r="BW20" s="110" t="n">
        <f aca="false">+BQ20+BU20</f>
        <v>0</v>
      </c>
      <c r="BY20" s="110" t="n">
        <f aca="false">+R20-BW20</f>
        <v>0</v>
      </c>
      <c r="BZ20" s="110"/>
    </row>
    <row r="21" customFormat="false" ht="12.75" hidden="true" customHeight="false" outlineLevel="0" collapsed="false">
      <c r="A21" s="164"/>
      <c r="B21" s="161" t="s">
        <v>168</v>
      </c>
      <c r="E21" s="119"/>
      <c r="G21" s="119"/>
      <c r="I21" s="119"/>
      <c r="J21" s="120" t="s">
        <v>141</v>
      </c>
      <c r="L21" s="163" t="s">
        <v>151</v>
      </c>
      <c r="M21" s="110"/>
      <c r="N21" s="110" t="n">
        <v>0</v>
      </c>
      <c r="O21" s="110"/>
      <c r="P21" s="110" t="n">
        <v>0</v>
      </c>
      <c r="Q21" s="110"/>
      <c r="R21" s="110" t="n">
        <f aca="false">+N21+P21</f>
        <v>0</v>
      </c>
      <c r="S21" s="110"/>
      <c r="T21" s="110" t="n">
        <v>0</v>
      </c>
      <c r="U21" s="110"/>
      <c r="V21" s="110" t="n">
        <v>0</v>
      </c>
      <c r="X21" s="110" t="n">
        <v>0</v>
      </c>
      <c r="Z21" s="110" t="n">
        <v>0</v>
      </c>
      <c r="AB21" s="110" t="n">
        <v>0</v>
      </c>
      <c r="AD21" s="110" t="n">
        <v>0</v>
      </c>
      <c r="AF21" s="110" t="n">
        <v>0</v>
      </c>
      <c r="AH21" s="110" t="n">
        <v>0</v>
      </c>
      <c r="AI21" s="119"/>
      <c r="AJ21" s="110" t="n">
        <v>0</v>
      </c>
      <c r="AL21" s="110" t="n">
        <v>0</v>
      </c>
      <c r="AN21" s="110" t="n">
        <v>0</v>
      </c>
      <c r="AP21" s="110" t="n">
        <v>0</v>
      </c>
      <c r="AR21" s="110" t="n">
        <v>0</v>
      </c>
      <c r="AT21" s="110" t="n">
        <v>0</v>
      </c>
      <c r="AV21" s="110" t="n">
        <v>0</v>
      </c>
      <c r="AX21" s="110" t="n">
        <v>0</v>
      </c>
      <c r="AZ21" s="110" t="n">
        <v>0</v>
      </c>
      <c r="BB21" s="110" t="n">
        <v>0</v>
      </c>
      <c r="BD21" s="110" t="n">
        <v>0</v>
      </c>
      <c r="BF21" s="110" t="n">
        <v>0</v>
      </c>
      <c r="BH21" s="110" t="n">
        <v>0</v>
      </c>
      <c r="BJ21" s="110" t="n">
        <v>0</v>
      </c>
      <c r="BM21" s="110" t="n">
        <v>0</v>
      </c>
      <c r="BO21" s="110" t="n">
        <v>0</v>
      </c>
      <c r="BP21" s="110"/>
      <c r="BQ21" s="110" t="n">
        <f aca="false">SUM(T21:BP21)</f>
        <v>0</v>
      </c>
      <c r="BS21" s="110" t="n">
        <v>0</v>
      </c>
      <c r="BU21" s="110" t="n">
        <f aca="false">IF(+R21-BQ21+BS21&gt;0,R21-BQ21+BS21,0)</f>
        <v>0</v>
      </c>
      <c r="BW21" s="110" t="n">
        <f aca="false">+BQ21+BU21</f>
        <v>0</v>
      </c>
      <c r="BY21" s="110" t="n">
        <f aca="false">+R21-BW21</f>
        <v>0</v>
      </c>
      <c r="BZ21" s="110"/>
    </row>
    <row r="22" customFormat="false" ht="12.75" hidden="true" customHeight="false" outlineLevel="0" collapsed="false">
      <c r="A22" s="164"/>
      <c r="B22" s="161" t="s">
        <v>169</v>
      </c>
      <c r="E22" s="119"/>
      <c r="G22" s="119"/>
      <c r="I22" s="119"/>
      <c r="J22" s="120" t="s">
        <v>141</v>
      </c>
      <c r="L22" s="163" t="s">
        <v>151</v>
      </c>
      <c r="M22" s="110"/>
      <c r="N22" s="110" t="n">
        <v>0</v>
      </c>
      <c r="O22" s="110"/>
      <c r="P22" s="110" t="n">
        <v>0</v>
      </c>
      <c r="Q22" s="110"/>
      <c r="R22" s="110" t="n">
        <f aca="false">+N22+P22</f>
        <v>0</v>
      </c>
      <c r="S22" s="110"/>
      <c r="T22" s="110" t="n">
        <v>0</v>
      </c>
      <c r="U22" s="110"/>
      <c r="V22" s="110" t="n">
        <v>0</v>
      </c>
      <c r="X22" s="110" t="n">
        <v>0</v>
      </c>
      <c r="Z22" s="110" t="n">
        <v>0</v>
      </c>
      <c r="AB22" s="110" t="n">
        <v>0</v>
      </c>
      <c r="AD22" s="110" t="n">
        <v>0</v>
      </c>
      <c r="AF22" s="110" t="n">
        <v>0</v>
      </c>
      <c r="AH22" s="110" t="n">
        <v>0</v>
      </c>
      <c r="AI22" s="119"/>
      <c r="AJ22" s="110" t="n">
        <v>0</v>
      </c>
      <c r="AL22" s="110" t="n">
        <v>0</v>
      </c>
      <c r="AN22" s="110" t="n">
        <v>0</v>
      </c>
      <c r="AP22" s="110" t="n">
        <v>0</v>
      </c>
      <c r="AR22" s="110" t="n">
        <v>0</v>
      </c>
      <c r="AT22" s="110" t="n">
        <v>0</v>
      </c>
      <c r="AV22" s="110" t="n">
        <v>0</v>
      </c>
      <c r="AX22" s="110" t="n">
        <v>0</v>
      </c>
      <c r="AZ22" s="110" t="n">
        <v>0</v>
      </c>
      <c r="BB22" s="110" t="n">
        <v>0</v>
      </c>
      <c r="BD22" s="110" t="n">
        <v>0</v>
      </c>
      <c r="BF22" s="110" t="n">
        <v>0</v>
      </c>
      <c r="BH22" s="110" t="n">
        <v>0</v>
      </c>
      <c r="BJ22" s="110" t="n">
        <v>0</v>
      </c>
      <c r="BM22" s="110" t="n">
        <v>0</v>
      </c>
      <c r="BO22" s="110" t="n">
        <v>0</v>
      </c>
      <c r="BP22" s="110"/>
      <c r="BQ22" s="110" t="n">
        <f aca="false">SUM(T22:BP22)</f>
        <v>0</v>
      </c>
      <c r="BS22" s="110" t="n">
        <v>0</v>
      </c>
      <c r="BU22" s="110" t="n">
        <f aca="false">IF(+R22-BQ22+BS22&gt;0,R22-BQ22+BS22,0)</f>
        <v>0</v>
      </c>
      <c r="BW22" s="110" t="n">
        <f aca="false">+BQ22+BU22</f>
        <v>0</v>
      </c>
      <c r="BY22" s="110" t="n">
        <f aca="false">+R22-BW22</f>
        <v>0</v>
      </c>
      <c r="BZ22" s="110"/>
    </row>
    <row r="23" customFormat="false" ht="12.75" hidden="true" customHeight="false" outlineLevel="0" collapsed="false">
      <c r="A23" s="164"/>
      <c r="B23" s="161" t="s">
        <v>170</v>
      </c>
      <c r="E23" s="119"/>
      <c r="G23" s="119"/>
      <c r="I23" s="119"/>
      <c r="J23" s="120" t="s">
        <v>141</v>
      </c>
      <c r="L23" s="163" t="s">
        <v>151</v>
      </c>
      <c r="M23" s="110"/>
      <c r="N23" s="110" t="n">
        <v>0</v>
      </c>
      <c r="O23" s="110"/>
      <c r="P23" s="110" t="n">
        <v>0</v>
      </c>
      <c r="Q23" s="110"/>
      <c r="R23" s="110" t="n">
        <f aca="false">+N23+P23</f>
        <v>0</v>
      </c>
      <c r="S23" s="110"/>
      <c r="T23" s="110" t="n">
        <v>0</v>
      </c>
      <c r="U23" s="110"/>
      <c r="V23" s="110" t="n">
        <v>0</v>
      </c>
      <c r="X23" s="110" t="n">
        <v>0</v>
      </c>
      <c r="Z23" s="110" t="n">
        <v>0</v>
      </c>
      <c r="AB23" s="110" t="n">
        <v>0</v>
      </c>
      <c r="AD23" s="110" t="n">
        <v>0</v>
      </c>
      <c r="AF23" s="110" t="n">
        <v>0</v>
      </c>
      <c r="AH23" s="110" t="n">
        <v>0</v>
      </c>
      <c r="AI23" s="119"/>
      <c r="AJ23" s="110" t="n">
        <v>0</v>
      </c>
      <c r="AL23" s="110" t="n">
        <v>0</v>
      </c>
      <c r="AN23" s="110" t="n">
        <v>0</v>
      </c>
      <c r="AP23" s="110" t="n">
        <v>0</v>
      </c>
      <c r="AR23" s="110" t="n">
        <v>0</v>
      </c>
      <c r="AT23" s="110" t="n">
        <v>0</v>
      </c>
      <c r="AV23" s="110" t="n">
        <v>0</v>
      </c>
      <c r="AX23" s="110" t="n">
        <v>0</v>
      </c>
      <c r="AZ23" s="110" t="n">
        <v>0</v>
      </c>
      <c r="BB23" s="110" t="n">
        <v>0</v>
      </c>
      <c r="BD23" s="110" t="n">
        <v>0</v>
      </c>
      <c r="BF23" s="110" t="n">
        <v>0</v>
      </c>
      <c r="BH23" s="110" t="n">
        <v>0</v>
      </c>
      <c r="BJ23" s="110" t="n">
        <v>0</v>
      </c>
      <c r="BM23" s="110" t="n">
        <v>0</v>
      </c>
      <c r="BO23" s="110" t="n">
        <v>0</v>
      </c>
      <c r="BP23" s="110"/>
      <c r="BQ23" s="110" t="n">
        <f aca="false">SUM(T23:BP23)</f>
        <v>0</v>
      </c>
      <c r="BS23" s="110" t="n">
        <v>0</v>
      </c>
      <c r="BU23" s="110" t="n">
        <f aca="false">IF(+R23-BQ23+BS23&gt;0,R23-BQ23+BS23,0)</f>
        <v>0</v>
      </c>
      <c r="BW23" s="110" t="n">
        <f aca="false">+BQ23+BU23</f>
        <v>0</v>
      </c>
      <c r="BY23" s="110" t="n">
        <f aca="false">+R23-BW23</f>
        <v>0</v>
      </c>
      <c r="BZ23" s="110"/>
    </row>
    <row r="24" customFormat="false" ht="12.75" hidden="true" customHeight="false" outlineLevel="0" collapsed="false">
      <c r="A24" s="164"/>
      <c r="B24" s="161" t="s">
        <v>171</v>
      </c>
      <c r="E24" s="119"/>
      <c r="G24" s="119"/>
      <c r="I24" s="119"/>
      <c r="J24" s="120" t="s">
        <v>141</v>
      </c>
      <c r="L24" s="163" t="s">
        <v>151</v>
      </c>
      <c r="M24" s="110"/>
      <c r="N24" s="110" t="n">
        <v>0</v>
      </c>
      <c r="O24" s="110"/>
      <c r="P24" s="110" t="n">
        <v>0</v>
      </c>
      <c r="Q24" s="110"/>
      <c r="R24" s="110" t="n">
        <f aca="false">+N24+P24</f>
        <v>0</v>
      </c>
      <c r="S24" s="110"/>
      <c r="T24" s="110" t="n">
        <v>0</v>
      </c>
      <c r="U24" s="110"/>
      <c r="V24" s="110" t="n">
        <v>0</v>
      </c>
      <c r="X24" s="110" t="n">
        <v>0</v>
      </c>
      <c r="Z24" s="110" t="n">
        <v>0</v>
      </c>
      <c r="AB24" s="110" t="n">
        <v>0</v>
      </c>
      <c r="AD24" s="110" t="n">
        <v>0</v>
      </c>
      <c r="AF24" s="110" t="n">
        <v>0</v>
      </c>
      <c r="AH24" s="110" t="n">
        <v>0</v>
      </c>
      <c r="AI24" s="119"/>
      <c r="AJ24" s="110" t="n">
        <v>0</v>
      </c>
      <c r="AL24" s="110" t="n">
        <v>0</v>
      </c>
      <c r="AN24" s="110" t="n">
        <v>0</v>
      </c>
      <c r="AP24" s="110" t="n">
        <v>0</v>
      </c>
      <c r="AR24" s="110" t="n">
        <v>0</v>
      </c>
      <c r="AT24" s="110" t="n">
        <v>0</v>
      </c>
      <c r="AV24" s="110" t="n">
        <v>0</v>
      </c>
      <c r="AX24" s="110" t="n">
        <v>0</v>
      </c>
      <c r="AZ24" s="110" t="n">
        <v>0</v>
      </c>
      <c r="BB24" s="110" t="n">
        <v>0</v>
      </c>
      <c r="BD24" s="110" t="n">
        <v>0</v>
      </c>
      <c r="BF24" s="110" t="n">
        <v>0</v>
      </c>
      <c r="BH24" s="110" t="n">
        <v>0</v>
      </c>
      <c r="BJ24" s="110" t="n">
        <v>0</v>
      </c>
      <c r="BM24" s="110" t="n">
        <v>0</v>
      </c>
      <c r="BO24" s="110" t="n">
        <v>0</v>
      </c>
      <c r="BP24" s="110"/>
      <c r="BQ24" s="110" t="n">
        <f aca="false">SUM(T24:BP24)</f>
        <v>0</v>
      </c>
      <c r="BS24" s="110" t="n">
        <v>0</v>
      </c>
      <c r="BU24" s="110" t="n">
        <f aca="false">IF(+R24-BQ24+BS24&gt;0,R24-BQ24+BS24,0)</f>
        <v>0</v>
      </c>
      <c r="BW24" s="110" t="n">
        <f aca="false">+BQ24+BU24</f>
        <v>0</v>
      </c>
      <c r="BY24" s="110" t="n">
        <f aca="false">+R24-BW24</f>
        <v>0</v>
      </c>
      <c r="BZ24" s="110"/>
    </row>
    <row r="25" customFormat="false" ht="12.75" hidden="true" customHeight="false" outlineLevel="0" collapsed="false">
      <c r="A25" s="164"/>
      <c r="B25" s="161" t="s">
        <v>172</v>
      </c>
      <c r="E25" s="119"/>
      <c r="G25" s="119"/>
      <c r="I25" s="119"/>
      <c r="J25" s="120" t="s">
        <v>141</v>
      </c>
      <c r="L25" s="163" t="s">
        <v>151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I25" s="119"/>
      <c r="AJ25" s="110" t="n">
        <v>0</v>
      </c>
      <c r="AL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M25" s="110" t="n">
        <v>0</v>
      </c>
      <c r="BO25" s="110" t="n">
        <v>0</v>
      </c>
      <c r="BP25" s="110"/>
      <c r="BQ25" s="110" t="n">
        <f aca="false">SUM(T25:BP25)</f>
        <v>0</v>
      </c>
      <c r="BS25" s="110" t="n">
        <v>0</v>
      </c>
      <c r="BU25" s="110" t="n">
        <f aca="false">IF(+R25-BQ25+BS25&gt;0,R25-BQ25+BS25,0)</f>
        <v>0</v>
      </c>
      <c r="BW25" s="110" t="n">
        <f aca="false">+BQ25+BU25</f>
        <v>0</v>
      </c>
      <c r="BY25" s="110" t="n">
        <f aca="false">+R25-BW25</f>
        <v>0</v>
      </c>
      <c r="BZ25" s="110"/>
    </row>
    <row r="26" customFormat="false" ht="12.75" hidden="true" customHeight="false" outlineLevel="0" collapsed="false">
      <c r="A26" s="166"/>
      <c r="B26" s="161" t="s">
        <v>173</v>
      </c>
      <c r="E26" s="119"/>
      <c r="G26" s="119"/>
      <c r="I26" s="119"/>
      <c r="J26" s="120" t="s">
        <v>141</v>
      </c>
      <c r="L26" s="163" t="s">
        <v>151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I26" s="119"/>
      <c r="AJ26" s="110" t="n">
        <v>0</v>
      </c>
      <c r="AL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M26" s="110" t="n">
        <v>0</v>
      </c>
      <c r="BO26" s="110" t="n">
        <v>0</v>
      </c>
      <c r="BP26" s="110"/>
      <c r="BQ26" s="110" t="n">
        <f aca="false">SUM(T26:BP26)</f>
        <v>0</v>
      </c>
      <c r="BS26" s="110" t="n">
        <v>0</v>
      </c>
      <c r="BU26" s="110" t="n">
        <f aca="false">IF(+R26-BQ26+BS26&gt;0,R26-BQ26+BS26,0)</f>
        <v>0</v>
      </c>
      <c r="BW26" s="110" t="n">
        <f aca="false">+BQ26+BU26</f>
        <v>0</v>
      </c>
      <c r="BY26" s="110" t="n">
        <f aca="false">+R26-BW26</f>
        <v>0</v>
      </c>
      <c r="BZ26" s="110"/>
    </row>
    <row r="27" customFormat="false" ht="12.75" hidden="true" customHeight="false" outlineLevel="0" collapsed="false">
      <c r="A27" s="166"/>
      <c r="B27" s="161" t="s">
        <v>174</v>
      </c>
      <c r="E27" s="119"/>
      <c r="G27" s="119"/>
      <c r="I27" s="119"/>
      <c r="J27" s="120" t="s">
        <v>141</v>
      </c>
      <c r="L27" s="163" t="s">
        <v>151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I27" s="119"/>
      <c r="AJ27" s="110" t="n">
        <v>0</v>
      </c>
      <c r="AL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M27" s="110" t="n">
        <v>0</v>
      </c>
      <c r="BO27" s="110" t="n">
        <v>0</v>
      </c>
      <c r="BP27" s="110"/>
      <c r="BQ27" s="110" t="n">
        <f aca="false">SUM(T27:BP27)</f>
        <v>0</v>
      </c>
      <c r="BS27" s="110" t="n">
        <v>0</v>
      </c>
      <c r="BU27" s="110" t="n">
        <f aca="false">IF(+R27-BQ27+BS27&gt;0,R27-BQ27+BS27,0)</f>
        <v>0</v>
      </c>
      <c r="BW27" s="110" t="n">
        <f aca="false">+BQ27+BU27</f>
        <v>0</v>
      </c>
      <c r="BY27" s="110" t="n">
        <f aca="false">+R27-BW27</f>
        <v>0</v>
      </c>
      <c r="BZ27" s="110"/>
    </row>
    <row r="28" customFormat="false" ht="12.75" hidden="true" customHeight="false" outlineLevel="0" collapsed="false">
      <c r="A28" s="164"/>
      <c r="B28" s="161" t="s">
        <v>175</v>
      </c>
      <c r="C28" s="118"/>
      <c r="D28" s="118"/>
      <c r="E28" s="118"/>
      <c r="F28" s="118"/>
      <c r="G28" s="118"/>
      <c r="H28" s="118"/>
      <c r="I28" s="118"/>
      <c r="J28" s="120" t="s">
        <v>141</v>
      </c>
      <c r="K28" s="118"/>
      <c r="L28" s="163" t="s">
        <v>151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I28" s="119"/>
      <c r="AJ28" s="110" t="n">
        <v>0</v>
      </c>
      <c r="AL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M28" s="110" t="n">
        <v>0</v>
      </c>
      <c r="BO28" s="110" t="n">
        <v>0</v>
      </c>
      <c r="BP28" s="110"/>
      <c r="BQ28" s="110" t="n">
        <f aca="false">SUM(T28:BP28)</f>
        <v>0</v>
      </c>
      <c r="BS28" s="110" t="n">
        <v>0</v>
      </c>
      <c r="BU28" s="110" t="n">
        <f aca="false">IF(+R28-BQ28+BS28&gt;0,R28-BQ28+BS28,0)</f>
        <v>0</v>
      </c>
      <c r="BW28" s="110" t="n">
        <f aca="false">+BQ28+BU28</f>
        <v>0</v>
      </c>
      <c r="BY28" s="110" t="n">
        <f aca="false">+R28-BW28</f>
        <v>0</v>
      </c>
      <c r="BZ28" s="110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  <c r="IW28" s="118"/>
    </row>
    <row r="29" customFormat="false" ht="12.75" hidden="false" customHeight="false" outlineLevel="0" collapsed="false">
      <c r="A29" s="164"/>
      <c r="B29" s="161" t="s">
        <v>128</v>
      </c>
      <c r="E29" s="119"/>
      <c r="G29" s="119"/>
      <c r="I29" s="119"/>
      <c r="J29" s="120" t="s">
        <v>141</v>
      </c>
      <c r="L29" s="163" t="s">
        <v>151</v>
      </c>
      <c r="M29" s="110"/>
      <c r="N29" s="110" t="n">
        <v>0</v>
      </c>
      <c r="O29" s="110"/>
      <c r="P29" s="110" t="n">
        <v>0</v>
      </c>
      <c r="Q29" s="110"/>
      <c r="R29" s="110" t="n"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/>
      <c r="AF29" s="110" t="n">
        <v>0</v>
      </c>
      <c r="AH29" s="110" t="n">
        <v>0</v>
      </c>
      <c r="AI29" s="119"/>
      <c r="AJ29" s="110" t="n">
        <v>0</v>
      </c>
      <c r="AL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M29" s="110" t="n">
        <v>0</v>
      </c>
      <c r="BO29" s="110" t="n">
        <v>0</v>
      </c>
      <c r="BP29" s="110"/>
      <c r="BQ29" s="110" t="n">
        <f aca="false">SUM(T29:BP29)</f>
        <v>0</v>
      </c>
      <c r="BS29" s="110" t="n">
        <v>0</v>
      </c>
      <c r="BU29" s="110" t="n">
        <f aca="false">IF(+R29-BQ29+BS29&gt;0,R29-BQ29+BS29,0)</f>
        <v>0</v>
      </c>
      <c r="BW29" s="110" t="n">
        <f aca="false">+BQ29+BU29</f>
        <v>0</v>
      </c>
      <c r="BY29" s="110" t="n">
        <f aca="false">+R29-BW29</f>
        <v>0</v>
      </c>
      <c r="BZ29" s="110"/>
    </row>
    <row r="30" customFormat="false" ht="12.75" hidden="false" customHeight="false" outlineLevel="0" collapsed="false">
      <c r="A30" s="164"/>
      <c r="B30" s="161"/>
      <c r="E30" s="119"/>
      <c r="G30" s="119"/>
      <c r="I30" s="119"/>
      <c r="L30" s="163"/>
      <c r="M30" s="110"/>
      <c r="O30" s="110"/>
      <c r="Q30" s="110"/>
      <c r="S30" s="110"/>
      <c r="T30" s="110"/>
      <c r="U30" s="110"/>
      <c r="V30" s="110"/>
      <c r="X30" s="110"/>
      <c r="Z30" s="110"/>
      <c r="AB30" s="110"/>
      <c r="AD30" s="110"/>
      <c r="AI30" s="119"/>
      <c r="BJ30" s="110"/>
      <c r="BM30" s="110"/>
      <c r="BO30" s="110"/>
      <c r="BP30" s="110"/>
      <c r="BS30" s="110"/>
      <c r="BU30" s="110" t="n">
        <f aca="false">IF(+R30-BQ30+BS30&gt;0,R30-BQ30+BS30,0)</f>
        <v>0</v>
      </c>
      <c r="BW30" s="110" t="n">
        <f aca="false">+BQ30+BU30</f>
        <v>0</v>
      </c>
      <c r="BY30" s="110" t="n">
        <f aca="false">+R30-BW30</f>
        <v>0</v>
      </c>
      <c r="BZ30" s="110"/>
    </row>
    <row r="31" customFormat="false" ht="12.75" hidden="false" customHeight="false" outlineLevel="0" collapsed="false">
      <c r="A31" s="164"/>
      <c r="B31" s="161" t="s">
        <v>176</v>
      </c>
      <c r="E31" s="119"/>
      <c r="G31" s="119"/>
      <c r="I31" s="119"/>
      <c r="L31" s="163"/>
      <c r="M31" s="110"/>
      <c r="N31" s="165" t="n">
        <f aca="false">SUM(N14:N30)</f>
        <v>0</v>
      </c>
      <c r="O31" s="110"/>
      <c r="P31" s="165" t="n">
        <f aca="false">SUM(P14:P30)</f>
        <v>0</v>
      </c>
      <c r="Q31" s="110"/>
      <c r="R31" s="165" t="n">
        <f aca="false">SUM(R14:R30)</f>
        <v>5878600</v>
      </c>
      <c r="S31" s="110"/>
      <c r="T31" s="165" t="n">
        <f aca="false">SUM(T14:T30)</f>
        <v>0</v>
      </c>
      <c r="U31" s="110"/>
      <c r="V31" s="165" t="n">
        <f aca="false">SUM(V14:V30)</f>
        <v>1250000</v>
      </c>
      <c r="X31" s="165" t="n">
        <f aca="false">SUM(X14:X30)</f>
        <v>0</v>
      </c>
      <c r="Z31" s="165" t="n">
        <f aca="false">SUM(Z14:Z30)</f>
        <v>0</v>
      </c>
      <c r="AB31" s="165" t="n">
        <f aca="false">SUM(AB14:AB30)</f>
        <v>0</v>
      </c>
      <c r="AD31" s="165" t="n">
        <f aca="false">SUM(AD14:AD30)</f>
        <v>0</v>
      </c>
      <c r="AF31" s="165" t="n">
        <f aca="false">SUM(AF14:AF30)</f>
        <v>0</v>
      </c>
      <c r="AH31" s="165" t="n">
        <f aca="false">SUM(AH14:AH30)</f>
        <v>-74270.4</v>
      </c>
      <c r="AI31" s="119"/>
      <c r="AJ31" s="165" t="n">
        <f aca="false">SUM(AJ14:AJ30)</f>
        <v>7480</v>
      </c>
      <c r="AL31" s="165" t="n">
        <f aca="false">SUM(AL14:AL30)</f>
        <v>0</v>
      </c>
      <c r="AN31" s="165" t="n">
        <f aca="false">SUM(AN14:AN30)</f>
        <v>1774814.4</v>
      </c>
      <c r="AP31" s="165" t="n">
        <f aca="false">SUM(AP14:AP30)</f>
        <v>0</v>
      </c>
      <c r="AR31" s="165" t="n">
        <f aca="false">SUM(AR14:AR30)</f>
        <v>1774814.4</v>
      </c>
      <c r="AT31" s="165" t="n">
        <f aca="false">SUM(AT14:AT30)</f>
        <v>591604.8</v>
      </c>
      <c r="AV31" s="165" t="n">
        <f aca="false">SUM(AV14:AV30)</f>
        <v>0</v>
      </c>
      <c r="AX31" s="165" t="n">
        <f aca="false">SUM(AX14:AX30)</f>
        <v>0</v>
      </c>
      <c r="AZ31" s="165" t="n">
        <f aca="false">SUM(AZ14:AZ30)</f>
        <v>427250</v>
      </c>
      <c r="BB31" s="165" t="n">
        <f aca="false">SUM(BB14:BB30)</f>
        <v>590954.8</v>
      </c>
      <c r="BD31" s="165" t="n">
        <f aca="false">SUM(BD14:BD30)</f>
        <v>0</v>
      </c>
      <c r="BF31" s="165" t="n">
        <f aca="false">SUM(BF14:BF30)</f>
        <v>0</v>
      </c>
      <c r="BH31" s="165" t="n">
        <f aca="false">SUM(BH14:BH30)</f>
        <v>0</v>
      </c>
      <c r="BJ31" s="165" t="n">
        <f aca="false">SUM(BJ14:BJ30)</f>
        <v>0</v>
      </c>
      <c r="BM31" s="165" t="n">
        <f aca="false">SUM(BM14:BM30)</f>
        <v>0</v>
      </c>
      <c r="BO31" s="165" t="n">
        <f aca="false">SUM(BO14:BO30)</f>
        <v>0</v>
      </c>
      <c r="BP31" s="165"/>
      <c r="BQ31" s="165" t="n">
        <f aca="false">SUM(BQ14:BQ30)</f>
        <v>6342648</v>
      </c>
      <c r="BR31" s="165"/>
      <c r="BS31" s="165" t="n">
        <f aca="false">SUM(BS14:BS30)</f>
        <v>464698</v>
      </c>
      <c r="BU31" s="165" t="n">
        <f aca="false">SUM(BU14:BU30)</f>
        <v>0</v>
      </c>
      <c r="BW31" s="165" t="n">
        <f aca="false">SUM(BW14:BW30)</f>
        <v>6342648</v>
      </c>
      <c r="BY31" s="165" t="n">
        <f aca="false">SUM(BY14:BY30)</f>
        <v>-464048</v>
      </c>
      <c r="BZ31" s="110"/>
    </row>
    <row r="32" customFormat="false" ht="12.75" hidden="false" customHeight="false" outlineLevel="0" collapsed="false">
      <c r="A32" s="164"/>
      <c r="B32" s="161"/>
      <c r="E32" s="119"/>
      <c r="G32" s="119"/>
      <c r="I32" s="119"/>
      <c r="L32" s="163"/>
      <c r="M32" s="110"/>
      <c r="O32" s="110"/>
      <c r="Q32" s="110"/>
      <c r="S32" s="110"/>
      <c r="T32" s="110"/>
      <c r="U32" s="110"/>
      <c r="V32" s="110"/>
      <c r="X32" s="110"/>
      <c r="Z32" s="110"/>
      <c r="AB32" s="110"/>
      <c r="AD32" s="110"/>
      <c r="AI32" s="119"/>
      <c r="BJ32" s="110"/>
      <c r="BM32" s="110"/>
      <c r="BO32" s="110"/>
      <c r="BP32" s="110"/>
      <c r="BS32" s="110"/>
      <c r="BZ32" s="110"/>
    </row>
    <row r="33" customFormat="false" ht="12.75" hidden="false" customHeight="false" outlineLevel="0" collapsed="false">
      <c r="A33" s="167"/>
      <c r="B33" s="168" t="s">
        <v>177</v>
      </c>
      <c r="C33" s="169"/>
      <c r="D33" s="169"/>
      <c r="E33" s="169"/>
      <c r="F33" s="169"/>
      <c r="G33" s="169"/>
      <c r="H33" s="169"/>
      <c r="I33" s="169"/>
      <c r="J33" s="170"/>
      <c r="K33" s="169"/>
      <c r="L33" s="171"/>
      <c r="M33" s="172"/>
      <c r="N33" s="172" t="n">
        <f aca="false">+N31+N12</f>
        <v>93330000</v>
      </c>
      <c r="O33" s="172"/>
      <c r="P33" s="172" t="n">
        <f aca="false">+P31+P12</f>
        <v>0</v>
      </c>
      <c r="Q33" s="172"/>
      <c r="R33" s="172" t="n">
        <f aca="false">+R31+R12</f>
        <v>146111540</v>
      </c>
      <c r="S33" s="172"/>
      <c r="T33" s="172" t="n">
        <f aca="false">+T31+T12</f>
        <v>6800000</v>
      </c>
      <c r="U33" s="172"/>
      <c r="V33" s="172" t="n">
        <f aca="false">+V31+V12</f>
        <v>1250000</v>
      </c>
      <c r="W33" s="172"/>
      <c r="X33" s="172" t="n">
        <f aca="false">+X31+X12</f>
        <v>32884800</v>
      </c>
      <c r="Y33" s="172"/>
      <c r="Z33" s="172" t="n">
        <f aca="false">+Z31+Z12</f>
        <v>0</v>
      </c>
      <c r="AA33" s="172"/>
      <c r="AB33" s="172" t="n">
        <f aca="false">+AB31+AB12</f>
        <v>0</v>
      </c>
      <c r="AC33" s="172"/>
      <c r="AD33" s="172" t="n">
        <f aca="false">+AD31+AD12</f>
        <v>18310527</v>
      </c>
      <c r="AE33" s="172"/>
      <c r="AF33" s="172" t="n">
        <f aca="false">+AF31+AF12</f>
        <v>6800000</v>
      </c>
      <c r="AG33" s="172"/>
      <c r="AH33" s="172" t="n">
        <f aca="false">+AH31+AH12</f>
        <v>5150873.04</v>
      </c>
      <c r="AI33" s="119"/>
      <c r="AJ33" s="172" t="n">
        <f aca="false">+AJ31+AJ12</f>
        <v>6160327</v>
      </c>
      <c r="AL33" s="172" t="n">
        <f aca="false">+AL31+AL12</f>
        <v>6924847</v>
      </c>
      <c r="AN33" s="172" t="n">
        <f aca="false">+AN31+AN12</f>
        <v>8699661.4</v>
      </c>
      <c r="AO33" s="172"/>
      <c r="AP33" s="172" t="n">
        <f aca="false">+AP31+AP12</f>
        <v>6924847</v>
      </c>
      <c r="AQ33" s="172"/>
      <c r="AR33" s="172" t="n">
        <f aca="false">+AR31+AR12</f>
        <v>26462958.03</v>
      </c>
      <c r="AS33" s="172"/>
      <c r="AT33" s="172" t="n">
        <f aca="false">+AT31+AT12</f>
        <v>591604.8</v>
      </c>
      <c r="AU33" s="172"/>
      <c r="AV33" s="172" t="n">
        <f aca="false">+AV31+AV12</f>
        <v>13325691.37</v>
      </c>
      <c r="AW33" s="172"/>
      <c r="AX33" s="172" t="n">
        <f aca="false">+AX31+AX12</f>
        <v>7103247</v>
      </c>
      <c r="AY33" s="172"/>
      <c r="AZ33" s="172" t="n">
        <f aca="false">+AZ31+AZ12</f>
        <v>427250</v>
      </c>
      <c r="BA33" s="172"/>
      <c r="BB33" s="172" t="n">
        <f aca="false">+BB31+BB12</f>
        <v>590954.8</v>
      </c>
      <c r="BC33" s="172"/>
      <c r="BD33" s="172" t="n">
        <f aca="false">+BD31+BD12</f>
        <v>0</v>
      </c>
      <c r="BF33" s="172" t="n">
        <f aca="false">+BF31+BF12</f>
        <v>0</v>
      </c>
      <c r="BH33" s="172" t="n">
        <f aca="false">+BH31+BH12</f>
        <v>0</v>
      </c>
      <c r="BJ33" s="172" t="n">
        <f aca="false">+BJ31+BJ12</f>
        <v>0</v>
      </c>
      <c r="BM33" s="172" t="n">
        <f aca="false">+BM31+BM12</f>
        <v>0</v>
      </c>
      <c r="BO33" s="172" t="n">
        <f aca="false">+BO31+BO12</f>
        <v>0</v>
      </c>
      <c r="BP33" s="172"/>
      <c r="BQ33" s="172" t="n">
        <f aca="false">+BQ31+BQ12</f>
        <v>148407588.44</v>
      </c>
      <c r="BR33" s="172"/>
      <c r="BS33" s="172" t="n">
        <f aca="false">+BS31+BS12</f>
        <v>2104698</v>
      </c>
      <c r="BU33" s="172" t="n">
        <f aca="false">+BU31+BU12</f>
        <v>0</v>
      </c>
      <c r="BV33" s="172"/>
      <c r="BW33" s="172" t="n">
        <f aca="false">+BW31+BW12</f>
        <v>148407588.44</v>
      </c>
      <c r="BX33" s="172"/>
      <c r="BY33" s="172" t="n">
        <f aca="false">+BY31+BY12</f>
        <v>-2296048.44</v>
      </c>
      <c r="BZ33" s="172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</row>
    <row r="34" customFormat="false" ht="12.75" hidden="false" customHeight="false" outlineLevel="0" collapsed="false">
      <c r="A34" s="164"/>
      <c r="B34" s="173"/>
      <c r="E34" s="119"/>
      <c r="G34" s="119"/>
      <c r="I34" s="119"/>
      <c r="L34" s="163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AI34" s="119"/>
      <c r="BJ34" s="110"/>
      <c r="BM34" s="110"/>
      <c r="BO34" s="110"/>
      <c r="BP34" s="110"/>
      <c r="BS34" s="110"/>
      <c r="BZ34" s="110"/>
    </row>
    <row r="35" customFormat="false" ht="12.75" hidden="false" customHeight="false" outlineLevel="0" collapsed="false">
      <c r="A35" s="164"/>
      <c r="B35" s="161"/>
      <c r="E35" s="119"/>
      <c r="G35" s="119"/>
      <c r="I35" s="119"/>
      <c r="L35" s="163"/>
      <c r="M35" s="110"/>
      <c r="O35" s="110"/>
      <c r="Q35" s="110"/>
      <c r="S35" s="110"/>
      <c r="T35" s="110"/>
      <c r="U35" s="110"/>
      <c r="V35" s="110"/>
      <c r="X35" s="110"/>
      <c r="Z35" s="110"/>
      <c r="AB35" s="110"/>
      <c r="AD35" s="110"/>
      <c r="AI35" s="119"/>
      <c r="BJ35" s="110"/>
      <c r="BM35" s="110"/>
      <c r="BO35" s="110"/>
      <c r="BP35" s="110"/>
      <c r="BS35" s="110"/>
      <c r="BZ35" s="110"/>
    </row>
    <row r="36" customFormat="false" ht="12.75" hidden="false" customHeight="false" outlineLevel="0" collapsed="false">
      <c r="A36" s="160" t="s">
        <v>178</v>
      </c>
      <c r="B36" s="161"/>
      <c r="E36" s="119"/>
      <c r="G36" s="119"/>
      <c r="I36" s="119"/>
      <c r="L36" s="163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AI36" s="119"/>
      <c r="BJ36" s="110"/>
      <c r="BM36" s="110"/>
      <c r="BO36" s="110"/>
      <c r="BP36" s="110"/>
      <c r="BS36" s="110"/>
      <c r="BZ36" s="110"/>
    </row>
    <row r="37" customFormat="false" ht="12.75" hidden="false" customHeight="false" outlineLevel="0" collapsed="false">
      <c r="A37" s="164"/>
      <c r="B37" s="161"/>
      <c r="E37" s="119"/>
      <c r="G37" s="119"/>
      <c r="I37" s="119"/>
      <c r="L37" s="163"/>
      <c r="M37" s="110"/>
      <c r="O37" s="110"/>
      <c r="Q37" s="110"/>
      <c r="S37" s="110"/>
      <c r="T37" s="110" t="n">
        <v>0</v>
      </c>
      <c r="U37" s="110"/>
      <c r="V37" s="110" t="n">
        <v>0</v>
      </c>
      <c r="X37" s="110" t="n">
        <v>0</v>
      </c>
      <c r="Z37" s="110" t="n">
        <v>0</v>
      </c>
      <c r="AB37" s="110" t="n">
        <v>0</v>
      </c>
      <c r="AD37" s="110" t="n">
        <v>0</v>
      </c>
      <c r="AF37" s="110" t="n">
        <v>0</v>
      </c>
      <c r="AH37" s="110" t="n">
        <v>0</v>
      </c>
      <c r="AI37" s="119"/>
      <c r="AJ37" s="110" t="n">
        <v>0</v>
      </c>
      <c r="AL37" s="110" t="n">
        <v>0</v>
      </c>
      <c r="AN37" s="110" t="n">
        <v>0</v>
      </c>
      <c r="AP37" s="110" t="n">
        <v>0</v>
      </c>
      <c r="AR37" s="110" t="n">
        <v>0</v>
      </c>
      <c r="AT37" s="110" t="n">
        <v>0</v>
      </c>
      <c r="AV37" s="110" t="n">
        <v>0</v>
      </c>
      <c r="AX37" s="110" t="n">
        <v>0</v>
      </c>
      <c r="AZ37" s="110" t="n">
        <v>0</v>
      </c>
      <c r="BB37" s="110" t="n">
        <v>0</v>
      </c>
      <c r="BD37" s="110" t="n">
        <v>0</v>
      </c>
      <c r="BF37" s="110" t="n">
        <v>0</v>
      </c>
      <c r="BH37" s="110" t="n">
        <v>0</v>
      </c>
      <c r="BJ37" s="110" t="n">
        <v>0</v>
      </c>
      <c r="BM37" s="110" t="n">
        <v>0</v>
      </c>
      <c r="BO37" s="110" t="n">
        <v>0</v>
      </c>
      <c r="BP37" s="110"/>
      <c r="BS37" s="110"/>
      <c r="BZ37" s="110"/>
    </row>
    <row r="38" customFormat="false" ht="12.75" hidden="false" customHeight="false" outlineLevel="0" collapsed="false">
      <c r="A38" s="164"/>
      <c r="B38" s="174" t="s">
        <v>179</v>
      </c>
      <c r="E38" s="119"/>
      <c r="G38" s="119"/>
      <c r="I38" s="119"/>
      <c r="L38" s="163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AI38" s="119"/>
      <c r="BJ38" s="110"/>
      <c r="BM38" s="110"/>
      <c r="BO38" s="110"/>
      <c r="BP38" s="110"/>
      <c r="BS38" s="110"/>
      <c r="BZ38" s="110"/>
    </row>
    <row r="39" customFormat="false" ht="13.5" hidden="false" customHeight="false" outlineLevel="0" collapsed="false">
      <c r="A39" s="164"/>
      <c r="B39" s="175" t="s">
        <v>180</v>
      </c>
      <c r="E39" s="119"/>
      <c r="G39" s="119"/>
      <c r="I39" s="119"/>
      <c r="J39" s="120" t="s">
        <v>181</v>
      </c>
      <c r="L39" s="163" t="s">
        <v>151</v>
      </c>
      <c r="M39" s="110"/>
      <c r="O39" s="110"/>
      <c r="Q39" s="110"/>
      <c r="R39" s="176" t="n">
        <v>1538965</v>
      </c>
      <c r="S39" s="110"/>
      <c r="T39" s="110"/>
      <c r="U39" s="110"/>
      <c r="V39" s="110"/>
      <c r="X39" s="110"/>
      <c r="Z39" s="110"/>
      <c r="AB39" s="110"/>
      <c r="AD39" s="110"/>
      <c r="AI39" s="119"/>
      <c r="AP39" s="110" t="n">
        <v>11510</v>
      </c>
      <c r="AR39" s="110" t="n">
        <f aca="false">54708-11510</f>
        <v>43198</v>
      </c>
      <c r="AT39" s="110" t="n">
        <f aca="false">303957-54708+123679</f>
        <v>372928</v>
      </c>
      <c r="AX39" s="110" t="n">
        <f aca="false">308820-123679</f>
        <v>185141</v>
      </c>
      <c r="BD39" s="110" t="n">
        <f aca="false">4403017-612777</f>
        <v>3790240</v>
      </c>
      <c r="BF39" s="110" t="n">
        <f aca="false">5049977-4403017</f>
        <v>646960</v>
      </c>
      <c r="BJ39" s="110" t="n">
        <f aca="false">5107000-5049977</f>
        <v>57023</v>
      </c>
      <c r="BM39" s="110"/>
      <c r="BO39" s="110"/>
      <c r="BP39" s="110"/>
      <c r="BQ39" s="110" t="n">
        <f aca="false">SUM(T39:BP39)</f>
        <v>5107000</v>
      </c>
      <c r="BS39" s="110" t="n">
        <f aca="false">5112000-R39</f>
        <v>3573035</v>
      </c>
      <c r="BU39" s="110" t="n">
        <f aca="false">IF(+R39-BQ39+BS39&gt;0,R39-BQ39+BS39,0)</f>
        <v>5000</v>
      </c>
      <c r="BW39" s="110" t="n">
        <f aca="false">+BQ39+BU39</f>
        <v>5112000</v>
      </c>
      <c r="BY39" s="110" t="n">
        <f aca="false">+R39-BW39</f>
        <v>-3573035</v>
      </c>
      <c r="BZ39" s="110"/>
    </row>
    <row r="40" customFormat="false" ht="13.5" hidden="false" customHeight="false" outlineLevel="0" collapsed="false">
      <c r="A40" s="164"/>
      <c r="B40" s="175" t="s">
        <v>182</v>
      </c>
      <c r="E40" s="119"/>
      <c r="G40" s="119"/>
      <c r="I40" s="119"/>
      <c r="J40" s="120" t="s">
        <v>181</v>
      </c>
      <c r="L40" s="163" t="s">
        <v>151</v>
      </c>
      <c r="M40" s="110"/>
      <c r="O40" s="110"/>
      <c r="Q40" s="110"/>
      <c r="R40" s="176" t="n">
        <v>1717382</v>
      </c>
      <c r="S40" s="110"/>
      <c r="T40" s="110"/>
      <c r="U40" s="110"/>
      <c r="V40" s="110"/>
      <c r="X40" s="110"/>
      <c r="Z40" s="110"/>
      <c r="AB40" s="110"/>
      <c r="AD40" s="110"/>
      <c r="AI40" s="119"/>
      <c r="AP40" s="110" t="n">
        <f aca="false">87721+37545</f>
        <v>125266</v>
      </c>
      <c r="AR40" s="110" t="n">
        <f aca="false">175242-87721+3444</f>
        <v>90965</v>
      </c>
      <c r="AT40" s="110" t="n">
        <f aca="false">601600-175242+14099</f>
        <v>440457</v>
      </c>
      <c r="AX40" s="110" t="n">
        <f aca="false">1413373-656688</f>
        <v>756685</v>
      </c>
      <c r="BD40" s="110" t="n">
        <f aca="false">4049893-1413373</f>
        <v>2636520</v>
      </c>
      <c r="BF40" s="110" t="n">
        <f aca="false">4206988-4049893</f>
        <v>157095</v>
      </c>
      <c r="BJ40" s="110" t="n">
        <f aca="false">4266000-4206988</f>
        <v>59012</v>
      </c>
      <c r="BM40" s="110"/>
      <c r="BO40" s="110"/>
      <c r="BP40" s="110"/>
      <c r="BQ40" s="110" t="n">
        <f aca="false">SUM(T40:BP40)</f>
        <v>4266000</v>
      </c>
      <c r="BS40" s="110" t="n">
        <f aca="false">4269000-R40</f>
        <v>2551618</v>
      </c>
      <c r="BU40" s="110" t="n">
        <f aca="false">IF(+R40-BQ40+BS40&gt;0,R40-BQ40+BS40,0)</f>
        <v>3000</v>
      </c>
      <c r="BW40" s="110" t="n">
        <f aca="false">+BQ40+BU40</f>
        <v>4269000</v>
      </c>
      <c r="BY40" s="110" t="n">
        <f aca="false">+R40-BW40</f>
        <v>-2551618</v>
      </c>
      <c r="BZ40" s="110"/>
    </row>
    <row r="41" customFormat="false" ht="13.5" hidden="false" customHeight="false" outlineLevel="0" collapsed="false">
      <c r="A41" s="164"/>
      <c r="B41" s="175" t="s">
        <v>183</v>
      </c>
      <c r="E41" s="119"/>
      <c r="G41" s="119"/>
      <c r="I41" s="119"/>
      <c r="J41" s="120" t="s">
        <v>181</v>
      </c>
      <c r="L41" s="163" t="s">
        <v>151</v>
      </c>
      <c r="M41" s="110"/>
      <c r="O41" s="110"/>
      <c r="Q41" s="110"/>
      <c r="R41" s="176" t="n">
        <v>14562379</v>
      </c>
      <c r="S41" s="110"/>
      <c r="T41" s="110"/>
      <c r="U41" s="110"/>
      <c r="V41" s="110"/>
      <c r="X41" s="110"/>
      <c r="Z41" s="110"/>
      <c r="AB41" s="110"/>
      <c r="AD41" s="110"/>
      <c r="AI41" s="119"/>
      <c r="AP41" s="110" t="n">
        <f aca="false">261+21574+247412+128235+27859+107400</f>
        <v>532741</v>
      </c>
      <c r="AR41" s="110" t="n">
        <f aca="false">227731-261+36207+20085+63844+7268+4264</f>
        <v>359138</v>
      </c>
      <c r="AT41" s="110" t="n">
        <f aca="false">814449-227731+31652+83503+44893+81985+5914</f>
        <v>834665</v>
      </c>
      <c r="AX41" s="110" t="n">
        <f aca="false">1663132-1726544</f>
        <v>-63412</v>
      </c>
      <c r="BD41" s="110" t="n">
        <f aca="false">4196537-1663132</f>
        <v>2533405</v>
      </c>
      <c r="BF41" s="110" t="n">
        <f aca="false">4466169-4196537</f>
        <v>269632</v>
      </c>
      <c r="BJ41" s="110" t="n">
        <f aca="false">4654000-4466169</f>
        <v>187831</v>
      </c>
      <c r="BM41" s="110"/>
      <c r="BO41" s="110"/>
      <c r="BP41" s="110"/>
      <c r="BQ41" s="110" t="n">
        <f aca="false">SUM(T41:BP41)</f>
        <v>4654000</v>
      </c>
      <c r="BS41" s="110" t="n">
        <f aca="false">4707000-R41</f>
        <v>-9855379</v>
      </c>
      <c r="BU41" s="110" t="n">
        <f aca="false">IF(+R41-BQ41+BS41&gt;0,R41-BQ41+BS41,0)</f>
        <v>53000</v>
      </c>
      <c r="BW41" s="110" t="n">
        <f aca="false">+BQ41+BU41</f>
        <v>4707000</v>
      </c>
      <c r="BY41" s="110" t="n">
        <f aca="false">+R41-BW41</f>
        <v>9855379</v>
      </c>
      <c r="BZ41" s="110"/>
    </row>
    <row r="42" customFormat="false" ht="13.5" hidden="false" customHeight="false" outlineLevel="0" collapsed="false">
      <c r="A42" s="164"/>
      <c r="B42" s="175" t="s">
        <v>184</v>
      </c>
      <c r="E42" s="119"/>
      <c r="G42" s="119"/>
      <c r="I42" s="119"/>
      <c r="J42" s="120" t="s">
        <v>181</v>
      </c>
      <c r="L42" s="163" t="s">
        <v>151</v>
      </c>
      <c r="M42" s="110"/>
      <c r="N42" s="110" t="n">
        <v>0</v>
      </c>
      <c r="O42" s="110"/>
      <c r="P42" s="110" t="n">
        <v>0</v>
      </c>
      <c r="Q42" s="110"/>
      <c r="R42" s="176" t="n">
        <f aca="false">542913-164225</f>
        <v>378688</v>
      </c>
      <c r="S42" s="110"/>
      <c r="T42" s="110" t="n">
        <v>0</v>
      </c>
      <c r="U42" s="110"/>
      <c r="V42" s="110" t="n">
        <v>0</v>
      </c>
      <c r="X42" s="110" t="n">
        <v>0</v>
      </c>
      <c r="Z42" s="110" t="n">
        <v>0</v>
      </c>
      <c r="AB42" s="110" t="n">
        <v>0</v>
      </c>
      <c r="AD42" s="110" t="n">
        <v>0</v>
      </c>
      <c r="AF42" s="110" t="n">
        <v>0</v>
      </c>
      <c r="AH42" s="110" t="n">
        <v>0</v>
      </c>
      <c r="AI42" s="119"/>
      <c r="AJ42" s="110" t="n">
        <v>0</v>
      </c>
      <c r="AL42" s="110" t="n">
        <v>0</v>
      </c>
      <c r="AP42" s="110" t="n">
        <f aca="false">192524</f>
        <v>192524</v>
      </c>
      <c r="AR42" s="110" t="n">
        <f aca="false">268032-192524</f>
        <v>75508</v>
      </c>
      <c r="AT42" s="110" t="n">
        <f aca="false">344773-268032</f>
        <v>76741</v>
      </c>
      <c r="AV42" s="110" t="n">
        <v>0</v>
      </c>
      <c r="AX42" s="110" t="n">
        <f aca="false">631966-344773</f>
        <v>287193</v>
      </c>
      <c r="AZ42" s="110" t="n">
        <v>0</v>
      </c>
      <c r="BB42" s="110" t="n">
        <v>0</v>
      </c>
      <c r="BD42" s="110" t="n">
        <f aca="false">1097978-631966</f>
        <v>466012</v>
      </c>
      <c r="BF42" s="110" t="n">
        <f aca="false">1174200-1097978</f>
        <v>76222</v>
      </c>
      <c r="BH42" s="110" t="n">
        <v>0</v>
      </c>
      <c r="BJ42" s="110" t="n">
        <f aca="false">1192000-1174200</f>
        <v>17800</v>
      </c>
      <c r="BM42" s="110"/>
      <c r="BO42" s="110"/>
      <c r="BP42" s="110"/>
      <c r="BQ42" s="110" t="n">
        <f aca="false">SUM(T42:BP42)</f>
        <v>1192000</v>
      </c>
      <c r="BS42" s="110" t="n">
        <f aca="false">1194000-R42</f>
        <v>815312</v>
      </c>
      <c r="BU42" s="110" t="n">
        <f aca="false">IF(+R42-BQ42+BS42&gt;0,R42-BQ42+BS42,0)</f>
        <v>2000</v>
      </c>
      <c r="BW42" s="110" t="n">
        <f aca="false">+BQ42+BU42</f>
        <v>1194000</v>
      </c>
      <c r="BY42" s="110" t="n">
        <f aca="false">+R42-BW42</f>
        <v>-815312</v>
      </c>
      <c r="BZ42" s="110"/>
    </row>
    <row r="43" customFormat="false" ht="13.5" hidden="false" customHeight="false" outlineLevel="0" collapsed="false">
      <c r="A43" s="164"/>
      <c r="B43" s="175" t="s">
        <v>185</v>
      </c>
      <c r="E43" s="119"/>
      <c r="G43" s="119"/>
      <c r="I43" s="119"/>
      <c r="J43" s="120" t="s">
        <v>181</v>
      </c>
      <c r="L43" s="163" t="s">
        <v>151</v>
      </c>
      <c r="M43" s="110"/>
      <c r="N43" s="110" t="n">
        <v>0</v>
      </c>
      <c r="O43" s="110"/>
      <c r="P43" s="110" t="n">
        <v>0</v>
      </c>
      <c r="Q43" s="110"/>
      <c r="R43" s="176" t="n">
        <v>150000</v>
      </c>
      <c r="S43" s="110"/>
      <c r="T43" s="110" t="n">
        <v>0</v>
      </c>
      <c r="U43" s="110"/>
      <c r="V43" s="110" t="n">
        <v>0</v>
      </c>
      <c r="X43" s="110" t="n">
        <v>0</v>
      </c>
      <c r="Z43" s="110" t="n">
        <v>0</v>
      </c>
      <c r="AB43" s="110" t="n">
        <v>0</v>
      </c>
      <c r="AD43" s="110" t="n">
        <v>0</v>
      </c>
      <c r="AF43" s="110" t="n">
        <v>0</v>
      </c>
      <c r="AH43" s="110" t="n">
        <v>0</v>
      </c>
      <c r="AI43" s="119"/>
      <c r="AJ43" s="110" t="n">
        <v>0</v>
      </c>
      <c r="AL43" s="110" t="n">
        <v>0</v>
      </c>
      <c r="AP43" s="110" t="n">
        <v>47</v>
      </c>
      <c r="AR43" s="110" t="n">
        <f aca="false">67927-47</f>
        <v>67880</v>
      </c>
      <c r="AT43" s="110" t="n">
        <f aca="false">70698-67927</f>
        <v>2771</v>
      </c>
      <c r="AV43" s="110" t="n">
        <v>0</v>
      </c>
      <c r="AX43" s="110" t="n">
        <f aca="false">34086-70698+1</f>
        <v>-36611</v>
      </c>
      <c r="AZ43" s="110" t="n">
        <v>0</v>
      </c>
      <c r="BB43" s="110" t="n">
        <v>0</v>
      </c>
      <c r="BD43" s="110" t="n">
        <f aca="false">62870-34087</f>
        <v>28783</v>
      </c>
      <c r="BF43" s="110" t="n">
        <v>0</v>
      </c>
      <c r="BH43" s="110" t="n">
        <v>0</v>
      </c>
      <c r="BJ43" s="110" t="n">
        <f aca="false">69000-62870</f>
        <v>6130</v>
      </c>
      <c r="BM43" s="110"/>
      <c r="BO43" s="110"/>
      <c r="BP43" s="110"/>
      <c r="BQ43" s="110" t="n">
        <f aca="false">SUM(T43:BP43)</f>
        <v>69000</v>
      </c>
      <c r="BS43" s="110" t="n">
        <f aca="false">70000-R43</f>
        <v>-80000</v>
      </c>
      <c r="BU43" s="110" t="n">
        <f aca="false">IF(+R43-BQ43+BS43&gt;0,R43-BQ43+BS43,0)</f>
        <v>1000</v>
      </c>
      <c r="BW43" s="110" t="n">
        <f aca="false">+BQ43+BU43</f>
        <v>70000</v>
      </c>
      <c r="BY43" s="110" t="n">
        <f aca="false">+R43-BW43</f>
        <v>80000</v>
      </c>
      <c r="BZ43" s="110"/>
    </row>
    <row r="44" customFormat="false" ht="13.5" hidden="false" customHeight="false" outlineLevel="0" collapsed="false">
      <c r="A44" s="164"/>
      <c r="B44" s="175" t="s">
        <v>186</v>
      </c>
      <c r="E44" s="119"/>
      <c r="G44" s="119"/>
      <c r="I44" s="119"/>
      <c r="J44" s="120" t="s">
        <v>181</v>
      </c>
      <c r="L44" s="163" t="s">
        <v>151</v>
      </c>
      <c r="M44" s="110"/>
      <c r="N44" s="110" t="n">
        <v>0</v>
      </c>
      <c r="O44" s="110"/>
      <c r="P44" s="110" t="n">
        <v>0</v>
      </c>
      <c r="Q44" s="110"/>
      <c r="R44" s="176" t="n">
        <v>104121</v>
      </c>
      <c r="S44" s="110"/>
      <c r="T44" s="110" t="n">
        <v>0</v>
      </c>
      <c r="U44" s="110"/>
      <c r="V44" s="110" t="n">
        <v>0</v>
      </c>
      <c r="X44" s="110" t="n">
        <v>0</v>
      </c>
      <c r="Z44" s="110" t="n">
        <v>0</v>
      </c>
      <c r="AB44" s="110" t="n">
        <v>0</v>
      </c>
      <c r="AD44" s="110" t="n">
        <v>0</v>
      </c>
      <c r="AF44" s="110" t="n">
        <v>0</v>
      </c>
      <c r="AH44" s="110" t="n">
        <v>0</v>
      </c>
      <c r="AI44" s="119"/>
      <c r="AJ44" s="110" t="n">
        <v>0</v>
      </c>
      <c r="AL44" s="110" t="n">
        <v>0</v>
      </c>
      <c r="AN44" s="110" t="n">
        <v>0</v>
      </c>
      <c r="AP44" s="110" t="n">
        <v>0</v>
      </c>
      <c r="AR44" s="110" t="n">
        <v>0</v>
      </c>
      <c r="AT44" s="110" t="n">
        <v>0</v>
      </c>
      <c r="AV44" s="110" t="n">
        <v>0</v>
      </c>
      <c r="AX44" s="110" t="n">
        <v>0</v>
      </c>
      <c r="AZ44" s="110" t="n">
        <v>0</v>
      </c>
      <c r="BB44" s="110" t="n">
        <v>0</v>
      </c>
      <c r="BD44" s="110" t="n">
        <v>0</v>
      </c>
      <c r="BF44" s="110" t="n">
        <v>0</v>
      </c>
      <c r="BH44" s="110" t="n">
        <v>0</v>
      </c>
      <c r="BJ44" s="110" t="n">
        <v>0</v>
      </c>
      <c r="BM44" s="110"/>
      <c r="BO44" s="110"/>
      <c r="BP44" s="110"/>
      <c r="BQ44" s="110" t="n">
        <f aca="false">SUM(T44:BP44)</f>
        <v>0</v>
      </c>
      <c r="BS44" s="110" t="n">
        <f aca="false">100000-104121</f>
        <v>-4121</v>
      </c>
      <c r="BU44" s="110" t="n">
        <f aca="false">IF(+R44-BQ44+BS44&gt;0,R44-BQ44+BS44,0)</f>
        <v>100000</v>
      </c>
      <c r="BW44" s="110" t="n">
        <f aca="false">+BQ44+BU44</f>
        <v>100000</v>
      </c>
      <c r="BY44" s="110" t="n">
        <f aca="false">+R44-BW44</f>
        <v>4121</v>
      </c>
      <c r="BZ44" s="110"/>
    </row>
    <row r="45" customFormat="false" ht="13.5" hidden="false" customHeight="false" outlineLevel="0" collapsed="false">
      <c r="A45" s="164"/>
      <c r="B45" s="175" t="s">
        <v>187</v>
      </c>
      <c r="E45" s="119"/>
      <c r="G45" s="119"/>
      <c r="I45" s="119"/>
      <c r="L45" s="163" t="s">
        <v>151</v>
      </c>
      <c r="M45" s="110"/>
      <c r="N45" s="110" t="n">
        <v>0</v>
      </c>
      <c r="O45" s="110"/>
      <c r="P45" s="110" t="n">
        <v>0</v>
      </c>
      <c r="Q45" s="110"/>
      <c r="R45" s="176" t="n">
        <v>164225</v>
      </c>
      <c r="S45" s="110"/>
      <c r="T45" s="110" t="n">
        <v>0</v>
      </c>
      <c r="U45" s="110"/>
      <c r="V45" s="110" t="n">
        <v>0</v>
      </c>
      <c r="X45" s="110" t="n">
        <v>0</v>
      </c>
      <c r="Z45" s="110" t="n">
        <v>0</v>
      </c>
      <c r="AB45" s="110" t="n">
        <v>0</v>
      </c>
      <c r="AD45" s="110" t="n">
        <v>0</v>
      </c>
      <c r="AF45" s="110" t="n">
        <v>0</v>
      </c>
      <c r="AH45" s="110" t="n">
        <v>0</v>
      </c>
      <c r="AI45" s="119"/>
      <c r="AJ45" s="110" t="n">
        <v>0</v>
      </c>
      <c r="AL45" s="110" t="n">
        <v>0</v>
      </c>
      <c r="AN45" s="110" t="n">
        <v>0</v>
      </c>
      <c r="AR45" s="110" t="n">
        <v>0</v>
      </c>
      <c r="AT45" s="110" t="n">
        <v>0</v>
      </c>
      <c r="AV45" s="110" t="n">
        <v>0</v>
      </c>
      <c r="AX45" s="110" t="n">
        <v>0</v>
      </c>
      <c r="AZ45" s="110" t="n">
        <v>0</v>
      </c>
      <c r="BB45" s="110" t="n">
        <v>0</v>
      </c>
      <c r="BD45" s="110" t="n">
        <v>0</v>
      </c>
      <c r="BF45" s="110" t="n">
        <v>147037</v>
      </c>
      <c r="BH45" s="110" t="n">
        <v>0</v>
      </c>
      <c r="BJ45" s="110" t="n">
        <v>0</v>
      </c>
      <c r="BM45" s="110" t="n">
        <v>0</v>
      </c>
      <c r="BO45" s="110" t="n">
        <v>0</v>
      </c>
      <c r="BP45" s="110"/>
      <c r="BQ45" s="110" t="n">
        <f aca="false">SUM(T45:BP45)</f>
        <v>147037</v>
      </c>
      <c r="BS45" s="110" t="n">
        <f aca="false">623000-R45</f>
        <v>458775</v>
      </c>
      <c r="BU45" s="110" t="n">
        <f aca="false">IF(+R45-BQ45+BS45&gt;0,R45-BQ45+BS45,0)</f>
        <v>475963</v>
      </c>
      <c r="BW45" s="110" t="n">
        <f aca="false">+BQ45+BU45</f>
        <v>623000</v>
      </c>
      <c r="BY45" s="110" t="n">
        <f aca="false">+R45-BW45</f>
        <v>-458775</v>
      </c>
      <c r="BZ45" s="110"/>
    </row>
    <row r="46" customFormat="false" ht="12.75" hidden="false" customHeight="false" outlineLevel="0" collapsed="false">
      <c r="A46" s="177"/>
      <c r="B46" s="178" t="s">
        <v>188</v>
      </c>
      <c r="C46" s="2"/>
      <c r="D46" s="2"/>
      <c r="E46" s="2"/>
      <c r="F46" s="2"/>
      <c r="G46" s="2"/>
      <c r="H46" s="2"/>
      <c r="I46" s="2"/>
      <c r="J46" s="3"/>
      <c r="K46" s="2"/>
      <c r="L46" s="179" t="s">
        <v>151</v>
      </c>
      <c r="M46" s="24"/>
      <c r="N46" s="24" t="n">
        <v>0</v>
      </c>
      <c r="O46" s="24"/>
      <c r="P46" s="24" t="n">
        <v>0</v>
      </c>
      <c r="Q46" s="24"/>
      <c r="R46" s="24" t="n">
        <f aca="false">SUM(R39:R45)</f>
        <v>18615760</v>
      </c>
      <c r="S46" s="24" t="n">
        <f aca="false">SUM(S39:S45)</f>
        <v>0</v>
      </c>
      <c r="T46" s="24" t="n">
        <f aca="false">SUM(T39:T45)</f>
        <v>0</v>
      </c>
      <c r="U46" s="24" t="n">
        <f aca="false">SUM(U39:U45)</f>
        <v>0</v>
      </c>
      <c r="V46" s="24" t="n">
        <f aca="false">SUM(V39:V45)</f>
        <v>0</v>
      </c>
      <c r="W46" s="24" t="n">
        <f aca="false">SUM(W39:W45)</f>
        <v>0</v>
      </c>
      <c r="X46" s="24" t="n">
        <f aca="false">SUM(X39:X45)</f>
        <v>0</v>
      </c>
      <c r="Y46" s="24" t="n">
        <f aca="false">SUM(Y39:Y45)</f>
        <v>0</v>
      </c>
      <c r="Z46" s="24" t="n">
        <f aca="false">SUM(Z39:Z45)</f>
        <v>0</v>
      </c>
      <c r="AA46" s="24" t="n">
        <f aca="false">SUM(AA39:AA45)</f>
        <v>0</v>
      </c>
      <c r="AB46" s="24" t="n">
        <f aca="false">SUM(AB39:AB45)</f>
        <v>0</v>
      </c>
      <c r="AC46" s="24" t="n">
        <f aca="false">SUM(AC39:AC45)</f>
        <v>0</v>
      </c>
      <c r="AD46" s="24" t="n">
        <f aca="false">SUM(AD39:AD45)</f>
        <v>0</v>
      </c>
      <c r="AE46" s="24"/>
      <c r="AF46" s="24" t="n">
        <f aca="false">SUM(AF39:AF45)</f>
        <v>0</v>
      </c>
      <c r="AG46" s="24"/>
      <c r="AH46" s="24" t="n">
        <f aca="false">SUM(AH39:AH45)</f>
        <v>0</v>
      </c>
      <c r="AI46" s="24"/>
      <c r="AJ46" s="24" t="n">
        <f aca="false">SUM(AJ39:AJ45)</f>
        <v>0</v>
      </c>
      <c r="AK46" s="24" t="n">
        <f aca="false">SUM(AK39:AK45)</f>
        <v>0</v>
      </c>
      <c r="AL46" s="24" t="n">
        <f aca="false">SUM(AL39:AL45)</f>
        <v>0</v>
      </c>
      <c r="AM46" s="24" t="n">
        <f aca="false">SUM(AM39:AM45)</f>
        <v>0</v>
      </c>
      <c r="AN46" s="24" t="n">
        <f aca="false">SUM(AN39:AN45)</f>
        <v>0</v>
      </c>
      <c r="AO46" s="24" t="n">
        <f aca="false">SUM(AO39:AO45)</f>
        <v>0</v>
      </c>
      <c r="AP46" s="24" t="n">
        <f aca="false">SUM(AP39:AP45)</f>
        <v>862088</v>
      </c>
      <c r="AQ46" s="24" t="n">
        <f aca="false">SUM(AQ39:AQ45)</f>
        <v>0</v>
      </c>
      <c r="AR46" s="24" t="n">
        <f aca="false">SUM(AR39:AR45)</f>
        <v>636689</v>
      </c>
      <c r="AS46" s="24" t="n">
        <f aca="false">SUM(AS39:AS45)</f>
        <v>0</v>
      </c>
      <c r="AT46" s="24" t="n">
        <f aca="false">SUM(AT39:AT45)</f>
        <v>1727562</v>
      </c>
      <c r="AU46" s="24" t="n">
        <f aca="false">SUM(AU39:AU45)</f>
        <v>0</v>
      </c>
      <c r="AV46" s="24" t="n">
        <f aca="false">SUM(AV39:AV45)</f>
        <v>0</v>
      </c>
      <c r="AW46" s="24" t="n">
        <f aca="false">SUM(AW39:AW45)</f>
        <v>0</v>
      </c>
      <c r="AX46" s="24" t="n">
        <f aca="false">SUM(AX39:AX45)</f>
        <v>1128996</v>
      </c>
      <c r="AY46" s="24" t="n">
        <f aca="false">SUM(AY39:AY45)</f>
        <v>0</v>
      </c>
      <c r="AZ46" s="24" t="n">
        <f aca="false">SUM(AZ39:AZ45)</f>
        <v>0</v>
      </c>
      <c r="BA46" s="24" t="n">
        <f aca="false">SUM(BA39:BA45)</f>
        <v>0</v>
      </c>
      <c r="BB46" s="24" t="n">
        <f aca="false">SUM(BB39:BB45)</f>
        <v>0</v>
      </c>
      <c r="BC46" s="24"/>
      <c r="BD46" s="24" t="n">
        <f aca="false">SUM(BD39:BD45)</f>
        <v>9454960</v>
      </c>
      <c r="BF46" s="24" t="n">
        <f aca="false">SUM(BF39:BF45)</f>
        <v>1296946</v>
      </c>
      <c r="BH46" s="24" t="n">
        <f aca="false">SUM(BH39:BH45)</f>
        <v>0</v>
      </c>
      <c r="BJ46" s="24" t="n">
        <f aca="false">SUM(BJ39:BJ45)</f>
        <v>327796</v>
      </c>
      <c r="BM46" s="24" t="n">
        <f aca="false">SUM(BM39:BM45)</f>
        <v>0</v>
      </c>
      <c r="BO46" s="24" t="n">
        <f aca="false">SUM(BO39:BO45)</f>
        <v>0</v>
      </c>
      <c r="BP46" s="24"/>
      <c r="BQ46" s="24" t="n">
        <f aca="false">SUM(BQ39:BQ45)</f>
        <v>15435037</v>
      </c>
      <c r="BR46" s="24"/>
      <c r="BS46" s="24" t="n">
        <f aca="false">SUM(BS39:BS45)</f>
        <v>-2540760</v>
      </c>
      <c r="BU46" s="24" t="n">
        <f aca="false">SUM(BU39:BU45)</f>
        <v>639963</v>
      </c>
      <c r="BV46" s="24" t="n">
        <f aca="false">SUM(BV39:BV45)</f>
        <v>0</v>
      </c>
      <c r="BW46" s="24" t="n">
        <f aca="false">SUM(BW39:BW45)</f>
        <v>16075000</v>
      </c>
      <c r="BX46" s="24" t="n">
        <f aca="false">SUM(BX39:BX45)</f>
        <v>0</v>
      </c>
      <c r="BY46" s="24" t="n">
        <f aca="false">SUM(BY39:BY45)</f>
        <v>2540760</v>
      </c>
      <c r="BZ46" s="24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64"/>
      <c r="B47" s="178"/>
      <c r="E47" s="119"/>
      <c r="G47" s="119"/>
      <c r="I47" s="119"/>
      <c r="L47" s="163"/>
      <c r="M47" s="110"/>
      <c r="O47" s="110"/>
      <c r="Q47" s="110"/>
      <c r="S47" s="110"/>
      <c r="T47" s="110"/>
      <c r="U47" s="110"/>
      <c r="V47" s="110"/>
      <c r="X47" s="110"/>
      <c r="Z47" s="110"/>
      <c r="AB47" s="110"/>
      <c r="AD47" s="110"/>
      <c r="AI47" s="119"/>
      <c r="BJ47" s="110"/>
      <c r="BM47" s="110"/>
      <c r="BO47" s="110"/>
      <c r="BP47" s="110"/>
      <c r="BS47" s="110"/>
      <c r="BZ47" s="110"/>
    </row>
    <row r="48" customFormat="false" ht="12.75" hidden="false" customHeight="false" outlineLevel="0" collapsed="false">
      <c r="B48" s="2" t="s">
        <v>189</v>
      </c>
      <c r="E48" s="119"/>
      <c r="G48" s="119"/>
      <c r="I48" s="119"/>
      <c r="L48" s="163"/>
      <c r="M48" s="110"/>
      <c r="O48" s="110"/>
      <c r="Q48" s="110"/>
      <c r="S48" s="110"/>
      <c r="T48" s="110"/>
      <c r="U48" s="110"/>
      <c r="V48" s="110"/>
      <c r="X48" s="110"/>
      <c r="Z48" s="110"/>
      <c r="AB48" s="110"/>
      <c r="AD48" s="110"/>
      <c r="AI48" s="119"/>
      <c r="BJ48" s="110"/>
      <c r="BM48" s="110"/>
      <c r="BO48" s="110"/>
      <c r="BP48" s="110"/>
      <c r="BS48" s="110"/>
      <c r="BZ48" s="110"/>
    </row>
    <row r="49" customFormat="false" ht="13.5" hidden="false" customHeight="false" outlineLevel="0" collapsed="false">
      <c r="B49" s="175" t="s">
        <v>190</v>
      </c>
      <c r="E49" s="119"/>
      <c r="G49" s="119"/>
      <c r="I49" s="119"/>
      <c r="J49" s="120" t="s">
        <v>181</v>
      </c>
      <c r="L49" s="163"/>
      <c r="M49" s="110"/>
      <c r="O49" s="110"/>
      <c r="Q49" s="110"/>
      <c r="R49" s="176" t="n">
        <v>410304</v>
      </c>
      <c r="S49" s="110"/>
      <c r="T49" s="110"/>
      <c r="U49" s="110"/>
      <c r="V49" s="110"/>
      <c r="X49" s="110"/>
      <c r="Z49" s="110"/>
      <c r="AB49" s="110"/>
      <c r="AD49" s="110"/>
      <c r="AI49" s="119"/>
      <c r="AR49" s="110" t="n">
        <v>10115</v>
      </c>
      <c r="AT49" s="110" t="n">
        <f aca="false">92620-10115</f>
        <v>82505</v>
      </c>
      <c r="AX49" s="110" t="n">
        <f aca="false">347139-92620</f>
        <v>254519</v>
      </c>
      <c r="BD49" s="110" t="n">
        <f aca="false">476088-347139</f>
        <v>128949</v>
      </c>
      <c r="BF49" s="110" t="n">
        <f aca="false">476183-476088</f>
        <v>95</v>
      </c>
      <c r="BJ49" s="110" t="n">
        <f aca="false">469000-476183</f>
        <v>-7183</v>
      </c>
      <c r="BM49" s="110"/>
      <c r="BO49" s="110"/>
      <c r="BP49" s="110"/>
      <c r="BQ49" s="110" t="n">
        <f aca="false">SUM(T49:BP49)</f>
        <v>469000</v>
      </c>
      <c r="BS49" s="110" t="n">
        <f aca="false">469000-R49</f>
        <v>58696</v>
      </c>
      <c r="BU49" s="110" t="n">
        <f aca="false">IF(+R49-BQ49+BS49&gt;0,R49-BQ49+BS49,0)</f>
        <v>0</v>
      </c>
      <c r="BW49" s="110" t="n">
        <f aca="false">+BQ49+BU49</f>
        <v>469000</v>
      </c>
      <c r="BY49" s="110" t="n">
        <f aca="false">+R49-BW49</f>
        <v>-58696</v>
      </c>
      <c r="BZ49" s="110"/>
    </row>
    <row r="50" customFormat="false" ht="13.5" hidden="false" customHeight="false" outlineLevel="0" collapsed="false">
      <c r="B50" s="175" t="s">
        <v>191</v>
      </c>
      <c r="E50" s="119"/>
      <c r="G50" s="119"/>
      <c r="I50" s="119"/>
      <c r="J50" s="120" t="s">
        <v>181</v>
      </c>
      <c r="L50" s="163"/>
      <c r="M50" s="110"/>
      <c r="O50" s="110"/>
      <c r="Q50" s="110"/>
      <c r="R50" s="176" t="n">
        <v>4987110</v>
      </c>
      <c r="S50" s="110"/>
      <c r="T50" s="110"/>
      <c r="U50" s="110"/>
      <c r="V50" s="110"/>
      <c r="X50" s="110"/>
      <c r="Z50" s="110"/>
      <c r="AB50" s="110"/>
      <c r="AD50" s="110"/>
      <c r="AI50" s="119"/>
      <c r="AR50" s="110" t="n">
        <f aca="false">32997+239169+447</f>
        <v>272613</v>
      </c>
      <c r="AT50" s="110" t="n">
        <f aca="false">136407-32997+424960+187089+246544+650+1151</f>
        <v>963804</v>
      </c>
      <c r="AX50" s="110" t="n">
        <f aca="false">2851195-1236417</f>
        <v>1614778</v>
      </c>
      <c r="BD50" s="110" t="n">
        <f aca="false">4647003-2851195</f>
        <v>1795808</v>
      </c>
      <c r="BF50" s="110" t="n">
        <f aca="false">4924228-4647003</f>
        <v>277225</v>
      </c>
      <c r="BJ50" s="110" t="n">
        <f aca="false">4936000-4924228</f>
        <v>11772</v>
      </c>
      <c r="BM50" s="110"/>
      <c r="BO50" s="110"/>
      <c r="BP50" s="110"/>
      <c r="BQ50" s="110" t="n">
        <f aca="false">SUM(T50:BP50)</f>
        <v>4936000</v>
      </c>
      <c r="BS50" s="110" t="n">
        <f aca="false">5655000-R50</f>
        <v>667890</v>
      </c>
      <c r="BU50" s="110" t="n">
        <f aca="false">IF(+R50-BQ50+BS50&gt;0,R50-BQ50+BS50,0)</f>
        <v>719000</v>
      </c>
      <c r="BW50" s="110" t="n">
        <f aca="false">+BQ50+BU50</f>
        <v>5655000</v>
      </c>
      <c r="BY50" s="110" t="n">
        <f aca="false">+R50-BW50</f>
        <v>-667890</v>
      </c>
      <c r="BZ50" s="110"/>
    </row>
    <row r="51" customFormat="false" ht="13.5" hidden="false" customHeight="false" outlineLevel="0" collapsed="false">
      <c r="B51" s="175" t="s">
        <v>192</v>
      </c>
      <c r="E51" s="119"/>
      <c r="G51" s="119"/>
      <c r="I51" s="119"/>
      <c r="J51" s="120" t="s">
        <v>181</v>
      </c>
      <c r="L51" s="163"/>
      <c r="M51" s="110"/>
      <c r="O51" s="110"/>
      <c r="Q51" s="110"/>
      <c r="R51" s="176" t="n">
        <v>786663</v>
      </c>
      <c r="S51" s="110"/>
      <c r="T51" s="110"/>
      <c r="U51" s="110"/>
      <c r="V51" s="110"/>
      <c r="X51" s="110"/>
      <c r="Z51" s="110"/>
      <c r="AB51" s="110"/>
      <c r="AD51" s="110"/>
      <c r="AI51" s="119"/>
      <c r="AP51" s="110" t="n">
        <v>3301</v>
      </c>
      <c r="AT51" s="110" t="n">
        <f aca="false">40398+33588</f>
        <v>73986</v>
      </c>
      <c r="AX51" s="110" t="n">
        <f aca="false">524003-77287</f>
        <v>446716</v>
      </c>
      <c r="BD51" s="110" t="n">
        <f aca="false">838499-524003</f>
        <v>314496</v>
      </c>
      <c r="BF51" s="110" t="n">
        <f aca="false">846743-838499</f>
        <v>8244</v>
      </c>
      <c r="BJ51" s="110" t="n">
        <f aca="false">885000-846743</f>
        <v>38257</v>
      </c>
      <c r="BM51" s="110"/>
      <c r="BO51" s="110"/>
      <c r="BP51" s="110"/>
      <c r="BQ51" s="110" t="n">
        <f aca="false">SUM(T51:BP51)</f>
        <v>885000</v>
      </c>
      <c r="BS51" s="110" t="n">
        <f aca="false">885000-R51</f>
        <v>98337</v>
      </c>
      <c r="BU51" s="110" t="n">
        <f aca="false">IF(+R51-BQ51+BS51&gt;0,R51-BQ51+BS51,0)</f>
        <v>0</v>
      </c>
      <c r="BW51" s="110" t="n">
        <f aca="false">+BQ51+BU51</f>
        <v>885000</v>
      </c>
      <c r="BY51" s="110" t="n">
        <f aca="false">+R51-BW51</f>
        <v>-98337</v>
      </c>
      <c r="BZ51" s="110"/>
    </row>
    <row r="52" customFormat="false" ht="13.5" hidden="false" customHeight="false" outlineLevel="0" collapsed="false">
      <c r="B52" s="175" t="s">
        <v>193</v>
      </c>
      <c r="E52" s="119"/>
      <c r="G52" s="119"/>
      <c r="I52" s="119"/>
      <c r="J52" s="120" t="s">
        <v>181</v>
      </c>
      <c r="L52" s="163"/>
      <c r="M52" s="110"/>
      <c r="O52" s="110"/>
      <c r="Q52" s="110"/>
      <c r="R52" s="176" t="n">
        <v>654500</v>
      </c>
      <c r="S52" s="110"/>
      <c r="T52" s="110"/>
      <c r="U52" s="110"/>
      <c r="V52" s="110"/>
      <c r="X52" s="110"/>
      <c r="Z52" s="110"/>
      <c r="AB52" s="110"/>
      <c r="AD52" s="110"/>
      <c r="AI52" s="119"/>
      <c r="AR52" s="110" t="n">
        <v>63890</v>
      </c>
      <c r="AT52" s="110" t="n">
        <v>331326</v>
      </c>
      <c r="AX52" s="110" t="n">
        <f aca="false">744472-395216</f>
        <v>349256</v>
      </c>
      <c r="BD52" s="110" t="n">
        <f aca="false">818547-744472</f>
        <v>74075</v>
      </c>
      <c r="BF52" s="110" t="n">
        <f aca="false">828809-818547</f>
        <v>10262</v>
      </c>
      <c r="BJ52" s="110" t="n">
        <f aca="false">831000-828809</f>
        <v>2191</v>
      </c>
      <c r="BM52" s="110"/>
      <c r="BO52" s="110"/>
      <c r="BP52" s="110"/>
      <c r="BQ52" s="110" t="n">
        <f aca="false">SUM(T52:BP52)</f>
        <v>831000</v>
      </c>
      <c r="BS52" s="110" t="n">
        <f aca="false">831000-R52</f>
        <v>176500</v>
      </c>
      <c r="BU52" s="110" t="n">
        <f aca="false">IF(+R52-BQ52+BS52&gt;0,R52-BQ52+BS52,0)</f>
        <v>0</v>
      </c>
      <c r="BW52" s="110" t="n">
        <f aca="false">+BQ52+BU52</f>
        <v>831000</v>
      </c>
      <c r="BY52" s="110" t="n">
        <f aca="false">+R52-BW52</f>
        <v>-176500</v>
      </c>
      <c r="BZ52" s="110"/>
    </row>
    <row r="53" customFormat="false" ht="12.75" hidden="false" customHeight="false" outlineLevel="0" collapsed="false">
      <c r="A53" s="174"/>
      <c r="B53" s="178" t="s">
        <v>194</v>
      </c>
      <c r="C53" s="2"/>
      <c r="D53" s="2"/>
      <c r="E53" s="2"/>
      <c r="F53" s="2"/>
      <c r="G53" s="2"/>
      <c r="H53" s="2"/>
      <c r="I53" s="2"/>
      <c r="J53" s="3"/>
      <c r="K53" s="2"/>
      <c r="L53" s="179" t="s">
        <v>151</v>
      </c>
      <c r="M53" s="24"/>
      <c r="N53" s="24" t="n">
        <v>0</v>
      </c>
      <c r="O53" s="24"/>
      <c r="P53" s="24" t="n">
        <v>0</v>
      </c>
      <c r="Q53" s="24"/>
      <c r="R53" s="24" t="n">
        <f aca="false">SUM(R49:R52)</f>
        <v>6838577</v>
      </c>
      <c r="S53" s="24" t="n">
        <f aca="false">SUM(S49:S52)</f>
        <v>0</v>
      </c>
      <c r="T53" s="24" t="n">
        <f aca="false">SUM(T49:T52)</f>
        <v>0</v>
      </c>
      <c r="U53" s="24" t="n">
        <f aca="false">SUM(U49:U52)</f>
        <v>0</v>
      </c>
      <c r="V53" s="24" t="n">
        <f aca="false">SUM(V49:V52)</f>
        <v>0</v>
      </c>
      <c r="W53" s="24" t="n">
        <f aca="false">SUM(W49:W52)</f>
        <v>0</v>
      </c>
      <c r="X53" s="24" t="n">
        <f aca="false">SUM(X49:X52)</f>
        <v>0</v>
      </c>
      <c r="Y53" s="24" t="n">
        <f aca="false">SUM(Y49:Y52)</f>
        <v>0</v>
      </c>
      <c r="Z53" s="24" t="n">
        <f aca="false">SUM(Z49:Z52)</f>
        <v>0</v>
      </c>
      <c r="AA53" s="24" t="n">
        <f aca="false">SUM(AA49:AA52)</f>
        <v>0</v>
      </c>
      <c r="AB53" s="24" t="n">
        <f aca="false">SUM(AB49:AB52)</f>
        <v>0</v>
      </c>
      <c r="AC53" s="24" t="n">
        <f aca="false">SUM(AC49:AC52)</f>
        <v>0</v>
      </c>
      <c r="AD53" s="24" t="n">
        <f aca="false">SUM(AD49:AD52)</f>
        <v>0</v>
      </c>
      <c r="AE53" s="24"/>
      <c r="AF53" s="24" t="n">
        <f aca="false">SUM(AF49:AF52)</f>
        <v>0</v>
      </c>
      <c r="AG53" s="24"/>
      <c r="AH53" s="24" t="n">
        <f aca="false">SUM(AH49:AH52)</f>
        <v>0</v>
      </c>
      <c r="AI53" s="24"/>
      <c r="AJ53" s="24" t="n">
        <f aca="false">SUM(AJ49:AJ52)</f>
        <v>0</v>
      </c>
      <c r="AK53" s="24" t="n">
        <f aca="false">SUM(AK49:AK52)</f>
        <v>0</v>
      </c>
      <c r="AL53" s="24" t="n">
        <f aca="false">SUM(AL49:AL52)</f>
        <v>0</v>
      </c>
      <c r="AM53" s="24" t="n">
        <f aca="false">SUM(AM49:AM52)</f>
        <v>0</v>
      </c>
      <c r="AN53" s="24" t="n">
        <f aca="false">SUM(AN49:AN52)</f>
        <v>0</v>
      </c>
      <c r="AO53" s="24" t="n">
        <f aca="false">SUM(AO49:AO52)</f>
        <v>0</v>
      </c>
      <c r="AP53" s="24" t="n">
        <f aca="false">SUM(AP49:AP52)</f>
        <v>3301</v>
      </c>
      <c r="AQ53" s="24" t="n">
        <f aca="false">SUM(AQ49:AQ52)</f>
        <v>0</v>
      </c>
      <c r="AR53" s="24" t="n">
        <f aca="false">SUM(AR49:AR52)</f>
        <v>346618</v>
      </c>
      <c r="AS53" s="24" t="n">
        <f aca="false">SUM(AS49:AS52)</f>
        <v>0</v>
      </c>
      <c r="AT53" s="24" t="n">
        <f aca="false">SUM(AT49:AT52)</f>
        <v>1451621</v>
      </c>
      <c r="AU53" s="24" t="n">
        <f aca="false">SUM(AU49:AU52)</f>
        <v>0</v>
      </c>
      <c r="AV53" s="24" t="n">
        <f aca="false">SUM(AV49:AV52)</f>
        <v>0</v>
      </c>
      <c r="AW53" s="24" t="n">
        <f aca="false">SUM(AW49:AW52)</f>
        <v>0</v>
      </c>
      <c r="AX53" s="24" t="n">
        <f aca="false">SUM(AX49:AX52)</f>
        <v>2665269</v>
      </c>
      <c r="AY53" s="24" t="n">
        <f aca="false">SUM(AY49:AY52)</f>
        <v>0</v>
      </c>
      <c r="AZ53" s="24" t="n">
        <f aca="false">SUM(AZ49:AZ52)</f>
        <v>0</v>
      </c>
      <c r="BA53" s="24" t="n">
        <f aca="false">SUM(BA49:BA52)</f>
        <v>0</v>
      </c>
      <c r="BB53" s="24" t="n">
        <f aca="false">SUM(BB49:BB52)</f>
        <v>0</v>
      </c>
      <c r="BC53" s="24"/>
      <c r="BD53" s="24" t="n">
        <f aca="false">SUM(BD49:BD52)</f>
        <v>2313328</v>
      </c>
      <c r="BF53" s="24" t="n">
        <f aca="false">SUM(BF49:BF52)</f>
        <v>295826</v>
      </c>
      <c r="BH53" s="24" t="n">
        <f aca="false">SUM(BH49:BH52)</f>
        <v>0</v>
      </c>
      <c r="BJ53" s="24" t="n">
        <f aca="false">SUM(BJ49:BJ52)</f>
        <v>45037</v>
      </c>
      <c r="BM53" s="24" t="n">
        <f aca="false">SUM(BM49:BM52)</f>
        <v>0</v>
      </c>
      <c r="BO53" s="24" t="n">
        <f aca="false">SUM(BO49:BO52)</f>
        <v>0</v>
      </c>
      <c r="BP53" s="24"/>
      <c r="BQ53" s="24" t="n">
        <f aca="false">SUM(BQ49:BQ52)</f>
        <v>7121000</v>
      </c>
      <c r="BR53" s="24"/>
      <c r="BS53" s="24" t="n">
        <f aca="false">SUM(BS49:BS52)</f>
        <v>1001423</v>
      </c>
      <c r="BU53" s="24" t="n">
        <f aca="false">SUM(BU49:BU52)</f>
        <v>719000</v>
      </c>
      <c r="BV53" s="24" t="n">
        <f aca="false">SUM(BV49:BV52)</f>
        <v>0</v>
      </c>
      <c r="BW53" s="24" t="n">
        <f aca="false">SUM(BW49:BW52)</f>
        <v>7840000</v>
      </c>
      <c r="BX53" s="24" t="n">
        <f aca="false">SUM(BX49:BX52)</f>
        <v>0</v>
      </c>
      <c r="BY53" s="24" t="n">
        <f aca="false">SUM(BY49:BY52)</f>
        <v>-1001423</v>
      </c>
      <c r="BZ53" s="24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74"/>
      <c r="B54" s="178"/>
      <c r="C54" s="2"/>
      <c r="D54" s="2"/>
      <c r="E54" s="2"/>
      <c r="F54" s="2"/>
      <c r="G54" s="2"/>
      <c r="H54" s="2"/>
      <c r="I54" s="2"/>
      <c r="J54" s="3"/>
      <c r="K54" s="2"/>
      <c r="L54" s="179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"/>
      <c r="AJ54" s="24"/>
      <c r="AK54" s="2"/>
      <c r="AL54" s="24"/>
      <c r="AM54" s="2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F54" s="24"/>
      <c r="BH54" s="24"/>
      <c r="BJ54" s="24"/>
      <c r="BM54" s="24"/>
      <c r="BO54" s="24"/>
      <c r="BP54" s="24"/>
      <c r="BQ54" s="24"/>
      <c r="BR54" s="24"/>
      <c r="BS54" s="24"/>
      <c r="BU54" s="24"/>
      <c r="BV54" s="24"/>
      <c r="BW54" s="24"/>
      <c r="BX54" s="24"/>
      <c r="BY54" s="24"/>
      <c r="BZ54" s="24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74"/>
      <c r="B55" s="180" t="s">
        <v>195</v>
      </c>
      <c r="C55" s="2"/>
      <c r="D55" s="2"/>
      <c r="E55" s="2"/>
      <c r="F55" s="2"/>
      <c r="G55" s="2"/>
      <c r="H55" s="2"/>
      <c r="I55" s="2"/>
      <c r="J55" s="3"/>
      <c r="K55" s="2"/>
      <c r="L55" s="179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"/>
      <c r="AJ55" s="24"/>
      <c r="AK55" s="2"/>
      <c r="AL55" s="24"/>
      <c r="AM55" s="2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F55" s="24"/>
      <c r="BH55" s="24"/>
      <c r="BJ55" s="24"/>
      <c r="BM55" s="24"/>
      <c r="BO55" s="24"/>
      <c r="BP55" s="24"/>
      <c r="BQ55" s="24"/>
      <c r="BR55" s="24"/>
      <c r="BS55" s="24"/>
      <c r="BU55" s="24"/>
      <c r="BV55" s="24"/>
      <c r="BW55" s="24"/>
      <c r="BX55" s="24"/>
      <c r="BY55" s="24"/>
      <c r="BZ55" s="24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3.5" hidden="false" customHeight="false" outlineLevel="0" collapsed="false">
      <c r="A56" s="174"/>
      <c r="B56" s="181" t="s">
        <v>196</v>
      </c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176" t="n">
        <f aca="false">1331509+1001489</f>
        <v>2332998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110" t="n">
        <v>949522</v>
      </c>
      <c r="AS56" s="24"/>
      <c r="AT56" s="110" t="n">
        <f aca="false">976794-949522</f>
        <v>27272</v>
      </c>
      <c r="AU56" s="24"/>
      <c r="AV56" s="24"/>
      <c r="AW56" s="24"/>
      <c r="AX56" s="110" t="n">
        <v>2274</v>
      </c>
      <c r="AY56" s="24"/>
      <c r="AZ56" s="24"/>
      <c r="BA56" s="24"/>
      <c r="BB56" s="24"/>
      <c r="BC56" s="24"/>
      <c r="BD56" s="110" t="n">
        <f aca="false">501323+788483-979068</f>
        <v>310738</v>
      </c>
      <c r="BF56" s="24" t="n">
        <f aca="false">501323+1019332-1289806</f>
        <v>230849</v>
      </c>
      <c r="BH56" s="24"/>
      <c r="BJ56" s="110" t="n">
        <f aca="false">538000+1432000-1520655</f>
        <v>449345</v>
      </c>
      <c r="BM56" s="110"/>
      <c r="BO56" s="110"/>
      <c r="BP56" s="110"/>
      <c r="BQ56" s="110" t="n">
        <f aca="false">SUM(T56:BP56)</f>
        <v>1970000</v>
      </c>
      <c r="BS56" s="110" t="n">
        <f aca="false">1432000+538000-R56</f>
        <v>-362998</v>
      </c>
      <c r="BU56" s="110" t="n">
        <f aca="false">IF(+R56-BQ56+BS56&gt;0,R56-BQ56+BS56,0)</f>
        <v>0</v>
      </c>
      <c r="BW56" s="110" t="n">
        <f aca="false">+BQ56+BU56</f>
        <v>1970000</v>
      </c>
      <c r="BY56" s="110" t="n">
        <f aca="false">+R56-BW56</f>
        <v>362998</v>
      </c>
      <c r="BZ56" s="24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3.5" hidden="false" customHeight="false" outlineLevel="0" collapsed="false">
      <c r="A57" s="174"/>
      <c r="B57" s="181" t="s">
        <v>197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176" t="n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S57" s="24"/>
      <c r="AU57" s="24"/>
      <c r="AV57" s="24"/>
      <c r="AW57" s="24"/>
      <c r="AY57" s="24"/>
      <c r="AZ57" s="24"/>
      <c r="BA57" s="24"/>
      <c r="BB57" s="24"/>
      <c r="BC57" s="24"/>
      <c r="BD57" s="110" t="n">
        <v>66938</v>
      </c>
      <c r="BF57" s="24" t="n">
        <f aca="false">84897-66938</f>
        <v>17959</v>
      </c>
      <c r="BH57" s="24"/>
      <c r="BJ57" s="110" t="n">
        <v>0</v>
      </c>
      <c r="BM57" s="110" t="n">
        <v>0</v>
      </c>
      <c r="BO57" s="110" t="n">
        <v>0</v>
      </c>
      <c r="BP57" s="110"/>
      <c r="BQ57" s="110" t="n">
        <f aca="false">SUM(T57:BP57)</f>
        <v>84897</v>
      </c>
      <c r="BS57" s="110" t="n">
        <v>85000</v>
      </c>
      <c r="BU57" s="110" t="n">
        <f aca="false">IF(+R57-BQ57+BS57&gt;0,R57-BQ57+BS57,0)</f>
        <v>103</v>
      </c>
      <c r="BW57" s="110" t="n">
        <f aca="false">+BQ57+BU57</f>
        <v>85000</v>
      </c>
      <c r="BY57" s="110" t="n">
        <f aca="false">+R57-BW57</f>
        <v>-85000</v>
      </c>
      <c r="BZ57" s="24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3.5" hidden="false" customHeight="false" outlineLevel="0" collapsed="false">
      <c r="A58" s="174"/>
      <c r="B58" s="181" t="s">
        <v>198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176" t="n">
        <v>497417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110" t="n">
        <v>133215</v>
      </c>
      <c r="AS58" s="24"/>
      <c r="AT58" s="110" t="n">
        <f aca="false">261726-133215</f>
        <v>128511</v>
      </c>
      <c r="AU58" s="24"/>
      <c r="AV58" s="24"/>
      <c r="AW58" s="24"/>
      <c r="AX58" s="110" t="n">
        <f aca="false">1322243-261726</f>
        <v>1060517</v>
      </c>
      <c r="AY58" s="24"/>
      <c r="AZ58" s="24"/>
      <c r="BA58" s="24"/>
      <c r="BB58" s="24"/>
      <c r="BC58" s="24"/>
      <c r="BD58" s="110" t="n">
        <f aca="false">425284-1322243</f>
        <v>-896959</v>
      </c>
      <c r="BF58" s="24" t="n">
        <f aca="false">446090-425284</f>
        <v>20806</v>
      </c>
      <c r="BH58" s="24"/>
      <c r="BJ58" s="110" t="n">
        <v>0</v>
      </c>
      <c r="BM58" s="110" t="n">
        <v>0</v>
      </c>
      <c r="BO58" s="110" t="n">
        <v>0</v>
      </c>
      <c r="BP58" s="110"/>
      <c r="BQ58" s="110" t="n">
        <f aca="false">SUM(T58:BP58)</f>
        <v>446090</v>
      </c>
      <c r="BS58" s="110" t="n">
        <f aca="false">446000-R58</f>
        <v>-51417</v>
      </c>
      <c r="BU58" s="110" t="n">
        <f aca="false">IF(+R58-BQ58+BS58&gt;0,R58-BQ58+BS58,0)</f>
        <v>0</v>
      </c>
      <c r="BW58" s="110" t="n">
        <f aca="false">+BQ58+BU58</f>
        <v>446090</v>
      </c>
      <c r="BY58" s="110" t="n">
        <f aca="false">+R58-BW58</f>
        <v>51327</v>
      </c>
      <c r="BZ58" s="24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3.5" hidden="false" customHeight="false" outlineLevel="0" collapsed="false">
      <c r="A59" s="174"/>
      <c r="B59" s="181" t="s">
        <v>199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176" t="n">
        <v>834305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110" t="n">
        <v>725</v>
      </c>
      <c r="AS59" s="24"/>
      <c r="AT59" s="110" t="n">
        <v>936926</v>
      </c>
      <c r="AU59" s="24"/>
      <c r="AV59" s="24"/>
      <c r="AW59" s="24"/>
      <c r="AX59" s="110" t="n">
        <f aca="false">1423431-937651</f>
        <v>485780</v>
      </c>
      <c r="AY59" s="24"/>
      <c r="AZ59" s="24"/>
      <c r="BA59" s="24"/>
      <c r="BB59" s="24"/>
      <c r="BC59" s="24"/>
      <c r="BD59" s="110" t="n">
        <f aca="false">2311396-1423431</f>
        <v>887965</v>
      </c>
      <c r="BF59" s="24" t="n">
        <f aca="false">2348535-2311396</f>
        <v>37139</v>
      </c>
      <c r="BH59" s="24"/>
      <c r="BJ59" s="110" t="n">
        <v>0</v>
      </c>
      <c r="BM59" s="110" t="n">
        <v>0</v>
      </c>
      <c r="BO59" s="110" t="n">
        <v>0</v>
      </c>
      <c r="BP59" s="110"/>
      <c r="BQ59" s="110" t="n">
        <f aca="false">SUM(T59:BP59)</f>
        <v>2348535</v>
      </c>
      <c r="BS59" s="110" t="n">
        <f aca="false">2349000-R59</f>
        <v>1514695</v>
      </c>
      <c r="BU59" s="110" t="n">
        <f aca="false">IF(+R59-BQ59+BS59&gt;0,R59-BQ59+BS59,0)</f>
        <v>465</v>
      </c>
      <c r="BW59" s="110" t="n">
        <f aca="false">+BQ59+BU59</f>
        <v>2349000</v>
      </c>
      <c r="BY59" s="110" t="n">
        <f aca="false">+R59-BW59</f>
        <v>-1514695</v>
      </c>
      <c r="BZ59" s="24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174"/>
      <c r="B60" s="181" t="s">
        <v>200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176" t="n">
        <v>718539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24"/>
      <c r="AQ60" s="24"/>
      <c r="AR60" s="110" t="n">
        <v>6350</v>
      </c>
      <c r="AS60" s="24"/>
      <c r="AT60" s="110" t="n">
        <f aca="false">561632-6350</f>
        <v>555282</v>
      </c>
      <c r="AU60" s="24"/>
      <c r="AV60" s="24"/>
      <c r="AW60" s="24"/>
      <c r="AX60" s="110" t="n">
        <f aca="false">1006302-561632</f>
        <v>444670</v>
      </c>
      <c r="AY60" s="24"/>
      <c r="AZ60" s="24"/>
      <c r="BA60" s="24"/>
      <c r="BB60" s="24"/>
      <c r="BC60" s="24"/>
      <c r="BD60" s="110" t="n">
        <f aca="false">1323463-1006302</f>
        <v>317161</v>
      </c>
      <c r="BF60" s="24" t="n">
        <f aca="false">1329939-1323463</f>
        <v>6476</v>
      </c>
      <c r="BH60" s="24"/>
      <c r="BJ60" s="110"/>
      <c r="BM60" s="110"/>
      <c r="BO60" s="110"/>
      <c r="BP60" s="110"/>
      <c r="BQ60" s="110" t="n">
        <f aca="false">SUM(T60:BP60)</f>
        <v>1329939</v>
      </c>
      <c r="BS60" s="110" t="n">
        <f aca="false">1328000-R60</f>
        <v>609461</v>
      </c>
      <c r="BU60" s="110" t="n">
        <f aca="false">IF(+R60-BQ60+BS60&gt;0,R60-BQ60+BS60,0)</f>
        <v>0</v>
      </c>
      <c r="BW60" s="110" t="n">
        <f aca="false">+BQ60+BU60</f>
        <v>1329939</v>
      </c>
      <c r="BY60" s="110" t="n">
        <f aca="false">+R60-BW60</f>
        <v>-611400</v>
      </c>
      <c r="BZ60" s="24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3.5" hidden="false" customHeight="false" outlineLevel="0" collapsed="false">
      <c r="A61" s="174"/>
      <c r="B61" s="181" t="s">
        <v>201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176" t="n">
        <v>453000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24"/>
      <c r="AQ61" s="24"/>
      <c r="AR61" s="110" t="n">
        <v>103285</v>
      </c>
      <c r="AS61" s="24"/>
      <c r="AT61" s="110" t="n">
        <f aca="false">168329-103285</f>
        <v>65044</v>
      </c>
      <c r="AU61" s="24"/>
      <c r="AV61" s="24"/>
      <c r="AW61" s="24"/>
      <c r="AX61" s="110" t="n">
        <f aca="false">234316-168329</f>
        <v>65987</v>
      </c>
      <c r="AY61" s="24"/>
      <c r="AZ61" s="24"/>
      <c r="BA61" s="24"/>
      <c r="BB61" s="24"/>
      <c r="BC61" s="24"/>
      <c r="BD61" s="110" t="n">
        <f aca="false">262512-234316</f>
        <v>28196</v>
      </c>
      <c r="BF61" s="24" t="n">
        <v>0</v>
      </c>
      <c r="BH61" s="24"/>
      <c r="BJ61" s="110" t="n">
        <f aca="false">266000-262512</f>
        <v>3488</v>
      </c>
      <c r="BM61" s="110"/>
      <c r="BO61" s="110"/>
      <c r="BP61" s="110"/>
      <c r="BQ61" s="110" t="n">
        <f aca="false">SUM(T61:BP61)</f>
        <v>266000</v>
      </c>
      <c r="BS61" s="110" t="n">
        <f aca="false">266000-R61</f>
        <v>-187000</v>
      </c>
      <c r="BU61" s="110" t="n">
        <f aca="false">IF(+R61-BQ61+BS61&gt;0,R61-BQ61+BS61,0)</f>
        <v>0</v>
      </c>
      <c r="BW61" s="110" t="n">
        <f aca="false">+BQ61+BU61</f>
        <v>266000</v>
      </c>
      <c r="BY61" s="110" t="n">
        <f aca="false">+R61-BW61</f>
        <v>187000</v>
      </c>
      <c r="BZ61" s="24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3.5" hidden="false" customHeight="false" outlineLevel="0" collapsed="false">
      <c r="A62" s="174"/>
      <c r="B62" s="181" t="s">
        <v>202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176" t="n">
        <v>2265021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24"/>
      <c r="AQ62" s="24"/>
      <c r="AR62" s="110" t="n">
        <v>644530</v>
      </c>
      <c r="AS62" s="24"/>
      <c r="AT62" s="110" t="n">
        <v>1379020</v>
      </c>
      <c r="AU62" s="24"/>
      <c r="AV62" s="24"/>
      <c r="AW62" s="24"/>
      <c r="AX62" s="110" t="n">
        <f aca="false">3209322-2023550</f>
        <v>1185772</v>
      </c>
      <c r="AY62" s="24"/>
      <c r="AZ62" s="24"/>
      <c r="BA62" s="24"/>
      <c r="BB62" s="24"/>
      <c r="BC62" s="24"/>
      <c r="BD62" s="110" t="n">
        <f aca="false">3375904-3209322</f>
        <v>166582</v>
      </c>
      <c r="BF62" s="24" t="n">
        <f aca="false">3538842-3375904</f>
        <v>162938</v>
      </c>
      <c r="BH62" s="24"/>
      <c r="BJ62" s="110" t="n">
        <f aca="false">3703000-3538842</f>
        <v>164158</v>
      </c>
      <c r="BM62" s="110"/>
      <c r="BO62" s="110"/>
      <c r="BP62" s="110"/>
      <c r="BQ62" s="110" t="n">
        <f aca="false">SUM(T62:BP62)</f>
        <v>3703000</v>
      </c>
      <c r="BS62" s="110" t="n">
        <f aca="false">3874000-R62</f>
        <v>1608979</v>
      </c>
      <c r="BU62" s="110" t="n">
        <f aca="false">IF(+R62-BQ62+BS62&gt;0,R62-BQ62+BS62,0)</f>
        <v>171000</v>
      </c>
      <c r="BW62" s="110" t="n">
        <f aca="false">+BQ62+BU62</f>
        <v>3874000</v>
      </c>
      <c r="BY62" s="110" t="n">
        <f aca="false">+R62-BW62</f>
        <v>-1608979</v>
      </c>
      <c r="BZ62" s="24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3.5" hidden="false" customHeight="false" outlineLevel="0" collapsed="false">
      <c r="A63" s="174"/>
      <c r="B63" s="181" t="s">
        <v>203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176" t="n">
        <v>1150462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24"/>
      <c r="AQ63" s="24"/>
      <c r="AR63" s="110" t="n">
        <v>508620</v>
      </c>
      <c r="AS63" s="24"/>
      <c r="AT63" s="110" t="n">
        <f aca="false">1062094-508620</f>
        <v>553474</v>
      </c>
      <c r="AU63" s="24"/>
      <c r="AV63" s="24"/>
      <c r="AW63" s="24"/>
      <c r="AX63" s="110" t="n">
        <f aca="false">1254696-1062094</f>
        <v>192602</v>
      </c>
      <c r="AY63" s="24"/>
      <c r="AZ63" s="24"/>
      <c r="BA63" s="24"/>
      <c r="BB63" s="24"/>
      <c r="BC63" s="24"/>
      <c r="BD63" s="110" t="n">
        <f aca="false">1438156-1254696</f>
        <v>183460</v>
      </c>
      <c r="BF63" s="24" t="n">
        <f aca="false">1443041-1438156</f>
        <v>4885</v>
      </c>
      <c r="BH63" s="24"/>
      <c r="BJ63" s="110" t="n">
        <f aca="false">1444000-1443041</f>
        <v>959</v>
      </c>
      <c r="BM63" s="110"/>
      <c r="BO63" s="110"/>
      <c r="BP63" s="110"/>
      <c r="BQ63" s="110" t="n">
        <f aca="false">SUM(T63:BP63)</f>
        <v>1444000</v>
      </c>
      <c r="BS63" s="110" t="n">
        <f aca="false">1446000-R63</f>
        <v>295538</v>
      </c>
      <c r="BU63" s="110" t="n">
        <f aca="false">IF(+R63-BQ63+BS63&gt;0,R63-BQ63+BS63,0)</f>
        <v>2000</v>
      </c>
      <c r="BW63" s="110" t="n">
        <f aca="false">+BQ63+BU63</f>
        <v>1446000</v>
      </c>
      <c r="BY63" s="110" t="n">
        <f aca="false">+R63-BW63</f>
        <v>-295538</v>
      </c>
      <c r="BZ63" s="24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3.5" hidden="false" customHeight="false" outlineLevel="0" collapsed="false">
      <c r="A64" s="174"/>
      <c r="B64" s="181" t="s">
        <v>204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176" t="n">
        <v>189949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110" t="n">
        <v>0</v>
      </c>
      <c r="AS64" s="24"/>
      <c r="AT64" s="110" t="n">
        <v>52828</v>
      </c>
      <c r="AU64" s="24"/>
      <c r="AV64" s="24"/>
      <c r="AW64" s="24"/>
      <c r="AX64" s="110" t="n">
        <f aca="false">288972-52828</f>
        <v>236144</v>
      </c>
      <c r="AY64" s="24"/>
      <c r="AZ64" s="24"/>
      <c r="BA64" s="24"/>
      <c r="BB64" s="24"/>
      <c r="BC64" s="24"/>
      <c r="BD64" s="110" t="n">
        <f aca="false">1008815-288972</f>
        <v>719843</v>
      </c>
      <c r="BF64" s="24" t="n">
        <f aca="false">1031462-1008815</f>
        <v>22647</v>
      </c>
      <c r="BH64" s="24"/>
      <c r="BJ64" s="110" t="n">
        <v>0</v>
      </c>
      <c r="BM64" s="110" t="n">
        <v>0</v>
      </c>
      <c r="BO64" s="110" t="n">
        <v>0</v>
      </c>
      <c r="BP64" s="110"/>
      <c r="BQ64" s="110" t="n">
        <f aca="false">SUM(T64:BP64)</f>
        <v>1031462</v>
      </c>
      <c r="BS64" s="110" t="n">
        <f aca="false">1031000-R64</f>
        <v>841051</v>
      </c>
      <c r="BU64" s="110" t="n">
        <f aca="false">IF(+R64-BQ64+BS64&gt;0,R64-BQ64+BS64,0)</f>
        <v>0</v>
      </c>
      <c r="BW64" s="110" t="n">
        <f aca="false">+BQ64+BU64</f>
        <v>1031462</v>
      </c>
      <c r="BY64" s="110" t="n">
        <f aca="false">+R64-BW64</f>
        <v>-841513</v>
      </c>
      <c r="BZ64" s="24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3.5" hidden="false" customHeight="false" outlineLevel="0" collapsed="false">
      <c r="A65" s="174"/>
      <c r="B65" s="181" t="s">
        <v>205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176" t="n">
        <v>77621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110" t="n">
        <v>4214</v>
      </c>
      <c r="AS65" s="24"/>
      <c r="AT65" s="110" t="n">
        <f aca="false">11626-4214</f>
        <v>7412</v>
      </c>
      <c r="AU65" s="24"/>
      <c r="AV65" s="24"/>
      <c r="AW65" s="24"/>
      <c r="AX65" s="110" t="n">
        <f aca="false">15618-11626</f>
        <v>3992</v>
      </c>
      <c r="AY65" s="24"/>
      <c r="AZ65" s="24"/>
      <c r="BA65" s="24"/>
      <c r="BB65" s="24"/>
      <c r="BC65" s="24"/>
      <c r="BD65" s="110" t="n">
        <f aca="false">34894-15618</f>
        <v>19276</v>
      </c>
      <c r="BF65" s="24" t="n">
        <f aca="false">37948-34894</f>
        <v>3054</v>
      </c>
      <c r="BH65" s="24"/>
      <c r="BJ65" s="110" t="n">
        <f aca="false">40000-37948</f>
        <v>2052</v>
      </c>
      <c r="BM65" s="110"/>
      <c r="BO65" s="110"/>
      <c r="BP65" s="110"/>
      <c r="BQ65" s="110" t="n">
        <f aca="false">SUM(T65:BP65)</f>
        <v>40000</v>
      </c>
      <c r="BS65" s="110" t="n">
        <f aca="false">40000-R65</f>
        <v>-37621</v>
      </c>
      <c r="BU65" s="110" t="n">
        <f aca="false">IF(+R65-BQ65+BS65&gt;0,R65-BQ65+BS65,0)</f>
        <v>0</v>
      </c>
      <c r="BW65" s="110" t="n">
        <f aca="false">+BQ65+BU65</f>
        <v>40000</v>
      </c>
      <c r="BY65" s="110" t="n">
        <f aca="false">+R65-BW65</f>
        <v>37621</v>
      </c>
      <c r="BZ65" s="24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206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176" t="n">
        <v>144437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10" t="n">
        <v>0</v>
      </c>
      <c r="AS66" s="24"/>
      <c r="AT66" s="110" t="n">
        <v>0</v>
      </c>
      <c r="AU66" s="24"/>
      <c r="AV66" s="24"/>
      <c r="AW66" s="24"/>
      <c r="AX66" s="110" t="n">
        <f aca="false">86250-0</f>
        <v>86250</v>
      </c>
      <c r="AY66" s="24"/>
      <c r="AZ66" s="24"/>
      <c r="BA66" s="24"/>
      <c r="BB66" s="24"/>
      <c r="BC66" s="24"/>
      <c r="BD66" s="110" t="n">
        <f aca="false">534755-86250</f>
        <v>448505</v>
      </c>
      <c r="BF66" s="24" t="n">
        <f aca="false">548568-534755</f>
        <v>13813</v>
      </c>
      <c r="BH66" s="24"/>
      <c r="BJ66" s="110" t="n">
        <v>0</v>
      </c>
      <c r="BM66" s="110" t="n">
        <v>0</v>
      </c>
      <c r="BO66" s="110" t="n">
        <v>0</v>
      </c>
      <c r="BP66" s="110"/>
      <c r="BQ66" s="110" t="n">
        <f aca="false">SUM(T66:BP66)</f>
        <v>548568</v>
      </c>
      <c r="BS66" s="110" t="n">
        <f aca="false">549000-R66</f>
        <v>404563</v>
      </c>
      <c r="BU66" s="110" t="n">
        <f aca="false">IF(+R66-BQ66+BS66&gt;0,R66-BQ66+BS66,0)</f>
        <v>432</v>
      </c>
      <c r="BW66" s="110" t="n">
        <f aca="false">+BQ66+BU66</f>
        <v>549000</v>
      </c>
      <c r="BY66" s="110" t="n">
        <f aca="false">+R66-BW66</f>
        <v>-404563</v>
      </c>
      <c r="BZ66" s="24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207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176" t="n">
        <v>327314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110" t="n">
        <v>85468</v>
      </c>
      <c r="AS67" s="24"/>
      <c r="AT67" s="110" t="n">
        <v>1</v>
      </c>
      <c r="AU67" s="24"/>
      <c r="AV67" s="24"/>
      <c r="AW67" s="24"/>
      <c r="AX67" s="110" t="n">
        <f aca="false">194633-85469</f>
        <v>109164</v>
      </c>
      <c r="AY67" s="24"/>
      <c r="AZ67" s="24"/>
      <c r="BA67" s="24"/>
      <c r="BB67" s="24"/>
      <c r="BC67" s="24"/>
      <c r="BD67" s="110" t="n">
        <f aca="false">350311-194633</f>
        <v>155678</v>
      </c>
      <c r="BF67" s="24" t="n">
        <v>0</v>
      </c>
      <c r="BH67" s="24"/>
      <c r="BJ67" s="110" t="n">
        <v>0</v>
      </c>
      <c r="BM67" s="110" t="n">
        <v>0</v>
      </c>
      <c r="BO67" s="110" t="n">
        <v>0</v>
      </c>
      <c r="BP67" s="110"/>
      <c r="BQ67" s="110" t="n">
        <f aca="false">SUM(T67:BP67)</f>
        <v>350311</v>
      </c>
      <c r="BS67" s="110" t="n">
        <f aca="false">350000-R67</f>
        <v>22686</v>
      </c>
      <c r="BU67" s="110" t="n">
        <f aca="false">IF(+R67-BQ67+BS67&gt;0,R67-BQ67+BS67,0)</f>
        <v>0</v>
      </c>
      <c r="BW67" s="110" t="n">
        <f aca="false">+BQ67+BU67</f>
        <v>350311</v>
      </c>
      <c r="BY67" s="110" t="n">
        <f aca="false">+R67-BW67</f>
        <v>-22997</v>
      </c>
      <c r="BZ67" s="24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208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176" t="n">
        <v>330460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110" t="n">
        <v>0</v>
      </c>
      <c r="AS68" s="24"/>
      <c r="AU68" s="24"/>
      <c r="AV68" s="24"/>
      <c r="AW68" s="24"/>
      <c r="AX68" s="110" t="n">
        <v>204390</v>
      </c>
      <c r="AY68" s="24"/>
      <c r="AZ68" s="24"/>
      <c r="BA68" s="24"/>
      <c r="BB68" s="24"/>
      <c r="BC68" s="24"/>
      <c r="BD68" s="110" t="n">
        <f aca="false">2746-204390</f>
        <v>-201644</v>
      </c>
      <c r="BF68" s="24" t="n">
        <f aca="false">17674-2746</f>
        <v>14928</v>
      </c>
      <c r="BH68" s="24"/>
      <c r="BJ68" s="110" t="n">
        <v>0</v>
      </c>
      <c r="BM68" s="110" t="n">
        <v>0</v>
      </c>
      <c r="BO68" s="110" t="n">
        <v>0</v>
      </c>
      <c r="BP68" s="110"/>
      <c r="BQ68" s="110" t="n">
        <f aca="false">SUM(T68:BP68)</f>
        <v>17674</v>
      </c>
      <c r="BS68" s="110" t="n">
        <f aca="false">18000-R68</f>
        <v>-312460</v>
      </c>
      <c r="BU68" s="110" t="n">
        <f aca="false">IF(+R68-BQ68+BS68&gt;0,R68-BQ68+BS68,0)</f>
        <v>326</v>
      </c>
      <c r="BW68" s="110" t="n">
        <f aca="false">+BQ68+BU68</f>
        <v>18000</v>
      </c>
      <c r="BY68" s="110" t="n">
        <f aca="false">+R68-BW68</f>
        <v>312460</v>
      </c>
      <c r="BZ68" s="24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209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176" t="n">
        <v>808591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110" t="n">
        <v>0</v>
      </c>
      <c r="AS69" s="24"/>
      <c r="AT69" s="110" t="n">
        <v>92600</v>
      </c>
      <c r="AU69" s="24"/>
      <c r="AV69" s="24"/>
      <c r="AW69" s="24"/>
      <c r="AX69" s="110" t="n">
        <f aca="false">150560-92600</f>
        <v>57960</v>
      </c>
      <c r="AY69" s="24"/>
      <c r="AZ69" s="24"/>
      <c r="BA69" s="24"/>
      <c r="BB69" s="24"/>
      <c r="BC69" s="24"/>
      <c r="BD69" s="110" t="n">
        <f aca="false">479383-150560</f>
        <v>328823</v>
      </c>
      <c r="BF69" s="24" t="n">
        <f aca="false">495063-479383</f>
        <v>15680</v>
      </c>
      <c r="BH69" s="24"/>
      <c r="BJ69" s="110" t="n">
        <f aca="false">562000-495063</f>
        <v>66937</v>
      </c>
      <c r="BM69" s="110"/>
      <c r="BO69" s="110"/>
      <c r="BP69" s="110"/>
      <c r="BQ69" s="110" t="n">
        <f aca="false">SUM(T69:BP69)</f>
        <v>562000</v>
      </c>
      <c r="BS69" s="110" t="n">
        <f aca="false">562000-R69</f>
        <v>-246591</v>
      </c>
      <c r="BU69" s="110" t="n">
        <f aca="false">IF(+R69-BQ69+BS69&gt;0,R69-BQ69+BS69,0)</f>
        <v>0</v>
      </c>
      <c r="BW69" s="110" t="n">
        <f aca="false">+BQ69+BU69</f>
        <v>562000</v>
      </c>
      <c r="BY69" s="110" t="n">
        <f aca="false">+R69-BW69</f>
        <v>246591</v>
      </c>
      <c r="BZ69" s="24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210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176" t="n">
        <v>858343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110" t="n">
        <v>0</v>
      </c>
      <c r="AS70" s="24"/>
      <c r="AT70" s="110" t="n">
        <f aca="false">44379+1584</f>
        <v>45963</v>
      </c>
      <c r="AU70" s="24"/>
      <c r="AV70" s="24"/>
      <c r="AW70" s="24"/>
      <c r="AX70" s="110" t="n">
        <f aca="false">358585-45963</f>
        <v>312622</v>
      </c>
      <c r="AY70" s="24"/>
      <c r="AZ70" s="24"/>
      <c r="BA70" s="24"/>
      <c r="BB70" s="24"/>
      <c r="BC70" s="24"/>
      <c r="BD70" s="110" t="n">
        <f aca="false">1258968-358585</f>
        <v>900383</v>
      </c>
      <c r="BF70" s="24" t="n">
        <f aca="false">1282165-1258968</f>
        <v>23197</v>
      </c>
      <c r="BH70" s="24"/>
      <c r="BJ70" s="110" t="n">
        <v>0</v>
      </c>
      <c r="BM70" s="110" t="n">
        <v>0</v>
      </c>
      <c r="BO70" s="110" t="n">
        <v>0</v>
      </c>
      <c r="BP70" s="110"/>
      <c r="BQ70" s="110" t="n">
        <f aca="false">SUM(T70:BP70)</f>
        <v>1282165</v>
      </c>
      <c r="BS70" s="110" t="n">
        <f aca="false">1282000-R70</f>
        <v>423657</v>
      </c>
      <c r="BU70" s="110" t="n">
        <f aca="false">IF(+R70-BQ70+BS70&gt;0,R70-BQ70+BS70,0)</f>
        <v>0</v>
      </c>
      <c r="BW70" s="110" t="n">
        <f aca="false">+BQ70+BU70</f>
        <v>1282165</v>
      </c>
      <c r="BY70" s="110" t="n">
        <f aca="false">+R70-BW70</f>
        <v>-423822</v>
      </c>
      <c r="BZ70" s="24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211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176" t="n">
        <v>1745515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S71" s="24"/>
      <c r="AT71" s="110" t="n">
        <v>46290</v>
      </c>
      <c r="AU71" s="24"/>
      <c r="AV71" s="24"/>
      <c r="AW71" s="24"/>
      <c r="AX71" s="110" t="n">
        <f aca="false">1227338-46290</f>
        <v>1181048</v>
      </c>
      <c r="AY71" s="24"/>
      <c r="AZ71" s="24"/>
      <c r="BA71" s="24"/>
      <c r="BB71" s="24"/>
      <c r="BC71" s="24"/>
      <c r="BD71" s="110" t="n">
        <f aca="false">5717361-1227338</f>
        <v>4490023</v>
      </c>
      <c r="BF71" s="24" t="n">
        <f aca="false">6038190-5717361</f>
        <v>320829</v>
      </c>
      <c r="BH71" s="24"/>
      <c r="BJ71" s="110" t="n">
        <f aca="false">6079000-6038190</f>
        <v>40810</v>
      </c>
      <c r="BM71" s="110"/>
      <c r="BO71" s="110"/>
      <c r="BP71" s="110"/>
      <c r="BQ71" s="110" t="n">
        <f aca="false">SUM(T71:BP71)</f>
        <v>6079000</v>
      </c>
      <c r="BS71" s="110" t="n">
        <f aca="false">6083000-R71</f>
        <v>4337485</v>
      </c>
      <c r="BU71" s="110" t="n">
        <f aca="false">IF(+R71-BQ71+BS71&gt;0,R71-BQ71+BS71,0)</f>
        <v>4000</v>
      </c>
      <c r="BW71" s="110" t="n">
        <f aca="false">+BQ71+BU71</f>
        <v>6083000</v>
      </c>
      <c r="BY71" s="110" t="n">
        <f aca="false">+R71-BW71</f>
        <v>-4337485</v>
      </c>
      <c r="BZ71" s="24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212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176" t="n">
        <v>571564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S72" s="24"/>
      <c r="AT72" s="110" t="n">
        <v>526</v>
      </c>
      <c r="AU72" s="24"/>
      <c r="AV72" s="24"/>
      <c r="AW72" s="24"/>
      <c r="AX72" s="110" t="n">
        <f aca="false">32975-526</f>
        <v>32449</v>
      </c>
      <c r="AY72" s="24"/>
      <c r="AZ72" s="24"/>
      <c r="BA72" s="24"/>
      <c r="BB72" s="24"/>
      <c r="BC72" s="24"/>
      <c r="BD72" s="110" t="n">
        <f aca="false">221751-32975</f>
        <v>188776</v>
      </c>
      <c r="BF72" s="24" t="n">
        <f aca="false">222321-221751</f>
        <v>570</v>
      </c>
      <c r="BH72" s="24"/>
      <c r="BJ72" s="110" t="n">
        <f aca="false">223000-222321</f>
        <v>679</v>
      </c>
      <c r="BM72" s="110"/>
      <c r="BO72" s="110"/>
      <c r="BP72" s="110"/>
      <c r="BQ72" s="110" t="n">
        <f aca="false">SUM(T72:BP72)</f>
        <v>223000</v>
      </c>
      <c r="BS72" s="110" t="n">
        <f aca="false">223000-R72</f>
        <v>-348564</v>
      </c>
      <c r="BU72" s="110" t="n">
        <f aca="false">IF(+R72-BQ72+BS72&gt;0,R72-BQ72+BS72,0)</f>
        <v>0</v>
      </c>
      <c r="BW72" s="110" t="n">
        <f aca="false">+BQ72+BU72-3</f>
        <v>222997</v>
      </c>
      <c r="BY72" s="110" t="n">
        <f aca="false">+R72-BW72</f>
        <v>348567</v>
      </c>
      <c r="BZ72" s="24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213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176" t="n">
        <f aca="false">581625+350016</f>
        <v>931641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S73" s="24"/>
      <c r="AT73" s="110" t="n">
        <v>0</v>
      </c>
      <c r="AU73" s="24"/>
      <c r="AV73" s="24"/>
      <c r="AW73" s="24"/>
      <c r="AY73" s="24"/>
      <c r="AZ73" s="24"/>
      <c r="BA73" s="24"/>
      <c r="BB73" s="24"/>
      <c r="BC73" s="24"/>
      <c r="BD73" s="110" t="n">
        <f aca="false">208367+214658</f>
        <v>423025</v>
      </c>
      <c r="BF73" s="24" t="n">
        <f aca="false">304652+375201-423025</f>
        <v>256828</v>
      </c>
      <c r="BH73" s="24"/>
      <c r="BJ73" s="110" t="n">
        <f aca="false">951000-679853</f>
        <v>271147</v>
      </c>
      <c r="BM73" s="110"/>
      <c r="BO73" s="110"/>
      <c r="BP73" s="110"/>
      <c r="BQ73" s="110" t="n">
        <f aca="false">SUM(T73:BP73)</f>
        <v>951000</v>
      </c>
      <c r="BS73" s="110" t="n">
        <f aca="false">351000+600000-R73</f>
        <v>19359</v>
      </c>
      <c r="BU73" s="110" t="n">
        <f aca="false">IF(+R73-BQ73+BS73&gt;0,R73-BQ73+BS73,0)</f>
        <v>0</v>
      </c>
      <c r="BW73" s="110" t="n">
        <f aca="false">+BQ73+BU73</f>
        <v>951000</v>
      </c>
      <c r="BY73" s="110" t="n">
        <f aca="false">+R73-BW73</f>
        <v>-19359</v>
      </c>
      <c r="BZ73" s="24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214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176" t="n">
        <v>6297865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110" t="n">
        <v>134000</v>
      </c>
      <c r="AS74" s="24"/>
      <c r="AT74" s="110" t="n">
        <f aca="false">537131+88400</f>
        <v>625531</v>
      </c>
      <c r="AU74" s="24"/>
      <c r="AV74" s="24"/>
      <c r="AW74" s="24"/>
      <c r="AX74" s="110" t="n">
        <f aca="false">3951728-759531</f>
        <v>3192197</v>
      </c>
      <c r="AY74" s="24"/>
      <c r="AZ74" s="24"/>
      <c r="BA74" s="24"/>
      <c r="BB74" s="24"/>
      <c r="BC74" s="24"/>
      <c r="BD74" s="110" t="n">
        <f aca="false">18615518-3951728</f>
        <v>14663790</v>
      </c>
      <c r="BF74" s="24" t="n">
        <f aca="false">18841458-18615518</f>
        <v>225940</v>
      </c>
      <c r="BH74" s="24"/>
      <c r="BJ74" s="110" t="n">
        <f aca="false">18854000-18841458</f>
        <v>12542</v>
      </c>
      <c r="BM74" s="110"/>
      <c r="BO74" s="110"/>
      <c r="BP74" s="110"/>
      <c r="BQ74" s="110" t="n">
        <f aca="false">SUM(T74:BP74)</f>
        <v>18854000</v>
      </c>
      <c r="BS74" s="110" t="n">
        <f aca="false">18854000-R74</f>
        <v>12556135</v>
      </c>
      <c r="BU74" s="110" t="n">
        <f aca="false">IF(+R74-BQ74+BS74&gt;0,R74-BQ74+BS74,0)</f>
        <v>0</v>
      </c>
      <c r="BW74" s="110" t="n">
        <f aca="false">+BQ74+BU74</f>
        <v>18854000</v>
      </c>
      <c r="BY74" s="110" t="n">
        <f aca="false">+R74-BW74</f>
        <v>-12556135</v>
      </c>
      <c r="BZ74" s="24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215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176" t="n">
        <v>868340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S75" s="24"/>
      <c r="AU75" s="24"/>
      <c r="AV75" s="24"/>
      <c r="AW75" s="24"/>
      <c r="AX75" s="110" t="n">
        <v>169550</v>
      </c>
      <c r="AY75" s="24"/>
      <c r="AZ75" s="24"/>
      <c r="BA75" s="24"/>
      <c r="BB75" s="24"/>
      <c r="BC75" s="24"/>
      <c r="BD75" s="110" t="n">
        <f aca="false">4019526-169550</f>
        <v>3849976</v>
      </c>
      <c r="BF75" s="24" t="n">
        <f aca="false">4411227-4019526</f>
        <v>391701</v>
      </c>
      <c r="BH75" s="24"/>
      <c r="BJ75" s="110" t="n">
        <f aca="false">4455000-4411227</f>
        <v>43773</v>
      </c>
      <c r="BM75" s="110"/>
      <c r="BO75" s="110"/>
      <c r="BP75" s="110"/>
      <c r="BQ75" s="110" t="n">
        <f aca="false">SUM(T75:BP75)</f>
        <v>4455000</v>
      </c>
      <c r="BS75" s="110" t="n">
        <f aca="false">4457000-R75</f>
        <v>3588660</v>
      </c>
      <c r="BU75" s="110" t="n">
        <f aca="false">IF(+R75-BQ75+BS75&gt;0,R75-BQ75+BS75,0)</f>
        <v>2000</v>
      </c>
      <c r="BW75" s="110" t="n">
        <f aca="false">+BQ75+BU75</f>
        <v>4457000</v>
      </c>
      <c r="BY75" s="110" t="n">
        <f aca="false">+R75-BW75</f>
        <v>-3588660</v>
      </c>
      <c r="BZ75" s="24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216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176" t="n">
        <v>-1225177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S76" s="24"/>
      <c r="AU76" s="24"/>
      <c r="AV76" s="24"/>
      <c r="AW76" s="24"/>
      <c r="AY76" s="24"/>
      <c r="AZ76" s="24"/>
      <c r="BA76" s="24"/>
      <c r="BB76" s="24"/>
      <c r="BC76" s="24"/>
      <c r="BF76" s="24"/>
      <c r="BH76" s="24"/>
      <c r="BJ76" s="110" t="n">
        <v>0</v>
      </c>
      <c r="BM76" s="110" t="n">
        <v>0</v>
      </c>
      <c r="BO76" s="110" t="n">
        <v>0</v>
      </c>
      <c r="BP76" s="110"/>
      <c r="BQ76" s="110" t="n">
        <f aca="false">SUM(T76:BP76)</f>
        <v>0</v>
      </c>
      <c r="BS76" s="110" t="n">
        <v>1225177</v>
      </c>
      <c r="BU76" s="110" t="n">
        <f aca="false">IF(+R76-BQ76+BS76&gt;0,R76-BQ76+BS76,0)</f>
        <v>0</v>
      </c>
      <c r="BW76" s="110" t="n">
        <f aca="false">+BQ76+BU76</f>
        <v>0</v>
      </c>
      <c r="BY76" s="110" t="n">
        <f aca="false">+R76-BW76</f>
        <v>-1225177</v>
      </c>
      <c r="BZ76" s="24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217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176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S77" s="24"/>
      <c r="AT77" s="110" t="n">
        <v>29554</v>
      </c>
      <c r="AU77" s="24"/>
      <c r="AV77" s="24"/>
      <c r="AW77" s="24"/>
      <c r="AX77" s="110" t="n">
        <f aca="false">57585-29554</f>
        <v>28031</v>
      </c>
      <c r="AY77" s="24"/>
      <c r="AZ77" s="24"/>
      <c r="BA77" s="24"/>
      <c r="BB77" s="24"/>
      <c r="BC77" s="24"/>
      <c r="BD77" s="110" t="n">
        <f aca="false">259919-57585</f>
        <v>202334</v>
      </c>
      <c r="BF77" s="24" t="n">
        <f aca="false">286812-259919</f>
        <v>26893</v>
      </c>
      <c r="BH77" s="24"/>
      <c r="BJ77" s="110" t="n">
        <f aca="false">292000-286812</f>
        <v>5188</v>
      </c>
      <c r="BM77" s="110"/>
      <c r="BO77" s="110"/>
      <c r="BP77" s="110"/>
      <c r="BQ77" s="110" t="n">
        <f aca="false">SUM(T77:BP77)</f>
        <v>292000</v>
      </c>
      <c r="BS77" s="110" t="n">
        <f aca="false">292000-R77</f>
        <v>292000</v>
      </c>
      <c r="BU77" s="110" t="n">
        <f aca="false">IF(+R77-BQ77+BS77&gt;0,R77-BQ77+BS77,0)</f>
        <v>0</v>
      </c>
      <c r="BW77" s="110" t="n">
        <f aca="false">+BQ77+BU77</f>
        <v>292000</v>
      </c>
      <c r="BY77" s="110" t="n">
        <f aca="false">+R77-BW77</f>
        <v>-292000</v>
      </c>
      <c r="BZ77" s="24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218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S78" s="24"/>
      <c r="AT78" s="110" t="n">
        <v>99225</v>
      </c>
      <c r="AU78" s="24"/>
      <c r="AV78" s="24"/>
      <c r="AW78" s="24"/>
      <c r="AX78" s="110" t="n">
        <f aca="false">116645-99225</f>
        <v>17420</v>
      </c>
      <c r="AY78" s="24"/>
      <c r="AZ78" s="24"/>
      <c r="BA78" s="24"/>
      <c r="BB78" s="24"/>
      <c r="BC78" s="24"/>
      <c r="BD78" s="110" t="n">
        <f aca="false">236705-116645</f>
        <v>120060</v>
      </c>
      <c r="BF78" s="24" t="n">
        <f aca="false">254882-236705</f>
        <v>18177</v>
      </c>
      <c r="BH78" s="24"/>
      <c r="BJ78" s="110" t="n">
        <f aca="false">251000-254882</f>
        <v>-3882</v>
      </c>
      <c r="BM78" s="110"/>
      <c r="BO78" s="110"/>
      <c r="BP78" s="110"/>
      <c r="BQ78" s="110" t="n">
        <f aca="false">SUM(T78:BP78)</f>
        <v>251000</v>
      </c>
      <c r="BS78" s="24" t="n">
        <v>251000</v>
      </c>
      <c r="BU78" s="110" t="n">
        <f aca="false">IF(+R78-BQ78+BS78&gt;0,R78-BQ78+BS78,0)</f>
        <v>0</v>
      </c>
      <c r="BW78" s="110" t="n">
        <f aca="false">+BQ78+BU78</f>
        <v>251000</v>
      </c>
      <c r="BY78" s="110" t="n">
        <f aca="false">+R78-BW78</f>
        <v>-251000</v>
      </c>
      <c r="BZ78" s="24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3.5" hidden="false" customHeight="false" outlineLevel="0" collapsed="false">
      <c r="A79" s="174"/>
      <c r="B79" s="175" t="s">
        <v>219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 t="n">
        <v>12201</v>
      </c>
      <c r="AU79" s="24"/>
      <c r="AV79" s="24"/>
      <c r="AW79" s="24"/>
      <c r="AX79" s="110" t="n">
        <f aca="false">77361-12201</f>
        <v>65160</v>
      </c>
      <c r="AY79" s="24"/>
      <c r="AZ79" s="24"/>
      <c r="BA79" s="24"/>
      <c r="BB79" s="24"/>
      <c r="BC79" s="24"/>
      <c r="BD79" s="110" t="n">
        <f aca="false">421031-77361</f>
        <v>343670</v>
      </c>
      <c r="BF79" s="24" t="n">
        <f aca="false">234280-421031</f>
        <v>-186751</v>
      </c>
      <c r="BH79" s="24"/>
      <c r="BJ79" s="110" t="n">
        <f aca="false">240000-234280</f>
        <v>5720</v>
      </c>
      <c r="BM79" s="110"/>
      <c r="BO79" s="110"/>
      <c r="BP79" s="110"/>
      <c r="BQ79" s="110" t="n">
        <f aca="false">SUM(T79:BP79)</f>
        <v>240000</v>
      </c>
      <c r="BS79" s="110" t="n">
        <v>-51000</v>
      </c>
      <c r="BU79" s="110" t="n">
        <f aca="false">IF(+R79-BQ79+BS79&gt;0,R79-BQ79+BS79,0)</f>
        <v>0</v>
      </c>
      <c r="BV79" s="24"/>
      <c r="BW79" s="110" t="n">
        <f aca="false">+BQ79+BU79</f>
        <v>240000</v>
      </c>
      <c r="BX79" s="24"/>
      <c r="BY79" s="110" t="n">
        <f aca="false">+R79-BW79</f>
        <v>-240000</v>
      </c>
      <c r="BZ79" s="24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74"/>
      <c r="B80" s="178" t="s">
        <v>220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SUM(R56:R79)</f>
        <v>20178205</v>
      </c>
      <c r="S80" s="24" t="n">
        <f aca="false">SUM(S56:S79)</f>
        <v>0</v>
      </c>
      <c r="T80" s="24" t="n">
        <f aca="false">SUM(T56:T79)</f>
        <v>0</v>
      </c>
      <c r="U80" s="24" t="n">
        <f aca="false">SUM(U56:U79)</f>
        <v>0</v>
      </c>
      <c r="V80" s="24" t="n">
        <f aca="false">SUM(V56:V79)</f>
        <v>0</v>
      </c>
      <c r="W80" s="24" t="n">
        <f aca="false">SUM(W56:W79)</f>
        <v>0</v>
      </c>
      <c r="X80" s="24" t="n">
        <f aca="false">SUM(X56:X79)</f>
        <v>0</v>
      </c>
      <c r="Y80" s="24" t="n">
        <f aca="false">SUM(Y56:Y79)</f>
        <v>0</v>
      </c>
      <c r="Z80" s="24" t="n">
        <f aca="false">SUM(Z56:Z79)</f>
        <v>0</v>
      </c>
      <c r="AA80" s="24" t="n">
        <f aca="false">SUM(AA56:AA79)</f>
        <v>0</v>
      </c>
      <c r="AB80" s="24" t="n">
        <f aca="false">SUM(AB56:AB79)</f>
        <v>0</v>
      </c>
      <c r="AC80" s="24" t="n">
        <f aca="false">SUM(AC56:AC79)</f>
        <v>0</v>
      </c>
      <c r="AD80" s="24" t="n">
        <f aca="false">SUM(AD56:AD79)</f>
        <v>0</v>
      </c>
      <c r="AE80" s="24"/>
      <c r="AF80" s="24" t="n">
        <f aca="false">SUM(AF56:AF79)</f>
        <v>0</v>
      </c>
      <c r="AG80" s="24"/>
      <c r="AH80" s="24" t="n">
        <f aca="false">SUM(AH56:AH79)</f>
        <v>0</v>
      </c>
      <c r="AI80" s="24"/>
      <c r="AJ80" s="24" t="n">
        <f aca="false">SUM(AJ56:AJ79)</f>
        <v>0</v>
      </c>
      <c r="AK80" s="24" t="n">
        <f aca="false">SUM(AK56:AK79)</f>
        <v>0</v>
      </c>
      <c r="AL80" s="24" t="n">
        <f aca="false">SUM(AL56:AL79)</f>
        <v>0</v>
      </c>
      <c r="AM80" s="24" t="n">
        <f aca="false">SUM(AM56:AM79)</f>
        <v>0</v>
      </c>
      <c r="AN80" s="24" t="n">
        <f aca="false">SUM(AN56:AN79)</f>
        <v>0</v>
      </c>
      <c r="AO80" s="24" t="n">
        <f aca="false">SUM(AO56:AO79)</f>
        <v>0</v>
      </c>
      <c r="AP80" s="24" t="n">
        <f aca="false">SUM(AP56:AP79)</f>
        <v>0</v>
      </c>
      <c r="AQ80" s="24" t="n">
        <f aca="false">SUM(AQ56:AQ79)</f>
        <v>0</v>
      </c>
      <c r="AR80" s="24" t="n">
        <f aca="false">SUM(AR56:AR79)</f>
        <v>2569929</v>
      </c>
      <c r="AS80" s="24" t="n">
        <f aca="false">SUM(AS56:AS79)</f>
        <v>0</v>
      </c>
      <c r="AT80" s="24" t="n">
        <f aca="false">SUM(AT56:AT79)</f>
        <v>4657660</v>
      </c>
      <c r="AU80" s="24" t="n">
        <f aca="false">SUM(AU56:AU79)</f>
        <v>0</v>
      </c>
      <c r="AV80" s="24" t="n">
        <f aca="false">SUM(AV56:AV79)</f>
        <v>0</v>
      </c>
      <c r="AW80" s="24" t="n">
        <f aca="false">SUM(AW56:AW79)</f>
        <v>0</v>
      </c>
      <c r="AX80" s="24" t="n">
        <f aca="false">SUM(AX56:AX79)</f>
        <v>9133979</v>
      </c>
      <c r="AY80" s="24" t="n">
        <f aca="false">SUM(AY56:AY79)</f>
        <v>0</v>
      </c>
      <c r="AZ80" s="24" t="n">
        <f aca="false">SUM(AZ56:AZ79)</f>
        <v>0</v>
      </c>
      <c r="BA80" s="24" t="n">
        <f aca="false">SUM(BA56:BA79)</f>
        <v>0</v>
      </c>
      <c r="BB80" s="24" t="n">
        <f aca="false">SUM(BB56:BB79)</f>
        <v>0</v>
      </c>
      <c r="BC80" s="24"/>
      <c r="BD80" s="24" t="n">
        <f aca="false">SUM(BD56:BD79)</f>
        <v>27716599</v>
      </c>
      <c r="BF80" s="24" t="n">
        <f aca="false">SUM(BF56:BF79)</f>
        <v>1628558</v>
      </c>
      <c r="BH80" s="24" t="n">
        <f aca="false">SUM(BH56:BH79)</f>
        <v>0</v>
      </c>
      <c r="BJ80" s="24" t="n">
        <f aca="false">SUM(BJ56:BJ79)</f>
        <v>1062916</v>
      </c>
      <c r="BM80" s="24" t="n">
        <f aca="false">SUM(BM56:BM79)</f>
        <v>0</v>
      </c>
      <c r="BO80" s="24" t="n">
        <f aca="false">SUM(BO56:BO79)</f>
        <v>0</v>
      </c>
      <c r="BP80" s="24"/>
      <c r="BQ80" s="24" t="n">
        <f aca="false">SUM(BQ56:BQ79)</f>
        <v>46769641</v>
      </c>
      <c r="BR80" s="24"/>
      <c r="BS80" s="24" t="n">
        <f aca="false">SUM(BS56:BS79)</f>
        <v>26477795</v>
      </c>
      <c r="BU80" s="24" t="n">
        <f aca="false">SUM(BU56:BU79)</f>
        <v>180326</v>
      </c>
      <c r="BV80" s="24" t="n">
        <f aca="false">SUM(BV56:BV79)</f>
        <v>0</v>
      </c>
      <c r="BW80" s="24" t="n">
        <f aca="false">SUM(BW56:BW79)</f>
        <v>46949964</v>
      </c>
      <c r="BX80" s="24" t="n">
        <f aca="false">SUM(BX56:BX79)</f>
        <v>0</v>
      </c>
      <c r="BY80" s="24" t="n">
        <f aca="false">SUM(BY56:BY79)</f>
        <v>-26771759</v>
      </c>
      <c r="BZ80" s="24" t="n">
        <f aca="false">SUM(BZ56:BZ79)</f>
        <v>0</v>
      </c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74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F81" s="24"/>
      <c r="BH81" s="24"/>
      <c r="BJ81" s="24"/>
      <c r="BM81" s="24"/>
      <c r="BO81" s="24"/>
      <c r="BP81" s="24"/>
      <c r="BQ81" s="24"/>
      <c r="BR81" s="24"/>
      <c r="BS81" s="24"/>
      <c r="BU81" s="24"/>
      <c r="BV81" s="24"/>
      <c r="BW81" s="24"/>
      <c r="BX81" s="24"/>
      <c r="BY81" s="24"/>
      <c r="BZ81" s="24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74"/>
      <c r="B82" s="182" t="s">
        <v>221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F82" s="24"/>
      <c r="BH82" s="24"/>
      <c r="BJ82" s="24"/>
      <c r="BM82" s="24"/>
      <c r="BO82" s="24"/>
      <c r="BP82" s="24"/>
      <c r="BQ82" s="24"/>
      <c r="BR82" s="24"/>
      <c r="BS82" s="24"/>
      <c r="BU82" s="24"/>
      <c r="BV82" s="24"/>
      <c r="BW82" s="24"/>
      <c r="BX82" s="24"/>
      <c r="BY82" s="24"/>
      <c r="BZ82" s="24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3" t="s">
        <v>222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176" t="n">
        <v>5312100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110" t="n">
        <v>28388</v>
      </c>
      <c r="AS83" s="24"/>
      <c r="AT83" s="110" t="n">
        <f aca="false">791673-28388</f>
        <v>763285</v>
      </c>
      <c r="AU83" s="24"/>
      <c r="AV83" s="24"/>
      <c r="AW83" s="24"/>
      <c r="AX83" s="110" t="n">
        <f aca="false">3252538-791673</f>
        <v>2460865</v>
      </c>
      <c r="AY83" s="24"/>
      <c r="AZ83" s="24"/>
      <c r="BA83" s="24"/>
      <c r="BB83" s="24"/>
      <c r="BC83" s="24"/>
      <c r="BD83" s="110" t="n">
        <f aca="false">4470197-3252538</f>
        <v>1217659</v>
      </c>
      <c r="BF83" s="24" t="n">
        <f aca="false">4901020-4470197</f>
        <v>430823</v>
      </c>
      <c r="BH83" s="24"/>
      <c r="BJ83" s="110" t="n">
        <f aca="false">4563000-4901020</f>
        <v>-338020</v>
      </c>
      <c r="BM83" s="110"/>
      <c r="BO83" s="110"/>
      <c r="BP83" s="110"/>
      <c r="BQ83" s="110" t="n">
        <f aca="false">SUM(T83:BP83)</f>
        <v>4563000</v>
      </c>
      <c r="BS83" s="110" t="n">
        <f aca="false">4660000-R83</f>
        <v>-652100</v>
      </c>
      <c r="BU83" s="110" t="n">
        <f aca="false">IF(+R83-BQ83+BS83&gt;0,R83-BQ83+BS83,0)</f>
        <v>97000</v>
      </c>
      <c r="BW83" s="110" t="n">
        <f aca="false">+BQ83+BU83</f>
        <v>4660000</v>
      </c>
      <c r="BY83" s="110" t="n">
        <f aca="false">+R83-BW83</f>
        <v>652100</v>
      </c>
      <c r="BZ83" s="24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F84" s="24"/>
      <c r="BH84" s="24"/>
      <c r="BJ84" s="24"/>
      <c r="BM84" s="24"/>
      <c r="BO84" s="24"/>
      <c r="BP84" s="24"/>
      <c r="BQ84" s="24"/>
      <c r="BR84" s="24"/>
      <c r="BS84" s="24"/>
      <c r="BU84" s="24"/>
      <c r="BV84" s="24"/>
      <c r="BW84" s="24"/>
      <c r="BX84" s="24"/>
      <c r="BY84" s="24"/>
      <c r="BZ84" s="24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178" t="s">
        <v>223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5312100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/>
      <c r="AF85" s="24" t="n">
        <f aca="false">SUM(AF83:AF84)</f>
        <v>0</v>
      </c>
      <c r="AG85" s="24"/>
      <c r="AH85" s="24" t="n">
        <f aca="false">SUM(AH83:AH84)</f>
        <v>0</v>
      </c>
      <c r="AI85" s="24"/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110" t="n">
        <f aca="false">SUM(AR83:AR84)</f>
        <v>28388</v>
      </c>
      <c r="AS85" s="24" t="n">
        <f aca="false">SUM(AS83:AS84)</f>
        <v>0</v>
      </c>
      <c r="AT85" s="24" t="n">
        <f aca="false">SUM(AT83:AT84)</f>
        <v>763285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2460865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/>
      <c r="BD85" s="24" t="n">
        <f aca="false">SUM(BD83:BD84)</f>
        <v>1217659</v>
      </c>
      <c r="BF85" s="24" t="n">
        <f aca="false">SUM(BF83:BF84)</f>
        <v>430823</v>
      </c>
      <c r="BH85" s="24" t="n">
        <f aca="false">SUM(BH83:BH84)</f>
        <v>0</v>
      </c>
      <c r="BJ85" s="24" t="n">
        <f aca="false">SUM(BJ83:BJ84)</f>
        <v>-338020</v>
      </c>
      <c r="BM85" s="24" t="n">
        <f aca="false">SUM(BM83:BM84)</f>
        <v>0</v>
      </c>
      <c r="BO85" s="24" t="n">
        <f aca="false">SUM(BO83:BO84)</f>
        <v>0</v>
      </c>
      <c r="BP85" s="24"/>
      <c r="BQ85" s="24" t="n">
        <f aca="false">SUM(BQ83:BQ84)</f>
        <v>4563000</v>
      </c>
      <c r="BR85" s="24"/>
      <c r="BS85" s="24" t="n">
        <f aca="false">SUM(BS83:BS84)</f>
        <v>-652100</v>
      </c>
      <c r="BU85" s="24" t="n">
        <f aca="false">SUM(BU83:BU84)</f>
        <v>97000</v>
      </c>
      <c r="BV85" s="24" t="n">
        <f aca="false">SUM(BV83:BV84)</f>
        <v>0</v>
      </c>
      <c r="BW85" s="24" t="n">
        <f aca="false">SUM(BW83:BW84)</f>
        <v>4660000</v>
      </c>
      <c r="BX85" s="24" t="n">
        <f aca="false">SUM(BX83:BX84)</f>
        <v>0</v>
      </c>
      <c r="BY85" s="110" t="n">
        <f aca="false">+R85-BW85</f>
        <v>652100</v>
      </c>
      <c r="BZ85" s="24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182" t="s">
        <v>224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110" t="n">
        <v>0</v>
      </c>
      <c r="BF86" s="24"/>
      <c r="BH86" s="24"/>
      <c r="BJ86" s="24"/>
      <c r="BM86" s="24"/>
      <c r="BO86" s="24"/>
      <c r="BP86" s="24"/>
      <c r="BQ86" s="110" t="n">
        <f aca="false">SUM(T86:BM86)</f>
        <v>0</v>
      </c>
      <c r="BS86" s="24"/>
      <c r="BV86" s="24" t="n">
        <f aca="false">SUM(BV84:BV85)</f>
        <v>0</v>
      </c>
      <c r="BW86" s="110" t="n">
        <v>0</v>
      </c>
      <c r="BX86" s="24" t="n">
        <f aca="false">SUM(BX84:BX85)</f>
        <v>0</v>
      </c>
      <c r="BY86" s="110" t="n">
        <f aca="false">+R86-BW86</f>
        <v>0</v>
      </c>
      <c r="BZ86" s="24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182" t="s">
        <v>225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 t="n">
        <v>0</v>
      </c>
      <c r="S87" s="24"/>
      <c r="T87" s="24"/>
      <c r="U87" s="24"/>
      <c r="V87" s="24" t="n"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 t="n">
        <f aca="false">9438462-865389</f>
        <v>8573073</v>
      </c>
      <c r="AQ87" s="24"/>
      <c r="AR87" s="110" t="n">
        <f aca="false">10717074-3623155+41531</f>
        <v>7135450</v>
      </c>
      <c r="AS87" s="24"/>
      <c r="AT87" s="24" t="n">
        <f aca="false">-8600128+744251</f>
        <v>-7855877</v>
      </c>
      <c r="AU87" s="24"/>
      <c r="AV87" s="24" t="n">
        <v>12922196</v>
      </c>
      <c r="AW87" s="24"/>
      <c r="AX87" s="24" t="n">
        <f aca="false">-20774842+5385733+11527832</f>
        <v>-3861277</v>
      </c>
      <c r="AY87" s="24"/>
      <c r="AZ87" s="24" t="n">
        <v>19510321</v>
      </c>
      <c r="BA87" s="24"/>
      <c r="BB87" s="24"/>
      <c r="BC87" s="24"/>
      <c r="BD87" s="24" t="n">
        <f aca="false">-40702546+11142580-235398</f>
        <v>-29795364</v>
      </c>
      <c r="BF87" s="24" t="n">
        <f aca="false">-3652153+977079</f>
        <v>-2675074</v>
      </c>
      <c r="BH87" s="24"/>
      <c r="BJ87" s="24" t="n">
        <v>-1097729</v>
      </c>
      <c r="BM87" s="24"/>
      <c r="BO87" s="24"/>
      <c r="BP87" s="24"/>
      <c r="BQ87" s="24" t="n">
        <f aca="false">SUM(T87:BP87)</f>
        <v>2855719</v>
      </c>
      <c r="BR87" s="24"/>
      <c r="BS87" s="24" t="n">
        <v>0</v>
      </c>
      <c r="BU87" s="110" t="n">
        <f aca="false">-2855719-292964</f>
        <v>-3148683</v>
      </c>
      <c r="BV87" s="24" t="n">
        <f aca="false">SUM(BV85:BV86)</f>
        <v>0</v>
      </c>
      <c r="BW87" s="110" t="n">
        <f aca="false">+BQ87+BU87</f>
        <v>-292964</v>
      </c>
      <c r="BX87" s="24" t="n">
        <f aca="false">SUM(BX85:BX86)</f>
        <v>0</v>
      </c>
      <c r="BY87" s="110" t="n">
        <f aca="false">+R87-BW87</f>
        <v>292964</v>
      </c>
      <c r="BZ87" s="24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182" t="s">
        <v>226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F88" s="24"/>
      <c r="BH88" s="24"/>
      <c r="BJ88" s="24"/>
      <c r="BM88" s="24"/>
      <c r="BO88" s="24"/>
      <c r="BP88" s="24"/>
      <c r="BQ88" s="24"/>
      <c r="BR88" s="24"/>
      <c r="BS88" s="24"/>
      <c r="BU88" s="24"/>
      <c r="BV88" s="24"/>
      <c r="BX88" s="24"/>
      <c r="BY88" s="110" t="n">
        <v>0</v>
      </c>
      <c r="BZ88" s="24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4"/>
      <c r="B89" s="185" t="s">
        <v>227</v>
      </c>
      <c r="C89" s="186"/>
      <c r="D89" s="186"/>
      <c r="E89" s="186"/>
      <c r="F89" s="186"/>
      <c r="G89" s="186"/>
      <c r="H89" s="186"/>
      <c r="I89" s="186"/>
      <c r="J89" s="187"/>
      <c r="K89" s="186"/>
      <c r="L89" s="188"/>
      <c r="M89" s="189"/>
      <c r="N89" s="190" t="n">
        <f aca="false">SUM(N37:N88)</f>
        <v>0</v>
      </c>
      <c r="O89" s="189"/>
      <c r="P89" s="190" t="n">
        <f aca="false">SUM(P37:P88)</f>
        <v>0</v>
      </c>
      <c r="Q89" s="189"/>
      <c r="R89" s="190" t="n">
        <f aca="false">R85+R80+R53+R46+R87</f>
        <v>50944642</v>
      </c>
      <c r="S89" s="190" t="n">
        <f aca="false">S85+S80+S53+S46+S87</f>
        <v>0</v>
      </c>
      <c r="T89" s="190" t="n">
        <f aca="false">T85+T80+T53+T46+T87</f>
        <v>0</v>
      </c>
      <c r="U89" s="190" t="n">
        <f aca="false">U85+U80+U53+U46+U87</f>
        <v>0</v>
      </c>
      <c r="V89" s="190" t="n">
        <f aca="false">V85+V80+V53+V46+V87</f>
        <v>0</v>
      </c>
      <c r="W89" s="190" t="n">
        <f aca="false">W85+W80+W53+W46+W87</f>
        <v>0</v>
      </c>
      <c r="X89" s="190" t="n">
        <f aca="false">X85+X80+X53+X46+X87</f>
        <v>0</v>
      </c>
      <c r="Y89" s="190" t="n">
        <f aca="false">Y85+Y80+Y53+Y46+Y87</f>
        <v>0</v>
      </c>
      <c r="Z89" s="190" t="n">
        <f aca="false">Z85+Z80+Z53+Z46+Z87</f>
        <v>0</v>
      </c>
      <c r="AA89" s="190" t="n">
        <f aca="false">AA85+AA80+AA53+AA46+AA87</f>
        <v>0</v>
      </c>
      <c r="AB89" s="190" t="n">
        <f aca="false">AB85+AB80+AB53+AB46+AB87</f>
        <v>0</v>
      </c>
      <c r="AC89" s="190" t="n">
        <f aca="false">AC85+AC80+AC53+AC46+AC87</f>
        <v>0</v>
      </c>
      <c r="AD89" s="190" t="n">
        <f aca="false">AD85+AD80+AD53+AD46+AD87</f>
        <v>0</v>
      </c>
      <c r="AE89" s="190"/>
      <c r="AF89" s="190" t="n">
        <f aca="false">AF85+AF80+AF53+AF46+AF87</f>
        <v>0</v>
      </c>
      <c r="AG89" s="190"/>
      <c r="AH89" s="190" t="n">
        <f aca="false">AH85+AH80+AH53+AH46+AH87</f>
        <v>0</v>
      </c>
      <c r="AI89" s="190"/>
      <c r="AJ89" s="190" t="n">
        <f aca="false">AJ85+AJ80+AJ53+AJ46+AJ87</f>
        <v>0</v>
      </c>
      <c r="AK89" s="190" t="n">
        <f aca="false">AK85+AK80+AK53+AK46+AK87</f>
        <v>0</v>
      </c>
      <c r="AL89" s="190" t="n">
        <f aca="false">AL85+AL80+AL53+AL46+AL87</f>
        <v>0</v>
      </c>
      <c r="AM89" s="190" t="n">
        <f aca="false">AM85+AM80+AM53+AM46+AM87</f>
        <v>0</v>
      </c>
      <c r="AN89" s="190" t="n">
        <f aca="false">AN85+AN80+AN53+AN46+AN87</f>
        <v>0</v>
      </c>
      <c r="AO89" s="190" t="n">
        <f aca="false">AO85+AO80+AO53+AO46+AO87</f>
        <v>0</v>
      </c>
      <c r="AP89" s="190" t="n">
        <f aca="false">AP85+AP80+AP53+AP46+AP87</f>
        <v>9438462</v>
      </c>
      <c r="AQ89" s="190" t="n">
        <f aca="false">AQ85+AQ80+AQ53+AQ46+AQ87</f>
        <v>0</v>
      </c>
      <c r="AR89" s="190" t="n">
        <f aca="false">AR85+AR80+AR53+AR46+AR87</f>
        <v>10717074</v>
      </c>
      <c r="AS89" s="190" t="n">
        <f aca="false">AS85+AS80+AS53+AS46+AS87</f>
        <v>0</v>
      </c>
      <c r="AT89" s="190" t="n">
        <f aca="false">AT85+AT80+AT53+AT46+AT87</f>
        <v>744251</v>
      </c>
      <c r="AU89" s="190" t="n">
        <f aca="false">AU85+AU80+AU53+AU46+AU87</f>
        <v>0</v>
      </c>
      <c r="AV89" s="190" t="n">
        <f aca="false">AV85+AV80+AV53+AV46+AV87</f>
        <v>12922196</v>
      </c>
      <c r="AW89" s="190" t="n">
        <f aca="false">AW85+AW80+AW53+AW46+AW87</f>
        <v>0</v>
      </c>
      <c r="AX89" s="190" t="n">
        <f aca="false">AX85+AX80+AX53+AX46+AX87</f>
        <v>11527832</v>
      </c>
      <c r="AY89" s="190" t="n">
        <f aca="false">AY85+AY80+AY53+AY46+AY87</f>
        <v>0</v>
      </c>
      <c r="AZ89" s="190" t="n">
        <f aca="false">AZ85+AZ80+AZ53+AZ46+AZ87</f>
        <v>19510321</v>
      </c>
      <c r="BA89" s="190" t="n">
        <f aca="false">BA85+BA80+BA53+BA46+BA87</f>
        <v>0</v>
      </c>
      <c r="BB89" s="190" t="n">
        <f aca="false">BB85+BB80+BB53+BB46+BB87</f>
        <v>0</v>
      </c>
      <c r="BC89" s="190"/>
      <c r="BD89" s="190" t="n">
        <f aca="false">BD85+BD80+BD53+BD46+BD87</f>
        <v>10907182</v>
      </c>
      <c r="BF89" s="190" t="n">
        <f aca="false">BF85+BF80+BF53+BF46+BF87</f>
        <v>977079</v>
      </c>
      <c r="BH89" s="190" t="n">
        <f aca="false">BH85+BH80+BH53+BH46+BH87</f>
        <v>0</v>
      </c>
      <c r="BJ89" s="190" t="n">
        <f aca="false">BJ85+BJ80+BJ53+BJ46+BJ87</f>
        <v>0</v>
      </c>
      <c r="BM89" s="190" t="n">
        <f aca="false">BM85+BM80+BM53+BM46+BM87</f>
        <v>0</v>
      </c>
      <c r="BO89" s="190" t="n">
        <f aca="false">BO85+BO80+BO53+BO46+BO87</f>
        <v>0</v>
      </c>
      <c r="BP89" s="190"/>
      <c r="BQ89" s="190" t="n">
        <f aca="false">BQ85+BQ80+BQ53+BQ46+BQ87+BQ86</f>
        <v>76744397</v>
      </c>
      <c r="BR89" s="190"/>
      <c r="BS89" s="190" t="n">
        <f aca="false">BS85+BS80+BS53+BS46+BS87</f>
        <v>24286358</v>
      </c>
      <c r="BU89" s="190" t="n">
        <f aca="false">BU85+BU80+BU53+BU46+BU87+BU86</f>
        <v>-1512394</v>
      </c>
      <c r="BV89" s="190" t="n">
        <f aca="false">BV85+BV80+BV53+BV46+BV87</f>
        <v>0</v>
      </c>
      <c r="BW89" s="190" t="n">
        <f aca="false">BW85+BW80+BW53+BW46+BW87+BW86+BW88</f>
        <v>75232000</v>
      </c>
      <c r="BX89" s="190" t="n">
        <f aca="false">BX85+BX80+BX53+BX46+BX87</f>
        <v>0</v>
      </c>
      <c r="BY89" s="190" t="n">
        <f aca="false">BY85+BY80+BY53+BY46+BY87+BY86</f>
        <v>-24287358</v>
      </c>
      <c r="BZ89" s="190" t="n">
        <f aca="false">BZ85+BZ80+BZ53+BZ46+BZ87</f>
        <v>0</v>
      </c>
      <c r="CA89" s="186"/>
      <c r="CB89" s="186"/>
      <c r="CC89" s="186"/>
      <c r="CD89" s="186"/>
      <c r="CE89" s="186"/>
      <c r="CF89" s="186"/>
      <c r="CG89" s="186"/>
      <c r="CH89" s="186"/>
      <c r="CI89" s="186"/>
      <c r="CJ89" s="186"/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/>
      <c r="DD89" s="186"/>
      <c r="DE89" s="186"/>
      <c r="DF89" s="186"/>
      <c r="DG89" s="186"/>
      <c r="DH89" s="186"/>
      <c r="DI89" s="186"/>
      <c r="DJ89" s="186"/>
      <c r="DK89" s="186"/>
      <c r="DL89" s="186"/>
      <c r="DM89" s="186"/>
      <c r="DN89" s="186"/>
      <c r="DO89" s="186"/>
      <c r="DP89" s="186"/>
      <c r="DQ89" s="186"/>
      <c r="DR89" s="186"/>
      <c r="DS89" s="186"/>
      <c r="DT89" s="186"/>
      <c r="DU89" s="186"/>
      <c r="DV89" s="186"/>
      <c r="DW89" s="186"/>
      <c r="DX89" s="186"/>
      <c r="DY89" s="186"/>
      <c r="DZ89" s="186"/>
      <c r="EA89" s="186"/>
      <c r="EB89" s="186"/>
      <c r="EC89" s="186"/>
      <c r="ED89" s="186"/>
      <c r="EE89" s="186"/>
      <c r="EF89" s="186"/>
      <c r="EG89" s="186"/>
      <c r="EH89" s="186"/>
      <c r="EI89" s="186"/>
      <c r="EJ89" s="186"/>
      <c r="EK89" s="186"/>
      <c r="EL89" s="186"/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86"/>
      <c r="EZ89" s="186"/>
      <c r="FA89" s="186"/>
      <c r="FB89" s="186"/>
      <c r="FC89" s="186"/>
      <c r="FD89" s="186"/>
      <c r="FE89" s="186"/>
      <c r="FF89" s="186"/>
      <c r="FG89" s="186"/>
      <c r="FH89" s="186"/>
      <c r="FI89" s="186"/>
      <c r="FJ89" s="186"/>
      <c r="FK89" s="186"/>
      <c r="FL89" s="186"/>
      <c r="FM89" s="186"/>
      <c r="FN89" s="186"/>
      <c r="FO89" s="186"/>
      <c r="FP89" s="186"/>
      <c r="FQ89" s="186"/>
      <c r="FR89" s="186"/>
      <c r="FS89" s="186"/>
      <c r="FT89" s="186"/>
      <c r="FU89" s="186"/>
      <c r="FV89" s="186"/>
      <c r="FW89" s="186"/>
      <c r="FX89" s="186"/>
      <c r="FY89" s="186"/>
      <c r="FZ89" s="186"/>
      <c r="GA89" s="186"/>
      <c r="GB89" s="186"/>
      <c r="GC89" s="186"/>
      <c r="GD89" s="186"/>
      <c r="GE89" s="186"/>
      <c r="GF89" s="186"/>
      <c r="GG89" s="186"/>
      <c r="GH89" s="186"/>
      <c r="GI89" s="186"/>
      <c r="GJ89" s="186"/>
      <c r="GK89" s="186"/>
      <c r="GL89" s="186"/>
      <c r="GM89" s="186"/>
      <c r="GN89" s="186"/>
      <c r="GO89" s="186"/>
      <c r="GP89" s="186"/>
      <c r="GQ89" s="186"/>
      <c r="GR89" s="186"/>
      <c r="GS89" s="186"/>
      <c r="GT89" s="186"/>
      <c r="GU89" s="186"/>
      <c r="GV89" s="186"/>
      <c r="GW89" s="186"/>
      <c r="GX89" s="186"/>
      <c r="GY89" s="186"/>
      <c r="GZ89" s="186"/>
      <c r="HA89" s="186"/>
      <c r="HB89" s="186"/>
      <c r="HC89" s="186"/>
      <c r="HD89" s="186"/>
      <c r="HE89" s="186"/>
      <c r="HF89" s="186"/>
      <c r="HG89" s="186"/>
      <c r="HH89" s="186"/>
      <c r="HI89" s="186"/>
      <c r="HJ89" s="186"/>
      <c r="HK89" s="186"/>
      <c r="HL89" s="186"/>
      <c r="HM89" s="186"/>
      <c r="HN89" s="186"/>
      <c r="HO89" s="186"/>
      <c r="HP89" s="186"/>
      <c r="HQ89" s="186"/>
      <c r="HR89" s="186"/>
      <c r="HS89" s="186"/>
      <c r="HT89" s="186"/>
      <c r="HU89" s="186"/>
      <c r="HV89" s="186"/>
      <c r="HW89" s="186"/>
      <c r="HX89" s="186"/>
      <c r="HY89" s="186"/>
      <c r="HZ89" s="186"/>
      <c r="IA89" s="186"/>
      <c r="IB89" s="186"/>
      <c r="IC89" s="186"/>
      <c r="ID89" s="186"/>
      <c r="IE89" s="186"/>
      <c r="IF89" s="186"/>
      <c r="IG89" s="186"/>
      <c r="IH89" s="186"/>
      <c r="II89" s="186"/>
      <c r="IJ89" s="186"/>
      <c r="IK89" s="186"/>
      <c r="IL89" s="186"/>
      <c r="IM89" s="186"/>
      <c r="IN89" s="186"/>
      <c r="IO89" s="186"/>
      <c r="IP89" s="186"/>
      <c r="IQ89" s="186"/>
      <c r="IR89" s="186"/>
      <c r="IS89" s="186"/>
      <c r="IT89" s="186"/>
      <c r="IU89" s="186"/>
      <c r="IV89" s="186"/>
      <c r="IW89" s="186"/>
    </row>
    <row r="90" customFormat="false" ht="12.75" hidden="false" customHeight="false" outlineLevel="0" collapsed="false">
      <c r="A90" s="164"/>
      <c r="B90" s="161"/>
      <c r="E90" s="119"/>
      <c r="G90" s="119"/>
      <c r="I90" s="119"/>
      <c r="L90" s="163"/>
      <c r="M90" s="110"/>
      <c r="O90" s="110"/>
      <c r="Q90" s="110"/>
      <c r="S90" s="110"/>
      <c r="T90" s="110"/>
      <c r="U90" s="110"/>
      <c r="V90" s="110"/>
      <c r="X90" s="110"/>
      <c r="Z90" s="110"/>
      <c r="AB90" s="110"/>
      <c r="AD90" s="110"/>
      <c r="AI90" s="119"/>
      <c r="BJ90" s="110"/>
      <c r="BM90" s="110"/>
      <c r="BO90" s="110"/>
      <c r="BP90" s="110"/>
      <c r="BS90" s="110"/>
      <c r="BZ90" s="110"/>
    </row>
    <row r="91" customFormat="false" ht="12.75" hidden="false" customHeight="false" outlineLevel="0" collapsed="false">
      <c r="A91" s="160" t="s">
        <v>228</v>
      </c>
      <c r="B91" s="118"/>
      <c r="E91" s="119"/>
      <c r="G91" s="119"/>
      <c r="I91" s="119"/>
      <c r="L91" s="163"/>
      <c r="M91" s="110"/>
      <c r="O91" s="110"/>
      <c r="Q91" s="110"/>
      <c r="S91" s="110"/>
      <c r="T91" s="110"/>
      <c r="U91" s="110"/>
      <c r="V91" s="110"/>
      <c r="X91" s="110"/>
      <c r="Z91" s="110"/>
      <c r="AB91" s="110"/>
      <c r="AD91" s="110"/>
      <c r="AI91" s="119"/>
      <c r="BJ91" s="110"/>
      <c r="BM91" s="110"/>
      <c r="BO91" s="110"/>
      <c r="BP91" s="110"/>
      <c r="BS91" s="110"/>
      <c r="BZ91" s="110"/>
    </row>
    <row r="92" customFormat="false" ht="12.75" hidden="false" customHeight="false" outlineLevel="0" collapsed="false">
      <c r="A92" s="161"/>
      <c r="B92" s="161" t="s">
        <v>229</v>
      </c>
      <c r="E92" s="119"/>
      <c r="G92" s="119"/>
      <c r="I92" s="119"/>
      <c r="J92" s="120" t="s">
        <v>230</v>
      </c>
      <c r="L92" s="163" t="s">
        <v>151</v>
      </c>
      <c r="M92" s="110"/>
      <c r="N92" s="110" t="n">
        <v>0</v>
      </c>
      <c r="O92" s="110"/>
      <c r="P92" s="110" t="n">
        <v>0</v>
      </c>
      <c r="Q92" s="110"/>
      <c r="R92" s="110" t="n">
        <v>935200</v>
      </c>
      <c r="S92" s="110"/>
      <c r="T92" s="110" t="n">
        <v>0</v>
      </c>
      <c r="U92" s="110"/>
      <c r="V92" s="110" t="n">
        <v>0</v>
      </c>
      <c r="X92" s="110" t="n">
        <v>0</v>
      </c>
      <c r="Z92" s="110" t="n">
        <v>0</v>
      </c>
      <c r="AB92" s="110" t="n">
        <v>0</v>
      </c>
      <c r="AD92" s="110" t="n">
        <v>0</v>
      </c>
      <c r="AF92" s="110" t="n">
        <v>0</v>
      </c>
      <c r="AH92" s="110" t="n">
        <f aca="false">935200/12</f>
        <v>77933.3333333333</v>
      </c>
      <c r="AI92" s="119"/>
      <c r="AJ92" s="110" t="n">
        <v>77933.35</v>
      </c>
      <c r="AL92" s="110" t="n">
        <v>77933</v>
      </c>
      <c r="AN92" s="110" t="n">
        <v>77933.33</v>
      </c>
      <c r="AP92" s="110" t="n">
        <v>82933.33</v>
      </c>
      <c r="AR92" s="110" t="n">
        <v>77933.34</v>
      </c>
      <c r="AT92" s="110" t="n">
        <v>77933.33</v>
      </c>
      <c r="AV92" s="110" t="n">
        <v>77933.33</v>
      </c>
      <c r="AX92" s="110" t="n">
        <v>77933.33</v>
      </c>
      <c r="AZ92" s="110" t="n">
        <v>77933</v>
      </c>
      <c r="BB92" s="110" t="n">
        <v>77933.33</v>
      </c>
      <c r="BD92" s="110" t="n">
        <v>77933.33</v>
      </c>
      <c r="BH92" s="110" t="n">
        <v>0</v>
      </c>
      <c r="BJ92" s="110" t="n">
        <v>6741</v>
      </c>
      <c r="BM92" s="110" t="n">
        <v>0</v>
      </c>
      <c r="BO92" s="110" t="n">
        <v>0</v>
      </c>
      <c r="BP92" s="110"/>
      <c r="BQ92" s="110" t="n">
        <f aca="false">SUM(T92:BP92)</f>
        <v>946940.333333333</v>
      </c>
      <c r="BS92" s="110"/>
      <c r="BU92" s="110" t="n">
        <f aca="false">IF(+R92-BQ92+BS92&gt;0,R92-BQ92+BS92,0)</f>
        <v>0</v>
      </c>
      <c r="BW92" s="110" t="n">
        <f aca="false">+BQ92+BU92</f>
        <v>946940.333333333</v>
      </c>
      <c r="BY92" s="110" t="n">
        <f aca="false">+R92-BW92</f>
        <v>-11740.3333333334</v>
      </c>
      <c r="BZ92" s="110"/>
    </row>
    <row r="93" customFormat="false" ht="12.75" hidden="false" customHeight="false" outlineLevel="0" collapsed="false">
      <c r="A93" s="161"/>
      <c r="B93" s="161" t="s">
        <v>231</v>
      </c>
      <c r="E93" s="119"/>
      <c r="G93" s="119"/>
      <c r="I93" s="119"/>
      <c r="J93" s="120" t="s">
        <v>231</v>
      </c>
      <c r="L93" s="163" t="s">
        <v>151</v>
      </c>
      <c r="M93" s="110"/>
      <c r="N93" s="110" t="n">
        <v>0</v>
      </c>
      <c r="O93" s="110"/>
      <c r="P93" s="110" t="n">
        <v>0</v>
      </c>
      <c r="Q93" s="110"/>
      <c r="R93" s="110" t="n">
        <v>2824800</v>
      </c>
      <c r="S93" s="110"/>
      <c r="T93" s="110" t="n">
        <v>0</v>
      </c>
      <c r="U93" s="110"/>
      <c r="V93" s="110" t="n">
        <v>0</v>
      </c>
      <c r="X93" s="110" t="n">
        <v>0</v>
      </c>
      <c r="Z93" s="110" t="n">
        <v>0</v>
      </c>
      <c r="AB93" s="110" t="n">
        <v>0</v>
      </c>
      <c r="AD93" s="110" t="n">
        <v>0</v>
      </c>
      <c r="AF93" s="110" t="n">
        <v>0</v>
      </c>
      <c r="AH93" s="110" t="n">
        <f aca="false">2824800/12</f>
        <v>235400</v>
      </c>
      <c r="AI93" s="119"/>
      <c r="AJ93" s="110" t="n">
        <v>235400</v>
      </c>
      <c r="AL93" s="110" t="n">
        <v>235399</v>
      </c>
      <c r="AN93" s="110" t="n">
        <v>235399</v>
      </c>
      <c r="AP93" s="110" t="n">
        <v>235399</v>
      </c>
      <c r="AR93" s="110" t="n">
        <v>235398</v>
      </c>
      <c r="AT93" s="110" t="n">
        <v>235399</v>
      </c>
      <c r="AV93" s="110" t="n">
        <v>235400</v>
      </c>
      <c r="AX93" s="110" t="n">
        <v>235400</v>
      </c>
      <c r="AZ93" s="110" t="n">
        <v>235400</v>
      </c>
      <c r="BB93" s="110" t="n">
        <v>235400</v>
      </c>
      <c r="BD93" s="110" t="n">
        <v>235398</v>
      </c>
      <c r="BH93" s="110" t="n">
        <v>0</v>
      </c>
      <c r="BJ93" s="110" t="n">
        <v>0</v>
      </c>
      <c r="BM93" s="110" t="n">
        <v>0</v>
      </c>
      <c r="BO93" s="110" t="n">
        <v>0</v>
      </c>
      <c r="BP93" s="110"/>
      <c r="BQ93" s="110" t="n">
        <f aca="false">SUM(T93:BP93)</f>
        <v>2824792</v>
      </c>
      <c r="BS93" s="110" t="n">
        <v>-8</v>
      </c>
      <c r="BU93" s="110" t="n">
        <f aca="false">IF(+R93-BQ93+BS93&gt;0,R93-BQ93+BS93,0)</f>
        <v>0</v>
      </c>
      <c r="BW93" s="110" t="n">
        <f aca="false">+BQ93+BU93</f>
        <v>2824792</v>
      </c>
      <c r="BY93" s="110" t="n">
        <f aca="false">+R93-BW93</f>
        <v>8</v>
      </c>
      <c r="BZ93" s="110"/>
    </row>
    <row r="94" customFormat="false" ht="12.75" hidden="false" customHeight="false" outlineLevel="0" collapsed="false">
      <c r="A94" s="161"/>
      <c r="B94" s="161" t="s">
        <v>232</v>
      </c>
      <c r="E94" s="119"/>
      <c r="G94" s="119"/>
      <c r="I94" s="119"/>
      <c r="J94" s="120" t="s">
        <v>230</v>
      </c>
      <c r="L94" s="163" t="s">
        <v>151</v>
      </c>
      <c r="M94" s="110"/>
      <c r="N94" s="110" t="n">
        <v>0</v>
      </c>
      <c r="O94" s="110"/>
      <c r="P94" s="110" t="n">
        <v>0</v>
      </c>
      <c r="Q94" s="110"/>
      <c r="R94" s="110" t="n">
        <v>0</v>
      </c>
      <c r="S94" s="110"/>
      <c r="T94" s="110" t="n">
        <v>0</v>
      </c>
      <c r="U94" s="110"/>
      <c r="V94" s="110" t="n">
        <v>0</v>
      </c>
      <c r="X94" s="110" t="n">
        <v>0</v>
      </c>
      <c r="Z94" s="110" t="n">
        <v>0</v>
      </c>
      <c r="AB94" s="110" t="n">
        <v>0</v>
      </c>
      <c r="AD94" s="110" t="n">
        <v>0</v>
      </c>
      <c r="AF94" s="110" t="n">
        <v>0</v>
      </c>
      <c r="AH94" s="110" t="n">
        <v>0</v>
      </c>
      <c r="AI94" s="119"/>
      <c r="AJ94" s="110" t="n">
        <v>0</v>
      </c>
      <c r="AL94" s="191" t="n">
        <v>0</v>
      </c>
      <c r="AN94" s="110" t="n">
        <v>0</v>
      </c>
      <c r="AP94" s="110" t="n">
        <v>0</v>
      </c>
      <c r="AR94" s="110" t="n">
        <v>0</v>
      </c>
      <c r="AT94" s="110" t="n">
        <v>0</v>
      </c>
      <c r="AV94" s="110" t="n">
        <v>0</v>
      </c>
      <c r="AX94" s="110" t="n">
        <v>0</v>
      </c>
      <c r="AZ94" s="110" t="n">
        <v>0</v>
      </c>
      <c r="BB94" s="110" t="n">
        <v>0</v>
      </c>
      <c r="BD94" s="110" t="n">
        <v>0</v>
      </c>
      <c r="BF94" s="110" t="n">
        <v>0</v>
      </c>
      <c r="BH94" s="110" t="n">
        <v>0</v>
      </c>
      <c r="BJ94" s="110" t="n">
        <v>0</v>
      </c>
      <c r="BM94" s="110" t="n">
        <v>0</v>
      </c>
      <c r="BO94" s="110" t="n">
        <v>0</v>
      </c>
      <c r="BP94" s="110"/>
      <c r="BQ94" s="110" t="n">
        <f aca="false">SUM(T94:BP94)</f>
        <v>0</v>
      </c>
      <c r="BS94" s="110" t="n">
        <v>0</v>
      </c>
      <c r="BU94" s="110" t="n">
        <f aca="false">IF(+R94-BQ94+BS94&gt;0,R94-BQ94+BS94,0)</f>
        <v>0</v>
      </c>
      <c r="BW94" s="110" t="n">
        <f aca="false">+BQ94+BU94</f>
        <v>0</v>
      </c>
      <c r="BY94" s="110" t="n">
        <f aca="false">+R94-BW94</f>
        <v>0</v>
      </c>
      <c r="BZ94" s="110"/>
    </row>
    <row r="95" customFormat="false" ht="12.75" hidden="false" customHeight="false" outlineLevel="0" collapsed="false">
      <c r="A95" s="161"/>
      <c r="B95" s="161" t="s">
        <v>233</v>
      </c>
      <c r="E95" s="119"/>
      <c r="G95" s="119"/>
      <c r="I95" s="119"/>
      <c r="J95" s="120" t="s">
        <v>230</v>
      </c>
      <c r="L95" s="163" t="s">
        <v>151</v>
      </c>
      <c r="M95" s="110"/>
      <c r="N95" s="110" t="n">
        <v>0</v>
      </c>
      <c r="O95" s="110"/>
      <c r="P95" s="110" t="n">
        <v>0</v>
      </c>
      <c r="Q95" s="110"/>
      <c r="R95" s="110" t="n">
        <f aca="false">+N95+P95</f>
        <v>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v>0</v>
      </c>
      <c r="AI95" s="119"/>
      <c r="AJ95" s="110" t="n">
        <v>0</v>
      </c>
      <c r="AL95" s="110" t="n">
        <v>0</v>
      </c>
      <c r="AN95" s="110" t="n">
        <v>0</v>
      </c>
      <c r="AP95" s="110" t="n">
        <v>0</v>
      </c>
      <c r="AR95" s="110" t="n">
        <v>0</v>
      </c>
      <c r="AT95" s="110" t="n">
        <v>0</v>
      </c>
      <c r="AV95" s="110" t="n">
        <v>0</v>
      </c>
      <c r="AX95" s="110" t="n">
        <v>0</v>
      </c>
      <c r="AZ95" s="110" t="n">
        <v>0</v>
      </c>
      <c r="BB95" s="110" t="n">
        <v>0</v>
      </c>
      <c r="BD95" s="110" t="n">
        <v>0</v>
      </c>
      <c r="BF95" s="110" t="n">
        <v>0</v>
      </c>
      <c r="BH95" s="110" t="n">
        <v>0</v>
      </c>
      <c r="BJ95" s="110" t="n">
        <v>0</v>
      </c>
      <c r="BM95" s="110" t="n">
        <v>0</v>
      </c>
      <c r="BO95" s="110" t="n">
        <v>0</v>
      </c>
      <c r="BP95" s="110"/>
      <c r="BQ95" s="110" t="n">
        <f aca="false">SUM(T95:BP95)</f>
        <v>0</v>
      </c>
      <c r="BS95" s="110" t="n">
        <v>0</v>
      </c>
      <c r="BU95" s="110" t="n">
        <f aca="false">IF(+R95-BQ95+BS95&gt;0,R95-BQ95+BS95,0)</f>
        <v>0</v>
      </c>
      <c r="BW95" s="110" t="n">
        <f aca="false">+BQ95+BU95</f>
        <v>0</v>
      </c>
      <c r="BY95" s="110" t="n">
        <f aca="false">+R95-BW95</f>
        <v>0</v>
      </c>
      <c r="BZ95" s="110"/>
    </row>
    <row r="96" customFormat="false" ht="12.75" hidden="false" customHeight="false" outlineLevel="0" collapsed="false">
      <c r="A96" s="161"/>
      <c r="B96" s="161" t="s">
        <v>234</v>
      </c>
      <c r="C96" s="118"/>
      <c r="D96" s="118"/>
      <c r="E96" s="118"/>
      <c r="F96" s="118"/>
      <c r="G96" s="118"/>
      <c r="H96" s="118"/>
      <c r="I96" s="118"/>
      <c r="J96" s="192" t="s">
        <v>230</v>
      </c>
      <c r="K96" s="118"/>
      <c r="L96" s="163" t="s">
        <v>151</v>
      </c>
      <c r="M96" s="110"/>
      <c r="N96" s="110" t="n">
        <v>0</v>
      </c>
      <c r="O96" s="110"/>
      <c r="P96" s="110" t="n">
        <v>0</v>
      </c>
      <c r="Q96" s="110"/>
      <c r="R96" s="110" t="n">
        <f aca="false">+N96+P96</f>
        <v>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v>0</v>
      </c>
      <c r="AI96" s="119"/>
      <c r="AJ96" s="110" t="n">
        <v>0</v>
      </c>
      <c r="AL96" s="110" t="n">
        <v>0</v>
      </c>
      <c r="AN96" s="110" t="n">
        <v>0</v>
      </c>
      <c r="AP96" s="110" t="n">
        <v>0</v>
      </c>
      <c r="AR96" s="110" t="n">
        <v>0</v>
      </c>
      <c r="AT96" s="110" t="n">
        <v>0</v>
      </c>
      <c r="AV96" s="110" t="n">
        <v>0</v>
      </c>
      <c r="AX96" s="110" t="n">
        <v>0</v>
      </c>
      <c r="AZ96" s="110" t="n">
        <v>0</v>
      </c>
      <c r="BB96" s="110" t="n">
        <v>0</v>
      </c>
      <c r="BD96" s="110" t="n">
        <v>0</v>
      </c>
      <c r="BF96" s="110" t="n">
        <v>0</v>
      </c>
      <c r="BH96" s="110" t="n">
        <v>0</v>
      </c>
      <c r="BJ96" s="110" t="n">
        <v>0</v>
      </c>
      <c r="BM96" s="110" t="n">
        <v>0</v>
      </c>
      <c r="BO96" s="110" t="n">
        <v>0</v>
      </c>
      <c r="BP96" s="110"/>
      <c r="BQ96" s="110" t="n">
        <f aca="false">SUM(T96:BP96)</f>
        <v>0</v>
      </c>
      <c r="BS96" s="110" t="n">
        <v>0</v>
      </c>
      <c r="BU96" s="110" t="n">
        <f aca="false">IF(+R96-BQ96+BS96&gt;0,R96-BQ96+BS96,0)</f>
        <v>0</v>
      </c>
      <c r="BW96" s="110" t="n">
        <f aca="false">+BQ96+BU96</f>
        <v>0</v>
      </c>
      <c r="BY96" s="110" t="n">
        <f aca="false">+R96-BW96</f>
        <v>0</v>
      </c>
      <c r="BZ96" s="110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  <c r="ER96" s="118"/>
      <c r="ES96" s="118"/>
      <c r="ET96" s="118"/>
      <c r="EU96" s="118"/>
      <c r="EV96" s="118"/>
      <c r="EW96" s="118"/>
      <c r="EX96" s="118"/>
      <c r="EY96" s="11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18"/>
      <c r="FN96" s="118"/>
      <c r="FO96" s="118"/>
      <c r="FP96" s="118"/>
      <c r="FQ96" s="118"/>
      <c r="FR96" s="118"/>
      <c r="FS96" s="118"/>
      <c r="FT96" s="118"/>
      <c r="FU96" s="118"/>
      <c r="FV96" s="118"/>
      <c r="FW96" s="118"/>
      <c r="FX96" s="118"/>
      <c r="FY96" s="118"/>
      <c r="FZ96" s="118"/>
      <c r="GA96" s="118"/>
      <c r="GB96" s="118"/>
      <c r="GC96" s="118"/>
      <c r="GD96" s="118"/>
      <c r="GE96" s="118"/>
      <c r="GF96" s="118"/>
      <c r="GG96" s="118"/>
      <c r="GH96" s="118"/>
      <c r="GI96" s="118"/>
      <c r="GJ96" s="118"/>
      <c r="GK96" s="118"/>
      <c r="GL96" s="118"/>
      <c r="GM96" s="118"/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8"/>
      <c r="GZ96" s="11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8"/>
      <c r="HM96" s="11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8"/>
      <c r="HZ96" s="118"/>
      <c r="IA96" s="118"/>
      <c r="IB96" s="118"/>
      <c r="IC96" s="118"/>
      <c r="ID96" s="118"/>
      <c r="IE96" s="118"/>
      <c r="IF96" s="118"/>
      <c r="IG96" s="118"/>
      <c r="IH96" s="118"/>
      <c r="II96" s="118"/>
      <c r="IJ96" s="118"/>
      <c r="IK96" s="118"/>
      <c r="IL96" s="118"/>
      <c r="IM96" s="118"/>
      <c r="IN96" s="118"/>
      <c r="IO96" s="118"/>
      <c r="IP96" s="118"/>
      <c r="IQ96" s="118"/>
      <c r="IR96" s="118"/>
      <c r="IS96" s="118"/>
      <c r="IT96" s="118"/>
      <c r="IU96" s="118"/>
      <c r="IV96" s="118"/>
      <c r="IW96" s="118"/>
    </row>
    <row r="97" customFormat="false" ht="12.75" hidden="false" customHeight="false" outlineLevel="0" collapsed="false">
      <c r="A97" s="161"/>
      <c r="B97" s="161" t="s">
        <v>128</v>
      </c>
      <c r="E97" s="119"/>
      <c r="G97" s="119"/>
      <c r="I97" s="119"/>
      <c r="L97" s="163" t="s">
        <v>151</v>
      </c>
      <c r="M97" s="110"/>
      <c r="N97" s="110" t="n">
        <v>0</v>
      </c>
      <c r="O97" s="110"/>
      <c r="P97" s="110" t="n">
        <v>0</v>
      </c>
      <c r="Q97" s="110"/>
      <c r="R97" s="110" t="n">
        <f aca="false">+N97+P97</f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I97" s="119"/>
      <c r="AJ97" s="110" t="n">
        <v>0</v>
      </c>
      <c r="AL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M97" s="110" t="n">
        <v>0</v>
      </c>
      <c r="BO97" s="110" t="n">
        <v>0</v>
      </c>
      <c r="BP97" s="110"/>
      <c r="BQ97" s="110" t="n">
        <f aca="false">SUM(T97:BP97)</f>
        <v>0</v>
      </c>
      <c r="BS97" s="110" t="n">
        <v>0</v>
      </c>
      <c r="BU97" s="110" t="n">
        <f aca="false">IF(+R97-BQ97+BS97&gt;0,R97-BQ97+BS97,0)</f>
        <v>0</v>
      </c>
      <c r="BW97" s="110" t="n">
        <f aca="false">+BQ97+BU97</f>
        <v>0</v>
      </c>
      <c r="BY97" s="110" t="n">
        <f aca="false">+R97-BW97</f>
        <v>0</v>
      </c>
      <c r="BZ97" s="110"/>
    </row>
    <row r="98" customFormat="false" ht="12.75" hidden="false" customHeight="false" outlineLevel="0" collapsed="false">
      <c r="A98" s="161"/>
      <c r="B98" s="161"/>
      <c r="E98" s="119"/>
      <c r="G98" s="119"/>
      <c r="I98" s="119"/>
      <c r="L98" s="163"/>
      <c r="M98" s="110"/>
      <c r="O98" s="110"/>
      <c r="Q98" s="110"/>
      <c r="S98" s="110"/>
      <c r="T98" s="110"/>
      <c r="U98" s="110"/>
      <c r="V98" s="110"/>
      <c r="X98" s="110"/>
      <c r="Z98" s="110"/>
      <c r="AB98" s="110"/>
      <c r="AD98" s="110"/>
      <c r="AI98" s="119"/>
      <c r="BJ98" s="110"/>
      <c r="BM98" s="110"/>
      <c r="BO98" s="110"/>
      <c r="BP98" s="110"/>
      <c r="BQ98" s="110" t="n">
        <f aca="false">SUM(T98:BP98)</f>
        <v>0</v>
      </c>
      <c r="BS98" s="110"/>
      <c r="BU98" s="110" t="n">
        <f aca="false">IF(+R98-BQ98+BS98&gt;0,R98-BQ98+BS98,0)</f>
        <v>0</v>
      </c>
      <c r="BZ98" s="110"/>
    </row>
    <row r="99" customFormat="false" ht="12.75" hidden="false" customHeight="false" outlineLevel="0" collapsed="false">
      <c r="A99" s="167"/>
      <c r="B99" s="168" t="s">
        <v>235</v>
      </c>
      <c r="C99" s="169"/>
      <c r="D99" s="169"/>
      <c r="E99" s="169"/>
      <c r="F99" s="169"/>
      <c r="G99" s="169"/>
      <c r="H99" s="169"/>
      <c r="I99" s="169"/>
      <c r="J99" s="170"/>
      <c r="K99" s="169"/>
      <c r="L99" s="171"/>
      <c r="M99" s="172"/>
      <c r="N99" s="193" t="n">
        <f aca="false">SUM(N92:N98)</f>
        <v>0</v>
      </c>
      <c r="O99" s="172"/>
      <c r="P99" s="193" t="n">
        <f aca="false">SUM(P92:P98)</f>
        <v>0</v>
      </c>
      <c r="Q99" s="172"/>
      <c r="R99" s="193" t="n">
        <f aca="false">SUM(R92:R98)</f>
        <v>3760000</v>
      </c>
      <c r="S99" s="172"/>
      <c r="T99" s="193" t="n">
        <f aca="false">SUM(T92:T98)</f>
        <v>0</v>
      </c>
      <c r="U99" s="172"/>
      <c r="V99" s="193" t="n">
        <f aca="false">SUM(V92:V98)</f>
        <v>0</v>
      </c>
      <c r="W99" s="172"/>
      <c r="X99" s="193" t="n">
        <f aca="false">SUM(X92:X98)</f>
        <v>0</v>
      </c>
      <c r="Y99" s="172"/>
      <c r="Z99" s="193" t="n">
        <f aca="false">SUM(Z92:Z98)</f>
        <v>0</v>
      </c>
      <c r="AA99" s="172"/>
      <c r="AB99" s="193" t="n">
        <f aca="false">SUM(AB92:AB98)</f>
        <v>0</v>
      </c>
      <c r="AC99" s="172"/>
      <c r="AD99" s="193" t="n">
        <f aca="false">SUM(AD92:AD98)</f>
        <v>0</v>
      </c>
      <c r="AE99" s="172"/>
      <c r="AF99" s="193" t="n">
        <f aca="false">SUM(AF92:AF98)</f>
        <v>0</v>
      </c>
      <c r="AG99" s="172"/>
      <c r="AH99" s="193" t="n">
        <f aca="false">SUM(AH92:AH98)</f>
        <v>313333.333333333</v>
      </c>
      <c r="AI99" s="119"/>
      <c r="AJ99" s="193" t="n">
        <f aca="false">SUM(AJ92:AJ98)</f>
        <v>313333.35</v>
      </c>
      <c r="AL99" s="193" t="n">
        <f aca="false">SUM(AL92:AL98)</f>
        <v>313332</v>
      </c>
      <c r="AN99" s="193" t="n">
        <f aca="false">SUM(AN92:AN98)</f>
        <v>313332.33</v>
      </c>
      <c r="AO99" s="172"/>
      <c r="AP99" s="193" t="n">
        <f aca="false">SUM(AP92:AP98)</f>
        <v>318332.33</v>
      </c>
      <c r="AQ99" s="172"/>
      <c r="AR99" s="193" t="n">
        <f aca="false">SUM(AR92:AR98)</f>
        <v>313331.34</v>
      </c>
      <c r="AS99" s="172"/>
      <c r="AT99" s="193" t="n">
        <f aca="false">SUM(AT92:AT98)</f>
        <v>313332.33</v>
      </c>
      <c r="AU99" s="172"/>
      <c r="AV99" s="193" t="n">
        <f aca="false">SUM(AV92:AV98)</f>
        <v>313333.33</v>
      </c>
      <c r="AW99" s="172"/>
      <c r="AX99" s="193" t="n">
        <f aca="false">SUM(AX92:AX98)</f>
        <v>313333.33</v>
      </c>
      <c r="AY99" s="172"/>
      <c r="AZ99" s="193" t="n">
        <f aca="false">SUM(AZ92:AZ98)</f>
        <v>313333</v>
      </c>
      <c r="BA99" s="172"/>
      <c r="BB99" s="193" t="n">
        <f aca="false">SUM(BB92:BB98)</f>
        <v>313333.33</v>
      </c>
      <c r="BC99" s="172"/>
      <c r="BD99" s="193" t="n">
        <f aca="false">SUM(BD92:BD98)</f>
        <v>313331.33</v>
      </c>
      <c r="BF99" s="193" t="n">
        <f aca="false">SUM(BF92:BF98)</f>
        <v>0</v>
      </c>
      <c r="BH99" s="193" t="n">
        <f aca="false">SUM(BH92:BH98)</f>
        <v>0</v>
      </c>
      <c r="BJ99" s="193" t="n">
        <f aca="false">SUM(BJ92:BJ98)</f>
        <v>6741</v>
      </c>
      <c r="BM99" s="193" t="n">
        <f aca="false">SUM(BM92:BM98)</f>
        <v>0</v>
      </c>
      <c r="BO99" s="193" t="n">
        <f aca="false">SUM(BO92:BO98)</f>
        <v>0</v>
      </c>
      <c r="BP99" s="193"/>
      <c r="BQ99" s="193" t="n">
        <f aca="false">SUM(BQ92:BQ98)</f>
        <v>3771732.33333333</v>
      </c>
      <c r="BR99" s="193"/>
      <c r="BS99" s="193" t="n">
        <f aca="false">SUM(BS92:BS98)</f>
        <v>-8</v>
      </c>
      <c r="BU99" s="193" t="n">
        <f aca="false">SUM(BU92:BU98)</f>
        <v>0</v>
      </c>
      <c r="BV99" s="172"/>
      <c r="BW99" s="193" t="n">
        <f aca="false">SUM(BW92:BW98)</f>
        <v>3771732.33333333</v>
      </c>
      <c r="BX99" s="172"/>
      <c r="BY99" s="193" t="n">
        <f aca="false">SUM(BY92:BY98)</f>
        <v>-11732.3333333334</v>
      </c>
      <c r="BZ99" s="172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69"/>
      <c r="DG99" s="169"/>
      <c r="DH99" s="169"/>
      <c r="DI99" s="169"/>
      <c r="DJ99" s="169"/>
      <c r="DK99" s="169"/>
      <c r="DL99" s="169"/>
      <c r="DM99" s="169"/>
      <c r="DN99" s="169"/>
      <c r="DO99" s="169"/>
      <c r="DP99" s="169"/>
      <c r="DQ99" s="169"/>
      <c r="DR99" s="169"/>
      <c r="DS99" s="169"/>
      <c r="DT99" s="169"/>
      <c r="DU99" s="169"/>
      <c r="DV99" s="169"/>
      <c r="DW99" s="169"/>
      <c r="DX99" s="169"/>
      <c r="DY99" s="169"/>
      <c r="DZ99" s="169"/>
      <c r="EA99" s="169"/>
      <c r="EB99" s="169"/>
      <c r="EC99" s="169"/>
      <c r="ED99" s="169"/>
      <c r="EE99" s="169"/>
      <c r="EF99" s="169"/>
      <c r="EG99" s="169"/>
      <c r="EH99" s="169"/>
      <c r="EI99" s="169"/>
      <c r="EJ99" s="169"/>
      <c r="EK99" s="169"/>
      <c r="EL99" s="169"/>
      <c r="EM99" s="169"/>
      <c r="EN99" s="169"/>
      <c r="EO99" s="169"/>
      <c r="EP99" s="169"/>
      <c r="EQ99" s="169"/>
      <c r="ER99" s="169"/>
      <c r="ES99" s="169"/>
      <c r="ET99" s="169"/>
      <c r="EU99" s="169"/>
      <c r="EV99" s="169"/>
      <c r="EW99" s="169"/>
      <c r="EX99" s="169"/>
      <c r="EY99" s="169"/>
      <c r="EZ99" s="169"/>
      <c r="FA99" s="169"/>
      <c r="FB99" s="169"/>
      <c r="FC99" s="169"/>
      <c r="FD99" s="169"/>
      <c r="FE99" s="169"/>
      <c r="FF99" s="169"/>
      <c r="FG99" s="169"/>
      <c r="FH99" s="169"/>
      <c r="FI99" s="169"/>
      <c r="FJ99" s="169"/>
      <c r="FK99" s="169"/>
      <c r="FL99" s="169"/>
      <c r="FM99" s="169"/>
      <c r="FN99" s="169"/>
      <c r="FO99" s="169"/>
      <c r="FP99" s="169"/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69"/>
      <c r="GJ99" s="169"/>
      <c r="GK99" s="169"/>
      <c r="GL99" s="169"/>
      <c r="GM99" s="169"/>
      <c r="GN99" s="169"/>
      <c r="GO99" s="169"/>
      <c r="GP99" s="169"/>
      <c r="GQ99" s="169"/>
      <c r="GR99" s="169"/>
      <c r="GS99" s="169"/>
      <c r="GT99" s="169"/>
      <c r="GU99" s="169"/>
      <c r="GV99" s="169"/>
      <c r="GW99" s="169"/>
      <c r="GX99" s="169"/>
      <c r="GY99" s="169"/>
      <c r="GZ99" s="169"/>
      <c r="HA99" s="169"/>
      <c r="HB99" s="169"/>
      <c r="HC99" s="169"/>
      <c r="HD99" s="169"/>
      <c r="HE99" s="169"/>
      <c r="HF99" s="169"/>
      <c r="HG99" s="169"/>
      <c r="HH99" s="169"/>
      <c r="HI99" s="169"/>
      <c r="HJ99" s="169"/>
      <c r="HK99" s="169"/>
      <c r="HL99" s="169"/>
      <c r="HM99" s="169"/>
      <c r="HN99" s="169"/>
      <c r="HO99" s="169"/>
      <c r="HP99" s="169"/>
      <c r="HQ99" s="169"/>
      <c r="HR99" s="169"/>
      <c r="HS99" s="169"/>
      <c r="HT99" s="169"/>
      <c r="HU99" s="169"/>
      <c r="HV99" s="169"/>
      <c r="HW99" s="169"/>
      <c r="HX99" s="169"/>
      <c r="HY99" s="169"/>
      <c r="HZ99" s="169"/>
      <c r="IA99" s="169"/>
      <c r="IB99" s="169"/>
      <c r="IC99" s="169"/>
      <c r="ID99" s="169"/>
      <c r="IE99" s="169"/>
      <c r="IF99" s="169"/>
      <c r="IG99" s="169"/>
      <c r="IH99" s="169"/>
      <c r="II99" s="169"/>
      <c r="IJ99" s="169"/>
      <c r="IK99" s="169"/>
      <c r="IL99" s="169"/>
      <c r="IM99" s="169"/>
      <c r="IN99" s="169"/>
      <c r="IO99" s="169"/>
      <c r="IP99" s="169"/>
      <c r="IQ99" s="169"/>
      <c r="IR99" s="169"/>
      <c r="IS99" s="169"/>
      <c r="IT99" s="169"/>
      <c r="IU99" s="169"/>
      <c r="IV99" s="169"/>
      <c r="IW99" s="169"/>
    </row>
    <row r="100" customFormat="false" ht="12.75" hidden="false" customHeight="false" outlineLevel="0" collapsed="false">
      <c r="E100" s="119"/>
      <c r="G100" s="119"/>
      <c r="I100" s="119"/>
      <c r="J100" s="119"/>
      <c r="L100" s="119"/>
      <c r="N100" s="119"/>
      <c r="P100" s="119"/>
      <c r="R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L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F100" s="119"/>
      <c r="BH100" s="119"/>
      <c r="BJ100" s="119"/>
      <c r="BM100" s="119"/>
      <c r="BO100" s="119"/>
      <c r="BP100" s="119"/>
      <c r="BQ100" s="119"/>
      <c r="BR100" s="119"/>
      <c r="BS100" s="119"/>
      <c r="BU100" s="119"/>
      <c r="BV100" s="119"/>
      <c r="BW100" s="119"/>
      <c r="BX100" s="119"/>
      <c r="BY100" s="119"/>
    </row>
    <row r="101" customFormat="false" ht="12.75" hidden="false" customHeight="false" outlineLevel="0" collapsed="false">
      <c r="A101" s="177" t="s">
        <v>236</v>
      </c>
      <c r="B101" s="161"/>
      <c r="E101" s="119"/>
      <c r="G101" s="119"/>
      <c r="I101" s="119"/>
      <c r="L101" s="163" t="s">
        <v>151</v>
      </c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AI101" s="119"/>
      <c r="BJ101" s="110"/>
      <c r="BM101" s="110"/>
      <c r="BO101" s="110"/>
      <c r="BP101" s="110"/>
      <c r="BS101" s="110"/>
      <c r="BZ101" s="110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  <c r="DB101" s="194"/>
      <c r="DC101" s="194"/>
      <c r="DD101" s="194"/>
      <c r="DE101" s="194"/>
      <c r="DF101" s="194"/>
      <c r="DG101" s="194"/>
      <c r="DH101" s="194"/>
      <c r="DI101" s="194"/>
      <c r="DJ101" s="194"/>
      <c r="DK101" s="194"/>
      <c r="DL101" s="194"/>
      <c r="DM101" s="194"/>
      <c r="DN101" s="194"/>
      <c r="DO101" s="194"/>
      <c r="DP101" s="194"/>
      <c r="DQ101" s="194"/>
      <c r="DR101" s="194"/>
      <c r="DS101" s="194"/>
      <c r="DT101" s="194"/>
      <c r="DU101" s="194"/>
      <c r="DV101" s="194"/>
      <c r="DW101" s="194"/>
      <c r="DX101" s="194"/>
      <c r="DY101" s="194"/>
      <c r="DZ101" s="194"/>
      <c r="EA101" s="194"/>
      <c r="EB101" s="194"/>
      <c r="EC101" s="194"/>
      <c r="ED101" s="194"/>
      <c r="EE101" s="194"/>
      <c r="EF101" s="194"/>
      <c r="EG101" s="194"/>
      <c r="EH101" s="194"/>
      <c r="EI101" s="194"/>
      <c r="EJ101" s="194"/>
      <c r="EK101" s="194"/>
      <c r="EL101" s="194"/>
      <c r="EM101" s="194"/>
      <c r="EN101" s="194"/>
      <c r="EO101" s="194"/>
      <c r="EP101" s="194"/>
      <c r="EQ101" s="194"/>
      <c r="ER101" s="194"/>
      <c r="ES101" s="194"/>
      <c r="ET101" s="194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4"/>
      <c r="FE101" s="194"/>
      <c r="FF101" s="194"/>
      <c r="FG101" s="194"/>
      <c r="FH101" s="194"/>
      <c r="FI101" s="194"/>
      <c r="FJ101" s="194"/>
      <c r="FK101" s="194"/>
      <c r="FL101" s="194"/>
      <c r="FM101" s="194"/>
      <c r="FN101" s="194"/>
      <c r="FO101" s="194"/>
      <c r="FP101" s="194"/>
      <c r="FQ101" s="194"/>
      <c r="FR101" s="194"/>
      <c r="FS101" s="194"/>
      <c r="FT101" s="194"/>
      <c r="FU101" s="194"/>
      <c r="FV101" s="194"/>
      <c r="FW101" s="194"/>
      <c r="FX101" s="194"/>
      <c r="FY101" s="194"/>
      <c r="FZ101" s="194"/>
      <c r="GA101" s="194"/>
      <c r="GB101" s="194"/>
      <c r="GC101" s="194"/>
      <c r="GD101" s="194"/>
      <c r="GE101" s="194"/>
      <c r="GF101" s="194"/>
      <c r="GG101" s="194"/>
      <c r="GH101" s="194"/>
      <c r="GI101" s="194"/>
      <c r="GJ101" s="194"/>
      <c r="GK101" s="194"/>
      <c r="GL101" s="194"/>
      <c r="GM101" s="194"/>
      <c r="GN101" s="194"/>
      <c r="GO101" s="194"/>
      <c r="GP101" s="194"/>
      <c r="GQ101" s="194"/>
      <c r="GR101" s="194"/>
      <c r="GS101" s="194"/>
      <c r="GT101" s="194"/>
      <c r="GU101" s="194"/>
      <c r="GV101" s="194"/>
      <c r="GW101" s="194"/>
      <c r="GX101" s="194"/>
      <c r="GY101" s="194"/>
      <c r="GZ101" s="194"/>
      <c r="HA101" s="194"/>
      <c r="HB101" s="194"/>
      <c r="HC101" s="194"/>
      <c r="HD101" s="194"/>
      <c r="HE101" s="194"/>
      <c r="HF101" s="194"/>
      <c r="HG101" s="194"/>
      <c r="HH101" s="194"/>
      <c r="HI101" s="194"/>
      <c r="HJ101" s="194"/>
      <c r="HK101" s="194"/>
      <c r="HL101" s="194"/>
      <c r="HM101" s="194"/>
      <c r="HN101" s="194"/>
      <c r="HO101" s="194"/>
      <c r="HP101" s="194"/>
      <c r="HQ101" s="194"/>
      <c r="HR101" s="194"/>
      <c r="HS101" s="194"/>
      <c r="HT101" s="194"/>
      <c r="HU101" s="194"/>
      <c r="HV101" s="194"/>
      <c r="HW101" s="194"/>
      <c r="HX101" s="194"/>
      <c r="HY101" s="194"/>
      <c r="HZ101" s="194"/>
      <c r="IA101" s="194"/>
      <c r="IB101" s="194"/>
      <c r="IC101" s="194"/>
      <c r="ID101" s="194"/>
      <c r="IE101" s="194"/>
      <c r="IF101" s="194"/>
      <c r="IG101" s="194"/>
      <c r="IH101" s="194"/>
      <c r="II101" s="194"/>
      <c r="IJ101" s="194"/>
      <c r="IK101" s="194"/>
      <c r="IL101" s="194"/>
      <c r="IM101" s="194"/>
      <c r="IN101" s="194"/>
      <c r="IO101" s="194"/>
      <c r="IP101" s="194"/>
      <c r="IQ101" s="194"/>
      <c r="IR101" s="194"/>
      <c r="IS101" s="194"/>
      <c r="IT101" s="194"/>
      <c r="IU101" s="194"/>
      <c r="IV101" s="194"/>
      <c r="IW101" s="194"/>
    </row>
    <row r="102" customFormat="false" ht="12.75" hidden="false" customHeight="false" outlineLevel="0" collapsed="false">
      <c r="A102" s="177"/>
      <c r="B102" s="161" t="s">
        <v>237</v>
      </c>
      <c r="E102" s="119"/>
      <c r="G102" s="119"/>
      <c r="I102" s="119"/>
      <c r="J102" s="120" t="s">
        <v>141</v>
      </c>
      <c r="L102" s="163" t="s">
        <v>151</v>
      </c>
      <c r="M102" s="110"/>
      <c r="N102" s="110" t="n">
        <v>0</v>
      </c>
      <c r="O102" s="110"/>
      <c r="P102" s="110" t="n">
        <v>0</v>
      </c>
      <c r="Q102" s="110"/>
      <c r="R102" s="110" t="n">
        <v>9479079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815280</v>
      </c>
      <c r="AH102" s="110" t="n">
        <v>2025875.7</v>
      </c>
      <c r="AI102" s="119"/>
      <c r="AJ102" s="110" t="n">
        <v>0</v>
      </c>
      <c r="AL102" s="110" t="n">
        <v>0</v>
      </c>
      <c r="AN102" s="110" t="n">
        <v>1894103.8</v>
      </c>
      <c r="AP102" s="110" t="n">
        <v>0</v>
      </c>
      <c r="AR102" s="110" t="n">
        <v>0</v>
      </c>
      <c r="AT102" s="110" t="n">
        <v>0</v>
      </c>
      <c r="AV102" s="110" t="n">
        <v>1183814.88</v>
      </c>
      <c r="AX102" s="110" t="n">
        <v>2943550.62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368146</v>
      </c>
      <c r="BM102" s="110"/>
      <c r="BO102" s="110"/>
      <c r="BP102" s="110"/>
      <c r="BQ102" s="110" t="n">
        <f aca="false">SUM(T102:BP102)</f>
        <v>9230771</v>
      </c>
      <c r="BS102" s="110" t="n">
        <v>0</v>
      </c>
      <c r="BU102" s="195" t="n">
        <f aca="false">IF(+R102-BQ102+BS102&gt;0,R102-BQ102+BS102,0)</f>
        <v>248308</v>
      </c>
      <c r="BW102" s="110" t="n">
        <f aca="false">+BQ102+BU102</f>
        <v>9479079</v>
      </c>
      <c r="BY102" s="110" t="n">
        <f aca="false">+R102-BW102</f>
        <v>0</v>
      </c>
      <c r="BZ102" s="110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  <c r="DB102" s="194"/>
      <c r="DC102" s="194"/>
      <c r="DD102" s="194"/>
      <c r="DE102" s="194"/>
      <c r="DF102" s="194"/>
      <c r="DG102" s="194"/>
      <c r="DH102" s="194"/>
      <c r="DI102" s="194"/>
      <c r="DJ102" s="194"/>
      <c r="DK102" s="194"/>
      <c r="DL102" s="194"/>
      <c r="DM102" s="194"/>
      <c r="DN102" s="194"/>
      <c r="DO102" s="194"/>
      <c r="DP102" s="194"/>
      <c r="DQ102" s="194"/>
      <c r="DR102" s="194"/>
      <c r="DS102" s="194"/>
      <c r="DT102" s="194"/>
      <c r="DU102" s="194"/>
      <c r="DV102" s="194"/>
      <c r="DW102" s="194"/>
      <c r="DX102" s="194"/>
      <c r="DY102" s="194"/>
      <c r="DZ102" s="194"/>
      <c r="EA102" s="194"/>
      <c r="EB102" s="194"/>
      <c r="EC102" s="194"/>
      <c r="ED102" s="194"/>
      <c r="EE102" s="194"/>
      <c r="EF102" s="194"/>
      <c r="EG102" s="194"/>
      <c r="EH102" s="194"/>
      <c r="EI102" s="194"/>
      <c r="EJ102" s="194"/>
      <c r="EK102" s="194"/>
      <c r="EL102" s="194"/>
      <c r="EM102" s="194"/>
      <c r="EN102" s="194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194"/>
      <c r="GD102" s="194"/>
      <c r="GE102" s="194"/>
      <c r="GF102" s="194"/>
      <c r="GG102" s="194"/>
      <c r="GH102" s="194"/>
      <c r="GI102" s="194"/>
      <c r="GJ102" s="194"/>
      <c r="GK102" s="194"/>
      <c r="GL102" s="194"/>
      <c r="GM102" s="194"/>
      <c r="GN102" s="194"/>
      <c r="GO102" s="194"/>
      <c r="GP102" s="194"/>
      <c r="GQ102" s="194"/>
      <c r="GR102" s="194"/>
      <c r="GS102" s="194"/>
      <c r="GT102" s="194"/>
      <c r="GU102" s="194"/>
      <c r="GV102" s="194"/>
      <c r="GW102" s="194"/>
      <c r="GX102" s="194"/>
      <c r="GY102" s="194"/>
      <c r="GZ102" s="194"/>
      <c r="HA102" s="194"/>
      <c r="HB102" s="194"/>
      <c r="HC102" s="194"/>
      <c r="HD102" s="194"/>
      <c r="HE102" s="194"/>
      <c r="HF102" s="194"/>
      <c r="HG102" s="194"/>
      <c r="HH102" s="194"/>
      <c r="HI102" s="194"/>
      <c r="HJ102" s="194"/>
      <c r="HK102" s="194"/>
      <c r="HL102" s="194"/>
      <c r="HM102" s="194"/>
      <c r="HN102" s="194"/>
      <c r="HO102" s="194"/>
      <c r="HP102" s="194"/>
      <c r="HQ102" s="194"/>
      <c r="HR102" s="194"/>
      <c r="HS102" s="194"/>
      <c r="HT102" s="194"/>
      <c r="HU102" s="194"/>
      <c r="HV102" s="194"/>
      <c r="HW102" s="194"/>
      <c r="HX102" s="194"/>
      <c r="HY102" s="194"/>
      <c r="HZ102" s="194"/>
      <c r="IA102" s="194"/>
      <c r="IB102" s="194"/>
      <c r="IC102" s="194"/>
      <c r="ID102" s="194"/>
      <c r="IE102" s="194"/>
      <c r="IF102" s="194"/>
      <c r="IG102" s="194"/>
      <c r="IH102" s="194"/>
      <c r="II102" s="194"/>
      <c r="IJ102" s="194"/>
      <c r="IK102" s="194"/>
      <c r="IL102" s="194"/>
      <c r="IM102" s="194"/>
      <c r="IN102" s="194"/>
      <c r="IO102" s="194"/>
      <c r="IP102" s="194"/>
      <c r="IQ102" s="194"/>
      <c r="IR102" s="194"/>
      <c r="IS102" s="194"/>
      <c r="IT102" s="194"/>
      <c r="IU102" s="194"/>
      <c r="IV102" s="194"/>
      <c r="IW102" s="194"/>
    </row>
    <row r="103" customFormat="false" ht="12.75" hidden="false" customHeight="false" outlineLevel="0" collapsed="false">
      <c r="A103" s="177"/>
      <c r="B103" s="161" t="s">
        <v>238</v>
      </c>
      <c r="E103" s="119"/>
      <c r="G103" s="119"/>
      <c r="I103" s="119"/>
      <c r="J103" s="120" t="s">
        <v>141</v>
      </c>
      <c r="L103" s="163" t="s">
        <v>151</v>
      </c>
      <c r="M103" s="110"/>
      <c r="N103" s="110" t="n">
        <v>0</v>
      </c>
      <c r="O103" s="110"/>
      <c r="P103" s="110" t="n">
        <v>0</v>
      </c>
      <c r="Q103" s="110"/>
      <c r="R103" s="110" t="n"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I103" s="119"/>
      <c r="AJ103" s="110" t="n">
        <v>0</v>
      </c>
      <c r="AL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M103" s="110" t="n">
        <v>0</v>
      </c>
      <c r="BO103" s="110" t="n">
        <v>0</v>
      </c>
      <c r="BP103" s="110"/>
      <c r="BQ103" s="110" t="n">
        <f aca="false">SUM(T103:BP103)</f>
        <v>0</v>
      </c>
      <c r="BS103" s="110" t="n">
        <v>0</v>
      </c>
      <c r="BU103" s="110" t="n">
        <f aca="false">IF(+R103-BQ103+BS103&gt;0,R103-BQ103+BS103,0)</f>
        <v>0</v>
      </c>
      <c r="BW103" s="110" t="n">
        <f aca="false">+BQ103+BU103</f>
        <v>0</v>
      </c>
      <c r="BY103" s="110" t="n">
        <f aca="false">+R103-BW103</f>
        <v>0</v>
      </c>
      <c r="BZ103" s="110"/>
      <c r="CA103" s="194"/>
      <c r="CB103" s="194"/>
      <c r="CC103" s="194"/>
      <c r="CD103" s="194"/>
      <c r="CE103" s="194"/>
      <c r="CF103" s="194"/>
      <c r="CG103" s="194"/>
      <c r="CH103" s="194"/>
      <c r="CI103" s="194"/>
      <c r="CJ103" s="194"/>
      <c r="CK103" s="194"/>
      <c r="CL103" s="194"/>
      <c r="CM103" s="194"/>
      <c r="CN103" s="194"/>
      <c r="CO103" s="194"/>
      <c r="CP103" s="194"/>
      <c r="CQ103" s="194"/>
      <c r="CR103" s="194"/>
      <c r="CS103" s="194"/>
      <c r="CT103" s="194"/>
      <c r="CU103" s="194"/>
      <c r="CV103" s="194"/>
      <c r="CW103" s="194"/>
      <c r="CX103" s="194"/>
      <c r="CY103" s="194"/>
      <c r="CZ103" s="194"/>
      <c r="DA103" s="194"/>
      <c r="DB103" s="194"/>
      <c r="DC103" s="194"/>
      <c r="DD103" s="194"/>
      <c r="DE103" s="194"/>
      <c r="DF103" s="194"/>
      <c r="DG103" s="194"/>
      <c r="DH103" s="194"/>
      <c r="DI103" s="194"/>
      <c r="DJ103" s="194"/>
      <c r="DK103" s="194"/>
      <c r="DL103" s="194"/>
      <c r="DM103" s="194"/>
      <c r="DN103" s="194"/>
      <c r="DO103" s="194"/>
      <c r="DP103" s="194"/>
      <c r="DQ103" s="194"/>
      <c r="DR103" s="194"/>
      <c r="DS103" s="194"/>
      <c r="DT103" s="194"/>
      <c r="DU103" s="194"/>
      <c r="DV103" s="194"/>
      <c r="DW103" s="194"/>
      <c r="DX103" s="194"/>
      <c r="DY103" s="194"/>
      <c r="DZ103" s="194"/>
      <c r="EA103" s="194"/>
      <c r="EB103" s="194"/>
      <c r="EC103" s="194"/>
      <c r="ED103" s="194"/>
      <c r="EE103" s="194"/>
      <c r="EF103" s="194"/>
      <c r="EG103" s="194"/>
      <c r="EH103" s="194"/>
      <c r="EI103" s="194"/>
      <c r="EJ103" s="194"/>
      <c r="EK103" s="194"/>
      <c r="EL103" s="194"/>
      <c r="EM103" s="194"/>
      <c r="EN103" s="194"/>
      <c r="EO103" s="194"/>
      <c r="EP103" s="194"/>
      <c r="EQ103" s="194"/>
      <c r="ER103" s="194"/>
      <c r="ES103" s="194"/>
      <c r="ET103" s="194"/>
      <c r="EU103" s="194"/>
      <c r="EV103" s="194"/>
      <c r="EW103" s="194"/>
      <c r="EX103" s="194"/>
      <c r="EY103" s="194"/>
      <c r="EZ103" s="194"/>
      <c r="FA103" s="194"/>
      <c r="FB103" s="194"/>
      <c r="FC103" s="194"/>
      <c r="FD103" s="194"/>
      <c r="FE103" s="194"/>
      <c r="FF103" s="194"/>
      <c r="FG103" s="194"/>
      <c r="FH103" s="194"/>
      <c r="FI103" s="194"/>
      <c r="FJ103" s="194"/>
      <c r="FK103" s="194"/>
      <c r="FL103" s="194"/>
      <c r="FM103" s="194"/>
      <c r="FN103" s="194"/>
      <c r="FO103" s="194"/>
      <c r="FP103" s="194"/>
      <c r="FQ103" s="194"/>
      <c r="FR103" s="194"/>
      <c r="FS103" s="194"/>
      <c r="FT103" s="194"/>
      <c r="FU103" s="194"/>
      <c r="FV103" s="194"/>
      <c r="FW103" s="194"/>
      <c r="FX103" s="194"/>
      <c r="FY103" s="194"/>
      <c r="FZ103" s="194"/>
      <c r="GA103" s="194"/>
      <c r="GB103" s="194"/>
      <c r="GC103" s="194"/>
      <c r="GD103" s="194"/>
      <c r="GE103" s="194"/>
      <c r="GF103" s="194"/>
      <c r="GG103" s="194"/>
      <c r="GH103" s="194"/>
      <c r="GI103" s="194"/>
      <c r="GJ103" s="194"/>
      <c r="GK103" s="194"/>
      <c r="GL103" s="194"/>
      <c r="GM103" s="194"/>
      <c r="GN103" s="194"/>
      <c r="GO103" s="194"/>
      <c r="GP103" s="194"/>
      <c r="GQ103" s="194"/>
      <c r="GR103" s="194"/>
      <c r="GS103" s="194"/>
      <c r="GT103" s="194"/>
      <c r="GU103" s="194"/>
      <c r="GV103" s="194"/>
      <c r="GW103" s="194"/>
      <c r="GX103" s="194"/>
      <c r="GY103" s="194"/>
      <c r="GZ103" s="194"/>
      <c r="HA103" s="194"/>
      <c r="HB103" s="194"/>
      <c r="HC103" s="194"/>
      <c r="HD103" s="194"/>
      <c r="HE103" s="194"/>
      <c r="HF103" s="194"/>
      <c r="HG103" s="194"/>
      <c r="HH103" s="194"/>
      <c r="HI103" s="194"/>
      <c r="HJ103" s="194"/>
      <c r="HK103" s="194"/>
      <c r="HL103" s="194"/>
      <c r="HM103" s="194"/>
      <c r="HN103" s="194"/>
      <c r="HO103" s="194"/>
      <c r="HP103" s="194"/>
      <c r="HQ103" s="194"/>
      <c r="HR103" s="194"/>
      <c r="HS103" s="194"/>
      <c r="HT103" s="194"/>
      <c r="HU103" s="194"/>
      <c r="HV103" s="194"/>
      <c r="HW103" s="194"/>
      <c r="HX103" s="194"/>
      <c r="HY103" s="194"/>
      <c r="HZ103" s="194"/>
      <c r="IA103" s="194"/>
      <c r="IB103" s="194"/>
      <c r="IC103" s="194"/>
      <c r="ID103" s="194"/>
      <c r="IE103" s="194"/>
      <c r="IF103" s="194"/>
      <c r="IG103" s="194"/>
      <c r="IH103" s="194"/>
      <c r="II103" s="194"/>
      <c r="IJ103" s="194"/>
      <c r="IK103" s="194"/>
      <c r="IL103" s="194"/>
      <c r="IM103" s="194"/>
      <c r="IN103" s="194"/>
      <c r="IO103" s="194"/>
      <c r="IP103" s="194"/>
      <c r="IQ103" s="194"/>
      <c r="IR103" s="194"/>
      <c r="IS103" s="194"/>
      <c r="IT103" s="194"/>
      <c r="IU103" s="194"/>
      <c r="IV103" s="194"/>
      <c r="IW103" s="194"/>
    </row>
    <row r="104" customFormat="false" ht="12.75" hidden="false" customHeight="false" outlineLevel="0" collapsed="false">
      <c r="A104" s="164"/>
      <c r="B104" s="161" t="s">
        <v>239</v>
      </c>
      <c r="E104" s="119"/>
      <c r="G104" s="119"/>
      <c r="I104" s="119"/>
      <c r="J104" s="120" t="s">
        <v>141</v>
      </c>
      <c r="L104" s="163" t="s">
        <v>151</v>
      </c>
      <c r="M104" s="110"/>
      <c r="N104" s="110" t="n">
        <v>0</v>
      </c>
      <c r="O104" s="110"/>
      <c r="P104" s="110" t="n">
        <v>0</v>
      </c>
      <c r="Q104" s="110"/>
      <c r="R104" s="110" t="n"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I104" s="119"/>
      <c r="AJ104" s="110" t="n">
        <v>0</v>
      </c>
      <c r="AL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M104" s="110" t="n">
        <v>0</v>
      </c>
      <c r="BO104" s="110" t="n">
        <v>0</v>
      </c>
      <c r="BP104" s="110"/>
      <c r="BQ104" s="110" t="n">
        <f aca="false">SUM(T104:BP104)</f>
        <v>0</v>
      </c>
      <c r="BS104" s="110" t="n">
        <v>0</v>
      </c>
      <c r="BU104" s="110" t="n">
        <f aca="false">IF(+R104-BQ104+BS104&gt;0,R104-BQ104+BS104,0)</f>
        <v>0</v>
      </c>
      <c r="BW104" s="110" t="n">
        <f aca="false">+BQ104+BU104</f>
        <v>0</v>
      </c>
      <c r="BY104" s="110" t="n">
        <f aca="false">+R104-BW104</f>
        <v>0</v>
      </c>
      <c r="BZ104" s="110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false" customHeight="false" outlineLevel="0" collapsed="false">
      <c r="A105" s="164"/>
      <c r="B105" s="161" t="s">
        <v>240</v>
      </c>
      <c r="C105" s="118"/>
      <c r="D105" s="118"/>
      <c r="E105" s="118"/>
      <c r="F105" s="118"/>
      <c r="G105" s="118"/>
      <c r="H105" s="118"/>
      <c r="I105" s="118"/>
      <c r="J105" s="120" t="s">
        <v>141</v>
      </c>
      <c r="K105" s="118"/>
      <c r="L105" s="163" t="s">
        <v>151</v>
      </c>
      <c r="M105" s="110"/>
      <c r="N105" s="110" t="n">
        <v>0</v>
      </c>
      <c r="O105" s="110"/>
      <c r="P105" s="110" t="n">
        <v>0</v>
      </c>
      <c r="Q105" s="110"/>
      <c r="R105" s="110" t="n"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I105" s="119"/>
      <c r="AJ105" s="110" t="n">
        <v>0</v>
      </c>
      <c r="AL105" s="110" t="n">
        <v>0</v>
      </c>
      <c r="AN105" s="110" t="n">
        <v>0</v>
      </c>
      <c r="AP105" s="110" t="n">
        <v>0</v>
      </c>
      <c r="AR105" s="110" t="n">
        <v>0</v>
      </c>
      <c r="AT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M105" s="110" t="n">
        <v>0</v>
      </c>
      <c r="BO105" s="110" t="n">
        <v>0</v>
      </c>
      <c r="BP105" s="110"/>
      <c r="BQ105" s="110" t="n">
        <f aca="false">SUM(T105:BP105)</f>
        <v>0</v>
      </c>
      <c r="BS105" s="110" t="n">
        <v>0</v>
      </c>
      <c r="BU105" s="110" t="n">
        <f aca="false">IF(+R105-BQ105+BS105&gt;0,R105-BQ105+BS105,0)</f>
        <v>0</v>
      </c>
      <c r="BW105" s="110" t="n">
        <f aca="false">+BQ105+BU105</f>
        <v>0</v>
      </c>
      <c r="BY105" s="110" t="n">
        <f aca="false">+R105-BW105</f>
        <v>0</v>
      </c>
      <c r="BZ105" s="110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  <c r="DJ105" s="196"/>
      <c r="DK105" s="196"/>
      <c r="DL105" s="196"/>
      <c r="DM105" s="196"/>
      <c r="DN105" s="196"/>
      <c r="DO105" s="196"/>
      <c r="DP105" s="196"/>
      <c r="DQ105" s="196"/>
      <c r="DR105" s="196"/>
      <c r="DS105" s="196"/>
      <c r="DT105" s="196"/>
      <c r="DU105" s="196"/>
      <c r="DV105" s="196"/>
      <c r="DW105" s="196"/>
      <c r="DX105" s="196"/>
      <c r="DY105" s="196"/>
      <c r="DZ105" s="196"/>
      <c r="EA105" s="196"/>
      <c r="EB105" s="196"/>
      <c r="EC105" s="196"/>
      <c r="ED105" s="196"/>
      <c r="EE105" s="196"/>
      <c r="EF105" s="196"/>
      <c r="EG105" s="196"/>
      <c r="EH105" s="196"/>
      <c r="EI105" s="196"/>
      <c r="EJ105" s="196"/>
      <c r="EK105" s="196"/>
      <c r="EL105" s="196"/>
      <c r="EM105" s="196"/>
      <c r="EN105" s="196"/>
      <c r="EO105" s="196"/>
      <c r="EP105" s="196"/>
      <c r="EQ105" s="196"/>
      <c r="ER105" s="196"/>
      <c r="ES105" s="196"/>
      <c r="ET105" s="196"/>
      <c r="EU105" s="196"/>
      <c r="EV105" s="196"/>
      <c r="EW105" s="196"/>
      <c r="EX105" s="196"/>
      <c r="EY105" s="196"/>
      <c r="EZ105" s="196"/>
      <c r="FA105" s="196"/>
      <c r="FB105" s="196"/>
      <c r="FC105" s="196"/>
      <c r="FD105" s="196"/>
      <c r="FE105" s="196"/>
      <c r="FF105" s="196"/>
      <c r="FG105" s="196"/>
      <c r="FH105" s="196"/>
      <c r="FI105" s="196"/>
      <c r="FJ105" s="196"/>
      <c r="FK105" s="196"/>
      <c r="FL105" s="196"/>
      <c r="FM105" s="196"/>
      <c r="FN105" s="196"/>
      <c r="FO105" s="196"/>
      <c r="FP105" s="196"/>
      <c r="FQ105" s="196"/>
      <c r="FR105" s="196"/>
      <c r="FS105" s="196"/>
      <c r="FT105" s="196"/>
      <c r="FU105" s="196"/>
      <c r="FV105" s="196"/>
      <c r="FW105" s="196"/>
      <c r="FX105" s="196"/>
      <c r="FY105" s="196"/>
      <c r="FZ105" s="196"/>
      <c r="GA105" s="196"/>
      <c r="GB105" s="196"/>
      <c r="GC105" s="196"/>
      <c r="GD105" s="196"/>
      <c r="GE105" s="196"/>
      <c r="GF105" s="196"/>
      <c r="GG105" s="196"/>
      <c r="GH105" s="196"/>
      <c r="GI105" s="196"/>
      <c r="GJ105" s="196"/>
      <c r="GK105" s="196"/>
      <c r="GL105" s="196"/>
      <c r="GM105" s="196"/>
      <c r="GN105" s="196"/>
      <c r="GO105" s="196"/>
      <c r="GP105" s="196"/>
      <c r="GQ105" s="196"/>
      <c r="GR105" s="196"/>
      <c r="GS105" s="196"/>
      <c r="GT105" s="196"/>
      <c r="GU105" s="196"/>
      <c r="GV105" s="196"/>
      <c r="GW105" s="196"/>
      <c r="GX105" s="196"/>
      <c r="GY105" s="196"/>
      <c r="GZ105" s="196"/>
      <c r="HA105" s="196"/>
      <c r="HB105" s="196"/>
      <c r="HC105" s="196"/>
      <c r="HD105" s="196"/>
      <c r="HE105" s="196"/>
      <c r="HF105" s="196"/>
      <c r="HG105" s="196"/>
      <c r="HH105" s="196"/>
      <c r="HI105" s="196"/>
      <c r="HJ105" s="196"/>
      <c r="HK105" s="196"/>
      <c r="HL105" s="196"/>
      <c r="HM105" s="196"/>
      <c r="HN105" s="196"/>
      <c r="HO105" s="196"/>
      <c r="HP105" s="196"/>
      <c r="HQ105" s="196"/>
      <c r="HR105" s="196"/>
      <c r="HS105" s="196"/>
      <c r="HT105" s="196"/>
      <c r="HU105" s="196"/>
      <c r="HV105" s="196"/>
      <c r="HW105" s="196"/>
      <c r="HX105" s="196"/>
      <c r="HY105" s="196"/>
      <c r="HZ105" s="196"/>
      <c r="IA105" s="196"/>
      <c r="IB105" s="196"/>
      <c r="IC105" s="196"/>
      <c r="ID105" s="196"/>
      <c r="IE105" s="196"/>
      <c r="IF105" s="196"/>
      <c r="IG105" s="196"/>
      <c r="IH105" s="196"/>
      <c r="II105" s="196"/>
      <c r="IJ105" s="196"/>
      <c r="IK105" s="196"/>
      <c r="IL105" s="196"/>
      <c r="IM105" s="196"/>
      <c r="IN105" s="196"/>
      <c r="IO105" s="196"/>
      <c r="IP105" s="196"/>
      <c r="IQ105" s="196"/>
      <c r="IR105" s="196"/>
      <c r="IS105" s="196"/>
      <c r="IT105" s="196"/>
      <c r="IU105" s="196"/>
      <c r="IV105" s="196"/>
      <c r="IW105" s="196"/>
    </row>
    <row r="106" customFormat="false" ht="12.75" hidden="false" customHeight="false" outlineLevel="0" collapsed="false">
      <c r="A106" s="164"/>
      <c r="B106" s="161" t="s">
        <v>241</v>
      </c>
      <c r="E106" s="119"/>
      <c r="G106" s="119"/>
      <c r="I106" s="119"/>
      <c r="J106" s="120" t="s">
        <v>141</v>
      </c>
      <c r="L106" s="163" t="s">
        <v>151</v>
      </c>
      <c r="M106" s="110"/>
      <c r="N106" s="110" t="n">
        <v>0</v>
      </c>
      <c r="O106" s="110"/>
      <c r="P106" s="110" t="n">
        <v>0</v>
      </c>
      <c r="Q106" s="110"/>
      <c r="R106" s="110" t="n">
        <v>0</v>
      </c>
      <c r="S106" s="110"/>
      <c r="T106" s="110" t="n">
        <v>0</v>
      </c>
      <c r="U106" s="110"/>
      <c r="V106" s="110" t="n">
        <v>0</v>
      </c>
      <c r="X106" s="110" t="n">
        <v>0</v>
      </c>
      <c r="Z106" s="110" t="n">
        <v>0</v>
      </c>
      <c r="AB106" s="110" t="n">
        <v>0</v>
      </c>
      <c r="AD106" s="110" t="n">
        <v>0</v>
      </c>
      <c r="AF106" s="110" t="n">
        <v>0</v>
      </c>
      <c r="AH106" s="110" t="n">
        <v>0</v>
      </c>
      <c r="AI106" s="119"/>
      <c r="AJ106" s="110" t="n">
        <v>0</v>
      </c>
      <c r="AL106" s="110" t="n">
        <v>0</v>
      </c>
      <c r="AN106" s="110" t="n">
        <v>0</v>
      </c>
      <c r="AP106" s="110" t="n">
        <v>0</v>
      </c>
      <c r="AR106" s="110" t="n">
        <v>0</v>
      </c>
      <c r="AT106" s="110" t="n">
        <v>0</v>
      </c>
      <c r="AV106" s="110" t="n">
        <v>0</v>
      </c>
      <c r="AX106" s="110" t="n">
        <v>0</v>
      </c>
      <c r="AZ106" s="110" t="n">
        <v>0</v>
      </c>
      <c r="BB106" s="110" t="n">
        <v>0</v>
      </c>
      <c r="BD106" s="110" t="n">
        <v>0</v>
      </c>
      <c r="BF106" s="110" t="n">
        <v>0</v>
      </c>
      <c r="BH106" s="110" t="n">
        <v>0</v>
      </c>
      <c r="BJ106" s="110" t="n">
        <v>0</v>
      </c>
      <c r="BM106" s="110" t="n">
        <v>0</v>
      </c>
      <c r="BO106" s="110" t="n">
        <v>0</v>
      </c>
      <c r="BP106" s="110"/>
      <c r="BQ106" s="110" t="n">
        <f aca="false">SUM(T106:BP106)</f>
        <v>0</v>
      </c>
      <c r="BS106" s="110" t="n">
        <v>0</v>
      </c>
      <c r="BU106" s="110" t="n">
        <f aca="false">IF(+R106-BQ106+BS106&gt;0,R106-BQ106+BS106,0)</f>
        <v>0</v>
      </c>
      <c r="BW106" s="110" t="n">
        <f aca="false">+BQ106+BU106</f>
        <v>0</v>
      </c>
      <c r="BY106" s="110" t="n">
        <f aca="false">+R106-BW106</f>
        <v>0</v>
      </c>
      <c r="BZ106" s="110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false" customHeight="false" outlineLevel="0" collapsed="false">
      <c r="A107" s="164"/>
      <c r="B107" s="161"/>
      <c r="E107" s="119"/>
      <c r="G107" s="119"/>
      <c r="I107" s="119"/>
      <c r="L107" s="163"/>
      <c r="M107" s="110"/>
      <c r="O107" s="110"/>
      <c r="Q107" s="110"/>
      <c r="S107" s="110"/>
      <c r="T107" s="110"/>
      <c r="U107" s="110"/>
      <c r="V107" s="110"/>
      <c r="X107" s="110"/>
      <c r="Z107" s="110"/>
      <c r="AB107" s="110"/>
      <c r="AD107" s="110"/>
      <c r="AI107" s="119"/>
      <c r="BJ107" s="110"/>
      <c r="BM107" s="110"/>
      <c r="BO107" s="110"/>
      <c r="BP107" s="110"/>
      <c r="BS107" s="110"/>
      <c r="BU107" s="110" t="n">
        <f aca="false">IF(+R107-BQ107+BS107&gt;0,R107-BQ107+BS107,0)</f>
        <v>0</v>
      </c>
      <c r="BZ107" s="110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false" customHeight="false" outlineLevel="0" collapsed="false">
      <c r="A108" s="197"/>
      <c r="B108" s="177" t="s">
        <v>242</v>
      </c>
      <c r="C108" s="2"/>
      <c r="D108" s="2"/>
      <c r="E108" s="2"/>
      <c r="F108" s="2"/>
      <c r="G108" s="2"/>
      <c r="H108" s="2"/>
      <c r="I108" s="2"/>
      <c r="J108" s="3"/>
      <c r="K108" s="2"/>
      <c r="L108" s="179"/>
      <c r="M108" s="24"/>
      <c r="N108" s="198" t="n">
        <f aca="false">SUM(N102:N107)</f>
        <v>0</v>
      </c>
      <c r="O108" s="24"/>
      <c r="P108" s="198" t="n">
        <f aca="false">SUM(P102:P107)</f>
        <v>0</v>
      </c>
      <c r="Q108" s="24"/>
      <c r="R108" s="198" t="n">
        <f aca="false">SUM(R102:R107)</f>
        <v>9479079</v>
      </c>
      <c r="S108" s="24"/>
      <c r="T108" s="198" t="n">
        <f aca="false">SUM(T102:T107)</f>
        <v>0</v>
      </c>
      <c r="U108" s="24"/>
      <c r="V108" s="198" t="n">
        <f aca="false">SUM(V102:V107)</f>
        <v>0</v>
      </c>
      <c r="W108" s="24"/>
      <c r="X108" s="198" t="n">
        <f aca="false">SUM(X102:X107)</f>
        <v>0</v>
      </c>
      <c r="Y108" s="24"/>
      <c r="Z108" s="198" t="n">
        <f aca="false">SUM(Z102:Z107)</f>
        <v>0</v>
      </c>
      <c r="AA108" s="24"/>
      <c r="AB108" s="198" t="n">
        <f aca="false">SUM(AB102:AB107)</f>
        <v>0</v>
      </c>
      <c r="AC108" s="24"/>
      <c r="AD108" s="198" t="n">
        <f aca="false">SUM(AD102:AD107)</f>
        <v>0</v>
      </c>
      <c r="AE108" s="24"/>
      <c r="AF108" s="198" t="n">
        <f aca="false">SUM(AF102:AF107)</f>
        <v>815280</v>
      </c>
      <c r="AG108" s="24"/>
      <c r="AH108" s="198" t="n">
        <f aca="false">SUM(AH102:AH107)</f>
        <v>2025875.7</v>
      </c>
      <c r="AI108" s="119"/>
      <c r="AJ108" s="198" t="n">
        <f aca="false">SUM(AJ102:AJ107)</f>
        <v>0</v>
      </c>
      <c r="AL108" s="198" t="n">
        <f aca="false">SUM(AL102:AL107)</f>
        <v>0</v>
      </c>
      <c r="AN108" s="198" t="n">
        <f aca="false">SUM(AN102:AN107)</f>
        <v>1894103.8</v>
      </c>
      <c r="AO108" s="24"/>
      <c r="AP108" s="198" t="n">
        <f aca="false">SUM(AP102:AP107)</f>
        <v>0</v>
      </c>
      <c r="AQ108" s="24"/>
      <c r="AR108" s="198" t="n">
        <f aca="false">SUM(AR102:AR107)</f>
        <v>0</v>
      </c>
      <c r="AS108" s="24"/>
      <c r="AT108" s="198" t="n">
        <f aca="false">SUM(AT102:AT107)</f>
        <v>0</v>
      </c>
      <c r="AU108" s="24"/>
      <c r="AV108" s="198" t="n">
        <f aca="false">SUM(AV102:AV107)</f>
        <v>1183814.88</v>
      </c>
      <c r="AW108" s="24"/>
      <c r="AX108" s="198" t="n">
        <f aca="false">SUM(AX102:AX107)</f>
        <v>2943550.62</v>
      </c>
      <c r="AY108" s="24"/>
      <c r="AZ108" s="198" t="n">
        <f aca="false">SUM(AZ102:AZ107)</f>
        <v>0</v>
      </c>
      <c r="BA108" s="24"/>
      <c r="BB108" s="198" t="n">
        <f aca="false">SUM(BB102:BB107)</f>
        <v>0</v>
      </c>
      <c r="BC108" s="24"/>
      <c r="BD108" s="198" t="n">
        <f aca="false">SUM(BD102:BD107)</f>
        <v>0</v>
      </c>
      <c r="BF108" s="198" t="n">
        <f aca="false">SUM(BF102:BF107)</f>
        <v>0</v>
      </c>
      <c r="BH108" s="198" t="n">
        <f aca="false">SUM(BH102:BH107)</f>
        <v>0</v>
      </c>
      <c r="BJ108" s="198" t="n">
        <f aca="false">SUM(BJ102:BJ107)</f>
        <v>368146</v>
      </c>
      <c r="BM108" s="198" t="n">
        <f aca="false">SUM(BM102:BM107)</f>
        <v>0</v>
      </c>
      <c r="BO108" s="198" t="n">
        <f aca="false">SUM(BO102:BO107)</f>
        <v>0</v>
      </c>
      <c r="BP108" s="198"/>
      <c r="BQ108" s="198" t="n">
        <f aca="false">SUM(BQ102:BQ107)</f>
        <v>9230771</v>
      </c>
      <c r="BR108" s="198"/>
      <c r="BS108" s="198" t="n">
        <f aca="false">SUM(BS102:BS107)</f>
        <v>0</v>
      </c>
      <c r="BU108" s="198" t="n">
        <f aca="false">SUM(BU102:BU107)</f>
        <v>248308</v>
      </c>
      <c r="BV108" s="24"/>
      <c r="BW108" s="198" t="n">
        <f aca="false">SUM(BW102:BW107)</f>
        <v>9479079</v>
      </c>
      <c r="BX108" s="24"/>
      <c r="BY108" s="198" t="n">
        <f aca="false">SUM(BY102:BY107)</f>
        <v>0</v>
      </c>
      <c r="BZ108" s="24"/>
      <c r="CA108" s="199"/>
      <c r="CB108" s="199"/>
      <c r="CC108" s="199"/>
      <c r="CD108" s="199"/>
      <c r="CE108" s="199"/>
      <c r="CF108" s="199"/>
      <c r="CG108" s="199"/>
      <c r="CH108" s="199"/>
      <c r="CI108" s="199"/>
      <c r="CJ108" s="199"/>
      <c r="CK108" s="199"/>
      <c r="CL108" s="199"/>
      <c r="CM108" s="199"/>
      <c r="CN108" s="199"/>
      <c r="CO108" s="199"/>
      <c r="CP108" s="199"/>
      <c r="CQ108" s="199"/>
      <c r="CR108" s="199"/>
      <c r="CS108" s="199"/>
      <c r="CT108" s="199"/>
      <c r="CU108" s="199"/>
      <c r="CV108" s="199"/>
      <c r="CW108" s="199"/>
      <c r="CX108" s="199"/>
      <c r="CY108" s="199"/>
      <c r="CZ108" s="199"/>
      <c r="DA108" s="199"/>
      <c r="DB108" s="199"/>
      <c r="DC108" s="199"/>
      <c r="DD108" s="199"/>
      <c r="DE108" s="199"/>
      <c r="DF108" s="199"/>
      <c r="DG108" s="199"/>
      <c r="DH108" s="199"/>
      <c r="DI108" s="199"/>
      <c r="DJ108" s="199"/>
      <c r="DK108" s="199"/>
      <c r="DL108" s="199"/>
      <c r="DM108" s="199"/>
      <c r="DN108" s="199"/>
      <c r="DO108" s="199"/>
      <c r="DP108" s="199"/>
      <c r="DQ108" s="199"/>
      <c r="DR108" s="199"/>
      <c r="DS108" s="199"/>
      <c r="DT108" s="199"/>
      <c r="DU108" s="199"/>
      <c r="DV108" s="199"/>
      <c r="DW108" s="199"/>
      <c r="DX108" s="199"/>
      <c r="DY108" s="199"/>
      <c r="DZ108" s="199"/>
      <c r="EA108" s="199"/>
      <c r="EB108" s="199"/>
      <c r="EC108" s="199"/>
      <c r="ED108" s="199"/>
      <c r="EE108" s="199"/>
      <c r="EF108" s="199"/>
      <c r="EG108" s="199"/>
      <c r="EH108" s="199"/>
      <c r="EI108" s="199"/>
      <c r="EJ108" s="199"/>
      <c r="EK108" s="199"/>
      <c r="EL108" s="199"/>
      <c r="EM108" s="199"/>
      <c r="EN108" s="199"/>
      <c r="EO108" s="199"/>
      <c r="EP108" s="199"/>
      <c r="EQ108" s="199"/>
      <c r="ER108" s="199"/>
      <c r="ES108" s="199"/>
      <c r="ET108" s="199"/>
      <c r="EU108" s="199"/>
      <c r="EV108" s="199"/>
      <c r="EW108" s="199"/>
      <c r="EX108" s="199"/>
      <c r="EY108" s="199"/>
      <c r="EZ108" s="199"/>
      <c r="FA108" s="199"/>
      <c r="FB108" s="199"/>
      <c r="FC108" s="199"/>
      <c r="FD108" s="199"/>
      <c r="FE108" s="199"/>
      <c r="FF108" s="199"/>
      <c r="FG108" s="199"/>
      <c r="FH108" s="199"/>
      <c r="FI108" s="199"/>
      <c r="FJ108" s="199"/>
      <c r="FK108" s="199"/>
      <c r="FL108" s="199"/>
      <c r="FM108" s="199"/>
      <c r="FN108" s="199"/>
      <c r="FO108" s="199"/>
      <c r="FP108" s="199"/>
      <c r="FQ108" s="199"/>
      <c r="FR108" s="199"/>
      <c r="FS108" s="199"/>
      <c r="FT108" s="199"/>
      <c r="FU108" s="199"/>
      <c r="FV108" s="199"/>
      <c r="FW108" s="199"/>
      <c r="FX108" s="199"/>
      <c r="FY108" s="199"/>
      <c r="FZ108" s="199"/>
      <c r="GA108" s="199"/>
      <c r="GB108" s="199"/>
      <c r="GC108" s="199"/>
      <c r="GD108" s="199"/>
      <c r="GE108" s="199"/>
      <c r="GF108" s="199"/>
      <c r="GG108" s="199"/>
      <c r="GH108" s="199"/>
      <c r="GI108" s="199"/>
      <c r="GJ108" s="199"/>
      <c r="GK108" s="199"/>
      <c r="GL108" s="199"/>
      <c r="GM108" s="199"/>
      <c r="GN108" s="199"/>
      <c r="GO108" s="199"/>
      <c r="GP108" s="199"/>
      <c r="GQ108" s="199"/>
      <c r="GR108" s="199"/>
      <c r="GS108" s="199"/>
      <c r="GT108" s="199"/>
      <c r="GU108" s="199"/>
      <c r="GV108" s="199"/>
      <c r="GW108" s="199"/>
      <c r="GX108" s="199"/>
      <c r="GY108" s="199"/>
      <c r="GZ108" s="199"/>
      <c r="HA108" s="199"/>
      <c r="HB108" s="199"/>
      <c r="HC108" s="199"/>
      <c r="HD108" s="199"/>
      <c r="HE108" s="199"/>
      <c r="HF108" s="199"/>
      <c r="HG108" s="199"/>
      <c r="HH108" s="199"/>
      <c r="HI108" s="199"/>
      <c r="HJ108" s="199"/>
      <c r="HK108" s="199"/>
      <c r="HL108" s="199"/>
      <c r="HM108" s="199"/>
      <c r="HN108" s="199"/>
      <c r="HO108" s="199"/>
      <c r="HP108" s="199"/>
      <c r="HQ108" s="199"/>
      <c r="HR108" s="199"/>
      <c r="HS108" s="199"/>
      <c r="HT108" s="199"/>
      <c r="HU108" s="199"/>
      <c r="HV108" s="199"/>
      <c r="HW108" s="199"/>
      <c r="HX108" s="199"/>
      <c r="HY108" s="199"/>
      <c r="HZ108" s="199"/>
      <c r="IA108" s="199"/>
      <c r="IB108" s="199"/>
      <c r="IC108" s="199"/>
      <c r="ID108" s="199"/>
      <c r="IE108" s="199"/>
      <c r="IF108" s="199"/>
      <c r="IG108" s="199"/>
      <c r="IH108" s="199"/>
      <c r="II108" s="199"/>
      <c r="IJ108" s="199"/>
      <c r="IK108" s="199"/>
      <c r="IL108" s="199"/>
      <c r="IM108" s="199"/>
      <c r="IN108" s="199"/>
      <c r="IO108" s="199"/>
      <c r="IP108" s="199"/>
      <c r="IQ108" s="199"/>
      <c r="IR108" s="199"/>
      <c r="IS108" s="199"/>
      <c r="IT108" s="199"/>
      <c r="IU108" s="199"/>
      <c r="IV108" s="199"/>
      <c r="IW108" s="199"/>
    </row>
    <row r="109" customFormat="false" ht="12.75" hidden="false" customHeight="false" outlineLevel="0" collapsed="false">
      <c r="A109" s="164"/>
      <c r="B109" s="161"/>
      <c r="E109" s="119"/>
      <c r="G109" s="119"/>
      <c r="I109" s="119"/>
      <c r="L109" s="163"/>
      <c r="M109" s="110"/>
      <c r="O109" s="110"/>
      <c r="Q109" s="110"/>
      <c r="S109" s="110"/>
      <c r="T109" s="110"/>
      <c r="U109" s="110"/>
      <c r="V109" s="110"/>
      <c r="X109" s="110"/>
      <c r="Z109" s="110"/>
      <c r="AB109" s="110"/>
      <c r="AD109" s="110"/>
      <c r="AI109" s="119"/>
      <c r="BJ109" s="110"/>
      <c r="BM109" s="110"/>
      <c r="BO109" s="110"/>
      <c r="BP109" s="110"/>
      <c r="BS109" s="110"/>
      <c r="BZ109" s="110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false" customHeight="false" outlineLevel="0" collapsed="false">
      <c r="A110" s="185" t="s">
        <v>243</v>
      </c>
      <c r="B110" s="200"/>
      <c r="C110" s="186"/>
      <c r="D110" s="186"/>
      <c r="E110" s="186"/>
      <c r="F110" s="186"/>
      <c r="G110" s="186"/>
      <c r="H110" s="186"/>
      <c r="I110" s="186"/>
      <c r="J110" s="187"/>
      <c r="K110" s="186"/>
      <c r="L110" s="188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19"/>
      <c r="AJ110" s="189"/>
      <c r="AL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89"/>
      <c r="BC110" s="189"/>
      <c r="BD110" s="189"/>
      <c r="BF110" s="189"/>
      <c r="BH110" s="189"/>
      <c r="BJ110" s="189"/>
      <c r="BM110" s="189"/>
      <c r="BO110" s="189"/>
      <c r="BP110" s="189"/>
      <c r="BQ110" s="189"/>
      <c r="BR110" s="189"/>
      <c r="BS110" s="189"/>
      <c r="BU110" s="189"/>
      <c r="BV110" s="189"/>
      <c r="BW110" s="189"/>
      <c r="BX110" s="189"/>
      <c r="BY110" s="189"/>
      <c r="BZ110" s="189"/>
      <c r="CA110" s="186"/>
      <c r="CB110" s="186"/>
      <c r="CC110" s="186"/>
      <c r="CD110" s="186"/>
      <c r="CE110" s="186"/>
      <c r="CF110" s="186"/>
      <c r="CG110" s="186"/>
      <c r="CH110" s="186"/>
      <c r="CI110" s="186"/>
      <c r="CJ110" s="186"/>
      <c r="CK110" s="186"/>
      <c r="CL110" s="186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186"/>
      <c r="DB110" s="186"/>
      <c r="DC110" s="186"/>
      <c r="DD110" s="186"/>
      <c r="DE110" s="186"/>
      <c r="DF110" s="186"/>
      <c r="DG110" s="186"/>
      <c r="DH110" s="186"/>
      <c r="DI110" s="186"/>
      <c r="DJ110" s="186"/>
      <c r="DK110" s="186"/>
      <c r="DL110" s="186"/>
      <c r="DM110" s="186"/>
      <c r="DN110" s="186"/>
      <c r="DO110" s="186"/>
      <c r="DP110" s="186"/>
      <c r="DQ110" s="186"/>
      <c r="DR110" s="186"/>
      <c r="DS110" s="186"/>
      <c r="DT110" s="186"/>
      <c r="DU110" s="186"/>
      <c r="DV110" s="186"/>
      <c r="DW110" s="186"/>
      <c r="DX110" s="186"/>
      <c r="DY110" s="186"/>
      <c r="DZ110" s="186"/>
      <c r="EA110" s="186"/>
      <c r="EB110" s="186"/>
      <c r="EC110" s="186"/>
      <c r="ED110" s="186"/>
      <c r="EE110" s="186"/>
      <c r="EF110" s="186"/>
      <c r="EG110" s="186"/>
      <c r="EH110" s="186"/>
      <c r="EI110" s="186"/>
      <c r="EJ110" s="186"/>
      <c r="EK110" s="186"/>
      <c r="EL110" s="186"/>
      <c r="EM110" s="186"/>
      <c r="EN110" s="186"/>
      <c r="EO110" s="186"/>
      <c r="EP110" s="186"/>
      <c r="EQ110" s="186"/>
      <c r="ER110" s="186"/>
      <c r="ES110" s="186"/>
      <c r="ET110" s="186"/>
      <c r="EU110" s="186"/>
      <c r="EV110" s="186"/>
      <c r="EW110" s="186"/>
      <c r="EX110" s="186"/>
      <c r="EY110" s="186"/>
      <c r="EZ110" s="186"/>
      <c r="FA110" s="186"/>
      <c r="FB110" s="186"/>
      <c r="FC110" s="186"/>
      <c r="FD110" s="186"/>
      <c r="FE110" s="186"/>
      <c r="FF110" s="186"/>
      <c r="FG110" s="186"/>
      <c r="FH110" s="186"/>
      <c r="FI110" s="186"/>
      <c r="FJ110" s="186"/>
      <c r="FK110" s="186"/>
      <c r="FL110" s="186"/>
      <c r="FM110" s="186"/>
      <c r="FN110" s="186"/>
      <c r="FO110" s="186"/>
      <c r="FP110" s="186"/>
      <c r="FQ110" s="186"/>
      <c r="FR110" s="186"/>
      <c r="FS110" s="186"/>
      <c r="FT110" s="186"/>
      <c r="FU110" s="186"/>
      <c r="FV110" s="186"/>
      <c r="FW110" s="186"/>
      <c r="FX110" s="186"/>
      <c r="FY110" s="186"/>
      <c r="FZ110" s="186"/>
      <c r="GA110" s="186"/>
      <c r="GB110" s="186"/>
      <c r="GC110" s="186"/>
      <c r="GD110" s="186"/>
      <c r="GE110" s="186"/>
      <c r="GF110" s="186"/>
      <c r="GG110" s="186"/>
      <c r="GH110" s="186"/>
      <c r="GI110" s="186"/>
      <c r="GJ110" s="186"/>
      <c r="GK110" s="186"/>
      <c r="GL110" s="186"/>
      <c r="GM110" s="186"/>
      <c r="GN110" s="186"/>
      <c r="GO110" s="186"/>
      <c r="GP110" s="186"/>
      <c r="GQ110" s="186"/>
      <c r="GR110" s="186"/>
      <c r="GS110" s="186"/>
      <c r="GT110" s="186"/>
      <c r="GU110" s="186"/>
      <c r="GV110" s="186"/>
      <c r="GW110" s="186"/>
      <c r="GX110" s="186"/>
      <c r="GY110" s="186"/>
      <c r="GZ110" s="186"/>
      <c r="HA110" s="186"/>
      <c r="HB110" s="186"/>
      <c r="HC110" s="186"/>
      <c r="HD110" s="186"/>
      <c r="HE110" s="186"/>
      <c r="HF110" s="186"/>
      <c r="HG110" s="186"/>
      <c r="HH110" s="186"/>
      <c r="HI110" s="186"/>
      <c r="HJ110" s="186"/>
      <c r="HK110" s="186"/>
      <c r="HL110" s="186"/>
      <c r="HM110" s="186"/>
      <c r="HN110" s="186"/>
      <c r="HO110" s="186"/>
      <c r="HP110" s="186"/>
      <c r="HQ110" s="186"/>
      <c r="HR110" s="186"/>
      <c r="HS110" s="186"/>
      <c r="HT110" s="186"/>
      <c r="HU110" s="186"/>
      <c r="HV110" s="186"/>
      <c r="HW110" s="186"/>
      <c r="HX110" s="186"/>
      <c r="HY110" s="186"/>
      <c r="HZ110" s="186"/>
      <c r="IA110" s="186"/>
      <c r="IB110" s="186"/>
      <c r="IC110" s="186"/>
      <c r="ID110" s="186"/>
      <c r="IE110" s="186"/>
      <c r="IF110" s="186"/>
      <c r="IG110" s="186"/>
      <c r="IH110" s="186"/>
      <c r="II110" s="186"/>
      <c r="IJ110" s="186"/>
      <c r="IK110" s="186"/>
      <c r="IL110" s="186"/>
      <c r="IM110" s="186"/>
      <c r="IN110" s="186"/>
      <c r="IO110" s="186"/>
      <c r="IP110" s="186"/>
      <c r="IQ110" s="186"/>
      <c r="IR110" s="186"/>
      <c r="IS110" s="186"/>
      <c r="IT110" s="186"/>
      <c r="IU110" s="186"/>
      <c r="IV110" s="186"/>
      <c r="IW110" s="186"/>
    </row>
    <row r="111" customFormat="false" ht="12.75" hidden="false" customHeight="false" outlineLevel="0" collapsed="false">
      <c r="A111" s="196"/>
      <c r="B111" s="164"/>
      <c r="E111" s="119"/>
      <c r="G111" s="119"/>
      <c r="I111" s="119"/>
      <c r="L111" s="163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AI111" s="119"/>
      <c r="BJ111" s="110"/>
      <c r="BM111" s="110"/>
      <c r="BO111" s="110"/>
      <c r="BP111" s="110"/>
      <c r="BS111" s="110"/>
      <c r="BZ111" s="110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false" customHeight="false" outlineLevel="0" collapsed="false">
      <c r="A112" s="196"/>
      <c r="B112" s="164"/>
      <c r="E112" s="119"/>
      <c r="G112" s="119"/>
      <c r="I112" s="119"/>
      <c r="L112" s="163"/>
      <c r="M112" s="110"/>
      <c r="O112" s="110"/>
      <c r="Q112" s="110"/>
      <c r="S112" s="110"/>
      <c r="T112" s="110"/>
      <c r="U112" s="110"/>
      <c r="V112" s="110"/>
      <c r="X112" s="110"/>
      <c r="Z112" s="110"/>
      <c r="AB112" s="110"/>
      <c r="AD112" s="110"/>
      <c r="AI112" s="119"/>
      <c r="AJ112" s="110" t="n">
        <f aca="false">83584768.91+2296826</f>
        <v>85881594.91</v>
      </c>
      <c r="BJ112" s="110"/>
      <c r="BM112" s="110"/>
      <c r="BO112" s="110"/>
      <c r="BP112" s="110"/>
      <c r="BS112" s="110"/>
      <c r="BZ112" s="110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4"/>
      <c r="DW112" s="194"/>
      <c r="DX112" s="194"/>
      <c r="DY112" s="194"/>
      <c r="DZ112" s="194"/>
      <c r="EA112" s="194"/>
      <c r="EB112" s="194"/>
      <c r="EC112" s="194"/>
      <c r="ED112" s="194"/>
      <c r="EE112" s="194"/>
      <c r="EF112" s="194"/>
      <c r="EG112" s="194"/>
      <c r="EH112" s="194"/>
      <c r="EI112" s="194"/>
      <c r="EJ112" s="194"/>
      <c r="EK112" s="194"/>
      <c r="EL112" s="194"/>
      <c r="EM112" s="194"/>
      <c r="EN112" s="194"/>
      <c r="EO112" s="194"/>
      <c r="EP112" s="194"/>
      <c r="EQ112" s="194"/>
      <c r="ER112" s="194"/>
      <c r="ES112" s="194"/>
      <c r="ET112" s="194"/>
      <c r="EU112" s="194"/>
      <c r="EV112" s="194"/>
      <c r="EW112" s="194"/>
      <c r="EX112" s="194"/>
      <c r="EY112" s="194"/>
      <c r="EZ112" s="194"/>
      <c r="FA112" s="194"/>
      <c r="FB112" s="194"/>
      <c r="FC112" s="194"/>
      <c r="FD112" s="194"/>
      <c r="FE112" s="194"/>
      <c r="FF112" s="194"/>
      <c r="FG112" s="194"/>
      <c r="FH112" s="194"/>
      <c r="FI112" s="194"/>
      <c r="FJ112" s="194"/>
      <c r="FK112" s="194"/>
      <c r="FL112" s="194"/>
      <c r="FM112" s="194"/>
      <c r="FN112" s="194"/>
      <c r="FO112" s="194"/>
      <c r="FP112" s="194"/>
      <c r="FQ112" s="194"/>
      <c r="FR112" s="194"/>
      <c r="FS112" s="194"/>
      <c r="FT112" s="194"/>
      <c r="FU112" s="194"/>
      <c r="FV112" s="194"/>
      <c r="FW112" s="194"/>
      <c r="FX112" s="194"/>
      <c r="FY112" s="194"/>
      <c r="FZ112" s="194"/>
      <c r="GA112" s="194"/>
      <c r="GB112" s="194"/>
      <c r="GC112" s="194"/>
      <c r="GD112" s="194"/>
      <c r="GE112" s="194"/>
      <c r="GF112" s="194"/>
      <c r="GG112" s="194"/>
      <c r="GH112" s="194"/>
      <c r="GI112" s="194"/>
      <c r="GJ112" s="194"/>
      <c r="GK112" s="194"/>
      <c r="GL112" s="194"/>
      <c r="GM112" s="194"/>
      <c r="GN112" s="194"/>
      <c r="GO112" s="194"/>
      <c r="GP112" s="194"/>
      <c r="GQ112" s="194"/>
      <c r="GR112" s="194"/>
      <c r="GS112" s="194"/>
      <c r="GT112" s="194"/>
      <c r="GU112" s="194"/>
      <c r="GV112" s="194"/>
      <c r="GW112" s="194"/>
      <c r="GX112" s="194"/>
      <c r="GY112" s="194"/>
      <c r="GZ112" s="194"/>
      <c r="HA112" s="194"/>
      <c r="HB112" s="194"/>
      <c r="HC112" s="194"/>
      <c r="HD112" s="194"/>
      <c r="HE112" s="194"/>
      <c r="HF112" s="194"/>
      <c r="HG112" s="194"/>
      <c r="HH112" s="194"/>
      <c r="HI112" s="194"/>
      <c r="HJ112" s="194"/>
      <c r="HK112" s="194"/>
      <c r="HL112" s="194"/>
      <c r="HM112" s="194"/>
      <c r="HN112" s="194"/>
      <c r="HO112" s="194"/>
      <c r="HP112" s="194"/>
      <c r="HQ112" s="194"/>
      <c r="HR112" s="194"/>
      <c r="HS112" s="194"/>
      <c r="HT112" s="194"/>
      <c r="HU112" s="194"/>
      <c r="HV112" s="194"/>
      <c r="HW112" s="194"/>
      <c r="HX112" s="194"/>
      <c r="HY112" s="194"/>
      <c r="HZ112" s="194"/>
      <c r="IA112" s="194"/>
      <c r="IB112" s="194"/>
      <c r="IC112" s="194"/>
      <c r="ID112" s="194"/>
      <c r="IE112" s="194"/>
      <c r="IF112" s="194"/>
      <c r="IG112" s="194"/>
      <c r="IH112" s="194"/>
      <c r="II112" s="194"/>
      <c r="IJ112" s="194"/>
      <c r="IK112" s="194"/>
      <c r="IL112" s="194"/>
      <c r="IM112" s="194"/>
      <c r="IN112" s="194"/>
      <c r="IO112" s="194"/>
      <c r="IP112" s="194"/>
      <c r="IQ112" s="194"/>
      <c r="IR112" s="194"/>
      <c r="IS112" s="194"/>
      <c r="IT112" s="194"/>
      <c r="IU112" s="194"/>
      <c r="IV112" s="194"/>
      <c r="IW112" s="194"/>
    </row>
    <row r="113" customFormat="false" ht="12.75" hidden="false" customHeight="false" outlineLevel="0" collapsed="false">
      <c r="A113" s="160" t="s">
        <v>244</v>
      </c>
      <c r="B113" s="160"/>
      <c r="E113" s="119"/>
      <c r="G113" s="119"/>
      <c r="I113" s="119"/>
      <c r="L113" s="163"/>
      <c r="M113" s="110"/>
      <c r="O113" s="110"/>
      <c r="Q113" s="110"/>
      <c r="S113" s="110"/>
      <c r="T113" s="110"/>
      <c r="U113" s="110"/>
      <c r="V113" s="110"/>
      <c r="X113" s="110"/>
      <c r="Z113" s="110"/>
      <c r="AB113" s="110"/>
      <c r="AD113" s="110"/>
      <c r="AI113" s="119"/>
      <c r="BJ113" s="110"/>
      <c r="BM113" s="110"/>
      <c r="BO113" s="110"/>
      <c r="BP113" s="110"/>
      <c r="BS113" s="110"/>
      <c r="BZ113" s="110"/>
    </row>
    <row r="114" customFormat="false" ht="12.75" hidden="false" customHeight="false" outlineLevel="0" collapsed="false">
      <c r="A114" s="161"/>
      <c r="B114" s="161" t="s">
        <v>245</v>
      </c>
      <c r="E114" s="119"/>
      <c r="G114" s="119"/>
      <c r="I114" s="119"/>
      <c r="J114" s="120" t="s">
        <v>141</v>
      </c>
      <c r="L114" s="163" t="s">
        <v>151</v>
      </c>
      <c r="M114" s="110"/>
      <c r="N114" s="110" t="n">
        <v>0</v>
      </c>
      <c r="O114" s="110"/>
      <c r="P114" s="110" t="n">
        <v>0</v>
      </c>
      <c r="Q114" s="110"/>
      <c r="R114" s="110" t="n">
        <v>185000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I114" s="119"/>
      <c r="AJ114" s="110" t="n">
        <v>0</v>
      </c>
      <c r="AL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37000</v>
      </c>
      <c r="AX114" s="110" t="n">
        <v>37000</v>
      </c>
      <c r="AZ114" s="110" t="n">
        <v>37000</v>
      </c>
      <c r="BB114" s="110" t="n">
        <v>37000</v>
      </c>
      <c r="BD114" s="110" t="n">
        <v>37000</v>
      </c>
      <c r="BF114" s="110" t="n">
        <v>0</v>
      </c>
      <c r="BH114" s="110" t="n">
        <v>0</v>
      </c>
      <c r="BJ114" s="110" t="n">
        <v>0</v>
      </c>
      <c r="BM114" s="110" t="n">
        <v>0</v>
      </c>
      <c r="BO114" s="110" t="n">
        <v>0</v>
      </c>
      <c r="BP114" s="110"/>
      <c r="BQ114" s="110" t="n">
        <f aca="false">SUM(T114:BP114)</f>
        <v>185000</v>
      </c>
      <c r="BS114" s="110" t="n">
        <v>0</v>
      </c>
      <c r="BU114" s="110" t="n">
        <f aca="false">IF(+R114-BQ114+BS114&gt;0,R114-BQ114+BS114,0)</f>
        <v>0</v>
      </c>
      <c r="BW114" s="110" t="n">
        <f aca="false">+BQ114+BU114</f>
        <v>185000</v>
      </c>
      <c r="BY114" s="110" t="n">
        <f aca="false">+R114-BW114</f>
        <v>0</v>
      </c>
      <c r="BZ114" s="110"/>
    </row>
    <row r="115" customFormat="false" ht="12.75" hidden="false" customHeight="false" outlineLevel="0" collapsed="false">
      <c r="A115" s="161"/>
      <c r="B115" s="161" t="s">
        <v>246</v>
      </c>
      <c r="E115" s="119"/>
      <c r="G115" s="119"/>
      <c r="I115" s="119"/>
      <c r="L115" s="163" t="s">
        <v>151</v>
      </c>
      <c r="M115" s="110"/>
      <c r="N115" s="110" t="n">
        <v>0</v>
      </c>
      <c r="O115" s="110"/>
      <c r="P115" s="110" t="n">
        <v>0</v>
      </c>
      <c r="Q115" s="110"/>
      <c r="R115" s="110" t="n">
        <v>723786</v>
      </c>
      <c r="S115" s="110"/>
      <c r="T115" s="110" t="n">
        <v>0</v>
      </c>
      <c r="U115" s="110"/>
      <c r="V115" s="110" t="n">
        <v>0</v>
      </c>
      <c r="X115" s="110" t="n">
        <v>0</v>
      </c>
      <c r="Z115" s="110" t="n">
        <v>0</v>
      </c>
      <c r="AB115" s="110" t="n">
        <v>0</v>
      </c>
      <c r="AD115" s="110" t="n">
        <v>0</v>
      </c>
      <c r="AF115" s="110" t="n">
        <v>0</v>
      </c>
      <c r="AH115" s="110" t="n">
        <v>0</v>
      </c>
      <c r="AI115" s="119"/>
      <c r="AJ115" s="110" t="n">
        <v>0</v>
      </c>
      <c r="AL115" s="110" t="n">
        <v>0</v>
      </c>
      <c r="AN115" s="110" t="n">
        <v>0</v>
      </c>
      <c r="AP115" s="110" t="n">
        <v>0</v>
      </c>
      <c r="AR115" s="110" t="n">
        <v>0</v>
      </c>
      <c r="AT115" s="110" t="n">
        <v>0</v>
      </c>
      <c r="AX115" s="110" t="n">
        <f aca="false">60063+44589</f>
        <v>104652</v>
      </c>
      <c r="AZ115" s="110" t="n">
        <v>114711.83</v>
      </c>
      <c r="BB115" s="110" t="n">
        <v>194341.7</v>
      </c>
      <c r="BD115" s="110" t="n">
        <v>157200.32</v>
      </c>
      <c r="BF115" s="110" t="n">
        <v>64914.39</v>
      </c>
      <c r="BH115" s="110" t="n">
        <v>33881.38</v>
      </c>
      <c r="BJ115" s="110" t="n">
        <v>37188</v>
      </c>
      <c r="BM115" s="110" t="n">
        <v>20139</v>
      </c>
      <c r="BO115" s="110" t="n">
        <v>0</v>
      </c>
      <c r="BP115" s="110"/>
      <c r="BQ115" s="110" t="n">
        <f aca="false">SUM(T115:BP115)</f>
        <v>727028.62</v>
      </c>
      <c r="BS115" s="110" t="n">
        <v>0</v>
      </c>
      <c r="BU115" s="110" t="n">
        <v>0</v>
      </c>
      <c r="BW115" s="110" t="n">
        <f aca="false">+BQ115+BU115</f>
        <v>727028.62</v>
      </c>
      <c r="BY115" s="110" t="n">
        <f aca="false">+R115-BW115</f>
        <v>-3242.62</v>
      </c>
      <c r="BZ115" s="110"/>
    </row>
    <row r="116" customFormat="false" ht="12.75" hidden="true" customHeight="false" outlineLevel="0" collapsed="false">
      <c r="A116" s="161"/>
      <c r="B116" s="161" t="s">
        <v>128</v>
      </c>
      <c r="E116" s="119"/>
      <c r="G116" s="119"/>
      <c r="I116" s="119"/>
      <c r="L116" s="163" t="s">
        <v>151</v>
      </c>
      <c r="M116" s="110"/>
      <c r="N116" s="110" t="n">
        <v>0</v>
      </c>
      <c r="O116" s="110"/>
      <c r="P116" s="110" t="n">
        <v>0</v>
      </c>
      <c r="Q116" s="110"/>
      <c r="R116" s="110" t="n">
        <v>0</v>
      </c>
      <c r="S116" s="110"/>
      <c r="T116" s="110" t="n">
        <v>0</v>
      </c>
      <c r="U116" s="110"/>
      <c r="V116" s="110" t="n">
        <v>0</v>
      </c>
      <c r="X116" s="110" t="n">
        <v>0</v>
      </c>
      <c r="Z116" s="110" t="n">
        <v>0</v>
      </c>
      <c r="AB116" s="110" t="n">
        <v>0</v>
      </c>
      <c r="AD116" s="110" t="n">
        <v>0</v>
      </c>
      <c r="AF116" s="110" t="n">
        <v>0</v>
      </c>
      <c r="AH116" s="110" t="n">
        <v>0</v>
      </c>
      <c r="AI116" s="119"/>
      <c r="AJ116" s="110" t="n">
        <v>0</v>
      </c>
      <c r="AL116" s="110" t="n">
        <v>0</v>
      </c>
      <c r="AN116" s="110" t="n">
        <v>0</v>
      </c>
      <c r="AP116" s="110" t="n">
        <v>0</v>
      </c>
      <c r="AR116" s="110" t="n">
        <v>0</v>
      </c>
      <c r="AT116" s="110" t="n">
        <v>0</v>
      </c>
      <c r="AV116" s="110" t="n">
        <v>0</v>
      </c>
      <c r="AX116" s="110" t="n">
        <v>0</v>
      </c>
      <c r="AZ116" s="110" t="n">
        <v>0</v>
      </c>
      <c r="BB116" s="110" t="n">
        <v>0</v>
      </c>
      <c r="BD116" s="110" t="n">
        <v>0</v>
      </c>
      <c r="BF116" s="110" t="n">
        <v>0</v>
      </c>
      <c r="BH116" s="110" t="n">
        <v>0</v>
      </c>
      <c r="BJ116" s="110" t="n">
        <v>0</v>
      </c>
      <c r="BM116" s="110" t="n">
        <v>0</v>
      </c>
      <c r="BO116" s="110" t="n">
        <v>0</v>
      </c>
      <c r="BP116" s="110"/>
      <c r="BQ116" s="110" t="n">
        <f aca="false">SUM(T116:BM116)</f>
        <v>0</v>
      </c>
      <c r="BS116" s="110" t="n">
        <v>0</v>
      </c>
      <c r="BU116" s="110" t="n">
        <f aca="false">+R116-BQ116+BS116</f>
        <v>0</v>
      </c>
      <c r="BW116" s="110" t="n">
        <f aca="false">+BQ116+BU116</f>
        <v>0</v>
      </c>
      <c r="BY116" s="110" t="n">
        <f aca="false">+R116-BW116</f>
        <v>0</v>
      </c>
      <c r="BZ116" s="110"/>
    </row>
    <row r="117" customFormat="false" ht="12.75" hidden="false" customHeight="false" outlineLevel="0" collapsed="false">
      <c r="A117" s="160"/>
      <c r="B117" s="160" t="s">
        <v>247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198" t="n">
        <f aca="false">SUM(N114:N116)</f>
        <v>0</v>
      </c>
      <c r="O117" s="24"/>
      <c r="P117" s="198" t="n">
        <f aca="false">SUM(P114:P116)</f>
        <v>0</v>
      </c>
      <c r="Q117" s="24"/>
      <c r="R117" s="198" t="n">
        <f aca="false">SUM(R114:R116)</f>
        <v>908786</v>
      </c>
      <c r="S117" s="24"/>
      <c r="T117" s="198" t="n">
        <f aca="false">SUM(T114:T116)</f>
        <v>0</v>
      </c>
      <c r="U117" s="24"/>
      <c r="V117" s="198" t="n">
        <f aca="false">SUM(V114:V116)</f>
        <v>0</v>
      </c>
      <c r="W117" s="24"/>
      <c r="X117" s="198" t="n">
        <f aca="false">SUM(X114:X116)</f>
        <v>0</v>
      </c>
      <c r="Y117" s="24"/>
      <c r="Z117" s="198" t="n">
        <f aca="false">SUM(Z114:Z116)</f>
        <v>0</v>
      </c>
      <c r="AA117" s="24"/>
      <c r="AB117" s="198" t="n">
        <f aca="false">SUM(AB114:AB116)</f>
        <v>0</v>
      </c>
      <c r="AC117" s="24"/>
      <c r="AD117" s="198" t="n">
        <f aca="false">SUM(AD114:AD116)</f>
        <v>0</v>
      </c>
      <c r="AE117" s="24"/>
      <c r="AF117" s="198" t="n">
        <f aca="false">SUM(AF114:AF116)</f>
        <v>0</v>
      </c>
      <c r="AG117" s="24"/>
      <c r="AH117" s="198" t="n">
        <f aca="false">SUM(AH114:AH116)</f>
        <v>0</v>
      </c>
      <c r="AI117" s="119"/>
      <c r="AJ117" s="198" t="n">
        <f aca="false">SUM(AJ114:AJ116)</f>
        <v>0</v>
      </c>
      <c r="AL117" s="198" t="n">
        <f aca="false">SUM(AL114:AL116)</f>
        <v>0</v>
      </c>
      <c r="AN117" s="198" t="n">
        <f aca="false">SUM(AN114:AN116)</f>
        <v>0</v>
      </c>
      <c r="AO117" s="24"/>
      <c r="AP117" s="198" t="n">
        <f aca="false">SUM(AP114:AP116)</f>
        <v>0</v>
      </c>
      <c r="AQ117" s="24"/>
      <c r="AR117" s="198" t="n">
        <f aca="false">SUM(AR114:AR116)</f>
        <v>0</v>
      </c>
      <c r="AS117" s="24"/>
      <c r="AT117" s="198" t="n">
        <f aca="false">SUM(AT114:AT116)</f>
        <v>0</v>
      </c>
      <c r="AU117" s="24"/>
      <c r="AV117" s="198" t="n">
        <f aca="false">SUM(AV114:AV116)</f>
        <v>37000</v>
      </c>
      <c r="AW117" s="24"/>
      <c r="AX117" s="198" t="n">
        <f aca="false">SUM(AX114:AX116)</f>
        <v>141652</v>
      </c>
      <c r="AY117" s="24"/>
      <c r="AZ117" s="198" t="n">
        <f aca="false">SUM(AZ114:AZ116)</f>
        <v>151711.83</v>
      </c>
      <c r="BA117" s="24"/>
      <c r="BB117" s="198" t="n">
        <f aca="false">SUM(BB114:BB116)</f>
        <v>231341.7</v>
      </c>
      <c r="BC117" s="24"/>
      <c r="BD117" s="198" t="n">
        <f aca="false">SUM(BD114:BD116)</f>
        <v>194200.32</v>
      </c>
      <c r="BF117" s="198" t="n">
        <f aca="false">SUM(BF114:BF116)</f>
        <v>64914.39</v>
      </c>
      <c r="BH117" s="198" t="n">
        <f aca="false">SUM(BH114:BH116)</f>
        <v>33881.38</v>
      </c>
      <c r="BJ117" s="198" t="n">
        <f aca="false">SUM(BJ114:BJ116)</f>
        <v>37188</v>
      </c>
      <c r="BM117" s="198" t="n">
        <f aca="false">SUM(BM114:BM116)</f>
        <v>20139</v>
      </c>
      <c r="BO117" s="198" t="n">
        <f aca="false">SUM(BO114:BO116)</f>
        <v>0</v>
      </c>
      <c r="BP117" s="198"/>
      <c r="BQ117" s="198" t="n">
        <f aca="false">SUM(BQ114:BQ116)</f>
        <v>912028.62</v>
      </c>
      <c r="BR117" s="198"/>
      <c r="BS117" s="198" t="n">
        <f aca="false">SUM(BS114:BS116)</f>
        <v>0</v>
      </c>
      <c r="BU117" s="198" t="n">
        <f aca="false">SUM(BU114:BU116)</f>
        <v>0</v>
      </c>
      <c r="BV117" s="24"/>
      <c r="BW117" s="198" t="n">
        <f aca="false">SUM(BW114:BW116)</f>
        <v>912028.62</v>
      </c>
      <c r="BX117" s="24"/>
      <c r="BY117" s="198" t="n">
        <f aca="false">SUM(BY114:BY116)</f>
        <v>-3242.62</v>
      </c>
      <c r="BZ117" s="24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60"/>
      <c r="B118" s="160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119"/>
      <c r="AJ118" s="24"/>
      <c r="AL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F118" s="24"/>
      <c r="BH118" s="24"/>
      <c r="BJ118" s="24"/>
      <c r="BM118" s="24"/>
      <c r="BO118" s="24"/>
      <c r="BP118" s="24"/>
      <c r="BQ118" s="24"/>
      <c r="BR118" s="24"/>
      <c r="BS118" s="24"/>
      <c r="BU118" s="24"/>
      <c r="BV118" s="24"/>
      <c r="BW118" s="24"/>
      <c r="BX118" s="24"/>
      <c r="BY118" s="24"/>
      <c r="BZ118" s="24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20" customFormat="false" ht="12.75" hidden="false" customHeight="false" outlineLevel="0" collapsed="false">
      <c r="A120" s="177"/>
      <c r="B120" s="160"/>
      <c r="C120" s="2"/>
      <c r="D120" s="2"/>
      <c r="E120" s="2"/>
      <c r="F120" s="2"/>
      <c r="G120" s="2"/>
      <c r="H120" s="2"/>
      <c r="I120" s="2"/>
      <c r="J120" s="3"/>
      <c r="K120" s="2"/>
      <c r="L120" s="179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119"/>
      <c r="AJ120" s="24"/>
      <c r="AL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F120" s="24"/>
      <c r="BH120" s="24"/>
      <c r="BJ120" s="24"/>
      <c r="BM120" s="24"/>
      <c r="BO120" s="24"/>
      <c r="BP120" s="24"/>
      <c r="BQ120" s="24"/>
      <c r="BR120" s="24"/>
      <c r="BS120" s="24"/>
      <c r="BU120" s="24"/>
      <c r="BV120" s="24"/>
      <c r="BW120" s="24"/>
      <c r="BX120" s="24"/>
      <c r="BY120" s="24"/>
      <c r="BZ120" s="24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60" t="s">
        <v>248</v>
      </c>
      <c r="B121" s="174"/>
      <c r="C121" s="2"/>
      <c r="D121" s="2"/>
      <c r="E121" s="2"/>
      <c r="F121" s="2"/>
      <c r="G121" s="2"/>
      <c r="H121" s="2"/>
      <c r="I121" s="2"/>
      <c r="J121" s="3" t="s">
        <v>141</v>
      </c>
      <c r="K121" s="2"/>
      <c r="L121" s="163" t="s">
        <v>151</v>
      </c>
      <c r="M121" s="24"/>
      <c r="N121" s="24" t="n">
        <v>400000</v>
      </c>
      <c r="O121" s="24"/>
      <c r="P121" s="24" t="n">
        <v>100000</v>
      </c>
      <c r="Q121" s="24"/>
      <c r="R121" s="24" t="n">
        <v>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119"/>
      <c r="AJ121" s="24" t="n">
        <v>0</v>
      </c>
      <c r="AL121" s="24" t="n">
        <v>0</v>
      </c>
      <c r="AN121" s="24" t="n">
        <v>0</v>
      </c>
      <c r="AO121" s="24"/>
      <c r="AP121" s="24" t="n">
        <v>0</v>
      </c>
      <c r="AQ121" s="24"/>
      <c r="AR121" s="24" t="n">
        <v>216381.67</v>
      </c>
      <c r="AS121" s="24"/>
      <c r="AT121" s="24" t="n">
        <v>2174.14</v>
      </c>
      <c r="AU121" s="24"/>
      <c r="AV121" s="24" t="n">
        <v>0</v>
      </c>
      <c r="AW121" s="24"/>
      <c r="AX121" s="24" t="n">
        <v>168836</v>
      </c>
      <c r="AY121" s="24"/>
      <c r="AZ121" s="24" t="n">
        <v>0</v>
      </c>
      <c r="BA121" s="24"/>
      <c r="BB121" s="24" t="n">
        <v>6527.91</v>
      </c>
      <c r="BC121" s="24"/>
      <c r="BD121" s="24" t="n">
        <v>0</v>
      </c>
      <c r="BF121" s="24" t="n">
        <v>2743.49</v>
      </c>
      <c r="BH121" s="24" t="n">
        <v>0</v>
      </c>
      <c r="BJ121" s="24" t="n">
        <v>0</v>
      </c>
      <c r="BM121" s="24" t="n">
        <v>0</v>
      </c>
      <c r="BO121" s="24" t="n">
        <v>0</v>
      </c>
      <c r="BP121" s="24"/>
      <c r="BQ121" s="24" t="n">
        <f aca="false">SUM(T121:BP121)</f>
        <v>396663.21</v>
      </c>
      <c r="BR121" s="24"/>
      <c r="BS121" s="24" t="n">
        <v>0</v>
      </c>
      <c r="BU121" s="110" t="n">
        <f aca="false">IF(+R121-BQ121+BS121&gt;0,R121-BQ121+BS121,0)</f>
        <v>0</v>
      </c>
      <c r="BV121" s="24"/>
      <c r="BW121" s="24" t="n">
        <f aca="false">+BQ121+BU121</f>
        <v>396663.21</v>
      </c>
      <c r="BX121" s="24"/>
      <c r="BY121" s="24" t="n">
        <f aca="false">+R121-BW121</f>
        <v>-396663.21</v>
      </c>
      <c r="BZ121" s="24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160"/>
      <c r="B122" s="174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119"/>
      <c r="AJ122" s="24"/>
      <c r="AL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F122" s="24"/>
      <c r="BH122" s="24"/>
      <c r="BJ122" s="24"/>
      <c r="BM122" s="24"/>
      <c r="BO122" s="24"/>
      <c r="BP122" s="24"/>
      <c r="BQ122" s="24"/>
      <c r="BR122" s="24"/>
      <c r="BS122" s="24"/>
      <c r="BU122" s="24"/>
      <c r="BV122" s="24"/>
      <c r="BW122" s="24"/>
      <c r="BX122" s="24"/>
      <c r="BY122" s="24"/>
      <c r="BZ122" s="24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60" t="s">
        <v>249</v>
      </c>
      <c r="B123" s="174"/>
      <c r="C123" s="174"/>
      <c r="D123" s="174"/>
      <c r="E123" s="174"/>
      <c r="F123" s="174"/>
      <c r="G123" s="174"/>
      <c r="H123" s="174"/>
      <c r="I123" s="174"/>
      <c r="J123" s="201" t="s">
        <v>141</v>
      </c>
      <c r="K123" s="174"/>
      <c r="L123" s="202" t="s">
        <v>151</v>
      </c>
      <c r="M123" s="24"/>
      <c r="N123" s="24" t="n">
        <v>0</v>
      </c>
      <c r="O123" s="24"/>
      <c r="P123" s="24" t="n">
        <v>0</v>
      </c>
      <c r="Q123" s="24"/>
      <c r="R123" s="24" t="n">
        <v>500000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119"/>
      <c r="AJ123" s="24" t="n">
        <v>0</v>
      </c>
      <c r="AL123" s="24" t="n">
        <v>0</v>
      </c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F123" s="24"/>
      <c r="BH123" s="24" t="n">
        <v>0</v>
      </c>
      <c r="BJ123" s="24" t="n">
        <v>359494</v>
      </c>
      <c r="BM123" s="24" t="n">
        <v>0</v>
      </c>
      <c r="BO123" s="24" t="n">
        <v>0</v>
      </c>
      <c r="BP123" s="24"/>
      <c r="BQ123" s="24" t="n">
        <f aca="false">SUM(T123:BP123)</f>
        <v>359494</v>
      </c>
      <c r="BR123" s="24"/>
      <c r="BS123" s="24" t="n">
        <v>0</v>
      </c>
      <c r="BU123" s="110" t="n">
        <f aca="false">IF(+R123-BQ123+BS123&gt;0,R123-BQ123+BS123,0)</f>
        <v>140506</v>
      </c>
      <c r="BV123" s="24"/>
      <c r="BW123" s="24" t="n">
        <f aca="false">+BQ123+BU123</f>
        <v>500000</v>
      </c>
      <c r="BX123" s="24"/>
      <c r="BY123" s="24" t="n">
        <f aca="false">+R123-BW123</f>
        <v>0</v>
      </c>
      <c r="BZ123" s="2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160"/>
      <c r="B124" s="174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119"/>
      <c r="AJ124" s="24"/>
      <c r="AL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F124" s="24"/>
      <c r="BH124" s="24"/>
      <c r="BJ124" s="24"/>
      <c r="BM124" s="24"/>
      <c r="BO124" s="24"/>
      <c r="BP124" s="24"/>
      <c r="BQ124" s="24"/>
      <c r="BR124" s="24"/>
      <c r="BS124" s="24"/>
      <c r="BU124" s="24"/>
      <c r="BV124" s="24"/>
      <c r="BW124" s="24"/>
      <c r="BX124" s="24"/>
      <c r="BY124" s="24"/>
      <c r="BZ124" s="24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60" t="s">
        <v>162</v>
      </c>
      <c r="B125" s="160"/>
      <c r="C125" s="2"/>
      <c r="D125" s="2"/>
      <c r="E125" s="2"/>
      <c r="F125" s="2"/>
      <c r="G125" s="2"/>
      <c r="H125" s="2"/>
      <c r="I125" s="2"/>
      <c r="J125" s="3" t="s">
        <v>141</v>
      </c>
      <c r="K125" s="2"/>
      <c r="L125" s="163" t="s">
        <v>151</v>
      </c>
      <c r="M125" s="24"/>
      <c r="N125" s="24" t="n">
        <v>0</v>
      </c>
      <c r="O125" s="24"/>
      <c r="P125" s="24" t="n">
        <v>0</v>
      </c>
      <c r="Q125" s="24"/>
      <c r="R125" s="24" t="n">
        <v>1253881</v>
      </c>
      <c r="S125" s="24"/>
      <c r="T125" s="24" t="n">
        <v>0</v>
      </c>
      <c r="U125" s="24"/>
      <c r="V125" s="24" t="n">
        <v>0</v>
      </c>
      <c r="W125" s="24"/>
      <c r="X125" s="24" t="n">
        <v>0</v>
      </c>
      <c r="Y125" s="24"/>
      <c r="Z125" s="24" t="n">
        <v>0</v>
      </c>
      <c r="AA125" s="24"/>
      <c r="AB125" s="24" t="n">
        <v>0</v>
      </c>
      <c r="AC125" s="24"/>
      <c r="AD125" s="24" t="n">
        <v>0</v>
      </c>
      <c r="AE125" s="24"/>
      <c r="AF125" s="24" t="n">
        <v>0</v>
      </c>
      <c r="AG125" s="24"/>
      <c r="AH125" s="24" t="n">
        <v>0</v>
      </c>
      <c r="AI125" s="119"/>
      <c r="AJ125" s="24" t="n">
        <v>0</v>
      </c>
      <c r="AL125" s="24" t="n">
        <v>0</v>
      </c>
      <c r="AN125" s="24" t="n">
        <v>0</v>
      </c>
      <c r="AO125" s="24"/>
      <c r="AP125" s="24" t="n">
        <v>0</v>
      </c>
      <c r="AQ125" s="24"/>
      <c r="AR125" s="24" t="n">
        <v>0</v>
      </c>
      <c r="AS125" s="24"/>
      <c r="AT125" s="24" t="n">
        <v>0</v>
      </c>
      <c r="AU125" s="24"/>
      <c r="AV125" s="24" t="n">
        <v>0</v>
      </c>
      <c r="AW125" s="24"/>
      <c r="AX125" s="24" t="n">
        <v>0</v>
      </c>
      <c r="AY125" s="24"/>
      <c r="AZ125" s="24" t="n">
        <v>0</v>
      </c>
      <c r="BA125" s="24"/>
      <c r="BB125" s="24" t="n">
        <v>0</v>
      </c>
      <c r="BC125" s="24"/>
      <c r="BD125" s="24" t="n">
        <v>29469.43</v>
      </c>
      <c r="BF125" s="24" t="n">
        <v>271859.17</v>
      </c>
      <c r="BH125" s="24" t="n">
        <v>201156.09</v>
      </c>
      <c r="BJ125" s="24" t="n">
        <v>3218</v>
      </c>
      <c r="BM125" s="24" t="n">
        <v>0</v>
      </c>
      <c r="BO125" s="24" t="n">
        <v>0</v>
      </c>
      <c r="BP125" s="24"/>
      <c r="BQ125" s="24" t="n">
        <f aca="false">SUM(T125:BP125)</f>
        <v>505702.69</v>
      </c>
      <c r="BR125" s="24"/>
      <c r="BS125" s="24" t="n">
        <v>0</v>
      </c>
      <c r="BU125" s="110" t="n">
        <v>0</v>
      </c>
      <c r="BV125" s="24"/>
      <c r="BW125" s="24" t="n">
        <f aca="false">+BQ125+BU125</f>
        <v>505702.69</v>
      </c>
      <c r="BX125" s="24"/>
      <c r="BY125" s="24" t="n">
        <f aca="false">+R125-BW125</f>
        <v>748178.31</v>
      </c>
      <c r="BZ125" s="24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60"/>
      <c r="B126" s="174"/>
      <c r="C126" s="2"/>
      <c r="D126" s="2"/>
      <c r="E126" s="2"/>
      <c r="F126" s="2"/>
      <c r="G126" s="2"/>
      <c r="H126" s="2"/>
      <c r="I126" s="2"/>
      <c r="J126" s="3"/>
      <c r="K126" s="2"/>
      <c r="L126" s="163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119"/>
      <c r="AJ126" s="24"/>
      <c r="AL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F126" s="24"/>
      <c r="BH126" s="24"/>
      <c r="BJ126" s="24"/>
      <c r="BM126" s="24"/>
      <c r="BO126" s="24"/>
      <c r="BP126" s="24"/>
      <c r="BQ126" s="24"/>
      <c r="BR126" s="24"/>
      <c r="BS126" s="24"/>
      <c r="BU126" s="24"/>
      <c r="BV126" s="24"/>
      <c r="BW126" s="24"/>
      <c r="BX126" s="24"/>
      <c r="BY126" s="24"/>
      <c r="BZ126" s="24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60" t="s">
        <v>250</v>
      </c>
      <c r="B127" s="118"/>
      <c r="E127" s="119"/>
      <c r="G127" s="119"/>
      <c r="I127" s="119"/>
      <c r="L127" s="163"/>
      <c r="M127" s="110"/>
      <c r="O127" s="110"/>
      <c r="Q127" s="110"/>
      <c r="S127" s="110"/>
      <c r="T127" s="110"/>
      <c r="U127" s="110"/>
      <c r="V127" s="110"/>
      <c r="X127" s="110"/>
      <c r="Z127" s="110"/>
      <c r="AB127" s="110"/>
      <c r="AD127" s="110"/>
      <c r="AI127" s="119"/>
      <c r="BJ127" s="110"/>
      <c r="BM127" s="110"/>
      <c r="BO127" s="110"/>
      <c r="BP127" s="110"/>
      <c r="BS127" s="110"/>
      <c r="BZ127" s="110"/>
    </row>
    <row r="128" customFormat="false" ht="12.75" hidden="false" customHeight="false" outlineLevel="0" collapsed="false">
      <c r="A128" s="161"/>
      <c r="B128" s="118" t="s">
        <v>251</v>
      </c>
      <c r="E128" s="119"/>
      <c r="G128" s="119"/>
      <c r="I128" s="119"/>
      <c r="J128" s="120" t="s">
        <v>141</v>
      </c>
      <c r="L128" s="163" t="s">
        <v>151</v>
      </c>
      <c r="M128" s="110"/>
      <c r="N128" s="110" t="n">
        <v>0</v>
      </c>
      <c r="O128" s="110"/>
      <c r="P128" s="110" t="n">
        <v>0</v>
      </c>
      <c r="Q128" s="110"/>
      <c r="R128" s="110" t="n">
        <v>28500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20000</v>
      </c>
      <c r="AB128" s="110" t="n">
        <v>0</v>
      </c>
      <c r="AD128" s="110" t="n">
        <v>8500</v>
      </c>
      <c r="AF128" s="110" t="n">
        <v>0</v>
      </c>
      <c r="AH128" s="110" t="n">
        <v>0</v>
      </c>
      <c r="AI128" s="119"/>
      <c r="AJ128" s="110" t="n">
        <v>0</v>
      </c>
      <c r="AL128" s="110" t="n">
        <v>0</v>
      </c>
      <c r="AN128" s="110" t="n">
        <v>0</v>
      </c>
      <c r="AP128" s="110" t="n">
        <v>0</v>
      </c>
      <c r="AR128" s="110" t="n">
        <v>0</v>
      </c>
      <c r="AT128" s="110" t="n">
        <v>0</v>
      </c>
      <c r="AV128" s="110" t="n">
        <v>0</v>
      </c>
      <c r="AX128" s="110" t="n">
        <v>0</v>
      </c>
      <c r="AZ128" s="110" t="n">
        <v>0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0</v>
      </c>
      <c r="BM128" s="110" t="n">
        <v>0</v>
      </c>
      <c r="BO128" s="110" t="n">
        <v>0</v>
      </c>
      <c r="BP128" s="110"/>
      <c r="BQ128" s="110" t="n">
        <f aca="false">SUM(T128:BP128)</f>
        <v>28500</v>
      </c>
      <c r="BS128" s="110" t="n">
        <v>0</v>
      </c>
      <c r="BU128" s="110" t="n">
        <f aca="false">IF(+R128-BQ128+BS128&gt;0,R128-BQ128+BS128,0)</f>
        <v>0</v>
      </c>
      <c r="BW128" s="110" t="n">
        <f aca="false">+BQ128+BU128</f>
        <v>28500</v>
      </c>
      <c r="BY128" s="110" t="n">
        <f aca="false">+R128-BW128</f>
        <v>0</v>
      </c>
      <c r="BZ128" s="110"/>
    </row>
    <row r="129" customFormat="false" ht="12.75" hidden="false" customHeight="false" outlineLevel="0" collapsed="false">
      <c r="A129" s="161"/>
      <c r="B129" s="118" t="s">
        <v>252</v>
      </c>
      <c r="E129" s="119"/>
      <c r="G129" s="119"/>
      <c r="I129" s="119"/>
      <c r="J129" s="120" t="s">
        <v>141</v>
      </c>
      <c r="L129" s="163" t="s">
        <v>151</v>
      </c>
      <c r="M129" s="110"/>
      <c r="O129" s="110"/>
      <c r="Q129" s="110"/>
      <c r="R129" s="110" t="n">
        <v>0</v>
      </c>
      <c r="S129" s="110"/>
      <c r="T129" s="110" t="n">
        <v>0</v>
      </c>
      <c r="U129" s="110"/>
      <c r="V129" s="110" t="n">
        <v>0</v>
      </c>
      <c r="X129" s="110" t="n">
        <v>0</v>
      </c>
      <c r="Z129" s="110" t="n">
        <v>0</v>
      </c>
      <c r="AB129" s="110" t="n">
        <v>0</v>
      </c>
      <c r="AD129" s="110" t="n">
        <v>0</v>
      </c>
      <c r="AF129" s="110" t="n">
        <v>0</v>
      </c>
      <c r="AH129" s="110" t="n">
        <v>0</v>
      </c>
      <c r="AI129" s="119"/>
      <c r="AJ129" s="110" t="n">
        <v>0</v>
      </c>
      <c r="AL129" s="110" t="n">
        <v>0</v>
      </c>
      <c r="AN129" s="110" t="n">
        <v>0</v>
      </c>
      <c r="AP129" s="110" t="n">
        <v>0</v>
      </c>
      <c r="AR129" s="110" t="n">
        <v>0</v>
      </c>
      <c r="AT129" s="110" t="n">
        <v>0</v>
      </c>
      <c r="AV129" s="110" t="n">
        <v>0</v>
      </c>
      <c r="AX129" s="110" t="n">
        <v>0</v>
      </c>
      <c r="AZ129" s="110" t="n">
        <v>0</v>
      </c>
      <c r="BB129" s="110" t="n">
        <v>0</v>
      </c>
      <c r="BD129" s="110" t="n">
        <v>0</v>
      </c>
      <c r="BF129" s="110" t="n">
        <v>0</v>
      </c>
      <c r="BH129" s="110" t="n">
        <v>0</v>
      </c>
      <c r="BJ129" s="110" t="n">
        <v>0</v>
      </c>
      <c r="BM129" s="110" t="n">
        <v>0</v>
      </c>
      <c r="BO129" s="110" t="n">
        <v>0</v>
      </c>
      <c r="BP129" s="110"/>
      <c r="BQ129" s="110" t="n">
        <f aca="false">SUM(T129:BP129)</f>
        <v>0</v>
      </c>
      <c r="BS129" s="110" t="n">
        <v>0</v>
      </c>
      <c r="BU129" s="110" t="n">
        <f aca="false">+R129-BQ129+BS129</f>
        <v>0</v>
      </c>
      <c r="BW129" s="110" t="n">
        <f aca="false">+BQ129+BU129</f>
        <v>0</v>
      </c>
      <c r="BY129" s="110" t="n">
        <f aca="false">+R129-BW129</f>
        <v>0</v>
      </c>
      <c r="BZ129" s="110"/>
    </row>
    <row r="130" customFormat="false" ht="12.75" hidden="false" customHeight="false" outlineLevel="0" collapsed="false">
      <c r="A130" s="161"/>
      <c r="B130" s="118" t="s">
        <v>253</v>
      </c>
      <c r="E130" s="119"/>
      <c r="G130" s="119"/>
      <c r="I130" s="119"/>
      <c r="J130" s="120" t="s">
        <v>141</v>
      </c>
      <c r="L130" s="163" t="s">
        <v>151</v>
      </c>
      <c r="M130" s="110"/>
      <c r="O130" s="110"/>
      <c r="Q130" s="110"/>
      <c r="R130" s="110" t="n">
        <f aca="false">2280000-28500</f>
        <v>2251500</v>
      </c>
      <c r="S130" s="110"/>
      <c r="T130" s="110" t="n">
        <v>0</v>
      </c>
      <c r="U130" s="110"/>
      <c r="V130" s="110" t="n">
        <v>0</v>
      </c>
      <c r="X130" s="110" t="n">
        <v>0</v>
      </c>
      <c r="Z130" s="110" t="n">
        <v>0</v>
      </c>
      <c r="AB130" s="110" t="n">
        <v>1446361</v>
      </c>
      <c r="AD130" s="110" t="n">
        <v>0</v>
      </c>
      <c r="AF130" s="110" t="n">
        <v>0</v>
      </c>
      <c r="AH130" s="110" t="n">
        <v>821965.14</v>
      </c>
      <c r="AI130" s="119"/>
      <c r="AJ130" s="110" t="n">
        <v>0</v>
      </c>
      <c r="AL130" s="110" t="n">
        <v>0</v>
      </c>
      <c r="AN130" s="110" t="n">
        <v>1000</v>
      </c>
      <c r="AP130" s="110" t="n">
        <v>7992</v>
      </c>
      <c r="AR130" s="110" t="n">
        <v>0</v>
      </c>
      <c r="AT130" s="110" t="n">
        <v>180000</v>
      </c>
      <c r="AV130" s="110" t="n">
        <f aca="false">3400-16567.86</f>
        <v>-13167.86</v>
      </c>
      <c r="AX130" s="110" t="n">
        <v>0</v>
      </c>
      <c r="AZ130" s="110" t="n">
        <v>0</v>
      </c>
      <c r="BB130" s="110" t="n">
        <v>1662</v>
      </c>
      <c r="BD130" s="110" t="n">
        <v>0</v>
      </c>
      <c r="BF130" s="110" t="n">
        <v>0</v>
      </c>
      <c r="BH130" s="110" t="n">
        <v>350</v>
      </c>
      <c r="BJ130" s="110" t="n">
        <v>0</v>
      </c>
      <c r="BM130" s="110" t="n">
        <v>0</v>
      </c>
      <c r="BO130" s="110" t="n">
        <v>30281</v>
      </c>
      <c r="BP130" s="110"/>
      <c r="BQ130" s="110" t="n">
        <f aca="false">SUM(T130:BP130)</f>
        <v>2476443.28</v>
      </c>
      <c r="BS130" s="110" t="n">
        <v>0</v>
      </c>
      <c r="BU130" s="110" t="n">
        <f aca="false">IF(+R130-BQ130+BS130&gt;0,R130-BQ130+BS130,0)</f>
        <v>0</v>
      </c>
      <c r="BW130" s="110" t="n">
        <f aca="false">+BQ130+BU130</f>
        <v>2476443.28</v>
      </c>
      <c r="BY130" s="110" t="n">
        <f aca="false">+R130-BW130</f>
        <v>-224943.28</v>
      </c>
      <c r="BZ130" s="110"/>
    </row>
    <row r="131" customFormat="false" ht="12.75" hidden="false" customHeight="false" outlineLevel="0" collapsed="false">
      <c r="A131" s="161"/>
      <c r="B131" s="118" t="s">
        <v>254</v>
      </c>
      <c r="E131" s="119"/>
      <c r="G131" s="119"/>
      <c r="I131" s="119"/>
      <c r="J131" s="120" t="s">
        <v>141</v>
      </c>
      <c r="L131" s="163" t="s">
        <v>151</v>
      </c>
      <c r="M131" s="110"/>
      <c r="O131" s="110"/>
      <c r="Q131" s="110"/>
      <c r="R131" s="110" t="n">
        <v>0</v>
      </c>
      <c r="S131" s="110"/>
      <c r="T131" s="110"/>
      <c r="U131" s="110"/>
      <c r="V131" s="110"/>
      <c r="X131" s="110"/>
      <c r="Z131" s="110"/>
      <c r="AB131" s="110"/>
      <c r="AD131" s="110"/>
      <c r="AI131" s="119"/>
      <c r="BJ131" s="110"/>
      <c r="BM131" s="110"/>
      <c r="BO131" s="110"/>
      <c r="BP131" s="110"/>
      <c r="BQ131" s="110" t="n">
        <f aca="false">SUM(T131:BP131)</f>
        <v>0</v>
      </c>
      <c r="BS131" s="110"/>
      <c r="BU131" s="110" t="n">
        <f aca="false">+R131-BQ131+BS131</f>
        <v>0</v>
      </c>
      <c r="BW131" s="110" t="n">
        <f aca="false">+BQ131+BU131</f>
        <v>0</v>
      </c>
      <c r="BY131" s="110" t="n">
        <f aca="false">+R131-BW131</f>
        <v>0</v>
      </c>
      <c r="BZ131" s="110"/>
    </row>
    <row r="132" customFormat="false" ht="12.75" hidden="false" customHeight="false" outlineLevel="0" collapsed="false">
      <c r="A132" s="160"/>
      <c r="B132" s="174" t="s">
        <v>255</v>
      </c>
      <c r="C132" s="2"/>
      <c r="D132" s="2"/>
      <c r="E132" s="2"/>
      <c r="F132" s="2"/>
      <c r="G132" s="2"/>
      <c r="H132" s="2"/>
      <c r="I132" s="2"/>
      <c r="J132" s="3"/>
      <c r="K132" s="2"/>
      <c r="L132" s="179"/>
      <c r="M132" s="24"/>
      <c r="N132" s="198" t="n">
        <f aca="false">SUM(N128:N131)</f>
        <v>0</v>
      </c>
      <c r="O132" s="24"/>
      <c r="P132" s="198" t="n">
        <f aca="false">SUM(P128:P131)</f>
        <v>0</v>
      </c>
      <c r="Q132" s="24"/>
      <c r="R132" s="198" t="n">
        <f aca="false">SUM(R128:R131)</f>
        <v>2280000</v>
      </c>
      <c r="S132" s="24"/>
      <c r="T132" s="198" t="n">
        <f aca="false">SUM(T128:T131)</f>
        <v>0</v>
      </c>
      <c r="U132" s="24"/>
      <c r="V132" s="198" t="n">
        <f aca="false">SUM(V128:V131)</f>
        <v>0</v>
      </c>
      <c r="W132" s="24"/>
      <c r="X132" s="198" t="n">
        <f aca="false">SUM(X128:X131)</f>
        <v>0</v>
      </c>
      <c r="Y132" s="24"/>
      <c r="Z132" s="198" t="n">
        <f aca="false">SUM(Z128:Z131)</f>
        <v>20000</v>
      </c>
      <c r="AA132" s="24"/>
      <c r="AB132" s="198" t="n">
        <f aca="false">SUM(AB128:AB131)</f>
        <v>1446361</v>
      </c>
      <c r="AC132" s="24"/>
      <c r="AD132" s="198" t="n">
        <f aca="false">SUM(AD128:AD131)</f>
        <v>8500</v>
      </c>
      <c r="AE132" s="24"/>
      <c r="AF132" s="198" t="n">
        <f aca="false">SUM(AF128:AF131)</f>
        <v>0</v>
      </c>
      <c r="AG132" s="24"/>
      <c r="AH132" s="198" t="n">
        <f aca="false">SUM(AH128:AH131)</f>
        <v>821965.14</v>
      </c>
      <c r="AI132" s="119"/>
      <c r="AJ132" s="198" t="n">
        <f aca="false">SUM(AJ128:AJ131)</f>
        <v>0</v>
      </c>
      <c r="AL132" s="198" t="n">
        <f aca="false">SUM(AL128:AL131)</f>
        <v>0</v>
      </c>
      <c r="AN132" s="198" t="n">
        <f aca="false">SUM(AN128:AN131)</f>
        <v>1000</v>
      </c>
      <c r="AO132" s="24"/>
      <c r="AP132" s="198" t="n">
        <f aca="false">SUM(AP128:AP131)</f>
        <v>7992</v>
      </c>
      <c r="AQ132" s="24"/>
      <c r="AR132" s="198" t="n">
        <f aca="false">SUM(AR128:AR131)</f>
        <v>0</v>
      </c>
      <c r="AS132" s="24"/>
      <c r="AT132" s="198" t="n">
        <f aca="false">SUM(AT128:AT131)</f>
        <v>180000</v>
      </c>
      <c r="AU132" s="24"/>
      <c r="AV132" s="198" t="n">
        <f aca="false">SUM(AV128:AV131)</f>
        <v>-13167.86</v>
      </c>
      <c r="AW132" s="24"/>
      <c r="AX132" s="198" t="n">
        <f aca="false">SUM(AX128:AX131)</f>
        <v>0</v>
      </c>
      <c r="AY132" s="24"/>
      <c r="AZ132" s="198" t="n">
        <f aca="false">SUM(AZ128:AZ131)</f>
        <v>0</v>
      </c>
      <c r="BA132" s="24"/>
      <c r="BB132" s="198" t="n">
        <f aca="false">SUM(BB128:BB131)</f>
        <v>1662</v>
      </c>
      <c r="BC132" s="24"/>
      <c r="BD132" s="198" t="n">
        <f aca="false">SUM(BD128:BD131)</f>
        <v>0</v>
      </c>
      <c r="BF132" s="198" t="n">
        <f aca="false">SUM(BF128:BF131)</f>
        <v>0</v>
      </c>
      <c r="BH132" s="198" t="n">
        <f aca="false">SUM(BH128:BH131)</f>
        <v>350</v>
      </c>
      <c r="BJ132" s="198" t="n">
        <f aca="false">SUM(BJ128:BJ131)</f>
        <v>0</v>
      </c>
      <c r="BM132" s="198" t="n">
        <f aca="false">SUM(BM128:BM131)</f>
        <v>0</v>
      </c>
      <c r="BO132" s="198" t="n">
        <f aca="false">SUM(BO128:BO131)</f>
        <v>30281</v>
      </c>
      <c r="BP132" s="198"/>
      <c r="BQ132" s="198" t="n">
        <f aca="false">SUM(BQ128:BQ131)</f>
        <v>2504943.28</v>
      </c>
      <c r="BR132" s="198"/>
      <c r="BS132" s="198" t="n">
        <f aca="false">SUM(BS128:BS131)</f>
        <v>0</v>
      </c>
      <c r="BU132" s="198" t="n">
        <f aca="false">SUM(BU128:BU131)</f>
        <v>0</v>
      </c>
      <c r="BV132" s="24"/>
      <c r="BW132" s="198" t="n">
        <f aca="false">SUM(BW128:BW131)</f>
        <v>2504943.28</v>
      </c>
      <c r="BX132" s="24"/>
      <c r="BY132" s="198" t="n">
        <f aca="false">SUM(BY128:BY131)</f>
        <v>-224943.28</v>
      </c>
      <c r="BZ132" s="24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160"/>
      <c r="B133" s="174"/>
      <c r="C133" s="2"/>
      <c r="D133" s="2"/>
      <c r="E133" s="2"/>
      <c r="F133" s="2"/>
      <c r="G133" s="2"/>
      <c r="H133" s="2"/>
      <c r="I133" s="2"/>
      <c r="J133" s="3"/>
      <c r="K133" s="2"/>
      <c r="L133" s="163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119"/>
      <c r="AJ133" s="24"/>
      <c r="AL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24"/>
      <c r="BH133" s="24"/>
      <c r="BJ133" s="24"/>
      <c r="BM133" s="24"/>
      <c r="BO133" s="24"/>
      <c r="BP133" s="24"/>
      <c r="BQ133" s="24"/>
      <c r="BR133" s="24"/>
      <c r="BS133" s="24"/>
      <c r="BU133" s="24"/>
      <c r="BV133" s="24"/>
      <c r="BW133" s="24"/>
      <c r="BX133" s="24"/>
      <c r="BY133" s="24"/>
      <c r="BZ133" s="24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160" t="s">
        <v>256</v>
      </c>
      <c r="B134" s="118"/>
      <c r="E134" s="119"/>
      <c r="G134" s="119"/>
      <c r="I134" s="119"/>
      <c r="L134" s="163"/>
      <c r="M134" s="110"/>
      <c r="O134" s="110"/>
      <c r="Q134" s="110"/>
      <c r="S134" s="110"/>
      <c r="T134" s="110"/>
      <c r="U134" s="110"/>
      <c r="V134" s="110"/>
      <c r="X134" s="110"/>
      <c r="Z134" s="110"/>
      <c r="AB134" s="110"/>
      <c r="AD134" s="110"/>
      <c r="AI134" s="119"/>
      <c r="BJ134" s="110"/>
      <c r="BM134" s="110"/>
      <c r="BO134" s="110"/>
      <c r="BP134" s="110"/>
      <c r="BS134" s="110"/>
      <c r="BZ134" s="110"/>
    </row>
    <row r="135" customFormat="false" ht="12.75" hidden="false" customHeight="false" outlineLevel="0" collapsed="false">
      <c r="A135" s="160"/>
      <c r="B135" s="118" t="s">
        <v>257</v>
      </c>
      <c r="E135" s="119"/>
      <c r="G135" s="119"/>
      <c r="I135" s="119"/>
      <c r="L135" s="163" t="s">
        <v>258</v>
      </c>
      <c r="M135" s="110"/>
      <c r="N135" s="110" t="n">
        <v>0</v>
      </c>
      <c r="O135" s="110"/>
      <c r="P135" s="110" t="n">
        <v>0</v>
      </c>
      <c r="Q135" s="110"/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v>0</v>
      </c>
      <c r="AB135" s="110" t="n">
        <v>0</v>
      </c>
      <c r="AD135" s="110"/>
      <c r="AF135" s="110" t="n">
        <v>0</v>
      </c>
      <c r="AH135" s="110" t="n">
        <v>0</v>
      </c>
      <c r="AI135" s="119"/>
      <c r="AJ135" s="110" t="n">
        <v>0</v>
      </c>
      <c r="AL135" s="110" t="n">
        <v>0</v>
      </c>
      <c r="AN135" s="110" t="n">
        <v>0</v>
      </c>
      <c r="AP135" s="110" t="n">
        <v>0</v>
      </c>
      <c r="AR135" s="110" t="n">
        <v>0</v>
      </c>
      <c r="AT135" s="110" t="n">
        <v>0</v>
      </c>
      <c r="AV135" s="110" t="n">
        <v>0</v>
      </c>
      <c r="AX135" s="110" t="n">
        <v>0</v>
      </c>
      <c r="AZ135" s="110" t="n">
        <v>0</v>
      </c>
      <c r="BB135" s="110" t="n">
        <v>0</v>
      </c>
      <c r="BD135" s="110" t="n">
        <v>0</v>
      </c>
      <c r="BF135" s="110" t="n">
        <v>0</v>
      </c>
      <c r="BH135" s="110" t="n">
        <v>0</v>
      </c>
      <c r="BJ135" s="110" t="n">
        <v>0</v>
      </c>
      <c r="BM135" s="110" t="n">
        <v>0</v>
      </c>
      <c r="BO135" s="110" t="n">
        <v>0</v>
      </c>
      <c r="BP135" s="110"/>
      <c r="BQ135" s="110" t="n">
        <f aca="false">SUM(T135:BP135)</f>
        <v>0</v>
      </c>
      <c r="BS135" s="110" t="n">
        <v>0</v>
      </c>
      <c r="BU135" s="110" t="n">
        <f aca="false">IF(+R135-BQ135+BS135&gt;0,R135-BQ135+BS135,0)</f>
        <v>0</v>
      </c>
      <c r="BW135" s="110" t="n">
        <f aca="false">+BQ135+BU135</f>
        <v>0</v>
      </c>
      <c r="BY135" s="110" t="n">
        <f aca="false">+R135-BW135</f>
        <v>0</v>
      </c>
      <c r="BZ135" s="110"/>
    </row>
    <row r="136" customFormat="false" ht="12.75" hidden="false" customHeight="false" outlineLevel="0" collapsed="false">
      <c r="A136" s="164"/>
      <c r="B136" s="161" t="s">
        <v>259</v>
      </c>
      <c r="E136" s="119"/>
      <c r="G136" s="119"/>
      <c r="I136" s="119"/>
      <c r="L136" s="163" t="s">
        <v>258</v>
      </c>
      <c r="M136" s="110"/>
      <c r="N136" s="110" t="n">
        <v>0</v>
      </c>
      <c r="O136" s="110"/>
      <c r="P136" s="110" t="n">
        <v>0</v>
      </c>
      <c r="Q136" s="110"/>
      <c r="S136" s="110"/>
      <c r="T136" s="110" t="n">
        <v>0</v>
      </c>
      <c r="U136" s="110"/>
      <c r="V136" s="110" t="n">
        <v>0</v>
      </c>
      <c r="X136" s="110" t="n">
        <v>0</v>
      </c>
      <c r="Z136" s="110" t="n">
        <v>0</v>
      </c>
      <c r="AB136" s="110" t="n">
        <v>0</v>
      </c>
      <c r="AD136" s="110"/>
      <c r="AF136" s="110" t="n">
        <v>0</v>
      </c>
      <c r="AH136" s="110" t="n">
        <v>0</v>
      </c>
      <c r="AI136" s="119"/>
      <c r="AJ136" s="110" t="n">
        <v>0</v>
      </c>
      <c r="AL136" s="110" t="n">
        <v>0</v>
      </c>
      <c r="AN136" s="110" t="n">
        <v>0</v>
      </c>
      <c r="AP136" s="110" t="n">
        <v>0</v>
      </c>
      <c r="AR136" s="110" t="n">
        <v>0</v>
      </c>
      <c r="AT136" s="110" t="n">
        <v>0</v>
      </c>
      <c r="AV136" s="110" t="n">
        <v>0</v>
      </c>
      <c r="AX136" s="110" t="n">
        <v>0</v>
      </c>
      <c r="AZ136" s="110" t="n">
        <v>0</v>
      </c>
      <c r="BB136" s="110" t="n">
        <v>0</v>
      </c>
      <c r="BD136" s="110" t="n">
        <v>0</v>
      </c>
      <c r="BF136" s="110" t="n">
        <v>0</v>
      </c>
      <c r="BH136" s="110" t="n">
        <v>0</v>
      </c>
      <c r="BJ136" s="110" t="n">
        <v>0</v>
      </c>
      <c r="BM136" s="110" t="n">
        <v>0</v>
      </c>
      <c r="BO136" s="110" t="n">
        <v>0</v>
      </c>
      <c r="BP136" s="110"/>
      <c r="BQ136" s="110" t="n">
        <f aca="false">SUM(T136:BP136)</f>
        <v>0</v>
      </c>
      <c r="BS136" s="110" t="n">
        <v>0</v>
      </c>
      <c r="BU136" s="110" t="n">
        <f aca="false">IF(+R136-BQ136+BS136&gt;0,R136-BQ136+BS136,0)</f>
        <v>0</v>
      </c>
      <c r="BW136" s="110" t="n">
        <f aca="false">+BQ136+BU136</f>
        <v>0</v>
      </c>
      <c r="BY136" s="110" t="n">
        <f aca="false">+R136-BW136</f>
        <v>0</v>
      </c>
      <c r="BZ136" s="110"/>
    </row>
    <row r="137" customFormat="false" ht="12.75" hidden="false" customHeight="false" outlineLevel="0" collapsed="false">
      <c r="A137" s="164"/>
      <c r="B137" s="161" t="s">
        <v>260</v>
      </c>
      <c r="E137" s="119"/>
      <c r="G137" s="119"/>
      <c r="I137" s="119"/>
      <c r="L137" s="163" t="s">
        <v>258</v>
      </c>
      <c r="M137" s="110"/>
      <c r="O137" s="110"/>
      <c r="P137" s="110" t="n">
        <v>0</v>
      </c>
      <c r="Q137" s="110"/>
      <c r="R137" s="110" t="n">
        <v>400000</v>
      </c>
      <c r="S137" s="110"/>
      <c r="T137" s="110" t="n">
        <v>0</v>
      </c>
      <c r="U137" s="110"/>
      <c r="V137" s="110" t="n">
        <v>0</v>
      </c>
      <c r="X137" s="110" t="n">
        <v>0</v>
      </c>
      <c r="Z137" s="110" t="n">
        <v>8000</v>
      </c>
      <c r="AB137" s="110" t="n">
        <v>24712</v>
      </c>
      <c r="AD137" s="110" t="n">
        <v>71081</v>
      </c>
      <c r="AF137" s="110" t="n">
        <f aca="false">11932.33+162+1167.32</f>
        <v>13261.65</v>
      </c>
      <c r="AH137" s="110" t="n">
        <f aca="false">22563.83+17013.6</f>
        <v>39577.43</v>
      </c>
      <c r="AI137" s="119"/>
      <c r="AJ137" s="110" t="n">
        <f aca="false">2460+6571.33+2789.89</f>
        <v>11821.22</v>
      </c>
      <c r="AL137" s="110" t="n">
        <v>11746.18</v>
      </c>
      <c r="AN137" s="110" t="n">
        <v>19877.66</v>
      </c>
      <c r="AP137" s="110" t="n">
        <f aca="false">12427.46+17404.94</f>
        <v>29832.4</v>
      </c>
      <c r="AR137" s="110" t="n">
        <v>39859.51</v>
      </c>
      <c r="AT137" s="110" t="n">
        <v>5434</v>
      </c>
      <c r="AV137" s="110" t="n">
        <v>2588.45</v>
      </c>
      <c r="AX137" s="110" t="n">
        <v>0</v>
      </c>
      <c r="AZ137" s="110" t="n">
        <v>3856</v>
      </c>
      <c r="BB137" s="110" t="n">
        <f aca="false">-1595</f>
        <v>-1595</v>
      </c>
      <c r="BD137" s="110" t="n">
        <v>9124.88</v>
      </c>
      <c r="BF137" s="110" t="n">
        <v>2377</v>
      </c>
      <c r="BH137" s="110" t="n">
        <f aca="false">123790+1823.51</f>
        <v>125613.51</v>
      </c>
      <c r="BJ137" s="110"/>
      <c r="BM137" s="110"/>
      <c r="BO137" s="110"/>
      <c r="BP137" s="110"/>
      <c r="BQ137" s="110" t="n">
        <f aca="false">SUM(T137:BP137)</f>
        <v>417167.89</v>
      </c>
      <c r="BS137" s="110" t="n">
        <v>0</v>
      </c>
      <c r="BU137" s="110" t="n">
        <f aca="false">IF(+R137-BQ137+BS137&gt;0,R137-BQ137+BS137,0)</f>
        <v>0</v>
      </c>
      <c r="BW137" s="110" t="n">
        <f aca="false">+BQ137+BU137</f>
        <v>417167.89</v>
      </c>
      <c r="BY137" s="110" t="n">
        <f aca="false">+R137-BW137</f>
        <v>-17167.89</v>
      </c>
      <c r="BZ137" s="110"/>
    </row>
    <row r="138" customFormat="false" ht="12.75" hidden="false" customHeight="false" outlineLevel="0" collapsed="false">
      <c r="A138" s="164"/>
      <c r="B138" s="161" t="s">
        <v>261</v>
      </c>
      <c r="E138" s="119"/>
      <c r="G138" s="119"/>
      <c r="I138" s="119"/>
      <c r="L138" s="163"/>
      <c r="M138" s="110"/>
      <c r="O138" s="110"/>
      <c r="Q138" s="110"/>
      <c r="S138" s="110"/>
      <c r="T138" s="110"/>
      <c r="U138" s="110"/>
      <c r="V138" s="110"/>
      <c r="X138" s="110"/>
      <c r="Z138" s="110"/>
      <c r="AB138" s="110"/>
      <c r="AD138" s="110"/>
      <c r="AI138" s="119"/>
      <c r="BJ138" s="110" t="n">
        <f aca="false">8057+4672+7631</f>
        <v>20360</v>
      </c>
      <c r="BM138" s="110" t="n">
        <v>5572</v>
      </c>
      <c r="BO138" s="110" t="n">
        <f aca="false">432252+2869</f>
        <v>435121</v>
      </c>
      <c r="BP138" s="110"/>
      <c r="BQ138" s="110" t="n">
        <f aca="false">SUM(T138:BP138)</f>
        <v>461053</v>
      </c>
      <c r="BS138" s="110" t="n">
        <v>0</v>
      </c>
      <c r="BU138" s="110" t="n">
        <f aca="false">IF(+R138-BQ138+BS138&gt;0,R138-BQ138+BS138,0)</f>
        <v>0</v>
      </c>
      <c r="BW138" s="24" t="n">
        <f aca="false">+BQ138+BU138</f>
        <v>461053</v>
      </c>
      <c r="BY138" s="110" t="n">
        <f aca="false">+R138-BW138</f>
        <v>-461053</v>
      </c>
      <c r="BZ138" s="110"/>
    </row>
    <row r="139" customFormat="false" ht="12.75" hidden="false" customHeight="false" outlineLevel="0" collapsed="false">
      <c r="A139" s="164"/>
      <c r="B139" s="161"/>
      <c r="E139" s="119"/>
      <c r="G139" s="119"/>
      <c r="I139" s="119"/>
      <c r="L139" s="163"/>
      <c r="M139" s="110"/>
      <c r="O139" s="110"/>
      <c r="Q139" s="110"/>
      <c r="S139" s="110"/>
      <c r="T139" s="110"/>
      <c r="U139" s="110"/>
      <c r="V139" s="110"/>
      <c r="X139" s="110"/>
      <c r="Z139" s="110"/>
      <c r="AB139" s="110"/>
      <c r="AD139" s="110"/>
      <c r="AI139" s="119"/>
      <c r="BJ139" s="110"/>
      <c r="BM139" s="110"/>
      <c r="BO139" s="110"/>
      <c r="BP139" s="110"/>
      <c r="BS139" s="110"/>
      <c r="BU139" s="110" t="n">
        <f aca="false">IF(+R139-BQ139+BS139&gt;0,R139-BQ139+BS139,0)</f>
        <v>0</v>
      </c>
      <c r="BZ139" s="110"/>
    </row>
    <row r="140" customFormat="false" ht="12.75" hidden="false" customHeight="false" outlineLevel="0" collapsed="false">
      <c r="A140" s="177"/>
      <c r="B140" s="160" t="s">
        <v>262</v>
      </c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198" t="n">
        <f aca="false">SUM(N135:N139)</f>
        <v>0</v>
      </c>
      <c r="O140" s="24"/>
      <c r="P140" s="198" t="n">
        <f aca="false">SUM(P135:P139)</f>
        <v>0</v>
      </c>
      <c r="Q140" s="24"/>
      <c r="R140" s="198" t="n">
        <f aca="false">SUM(R135:R139)</f>
        <v>400000</v>
      </c>
      <c r="S140" s="24"/>
      <c r="T140" s="198" t="n">
        <f aca="false">SUM(T135:T139)</f>
        <v>0</v>
      </c>
      <c r="U140" s="24"/>
      <c r="V140" s="198" t="n">
        <f aca="false">SUM(V135:V139)</f>
        <v>0</v>
      </c>
      <c r="W140" s="24"/>
      <c r="X140" s="198" t="n">
        <f aca="false">SUM(X135:X139)</f>
        <v>0</v>
      </c>
      <c r="Y140" s="24"/>
      <c r="Z140" s="198" t="n">
        <f aca="false">SUM(Z135:Z139)</f>
        <v>8000</v>
      </c>
      <c r="AA140" s="24"/>
      <c r="AB140" s="198" t="n">
        <f aca="false">SUM(AB135:AB139)</f>
        <v>24712</v>
      </c>
      <c r="AC140" s="24"/>
      <c r="AD140" s="198" t="n">
        <f aca="false">SUM(AD135:AD139)</f>
        <v>71081</v>
      </c>
      <c r="AE140" s="24"/>
      <c r="AF140" s="198" t="n">
        <f aca="false">SUM(AF135:AF139)</f>
        <v>13261.65</v>
      </c>
      <c r="AG140" s="24"/>
      <c r="AH140" s="198" t="n">
        <f aca="false">SUM(AH135:AH139)</f>
        <v>39577.43</v>
      </c>
      <c r="AI140" s="119"/>
      <c r="AJ140" s="198" t="n">
        <f aca="false">SUM(AJ135:AJ139)</f>
        <v>11821.22</v>
      </c>
      <c r="AL140" s="198" t="n">
        <f aca="false">SUM(AL135:AL139)</f>
        <v>11746.18</v>
      </c>
      <c r="AN140" s="198" t="n">
        <f aca="false">SUM(AN135:AN139)</f>
        <v>19877.66</v>
      </c>
      <c r="AO140" s="24"/>
      <c r="AP140" s="198" t="n">
        <f aca="false">SUM(AP135:AP139)</f>
        <v>29832.4</v>
      </c>
      <c r="AQ140" s="24"/>
      <c r="AR140" s="198" t="n">
        <f aca="false">SUM(AR135:AR139)</f>
        <v>39859.51</v>
      </c>
      <c r="AS140" s="24"/>
      <c r="AT140" s="198" t="n">
        <f aca="false">SUM(AT135:AT139)</f>
        <v>5434</v>
      </c>
      <c r="AU140" s="24"/>
      <c r="AV140" s="198" t="n">
        <f aca="false">SUM(AV135:AV139)</f>
        <v>2588.45</v>
      </c>
      <c r="AW140" s="24"/>
      <c r="AX140" s="198" t="n">
        <f aca="false">SUM(AX135:AX139)</f>
        <v>0</v>
      </c>
      <c r="AY140" s="24"/>
      <c r="AZ140" s="198" t="n">
        <f aca="false">SUM(AZ135:AZ139)</f>
        <v>3856</v>
      </c>
      <c r="BA140" s="24"/>
      <c r="BB140" s="198" t="n">
        <f aca="false">SUM(BB135:BB139)</f>
        <v>-1595</v>
      </c>
      <c r="BC140" s="24"/>
      <c r="BD140" s="198" t="n">
        <f aca="false">SUM(BD135:BD139)</f>
        <v>9124.88</v>
      </c>
      <c r="BF140" s="198" t="n">
        <f aca="false">SUM(BF135:BF139)</f>
        <v>2377</v>
      </c>
      <c r="BH140" s="198" t="n">
        <f aca="false">SUM(BH135:BH139)</f>
        <v>125613.51</v>
      </c>
      <c r="BJ140" s="198" t="n">
        <f aca="false">SUM(BJ135:BJ139)</f>
        <v>20360</v>
      </c>
      <c r="BM140" s="198" t="n">
        <f aca="false">SUM(BM135:BM139)</f>
        <v>5572</v>
      </c>
      <c r="BO140" s="198" t="n">
        <f aca="false">SUM(BO135:BO139)</f>
        <v>435121</v>
      </c>
      <c r="BP140" s="198"/>
      <c r="BQ140" s="198" t="n">
        <f aca="false">SUM(BQ135:BQ139)</f>
        <v>878220.89</v>
      </c>
      <c r="BR140" s="198"/>
      <c r="BS140" s="198" t="n">
        <f aca="false">SUM(BS135:BS139)</f>
        <v>0</v>
      </c>
      <c r="BU140" s="198" t="n">
        <f aca="false">SUM(BU135:BU139)</f>
        <v>0</v>
      </c>
      <c r="BV140" s="24"/>
      <c r="BW140" s="198" t="n">
        <f aca="false">SUM(BW135:BW139)</f>
        <v>878220.89</v>
      </c>
      <c r="BX140" s="24"/>
      <c r="BY140" s="198" t="n">
        <f aca="false">SUM(BY135:BY139)</f>
        <v>-478220.89</v>
      </c>
      <c r="BZ140" s="24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77"/>
      <c r="B141" s="160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119"/>
      <c r="AJ141" s="24"/>
      <c r="AL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F141" s="24"/>
      <c r="BH141" s="24"/>
      <c r="BJ141" s="24"/>
      <c r="BM141" s="24"/>
      <c r="BO141" s="24"/>
      <c r="BP141" s="24"/>
      <c r="BQ141" s="24"/>
      <c r="BR141" s="24"/>
      <c r="BS141" s="24"/>
      <c r="BU141" s="24"/>
      <c r="BV141" s="24"/>
      <c r="BW141" s="24"/>
      <c r="BX141" s="24"/>
      <c r="BY141" s="24"/>
      <c r="BZ141" s="24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60" t="s">
        <v>263</v>
      </c>
      <c r="B142" s="174"/>
      <c r="C142" s="2"/>
      <c r="D142" s="2"/>
      <c r="E142" s="2"/>
      <c r="F142" s="2"/>
      <c r="G142" s="2"/>
      <c r="H142" s="2"/>
      <c r="I142" s="2"/>
      <c r="J142" s="3" t="s">
        <v>141</v>
      </c>
      <c r="K142" s="2"/>
      <c r="L142" s="163" t="s">
        <v>151</v>
      </c>
      <c r="M142" s="24"/>
      <c r="N142" s="24" t="n">
        <v>0</v>
      </c>
      <c r="O142" s="24"/>
      <c r="P142" s="24" t="n">
        <v>0</v>
      </c>
      <c r="Q142" s="24"/>
      <c r="R142" s="24" t="n">
        <v>1000000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119"/>
      <c r="AJ142" s="24" t="n">
        <v>0</v>
      </c>
      <c r="AL142" s="24" t="n">
        <v>0</v>
      </c>
      <c r="AN142" s="24" t="n">
        <v>50050</v>
      </c>
      <c r="AO142" s="24"/>
      <c r="AP142" s="24" t="n">
        <f aca="false">2348.07+158267.53</f>
        <v>160615.6</v>
      </c>
      <c r="AQ142" s="24"/>
      <c r="AR142" s="24" t="n">
        <v>8227.76</v>
      </c>
      <c r="AS142" s="24"/>
      <c r="AT142" s="24" t="n">
        <v>115500</v>
      </c>
      <c r="AU142" s="24"/>
      <c r="AV142" s="24" t="n">
        <v>445269.08</v>
      </c>
      <c r="AW142" s="24"/>
      <c r="AX142" s="24" t="n">
        <v>0</v>
      </c>
      <c r="AY142" s="24"/>
      <c r="AZ142" s="24" t="n">
        <v>0</v>
      </c>
      <c r="BA142" s="24"/>
      <c r="BB142" s="24"/>
      <c r="BC142" s="24"/>
      <c r="BD142" s="24" t="n">
        <v>6343</v>
      </c>
      <c r="BF142" s="24" t="n">
        <v>0</v>
      </c>
      <c r="BH142" s="24" t="n">
        <v>8574.66</v>
      </c>
      <c r="BJ142" s="24" t="n">
        <v>0</v>
      </c>
      <c r="BM142" s="24" t="n">
        <v>0</v>
      </c>
      <c r="BO142" s="24" t="n">
        <v>-335262</v>
      </c>
      <c r="BP142" s="24"/>
      <c r="BQ142" s="24" t="n">
        <f aca="false">SUM(T142:BP142)</f>
        <v>459318.1</v>
      </c>
      <c r="BR142" s="24"/>
      <c r="BS142" s="24" t="n">
        <v>0</v>
      </c>
      <c r="BU142" s="110" t="n">
        <v>0</v>
      </c>
      <c r="BV142" s="24"/>
      <c r="BW142" s="24" t="n">
        <f aca="false">+BQ142+BU142</f>
        <v>459318.1</v>
      </c>
      <c r="BX142" s="24"/>
      <c r="BY142" s="24" t="n">
        <f aca="false">+R142-BW142</f>
        <v>540681.9</v>
      </c>
      <c r="BZ142" s="24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7"/>
      <c r="B143" s="160"/>
      <c r="C143" s="2"/>
      <c r="D143" s="2"/>
      <c r="E143" s="2"/>
      <c r="F143" s="2"/>
      <c r="G143" s="2"/>
      <c r="H143" s="2"/>
      <c r="I143" s="2"/>
      <c r="J143" s="3"/>
      <c r="K143" s="2"/>
      <c r="L143" s="179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119"/>
      <c r="AJ143" s="24"/>
      <c r="AL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F143" s="24"/>
      <c r="BH143" s="24"/>
      <c r="BJ143" s="24"/>
      <c r="BM143" s="24"/>
      <c r="BO143" s="24"/>
      <c r="BP143" s="24"/>
      <c r="BQ143" s="24"/>
      <c r="BR143" s="24"/>
      <c r="BS143" s="24"/>
      <c r="BU143" s="24"/>
      <c r="BV143" s="24"/>
      <c r="BW143" s="24"/>
      <c r="BX143" s="24"/>
      <c r="BY143" s="24"/>
      <c r="BZ143" s="24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264</v>
      </c>
      <c r="B144" s="174"/>
      <c r="C144" s="2"/>
      <c r="D144" s="2"/>
      <c r="E144" s="2"/>
      <c r="F144" s="2"/>
      <c r="G144" s="2"/>
      <c r="H144" s="2"/>
      <c r="I144" s="2"/>
      <c r="J144" s="3" t="s">
        <v>141</v>
      </c>
      <c r="K144" s="2"/>
      <c r="L144" s="163" t="s">
        <v>151</v>
      </c>
      <c r="M144" s="24"/>
      <c r="N144" s="24" t="n">
        <v>0</v>
      </c>
      <c r="O144" s="24"/>
      <c r="P144" s="24" t="n">
        <v>0</v>
      </c>
      <c r="Q144" s="24"/>
      <c r="R144" s="24" t="n">
        <v>3500000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119"/>
      <c r="AJ144" s="24" t="n">
        <v>0</v>
      </c>
      <c r="AL144" s="24" t="n">
        <v>0</v>
      </c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4210113.22</v>
      </c>
      <c r="BC144" s="24"/>
      <c r="BD144" s="24" t="n">
        <v>0</v>
      </c>
      <c r="BF144" s="24" t="n">
        <v>0</v>
      </c>
      <c r="BH144" s="24" t="n">
        <v>0</v>
      </c>
      <c r="BJ144" s="24" t="n">
        <v>4364175</v>
      </c>
      <c r="BM144" s="24" t="n">
        <v>127353</v>
      </c>
      <c r="BO144" s="24" t="n">
        <f aca="false">687754</f>
        <v>687754</v>
      </c>
      <c r="BP144" s="24"/>
      <c r="BQ144" s="24" t="n">
        <f aca="false">SUM(T144:BP144)</f>
        <v>9389395.22</v>
      </c>
      <c r="BR144" s="24"/>
      <c r="BS144" s="24" t="n">
        <f aca="false">4500000+2900000</f>
        <v>7400000</v>
      </c>
      <c r="BU144" s="110" t="n">
        <v>1100000</v>
      </c>
      <c r="BV144" s="24"/>
      <c r="BW144" s="24" t="n">
        <f aca="false">+BQ144+BU144</f>
        <v>10489395.22</v>
      </c>
      <c r="BX144" s="24"/>
      <c r="BY144" s="24" t="n">
        <f aca="false">+R144-BW144</f>
        <v>-6989395.22</v>
      </c>
      <c r="BZ144" s="24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177"/>
      <c r="B145" s="160"/>
      <c r="C145" s="2"/>
      <c r="D145" s="2"/>
      <c r="E145" s="2"/>
      <c r="F145" s="2"/>
      <c r="G145" s="2"/>
      <c r="H145" s="2"/>
      <c r="I145" s="2"/>
      <c r="J145" s="3"/>
      <c r="K145" s="2"/>
      <c r="L145" s="179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119"/>
      <c r="AJ145" s="24"/>
      <c r="AL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F145" s="24"/>
      <c r="BH145" s="24"/>
      <c r="BJ145" s="24"/>
      <c r="BM145" s="24"/>
      <c r="BO145" s="24"/>
      <c r="BP145" s="24"/>
      <c r="BQ145" s="24"/>
      <c r="BR145" s="24"/>
      <c r="BS145" s="24"/>
      <c r="BU145" s="24"/>
      <c r="BV145" s="24"/>
      <c r="BW145" s="24"/>
      <c r="BX145" s="24"/>
      <c r="BY145" s="24"/>
      <c r="BZ145" s="24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97" t="s">
        <v>265</v>
      </c>
      <c r="B146" s="164"/>
      <c r="E146" s="119"/>
      <c r="G146" s="119"/>
      <c r="I146" s="119"/>
      <c r="L146" s="163"/>
      <c r="M146" s="110"/>
      <c r="O146" s="110"/>
      <c r="Q146" s="110"/>
      <c r="S146" s="110"/>
      <c r="T146" s="110"/>
      <c r="U146" s="110"/>
      <c r="V146" s="110"/>
      <c r="X146" s="110"/>
      <c r="Z146" s="110"/>
      <c r="AB146" s="110"/>
      <c r="AD146" s="110"/>
      <c r="AI146" s="119"/>
      <c r="BJ146" s="110"/>
      <c r="BM146" s="110"/>
      <c r="BO146" s="110"/>
      <c r="BP146" s="110"/>
      <c r="BS146" s="110"/>
      <c r="BZ146" s="110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  <c r="IR146" s="194"/>
      <c r="IS146" s="194"/>
      <c r="IT146" s="194"/>
      <c r="IU146" s="194"/>
      <c r="IV146" s="194"/>
      <c r="IW146" s="194"/>
    </row>
    <row r="147" customFormat="false" ht="12.75" hidden="true" customHeight="false" outlineLevel="0" collapsed="false">
      <c r="A147" s="196"/>
      <c r="B147" s="164" t="s">
        <v>266</v>
      </c>
      <c r="E147" s="119"/>
      <c r="G147" s="119"/>
      <c r="I147" s="119"/>
      <c r="L147" s="163" t="s">
        <v>151</v>
      </c>
      <c r="M147" s="110"/>
      <c r="N147" s="110" t="n">
        <v>0</v>
      </c>
      <c r="O147" s="110"/>
      <c r="P147" s="110" t="n">
        <v>0</v>
      </c>
      <c r="Q147" s="110"/>
      <c r="R147" s="110" t="n">
        <f aca="false">+N147+P147</f>
        <v>0</v>
      </c>
      <c r="S147" s="110"/>
      <c r="T147" s="110" t="n">
        <v>0</v>
      </c>
      <c r="U147" s="110"/>
      <c r="V147" s="110" t="n">
        <v>0</v>
      </c>
      <c r="X147" s="110" t="n">
        <v>0</v>
      </c>
      <c r="Z147" s="110" t="n">
        <v>0</v>
      </c>
      <c r="AB147" s="110" t="n">
        <v>0</v>
      </c>
      <c r="AD147" s="110" t="n">
        <v>0</v>
      </c>
      <c r="AF147" s="110" t="n">
        <v>0</v>
      </c>
      <c r="AH147" s="110" t="n">
        <v>0</v>
      </c>
      <c r="AI147" s="119"/>
      <c r="AJ147" s="110" t="n">
        <v>0</v>
      </c>
      <c r="AL147" s="110" t="n">
        <v>0</v>
      </c>
      <c r="AN147" s="110" t="n">
        <v>0</v>
      </c>
      <c r="AP147" s="110" t="n">
        <v>0</v>
      </c>
      <c r="AR147" s="110" t="n">
        <v>0</v>
      </c>
      <c r="AT147" s="110" t="n">
        <v>0</v>
      </c>
      <c r="AV147" s="110" t="n">
        <v>0</v>
      </c>
      <c r="AX147" s="110" t="n">
        <v>0</v>
      </c>
      <c r="AZ147" s="110" t="n">
        <v>0</v>
      </c>
      <c r="BB147" s="110" t="n">
        <v>0</v>
      </c>
      <c r="BD147" s="110" t="n">
        <v>0</v>
      </c>
      <c r="BF147" s="110" t="n">
        <v>0</v>
      </c>
      <c r="BH147" s="110" t="n">
        <v>0</v>
      </c>
      <c r="BJ147" s="110" t="n">
        <v>0</v>
      </c>
      <c r="BM147" s="110" t="n">
        <v>0</v>
      </c>
      <c r="BO147" s="110" t="n">
        <v>0</v>
      </c>
      <c r="BP147" s="110"/>
      <c r="BQ147" s="110" t="n">
        <f aca="false">SUM(T147:BM147)</f>
        <v>0</v>
      </c>
      <c r="BS147" s="110" t="n">
        <v>0</v>
      </c>
      <c r="BU147" s="110" t="n">
        <f aca="false">+R147-BQ147+BS147</f>
        <v>0</v>
      </c>
      <c r="BW147" s="110" t="n">
        <f aca="false">+BQ147+BU147</f>
        <v>0</v>
      </c>
      <c r="BY147" s="110" t="n">
        <f aca="false">+R147-BW147</f>
        <v>0</v>
      </c>
      <c r="BZ147" s="110"/>
      <c r="CA147" s="194"/>
      <c r="CB147" s="194"/>
      <c r="CC147" s="194"/>
      <c r="CD147" s="194"/>
      <c r="CE147" s="194"/>
      <c r="CF147" s="194"/>
      <c r="CG147" s="194"/>
      <c r="CH147" s="194"/>
      <c r="CI147" s="194"/>
      <c r="CJ147" s="194"/>
      <c r="CK147" s="194"/>
      <c r="CL147" s="194"/>
      <c r="CM147" s="194"/>
      <c r="CN147" s="194"/>
      <c r="CO147" s="194"/>
      <c r="CP147" s="194"/>
      <c r="CQ147" s="194"/>
      <c r="CR147" s="194"/>
      <c r="CS147" s="194"/>
      <c r="CT147" s="194"/>
      <c r="CU147" s="194"/>
      <c r="CV147" s="194"/>
      <c r="CW147" s="194"/>
      <c r="CX147" s="194"/>
      <c r="CY147" s="194"/>
      <c r="CZ147" s="194"/>
      <c r="DA147" s="194"/>
      <c r="DB147" s="194"/>
      <c r="DC147" s="194"/>
      <c r="DD147" s="194"/>
      <c r="DE147" s="194"/>
      <c r="DF147" s="194"/>
      <c r="DG147" s="194"/>
      <c r="DH147" s="194"/>
      <c r="DI147" s="194"/>
      <c r="DJ147" s="194"/>
      <c r="DK147" s="194"/>
      <c r="DL147" s="194"/>
      <c r="DM147" s="194"/>
      <c r="DN147" s="194"/>
      <c r="DO147" s="194"/>
      <c r="DP147" s="194"/>
      <c r="DQ147" s="194"/>
      <c r="DR147" s="194"/>
      <c r="DS147" s="194"/>
      <c r="DT147" s="194"/>
      <c r="DU147" s="194"/>
      <c r="DV147" s="194"/>
      <c r="DW147" s="194"/>
      <c r="DX147" s="194"/>
      <c r="DY147" s="194"/>
      <c r="DZ147" s="194"/>
      <c r="EA147" s="194"/>
      <c r="EB147" s="194"/>
      <c r="EC147" s="194"/>
      <c r="ED147" s="194"/>
      <c r="EE147" s="194"/>
      <c r="EF147" s="194"/>
      <c r="EG147" s="194"/>
      <c r="EH147" s="194"/>
      <c r="EI147" s="194"/>
      <c r="EJ147" s="194"/>
      <c r="EK147" s="194"/>
      <c r="EL147" s="194"/>
      <c r="EM147" s="194"/>
      <c r="EN147" s="194"/>
      <c r="EO147" s="194"/>
      <c r="EP147" s="194"/>
      <c r="EQ147" s="194"/>
      <c r="ER147" s="194"/>
      <c r="ES147" s="194"/>
      <c r="ET147" s="194"/>
      <c r="EU147" s="194"/>
      <c r="EV147" s="194"/>
      <c r="EW147" s="194"/>
      <c r="EX147" s="194"/>
      <c r="EY147" s="194"/>
      <c r="EZ147" s="194"/>
      <c r="FA147" s="194"/>
      <c r="FB147" s="194"/>
      <c r="FC147" s="194"/>
      <c r="FD147" s="194"/>
      <c r="FE147" s="194"/>
      <c r="FF147" s="194"/>
      <c r="FG147" s="194"/>
      <c r="FH147" s="194"/>
      <c r="FI147" s="194"/>
      <c r="FJ147" s="194"/>
      <c r="FK147" s="194"/>
      <c r="FL147" s="194"/>
      <c r="FM147" s="194"/>
      <c r="FN147" s="194"/>
      <c r="FO147" s="194"/>
      <c r="FP147" s="194"/>
      <c r="FQ147" s="194"/>
      <c r="FR147" s="194"/>
      <c r="FS147" s="194"/>
      <c r="FT147" s="194"/>
      <c r="FU147" s="194"/>
      <c r="FV147" s="194"/>
      <c r="FW147" s="194"/>
      <c r="FX147" s="194"/>
      <c r="FY147" s="194"/>
      <c r="FZ147" s="194"/>
      <c r="GA147" s="194"/>
      <c r="GB147" s="194"/>
      <c r="GC147" s="194"/>
      <c r="GD147" s="194"/>
      <c r="GE147" s="194"/>
      <c r="GF147" s="194"/>
      <c r="GG147" s="194"/>
      <c r="GH147" s="194"/>
      <c r="GI147" s="194"/>
      <c r="GJ147" s="194"/>
      <c r="GK147" s="194"/>
      <c r="GL147" s="194"/>
      <c r="GM147" s="194"/>
      <c r="GN147" s="194"/>
      <c r="GO147" s="194"/>
      <c r="GP147" s="194"/>
      <c r="GQ147" s="194"/>
      <c r="GR147" s="194"/>
      <c r="GS147" s="194"/>
      <c r="GT147" s="194"/>
      <c r="GU147" s="194"/>
      <c r="GV147" s="194"/>
      <c r="GW147" s="194"/>
      <c r="GX147" s="194"/>
      <c r="GY147" s="194"/>
      <c r="GZ147" s="194"/>
      <c r="HA147" s="194"/>
      <c r="HB147" s="194"/>
      <c r="HC147" s="194"/>
      <c r="HD147" s="194"/>
      <c r="HE147" s="194"/>
      <c r="HF147" s="194"/>
      <c r="HG147" s="194"/>
      <c r="HH147" s="194"/>
      <c r="HI147" s="194"/>
      <c r="HJ147" s="194"/>
      <c r="HK147" s="194"/>
      <c r="HL147" s="194"/>
      <c r="HM147" s="194"/>
      <c r="HN147" s="194"/>
      <c r="HO147" s="194"/>
      <c r="HP147" s="194"/>
      <c r="HQ147" s="194"/>
      <c r="HR147" s="194"/>
      <c r="HS147" s="194"/>
      <c r="HT147" s="194"/>
      <c r="HU147" s="194"/>
      <c r="HV147" s="194"/>
      <c r="HW147" s="194"/>
      <c r="HX147" s="194"/>
      <c r="HY147" s="194"/>
      <c r="HZ147" s="194"/>
      <c r="IA147" s="194"/>
      <c r="IB147" s="194"/>
      <c r="IC147" s="194"/>
      <c r="ID147" s="194"/>
      <c r="IE147" s="194"/>
      <c r="IF147" s="194"/>
      <c r="IG147" s="194"/>
      <c r="IH147" s="194"/>
      <c r="II147" s="194"/>
      <c r="IJ147" s="194"/>
      <c r="IK147" s="194"/>
      <c r="IL147" s="194"/>
      <c r="IM147" s="194"/>
      <c r="IN147" s="194"/>
      <c r="IO147" s="194"/>
      <c r="IP147" s="194"/>
      <c r="IQ147" s="194"/>
      <c r="IR147" s="194"/>
      <c r="IS147" s="194"/>
      <c r="IT147" s="194"/>
      <c r="IU147" s="194"/>
      <c r="IV147" s="194"/>
      <c r="IW147" s="194"/>
    </row>
    <row r="148" customFormat="false" ht="12.75" hidden="false" customHeight="false" outlineLevel="0" collapsed="false">
      <c r="A148" s="196"/>
      <c r="B148" s="164" t="s">
        <v>267</v>
      </c>
      <c r="E148" s="119"/>
      <c r="G148" s="119"/>
      <c r="I148" s="119"/>
      <c r="L148" s="163" t="s">
        <v>151</v>
      </c>
      <c r="M148" s="110"/>
      <c r="N148" s="110" t="n">
        <v>0</v>
      </c>
      <c r="O148" s="110"/>
      <c r="P148" s="110" t="n">
        <v>0</v>
      </c>
      <c r="Q148" s="110"/>
      <c r="R148" s="110" t="n">
        <v>1500000</v>
      </c>
      <c r="S148" s="110"/>
      <c r="T148" s="110" t="n">
        <v>0</v>
      </c>
      <c r="U148" s="110"/>
      <c r="V148" s="110" t="n">
        <v>0</v>
      </c>
      <c r="X148" s="110" t="n">
        <v>0</v>
      </c>
      <c r="Z148" s="110" t="n">
        <v>0</v>
      </c>
      <c r="AB148" s="110" t="n">
        <v>0</v>
      </c>
      <c r="AD148" s="110" t="n">
        <v>0</v>
      </c>
      <c r="AF148" s="110" t="n">
        <v>0</v>
      </c>
      <c r="AH148" s="110" t="n">
        <v>0</v>
      </c>
      <c r="AI148" s="119"/>
      <c r="AJ148" s="110" t="n">
        <v>0</v>
      </c>
      <c r="AL148" s="110" t="n">
        <v>0</v>
      </c>
      <c r="AN148" s="110" t="n">
        <v>0</v>
      </c>
      <c r="AP148" s="110" t="n">
        <v>0</v>
      </c>
      <c r="AR148" s="110" t="n">
        <v>0</v>
      </c>
      <c r="AT148" s="110" t="n">
        <v>0</v>
      </c>
      <c r="AV148" s="110" t="n">
        <v>0</v>
      </c>
      <c r="AX148" s="110" t="n">
        <v>0</v>
      </c>
      <c r="AZ148" s="110" t="n">
        <v>310380</v>
      </c>
      <c r="BB148" s="110" t="n">
        <v>1670726</v>
      </c>
      <c r="BD148" s="110" t="n">
        <v>-127637.5</v>
      </c>
      <c r="BF148" s="110" t="n">
        <v>0</v>
      </c>
      <c r="BH148" s="110" t="n">
        <v>0</v>
      </c>
      <c r="BJ148" s="110" t="n">
        <v>0</v>
      </c>
      <c r="BM148" s="110" t="n">
        <v>0</v>
      </c>
      <c r="BO148" s="110" t="n">
        <v>0</v>
      </c>
      <c r="BP148" s="110"/>
      <c r="BQ148" s="110" t="n">
        <f aca="false">SUM(T148:BP148)</f>
        <v>1853468.5</v>
      </c>
      <c r="BS148" s="110" t="n">
        <v>0</v>
      </c>
      <c r="BU148" s="110" t="n">
        <f aca="false">IF(+R148-BQ148+BS148&gt;0,R148-BQ148+BS148,0)</f>
        <v>0</v>
      </c>
      <c r="BW148" s="110" t="n">
        <f aca="false">+BQ148+BU148</f>
        <v>1853468.5</v>
      </c>
      <c r="BY148" s="110" t="n">
        <f aca="false">+R148-BW148</f>
        <v>-353468.5</v>
      </c>
      <c r="BZ148" s="110"/>
      <c r="CA148" s="194"/>
      <c r="CB148" s="194"/>
      <c r="CC148" s="194"/>
      <c r="CD148" s="194"/>
      <c r="CE148" s="194"/>
      <c r="CF148" s="194"/>
      <c r="CG148" s="194"/>
      <c r="CH148" s="194"/>
      <c r="CI148" s="194"/>
      <c r="CJ148" s="194"/>
      <c r="CK148" s="194"/>
      <c r="CL148" s="194"/>
      <c r="CM148" s="194"/>
      <c r="CN148" s="194"/>
      <c r="CO148" s="194"/>
      <c r="CP148" s="194"/>
      <c r="CQ148" s="194"/>
      <c r="CR148" s="194"/>
      <c r="CS148" s="194"/>
      <c r="CT148" s="194"/>
      <c r="CU148" s="194"/>
      <c r="CV148" s="194"/>
      <c r="CW148" s="194"/>
      <c r="CX148" s="194"/>
      <c r="CY148" s="194"/>
      <c r="CZ148" s="194"/>
      <c r="DA148" s="194"/>
      <c r="DB148" s="194"/>
      <c r="DC148" s="194"/>
      <c r="DD148" s="194"/>
      <c r="DE148" s="194"/>
      <c r="DF148" s="194"/>
      <c r="DG148" s="194"/>
      <c r="DH148" s="194"/>
      <c r="DI148" s="194"/>
      <c r="DJ148" s="194"/>
      <c r="DK148" s="194"/>
      <c r="DL148" s="194"/>
      <c r="DM148" s="194"/>
      <c r="DN148" s="194"/>
      <c r="DO148" s="194"/>
      <c r="DP148" s="194"/>
      <c r="DQ148" s="194"/>
      <c r="DR148" s="194"/>
      <c r="DS148" s="194"/>
      <c r="DT148" s="194"/>
      <c r="DU148" s="194"/>
      <c r="DV148" s="194"/>
      <c r="DW148" s="194"/>
      <c r="DX148" s="194"/>
      <c r="DY148" s="194"/>
      <c r="DZ148" s="194"/>
      <c r="EA148" s="194"/>
      <c r="EB148" s="194"/>
      <c r="EC148" s="194"/>
      <c r="ED148" s="194"/>
      <c r="EE148" s="194"/>
      <c r="EF148" s="194"/>
      <c r="EG148" s="194"/>
      <c r="EH148" s="194"/>
      <c r="EI148" s="194"/>
      <c r="EJ148" s="194"/>
      <c r="EK148" s="194"/>
      <c r="EL148" s="194"/>
      <c r="EM148" s="194"/>
      <c r="EN148" s="194"/>
      <c r="EO148" s="194"/>
      <c r="EP148" s="194"/>
      <c r="EQ148" s="194"/>
      <c r="ER148" s="194"/>
      <c r="ES148" s="194"/>
      <c r="ET148" s="194"/>
      <c r="EU148" s="194"/>
      <c r="EV148" s="194"/>
      <c r="EW148" s="194"/>
      <c r="EX148" s="194"/>
      <c r="EY148" s="194"/>
      <c r="EZ148" s="194"/>
      <c r="FA148" s="194"/>
      <c r="FB148" s="194"/>
      <c r="FC148" s="194"/>
      <c r="FD148" s="194"/>
      <c r="FE148" s="194"/>
      <c r="FF148" s="194"/>
      <c r="FG148" s="194"/>
      <c r="FH148" s="194"/>
      <c r="FI148" s="194"/>
      <c r="FJ148" s="194"/>
      <c r="FK148" s="194"/>
      <c r="FL148" s="194"/>
      <c r="FM148" s="194"/>
      <c r="FN148" s="194"/>
      <c r="FO148" s="194"/>
      <c r="FP148" s="194"/>
      <c r="FQ148" s="194"/>
      <c r="FR148" s="194"/>
      <c r="FS148" s="194"/>
      <c r="FT148" s="194"/>
      <c r="FU148" s="194"/>
      <c r="FV148" s="194"/>
      <c r="FW148" s="194"/>
      <c r="FX148" s="194"/>
      <c r="FY148" s="194"/>
      <c r="FZ148" s="194"/>
      <c r="GA148" s="194"/>
      <c r="GB148" s="194"/>
      <c r="GC148" s="194"/>
      <c r="GD148" s="194"/>
      <c r="GE148" s="194"/>
      <c r="GF148" s="194"/>
      <c r="GG148" s="194"/>
      <c r="GH148" s="194"/>
      <c r="GI148" s="194"/>
      <c r="GJ148" s="194"/>
      <c r="GK148" s="194"/>
      <c r="GL148" s="194"/>
      <c r="GM148" s="194"/>
      <c r="GN148" s="194"/>
      <c r="GO148" s="194"/>
      <c r="GP148" s="194"/>
      <c r="GQ148" s="194"/>
      <c r="GR148" s="194"/>
      <c r="GS148" s="194"/>
      <c r="GT148" s="194"/>
      <c r="GU148" s="194"/>
      <c r="GV148" s="194"/>
      <c r="GW148" s="194"/>
      <c r="GX148" s="194"/>
      <c r="GY148" s="194"/>
      <c r="GZ148" s="194"/>
      <c r="HA148" s="194"/>
      <c r="HB148" s="194"/>
      <c r="HC148" s="194"/>
      <c r="HD148" s="194"/>
      <c r="HE148" s="194"/>
      <c r="HF148" s="194"/>
      <c r="HG148" s="194"/>
      <c r="HH148" s="194"/>
      <c r="HI148" s="194"/>
      <c r="HJ148" s="194"/>
      <c r="HK148" s="194"/>
      <c r="HL148" s="194"/>
      <c r="HM148" s="194"/>
      <c r="HN148" s="194"/>
      <c r="HO148" s="194"/>
      <c r="HP148" s="194"/>
      <c r="HQ148" s="194"/>
      <c r="HR148" s="194"/>
      <c r="HS148" s="194"/>
      <c r="HT148" s="194"/>
      <c r="HU148" s="194"/>
      <c r="HV148" s="194"/>
      <c r="HW148" s="194"/>
      <c r="HX148" s="194"/>
      <c r="HY148" s="194"/>
      <c r="HZ148" s="194"/>
      <c r="IA148" s="194"/>
      <c r="IB148" s="194"/>
      <c r="IC148" s="194"/>
      <c r="ID148" s="194"/>
      <c r="IE148" s="194"/>
      <c r="IF148" s="194"/>
      <c r="IG148" s="194"/>
      <c r="IH148" s="194"/>
      <c r="II148" s="194"/>
      <c r="IJ148" s="194"/>
      <c r="IK148" s="194"/>
      <c r="IL148" s="194"/>
      <c r="IM148" s="194"/>
      <c r="IN148" s="194"/>
      <c r="IO148" s="194"/>
      <c r="IP148" s="194"/>
      <c r="IQ148" s="194"/>
      <c r="IR148" s="194"/>
      <c r="IS148" s="194"/>
      <c r="IT148" s="194"/>
      <c r="IU148" s="194"/>
      <c r="IV148" s="194"/>
      <c r="IW148" s="194"/>
    </row>
    <row r="149" customFormat="false" ht="12.75" hidden="true" customHeight="false" outlineLevel="0" collapsed="false">
      <c r="A149" s="196"/>
      <c r="B149" s="164" t="s">
        <v>128</v>
      </c>
      <c r="E149" s="119"/>
      <c r="G149" s="119"/>
      <c r="I149" s="119"/>
      <c r="L149" s="163" t="s">
        <v>151</v>
      </c>
      <c r="M149" s="110"/>
      <c r="N149" s="110" t="n">
        <v>0</v>
      </c>
      <c r="O149" s="110"/>
      <c r="P149" s="110" t="n">
        <v>0</v>
      </c>
      <c r="Q149" s="110"/>
      <c r="R149" s="110" t="n">
        <v>0</v>
      </c>
      <c r="S149" s="110"/>
      <c r="T149" s="110" t="n">
        <v>0</v>
      </c>
      <c r="U149" s="110"/>
      <c r="V149" s="110" t="n">
        <v>0</v>
      </c>
      <c r="X149" s="110" t="n">
        <v>0</v>
      </c>
      <c r="Z149" s="110" t="n">
        <v>0</v>
      </c>
      <c r="AB149" s="110" t="n">
        <v>0</v>
      </c>
      <c r="AD149" s="110" t="n">
        <v>0</v>
      </c>
      <c r="AF149" s="110" t="n">
        <v>0</v>
      </c>
      <c r="AH149" s="110" t="n">
        <v>0</v>
      </c>
      <c r="AI149" s="119"/>
      <c r="AJ149" s="110" t="n">
        <v>0</v>
      </c>
      <c r="AL149" s="110" t="n">
        <v>0</v>
      </c>
      <c r="AN149" s="110" t="n">
        <v>0</v>
      </c>
      <c r="AP149" s="110" t="n">
        <v>0</v>
      </c>
      <c r="AR149" s="110" t="n">
        <v>0</v>
      </c>
      <c r="AT149" s="110" t="n">
        <v>0</v>
      </c>
      <c r="AV149" s="110" t="n">
        <v>0</v>
      </c>
      <c r="AX149" s="110" t="n">
        <v>0</v>
      </c>
      <c r="AZ149" s="110" t="n">
        <v>0</v>
      </c>
      <c r="BB149" s="110" t="n">
        <v>0</v>
      </c>
      <c r="BD149" s="110" t="n">
        <v>0</v>
      </c>
      <c r="BF149" s="110" t="n">
        <v>0</v>
      </c>
      <c r="BH149" s="110" t="n">
        <v>0</v>
      </c>
      <c r="BJ149" s="110" t="n">
        <v>0</v>
      </c>
      <c r="BM149" s="110" t="n">
        <v>0</v>
      </c>
      <c r="BO149" s="110" t="n">
        <v>0</v>
      </c>
      <c r="BP149" s="110"/>
      <c r="BQ149" s="110" t="n">
        <f aca="false">SUM(T149:BM149)</f>
        <v>0</v>
      </c>
      <c r="BS149" s="110" t="n">
        <v>0</v>
      </c>
      <c r="BU149" s="110" t="n">
        <f aca="false">+R149-BQ149+BS149</f>
        <v>0</v>
      </c>
      <c r="BW149" s="110" t="n">
        <f aca="false">+BQ149+BU149</f>
        <v>0</v>
      </c>
      <c r="BY149" s="110" t="n">
        <f aca="false">+R149-BW149</f>
        <v>0</v>
      </c>
      <c r="BZ149" s="110"/>
      <c r="CA149" s="194"/>
      <c r="CB149" s="194"/>
      <c r="CC149" s="194"/>
      <c r="CD149" s="194"/>
      <c r="CE149" s="194"/>
      <c r="CF149" s="194"/>
      <c r="CG149" s="194"/>
      <c r="CH149" s="194"/>
      <c r="CI149" s="194"/>
      <c r="CJ149" s="194"/>
      <c r="CK149" s="194"/>
      <c r="CL149" s="194"/>
      <c r="CM149" s="194"/>
      <c r="CN149" s="194"/>
      <c r="CO149" s="194"/>
      <c r="CP149" s="194"/>
      <c r="CQ149" s="194"/>
      <c r="CR149" s="194"/>
      <c r="CS149" s="194"/>
      <c r="CT149" s="194"/>
      <c r="CU149" s="194"/>
      <c r="CV149" s="194"/>
      <c r="CW149" s="194"/>
      <c r="CX149" s="194"/>
      <c r="CY149" s="194"/>
      <c r="CZ149" s="194"/>
      <c r="DA149" s="194"/>
      <c r="DB149" s="194"/>
      <c r="DC149" s="194"/>
      <c r="DD149" s="194"/>
      <c r="DE149" s="194"/>
      <c r="DF149" s="194"/>
      <c r="DG149" s="194"/>
      <c r="DH149" s="194"/>
      <c r="DI149" s="194"/>
      <c r="DJ149" s="194"/>
      <c r="DK149" s="194"/>
      <c r="DL149" s="194"/>
      <c r="DM149" s="194"/>
      <c r="DN149" s="194"/>
      <c r="DO149" s="194"/>
      <c r="DP149" s="194"/>
      <c r="DQ149" s="194"/>
      <c r="DR149" s="194"/>
      <c r="DS149" s="194"/>
      <c r="DT149" s="194"/>
      <c r="DU149" s="194"/>
      <c r="DV149" s="194"/>
      <c r="DW149" s="194"/>
      <c r="DX149" s="194"/>
      <c r="DY149" s="194"/>
      <c r="DZ149" s="194"/>
      <c r="EA149" s="194"/>
      <c r="EB149" s="194"/>
      <c r="EC149" s="194"/>
      <c r="ED149" s="194"/>
      <c r="EE149" s="194"/>
      <c r="EF149" s="194"/>
      <c r="EG149" s="194"/>
      <c r="EH149" s="194"/>
      <c r="EI149" s="194"/>
      <c r="EJ149" s="194"/>
      <c r="EK149" s="194"/>
      <c r="EL149" s="194"/>
      <c r="EM149" s="194"/>
      <c r="EN149" s="194"/>
      <c r="EO149" s="194"/>
      <c r="EP149" s="194"/>
      <c r="EQ149" s="194"/>
      <c r="ER149" s="194"/>
      <c r="ES149" s="194"/>
      <c r="ET149" s="194"/>
      <c r="EU149" s="194"/>
      <c r="EV149" s="194"/>
      <c r="EW149" s="194"/>
      <c r="EX149" s="194"/>
      <c r="EY149" s="194"/>
      <c r="EZ149" s="194"/>
      <c r="FA149" s="194"/>
      <c r="FB149" s="194"/>
      <c r="FC149" s="194"/>
      <c r="FD149" s="194"/>
      <c r="FE149" s="194"/>
      <c r="FF149" s="194"/>
      <c r="FG149" s="194"/>
      <c r="FH149" s="194"/>
      <c r="FI149" s="194"/>
      <c r="FJ149" s="194"/>
      <c r="FK149" s="194"/>
      <c r="FL149" s="194"/>
      <c r="FM149" s="194"/>
      <c r="FN149" s="194"/>
      <c r="FO149" s="194"/>
      <c r="FP149" s="194"/>
      <c r="FQ149" s="194"/>
      <c r="FR149" s="194"/>
      <c r="FS149" s="194"/>
      <c r="FT149" s="194"/>
      <c r="FU149" s="194"/>
      <c r="FV149" s="194"/>
      <c r="FW149" s="194"/>
      <c r="FX149" s="194"/>
      <c r="FY149" s="194"/>
      <c r="FZ149" s="194"/>
      <c r="GA149" s="194"/>
      <c r="GB149" s="194"/>
      <c r="GC149" s="194"/>
      <c r="GD149" s="194"/>
      <c r="GE149" s="194"/>
      <c r="GF149" s="194"/>
      <c r="GG149" s="194"/>
      <c r="GH149" s="194"/>
      <c r="GI149" s="194"/>
      <c r="GJ149" s="194"/>
      <c r="GK149" s="194"/>
      <c r="GL149" s="194"/>
      <c r="GM149" s="194"/>
      <c r="GN149" s="194"/>
      <c r="GO149" s="194"/>
      <c r="GP149" s="194"/>
      <c r="GQ149" s="194"/>
      <c r="GR149" s="194"/>
      <c r="GS149" s="194"/>
      <c r="GT149" s="194"/>
      <c r="GU149" s="194"/>
      <c r="GV149" s="194"/>
      <c r="GW149" s="194"/>
      <c r="GX149" s="194"/>
      <c r="GY149" s="194"/>
      <c r="GZ149" s="194"/>
      <c r="HA149" s="194"/>
      <c r="HB149" s="194"/>
      <c r="HC149" s="194"/>
      <c r="HD149" s="194"/>
      <c r="HE149" s="194"/>
      <c r="HF149" s="194"/>
      <c r="HG149" s="194"/>
      <c r="HH149" s="194"/>
      <c r="HI149" s="194"/>
      <c r="HJ149" s="194"/>
      <c r="HK149" s="194"/>
      <c r="HL149" s="194"/>
      <c r="HM149" s="194"/>
      <c r="HN149" s="194"/>
      <c r="HO149" s="194"/>
      <c r="HP149" s="194"/>
      <c r="HQ149" s="194"/>
      <c r="HR149" s="194"/>
      <c r="HS149" s="194"/>
      <c r="HT149" s="194"/>
      <c r="HU149" s="194"/>
      <c r="HV149" s="194"/>
      <c r="HW149" s="194"/>
      <c r="HX149" s="194"/>
      <c r="HY149" s="194"/>
      <c r="HZ149" s="194"/>
      <c r="IA149" s="194"/>
      <c r="IB149" s="194"/>
      <c r="IC149" s="194"/>
      <c r="ID149" s="194"/>
      <c r="IE149" s="194"/>
      <c r="IF149" s="194"/>
      <c r="IG149" s="194"/>
      <c r="IH149" s="194"/>
      <c r="II149" s="194"/>
      <c r="IJ149" s="194"/>
      <c r="IK149" s="194"/>
      <c r="IL149" s="194"/>
      <c r="IM149" s="194"/>
      <c r="IN149" s="194"/>
      <c r="IO149" s="194"/>
      <c r="IP149" s="194"/>
      <c r="IQ149" s="194"/>
      <c r="IR149" s="194"/>
      <c r="IS149" s="194"/>
      <c r="IT149" s="194"/>
      <c r="IU149" s="194"/>
      <c r="IV149" s="194"/>
      <c r="IW149" s="194"/>
    </row>
    <row r="150" customFormat="false" ht="12.75" hidden="false" customHeight="false" outlineLevel="0" collapsed="false">
      <c r="A150" s="197"/>
      <c r="B150" s="177" t="s">
        <v>268</v>
      </c>
      <c r="C150" s="2"/>
      <c r="D150" s="2"/>
      <c r="E150" s="2"/>
      <c r="F150" s="2"/>
      <c r="G150" s="2"/>
      <c r="H150" s="2"/>
      <c r="I150" s="2"/>
      <c r="J150" s="3"/>
      <c r="K150" s="2"/>
      <c r="L150" s="179"/>
      <c r="M150" s="24"/>
      <c r="N150" s="198" t="n">
        <f aca="false">SUM(N147:N149)</f>
        <v>0</v>
      </c>
      <c r="O150" s="24"/>
      <c r="P150" s="198" t="n">
        <f aca="false">SUM(P147:P149)</f>
        <v>0</v>
      </c>
      <c r="Q150" s="24"/>
      <c r="R150" s="198" t="n">
        <f aca="false">SUM(R147:R149)</f>
        <v>1500000</v>
      </c>
      <c r="S150" s="24"/>
      <c r="T150" s="198" t="n">
        <f aca="false">SUM(T147:T149)</f>
        <v>0</v>
      </c>
      <c r="U150" s="24"/>
      <c r="V150" s="198" t="n">
        <f aca="false">SUM(V147:V149)</f>
        <v>0</v>
      </c>
      <c r="W150" s="24"/>
      <c r="X150" s="198" t="n">
        <f aca="false">SUM(X147:X149)</f>
        <v>0</v>
      </c>
      <c r="Y150" s="24"/>
      <c r="Z150" s="198" t="n">
        <f aca="false">SUM(Z147:Z149)</f>
        <v>0</v>
      </c>
      <c r="AA150" s="24"/>
      <c r="AB150" s="198" t="n">
        <f aca="false">SUM(AB147:AB149)</f>
        <v>0</v>
      </c>
      <c r="AC150" s="24"/>
      <c r="AD150" s="198" t="n">
        <f aca="false">SUM(AD147:AD149)</f>
        <v>0</v>
      </c>
      <c r="AE150" s="24"/>
      <c r="AF150" s="198" t="n">
        <f aca="false">SUM(AF147:AF149)</f>
        <v>0</v>
      </c>
      <c r="AG150" s="24"/>
      <c r="AH150" s="198" t="n">
        <f aca="false">SUM(AH147:AH149)</f>
        <v>0</v>
      </c>
      <c r="AI150" s="119"/>
      <c r="AJ150" s="198" t="n">
        <f aca="false">SUM(AJ147:AJ149)</f>
        <v>0</v>
      </c>
      <c r="AL150" s="198" t="n">
        <f aca="false">SUM(AL147:AL149)</f>
        <v>0</v>
      </c>
      <c r="AN150" s="198" t="n">
        <f aca="false">SUM(AN147:AN149)</f>
        <v>0</v>
      </c>
      <c r="AO150" s="24"/>
      <c r="AP150" s="198" t="n">
        <f aca="false">SUM(AP147:AP149)</f>
        <v>0</v>
      </c>
      <c r="AQ150" s="24"/>
      <c r="AR150" s="198" t="n">
        <f aca="false">SUM(AR147:AR149)</f>
        <v>0</v>
      </c>
      <c r="AS150" s="24"/>
      <c r="AT150" s="198" t="n">
        <f aca="false">SUM(AT147:AT149)</f>
        <v>0</v>
      </c>
      <c r="AU150" s="24"/>
      <c r="AV150" s="198" t="n">
        <f aca="false">SUM(AV147:AV149)</f>
        <v>0</v>
      </c>
      <c r="AW150" s="24"/>
      <c r="AX150" s="198" t="n">
        <f aca="false">SUM(AX147:AX149)</f>
        <v>0</v>
      </c>
      <c r="AY150" s="24"/>
      <c r="AZ150" s="198" t="n">
        <f aca="false">SUM(AZ147:AZ149)</f>
        <v>310380</v>
      </c>
      <c r="BA150" s="24"/>
      <c r="BB150" s="198" t="n">
        <f aca="false">SUM(BB147:BB149)</f>
        <v>1670726</v>
      </c>
      <c r="BC150" s="24"/>
      <c r="BD150" s="198" t="n">
        <f aca="false">SUM(BD147:BD149)</f>
        <v>-127637.5</v>
      </c>
      <c r="BF150" s="198" t="n">
        <f aca="false">SUM(BF147:BF149)</f>
        <v>0</v>
      </c>
      <c r="BH150" s="198" t="n">
        <f aca="false">SUM(BH147:BH149)</f>
        <v>0</v>
      </c>
      <c r="BJ150" s="198" t="n">
        <f aca="false">SUM(BJ147:BJ149)</f>
        <v>0</v>
      </c>
      <c r="BM150" s="198" t="n">
        <f aca="false">SUM(BM147:BM149)</f>
        <v>0</v>
      </c>
      <c r="BO150" s="198" t="n">
        <f aca="false">SUM(BO147:BO149)</f>
        <v>0</v>
      </c>
      <c r="BP150" s="198"/>
      <c r="BQ150" s="198" t="n">
        <f aca="false">SUM(BQ147:BQ149)</f>
        <v>1853468.5</v>
      </c>
      <c r="BR150" s="198"/>
      <c r="BS150" s="198" t="n">
        <f aca="false">SUM(BS147:BS149)</f>
        <v>0</v>
      </c>
      <c r="BU150" s="198" t="n">
        <f aca="false">SUM(BU147:BU149)</f>
        <v>0</v>
      </c>
      <c r="BV150" s="24"/>
      <c r="BW150" s="198" t="n">
        <f aca="false">SUM(BW147:BW149)</f>
        <v>1853468.5</v>
      </c>
      <c r="BX150" s="24"/>
      <c r="BY150" s="198" t="n">
        <f aca="false">SUM(BY147:BY149)</f>
        <v>-353468.5</v>
      </c>
      <c r="BZ150" s="24"/>
      <c r="CA150" s="199"/>
      <c r="CB150" s="199"/>
      <c r="CC150" s="199"/>
      <c r="CD150" s="199"/>
      <c r="CE150" s="199"/>
      <c r="CF150" s="199"/>
      <c r="CG150" s="199"/>
      <c r="CH150" s="199"/>
      <c r="CI150" s="199"/>
      <c r="CJ150" s="199"/>
      <c r="CK150" s="199"/>
      <c r="CL150" s="199"/>
      <c r="CM150" s="199"/>
      <c r="CN150" s="199"/>
      <c r="CO150" s="199"/>
      <c r="CP150" s="199"/>
      <c r="CQ150" s="199"/>
      <c r="CR150" s="199"/>
      <c r="CS150" s="199"/>
      <c r="CT150" s="199"/>
      <c r="CU150" s="199"/>
      <c r="CV150" s="199"/>
      <c r="CW150" s="199"/>
      <c r="CX150" s="199"/>
      <c r="CY150" s="199"/>
      <c r="CZ150" s="199"/>
      <c r="DA150" s="199"/>
      <c r="DB150" s="199"/>
      <c r="DC150" s="199"/>
      <c r="DD150" s="199"/>
      <c r="DE150" s="199"/>
      <c r="DF150" s="199"/>
      <c r="DG150" s="199"/>
      <c r="DH150" s="199"/>
      <c r="DI150" s="199"/>
      <c r="DJ150" s="199"/>
      <c r="DK150" s="199"/>
      <c r="DL150" s="199"/>
      <c r="DM150" s="199"/>
      <c r="DN150" s="199"/>
      <c r="DO150" s="199"/>
      <c r="DP150" s="199"/>
      <c r="DQ150" s="199"/>
      <c r="DR150" s="199"/>
      <c r="DS150" s="199"/>
      <c r="DT150" s="199"/>
      <c r="DU150" s="199"/>
      <c r="DV150" s="199"/>
      <c r="DW150" s="199"/>
      <c r="DX150" s="199"/>
      <c r="DY150" s="199"/>
      <c r="DZ150" s="199"/>
      <c r="EA150" s="199"/>
      <c r="EB150" s="199"/>
      <c r="EC150" s="199"/>
      <c r="ED150" s="199"/>
      <c r="EE150" s="199"/>
      <c r="EF150" s="199"/>
      <c r="EG150" s="199"/>
      <c r="EH150" s="199"/>
      <c r="EI150" s="199"/>
      <c r="EJ150" s="199"/>
      <c r="EK150" s="199"/>
      <c r="EL150" s="199"/>
      <c r="EM150" s="199"/>
      <c r="EN150" s="199"/>
      <c r="EO150" s="199"/>
      <c r="EP150" s="199"/>
      <c r="EQ150" s="199"/>
      <c r="ER150" s="199"/>
      <c r="ES150" s="199"/>
      <c r="ET150" s="199"/>
      <c r="EU150" s="199"/>
      <c r="EV150" s="199"/>
      <c r="EW150" s="199"/>
      <c r="EX150" s="199"/>
      <c r="EY150" s="199"/>
      <c r="EZ150" s="199"/>
      <c r="FA150" s="199"/>
      <c r="FB150" s="199"/>
      <c r="FC150" s="199"/>
      <c r="FD150" s="199"/>
      <c r="FE150" s="199"/>
      <c r="FF150" s="199"/>
      <c r="FG150" s="199"/>
      <c r="FH150" s="199"/>
      <c r="FI150" s="199"/>
      <c r="FJ150" s="199"/>
      <c r="FK150" s="199"/>
      <c r="FL150" s="199"/>
      <c r="FM150" s="199"/>
      <c r="FN150" s="199"/>
      <c r="FO150" s="199"/>
      <c r="FP150" s="199"/>
      <c r="FQ150" s="199"/>
      <c r="FR150" s="199"/>
      <c r="FS150" s="199"/>
      <c r="FT150" s="199"/>
      <c r="FU150" s="199"/>
      <c r="FV150" s="199"/>
      <c r="FW150" s="199"/>
      <c r="FX150" s="199"/>
      <c r="FY150" s="199"/>
      <c r="FZ150" s="199"/>
      <c r="GA150" s="199"/>
      <c r="GB150" s="199"/>
      <c r="GC150" s="199"/>
      <c r="GD150" s="199"/>
      <c r="GE150" s="199"/>
      <c r="GF150" s="199"/>
      <c r="GG150" s="199"/>
      <c r="GH150" s="199"/>
      <c r="GI150" s="199"/>
      <c r="GJ150" s="199"/>
      <c r="GK150" s="199"/>
      <c r="GL150" s="199"/>
      <c r="GM150" s="199"/>
      <c r="GN150" s="199"/>
      <c r="GO150" s="199"/>
      <c r="GP150" s="199"/>
      <c r="GQ150" s="199"/>
      <c r="GR150" s="199"/>
      <c r="GS150" s="199"/>
      <c r="GT150" s="199"/>
      <c r="GU150" s="199"/>
      <c r="GV150" s="199"/>
      <c r="GW150" s="199"/>
      <c r="GX150" s="199"/>
      <c r="GY150" s="199"/>
      <c r="GZ150" s="199"/>
      <c r="HA150" s="199"/>
      <c r="HB150" s="199"/>
      <c r="HC150" s="199"/>
      <c r="HD150" s="199"/>
      <c r="HE150" s="199"/>
      <c r="HF150" s="199"/>
      <c r="HG150" s="199"/>
      <c r="HH150" s="199"/>
      <c r="HI150" s="199"/>
      <c r="HJ150" s="199"/>
      <c r="HK150" s="199"/>
      <c r="HL150" s="199"/>
      <c r="HM150" s="199"/>
      <c r="HN150" s="199"/>
      <c r="HO150" s="199"/>
      <c r="HP150" s="199"/>
      <c r="HQ150" s="199"/>
      <c r="HR150" s="199"/>
      <c r="HS150" s="199"/>
      <c r="HT150" s="199"/>
      <c r="HU150" s="199"/>
      <c r="HV150" s="199"/>
      <c r="HW150" s="199"/>
      <c r="HX150" s="199"/>
      <c r="HY150" s="199"/>
      <c r="HZ150" s="199"/>
      <c r="IA150" s="199"/>
      <c r="IB150" s="199"/>
      <c r="IC150" s="199"/>
      <c r="ID150" s="199"/>
      <c r="IE150" s="199"/>
      <c r="IF150" s="199"/>
      <c r="IG150" s="199"/>
      <c r="IH150" s="199"/>
      <c r="II150" s="199"/>
      <c r="IJ150" s="199"/>
      <c r="IK150" s="199"/>
      <c r="IL150" s="199"/>
      <c r="IM150" s="199"/>
      <c r="IN150" s="199"/>
      <c r="IO150" s="199"/>
      <c r="IP150" s="199"/>
      <c r="IQ150" s="199"/>
      <c r="IR150" s="199"/>
      <c r="IS150" s="199"/>
      <c r="IT150" s="199"/>
      <c r="IU150" s="199"/>
      <c r="IV150" s="199"/>
      <c r="IW150" s="199"/>
    </row>
    <row r="151" customFormat="false" ht="12.75" hidden="false" customHeight="false" outlineLevel="0" collapsed="false">
      <c r="A151" s="197"/>
      <c r="B151" s="177"/>
      <c r="C151" s="2"/>
      <c r="D151" s="2"/>
      <c r="E151" s="2"/>
      <c r="F151" s="2"/>
      <c r="G151" s="2"/>
      <c r="H151" s="2"/>
      <c r="I151" s="2"/>
      <c r="J151" s="3"/>
      <c r="K151" s="2"/>
      <c r="L151" s="179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119"/>
      <c r="AJ151" s="24"/>
      <c r="AL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F151" s="24"/>
      <c r="BH151" s="24"/>
      <c r="BJ151" s="24"/>
      <c r="BM151" s="24"/>
      <c r="BO151" s="24"/>
      <c r="BP151" s="24"/>
      <c r="BQ151" s="24"/>
      <c r="BR151" s="24"/>
      <c r="BS151" s="24"/>
      <c r="BU151" s="24"/>
      <c r="BV151" s="24"/>
      <c r="BW151" s="24"/>
      <c r="BX151" s="24"/>
      <c r="BY151" s="24"/>
      <c r="BZ151" s="24"/>
      <c r="CA151" s="199"/>
      <c r="CB151" s="199"/>
      <c r="CC151" s="199"/>
      <c r="CD151" s="199"/>
      <c r="CE151" s="199"/>
      <c r="CF151" s="199"/>
      <c r="CG151" s="199"/>
      <c r="CH151" s="199"/>
      <c r="CI151" s="199"/>
      <c r="CJ151" s="199"/>
      <c r="CK151" s="199"/>
      <c r="CL151" s="199"/>
      <c r="CM151" s="199"/>
      <c r="CN151" s="199"/>
      <c r="CO151" s="199"/>
      <c r="CP151" s="199"/>
      <c r="CQ151" s="199"/>
      <c r="CR151" s="199"/>
      <c r="CS151" s="199"/>
      <c r="CT151" s="199"/>
      <c r="CU151" s="199"/>
      <c r="CV151" s="199"/>
      <c r="CW151" s="199"/>
      <c r="CX151" s="199"/>
      <c r="CY151" s="199"/>
      <c r="CZ151" s="199"/>
      <c r="DA151" s="199"/>
      <c r="DB151" s="199"/>
      <c r="DC151" s="199"/>
      <c r="DD151" s="199"/>
      <c r="DE151" s="199"/>
      <c r="DF151" s="199"/>
      <c r="DG151" s="199"/>
      <c r="DH151" s="199"/>
      <c r="DI151" s="199"/>
      <c r="DJ151" s="199"/>
      <c r="DK151" s="199"/>
      <c r="DL151" s="199"/>
      <c r="DM151" s="199"/>
      <c r="DN151" s="199"/>
      <c r="DO151" s="199"/>
      <c r="DP151" s="199"/>
      <c r="DQ151" s="199"/>
      <c r="DR151" s="199"/>
      <c r="DS151" s="199"/>
      <c r="DT151" s="199"/>
      <c r="DU151" s="199"/>
      <c r="DV151" s="199"/>
      <c r="DW151" s="199"/>
      <c r="DX151" s="199"/>
      <c r="DY151" s="199"/>
      <c r="DZ151" s="199"/>
      <c r="EA151" s="199"/>
      <c r="EB151" s="199"/>
      <c r="EC151" s="199"/>
      <c r="ED151" s="199"/>
      <c r="EE151" s="199"/>
      <c r="EF151" s="199"/>
      <c r="EG151" s="199"/>
      <c r="EH151" s="199"/>
      <c r="EI151" s="199"/>
      <c r="EJ151" s="199"/>
      <c r="EK151" s="199"/>
      <c r="EL151" s="199"/>
      <c r="EM151" s="199"/>
      <c r="EN151" s="199"/>
      <c r="EO151" s="199"/>
      <c r="EP151" s="199"/>
      <c r="EQ151" s="199"/>
      <c r="ER151" s="199"/>
      <c r="ES151" s="199"/>
      <c r="ET151" s="199"/>
      <c r="EU151" s="199"/>
      <c r="EV151" s="199"/>
      <c r="EW151" s="199"/>
      <c r="EX151" s="199"/>
      <c r="EY151" s="199"/>
      <c r="EZ151" s="199"/>
      <c r="FA151" s="199"/>
      <c r="FB151" s="199"/>
      <c r="FC151" s="199"/>
      <c r="FD151" s="199"/>
      <c r="FE151" s="199"/>
      <c r="FF151" s="199"/>
      <c r="FG151" s="199"/>
      <c r="FH151" s="199"/>
      <c r="FI151" s="199"/>
      <c r="FJ151" s="199"/>
      <c r="FK151" s="199"/>
      <c r="FL151" s="199"/>
      <c r="FM151" s="199"/>
      <c r="FN151" s="199"/>
      <c r="FO151" s="199"/>
      <c r="FP151" s="199"/>
      <c r="FQ151" s="199"/>
      <c r="FR151" s="199"/>
      <c r="FS151" s="199"/>
      <c r="FT151" s="199"/>
      <c r="FU151" s="199"/>
      <c r="FV151" s="199"/>
      <c r="FW151" s="199"/>
      <c r="FX151" s="199"/>
      <c r="FY151" s="199"/>
      <c r="FZ151" s="199"/>
      <c r="GA151" s="199"/>
      <c r="GB151" s="199"/>
      <c r="GC151" s="199"/>
      <c r="GD151" s="199"/>
      <c r="GE151" s="199"/>
      <c r="GF151" s="199"/>
      <c r="GG151" s="199"/>
      <c r="GH151" s="199"/>
      <c r="GI151" s="199"/>
      <c r="GJ151" s="199"/>
      <c r="GK151" s="199"/>
      <c r="GL151" s="199"/>
      <c r="GM151" s="199"/>
      <c r="GN151" s="199"/>
      <c r="GO151" s="199"/>
      <c r="GP151" s="199"/>
      <c r="GQ151" s="199"/>
      <c r="GR151" s="199"/>
      <c r="GS151" s="199"/>
      <c r="GT151" s="199"/>
      <c r="GU151" s="199"/>
      <c r="GV151" s="199"/>
      <c r="GW151" s="199"/>
      <c r="GX151" s="199"/>
      <c r="GY151" s="199"/>
      <c r="GZ151" s="199"/>
      <c r="HA151" s="199"/>
      <c r="HB151" s="199"/>
      <c r="HC151" s="199"/>
      <c r="HD151" s="199"/>
      <c r="HE151" s="199"/>
      <c r="HF151" s="199"/>
      <c r="HG151" s="199"/>
      <c r="HH151" s="199"/>
      <c r="HI151" s="199"/>
      <c r="HJ151" s="199"/>
      <c r="HK151" s="199"/>
      <c r="HL151" s="199"/>
      <c r="HM151" s="199"/>
      <c r="HN151" s="199"/>
      <c r="HO151" s="199"/>
      <c r="HP151" s="199"/>
      <c r="HQ151" s="199"/>
      <c r="HR151" s="199"/>
      <c r="HS151" s="199"/>
      <c r="HT151" s="199"/>
      <c r="HU151" s="199"/>
      <c r="HV151" s="199"/>
      <c r="HW151" s="199"/>
      <c r="HX151" s="199"/>
      <c r="HY151" s="199"/>
      <c r="HZ151" s="199"/>
      <c r="IA151" s="199"/>
      <c r="IB151" s="199"/>
      <c r="IC151" s="199"/>
      <c r="ID151" s="199"/>
      <c r="IE151" s="199"/>
      <c r="IF151" s="199"/>
      <c r="IG151" s="199"/>
      <c r="IH151" s="199"/>
      <c r="II151" s="199"/>
      <c r="IJ151" s="199"/>
      <c r="IK151" s="199"/>
      <c r="IL151" s="199"/>
      <c r="IM151" s="199"/>
      <c r="IN151" s="199"/>
      <c r="IO151" s="199"/>
      <c r="IP151" s="199"/>
      <c r="IQ151" s="199"/>
      <c r="IR151" s="199"/>
      <c r="IS151" s="199"/>
      <c r="IT151" s="199"/>
      <c r="IU151" s="199"/>
      <c r="IV151" s="199"/>
      <c r="IW151" s="199"/>
    </row>
    <row r="152" customFormat="false" ht="12.75" hidden="false" customHeight="false" outlineLevel="0" collapsed="false">
      <c r="A152" s="160" t="s">
        <v>269</v>
      </c>
      <c r="B152" s="174"/>
      <c r="C152" s="174"/>
      <c r="D152" s="174"/>
      <c r="E152" s="174"/>
      <c r="F152" s="174"/>
      <c r="G152" s="174"/>
      <c r="H152" s="174"/>
      <c r="I152" s="174"/>
      <c r="J152" s="201"/>
      <c r="K152" s="174"/>
      <c r="L152" s="202" t="s">
        <v>151</v>
      </c>
      <c r="M152" s="24"/>
      <c r="N152" s="24" t="n">
        <v>0</v>
      </c>
      <c r="O152" s="24"/>
      <c r="P152" s="24" t="n">
        <v>0</v>
      </c>
      <c r="Q152" s="24"/>
      <c r="R152" s="24" t="n">
        <v>150000</v>
      </c>
      <c r="S152" s="24"/>
      <c r="T152" s="24" t="n">
        <v>0</v>
      </c>
      <c r="U152" s="24"/>
      <c r="V152" s="24" t="n">
        <v>0</v>
      </c>
      <c r="W152" s="24"/>
      <c r="X152" s="24" t="n">
        <v>0</v>
      </c>
      <c r="Y152" s="24"/>
      <c r="Z152" s="24" t="n">
        <v>0</v>
      </c>
      <c r="AA152" s="24"/>
      <c r="AB152" s="24" t="n">
        <v>0</v>
      </c>
      <c r="AC152" s="24"/>
      <c r="AD152" s="24" t="n">
        <v>0</v>
      </c>
      <c r="AE152" s="24"/>
      <c r="AF152" s="24" t="n">
        <v>0</v>
      </c>
      <c r="AG152" s="24"/>
      <c r="AH152" s="24" t="n">
        <v>0</v>
      </c>
      <c r="AI152" s="119"/>
      <c r="AJ152" s="24" t="n">
        <v>0</v>
      </c>
      <c r="AL152" s="24" t="n">
        <v>0</v>
      </c>
      <c r="AN152" s="24" t="n">
        <v>0</v>
      </c>
      <c r="AO152" s="24"/>
      <c r="AP152" s="24" t="n">
        <v>0</v>
      </c>
      <c r="AQ152" s="24"/>
      <c r="AR152" s="24" t="n">
        <v>266248.5</v>
      </c>
      <c r="AS152" s="24"/>
      <c r="AT152" s="24" t="n">
        <v>0</v>
      </c>
      <c r="AU152" s="24"/>
      <c r="AV152" s="24" t="n">
        <v>0</v>
      </c>
      <c r="AW152" s="24"/>
      <c r="AX152" s="24" t="n">
        <v>0</v>
      </c>
      <c r="AY152" s="24"/>
      <c r="AZ152" s="24" t="n">
        <v>5000</v>
      </c>
      <c r="BA152" s="24"/>
      <c r="BB152" s="24" t="n">
        <v>0</v>
      </c>
      <c r="BC152" s="24"/>
      <c r="BD152" s="24" t="n">
        <v>0</v>
      </c>
      <c r="BF152" s="24" t="n">
        <v>59.75</v>
      </c>
      <c r="BH152" s="24" t="n">
        <v>0</v>
      </c>
      <c r="BJ152" s="24" t="n">
        <v>0</v>
      </c>
      <c r="BM152" s="24" t="n">
        <v>0</v>
      </c>
      <c r="BO152" s="24" t="n">
        <v>0</v>
      </c>
      <c r="BP152" s="24"/>
      <c r="BQ152" s="24" t="n">
        <f aca="false">SUM(T152:BP152)</f>
        <v>271308.25</v>
      </c>
      <c r="BR152" s="24"/>
      <c r="BS152" s="24" t="n">
        <v>0</v>
      </c>
      <c r="BU152" s="110" t="n">
        <f aca="false">IF(+R152-BQ152+BS152&gt;0,R152-BQ152+BS152,0)</f>
        <v>0</v>
      </c>
      <c r="BV152" s="24"/>
      <c r="BW152" s="24" t="n">
        <f aca="false">+BQ152+BU152</f>
        <v>271308.25</v>
      </c>
      <c r="BX152" s="24"/>
      <c r="BY152" s="24" t="n">
        <f aca="false">+R152-BW152</f>
        <v>-121308.25</v>
      </c>
      <c r="BZ152" s="24"/>
      <c r="CA152" s="174"/>
      <c r="CB152" s="174"/>
      <c r="CC152" s="174"/>
      <c r="CD152" s="174"/>
      <c r="CE152" s="174"/>
      <c r="CF152" s="174"/>
      <c r="CG152" s="174"/>
      <c r="CH152" s="174"/>
      <c r="CI152" s="174"/>
      <c r="CJ152" s="174"/>
      <c r="CK152" s="174"/>
      <c r="CL152" s="174"/>
      <c r="CM152" s="174"/>
      <c r="CN152" s="174"/>
      <c r="CO152" s="174"/>
      <c r="CP152" s="174"/>
      <c r="CQ152" s="174"/>
      <c r="CR152" s="174"/>
      <c r="CS152" s="174"/>
      <c r="CT152" s="174"/>
      <c r="CU152" s="174"/>
      <c r="CV152" s="174"/>
      <c r="CW152" s="174"/>
      <c r="CX152" s="174"/>
      <c r="CY152" s="174"/>
      <c r="CZ152" s="174"/>
      <c r="DA152" s="174"/>
      <c r="DB152" s="174"/>
      <c r="DC152" s="174"/>
      <c r="DD152" s="174"/>
      <c r="DE152" s="174"/>
      <c r="DF152" s="174"/>
      <c r="DG152" s="174"/>
      <c r="DH152" s="174"/>
      <c r="DI152" s="174"/>
      <c r="DJ152" s="174"/>
      <c r="DK152" s="174"/>
      <c r="DL152" s="174"/>
      <c r="DM152" s="174"/>
      <c r="DN152" s="174"/>
      <c r="DO152" s="174"/>
      <c r="DP152" s="174"/>
      <c r="DQ152" s="174"/>
      <c r="DR152" s="174"/>
      <c r="DS152" s="174"/>
      <c r="DT152" s="174"/>
      <c r="DU152" s="174"/>
      <c r="DV152" s="174"/>
      <c r="DW152" s="174"/>
      <c r="DX152" s="174"/>
      <c r="DY152" s="174"/>
      <c r="DZ152" s="174"/>
      <c r="EA152" s="174"/>
      <c r="EB152" s="174"/>
      <c r="EC152" s="174"/>
      <c r="ED152" s="174"/>
      <c r="EE152" s="174"/>
      <c r="EF152" s="174"/>
      <c r="EG152" s="174"/>
      <c r="EH152" s="174"/>
      <c r="EI152" s="174"/>
      <c r="EJ152" s="174"/>
      <c r="EK152" s="174"/>
      <c r="EL152" s="174"/>
      <c r="EM152" s="174"/>
      <c r="EN152" s="174"/>
      <c r="EO152" s="174"/>
      <c r="EP152" s="174"/>
      <c r="EQ152" s="174"/>
      <c r="ER152" s="174"/>
      <c r="ES152" s="174"/>
      <c r="ET152" s="174"/>
      <c r="EU152" s="174"/>
      <c r="EV152" s="174"/>
      <c r="EW152" s="174"/>
      <c r="EX152" s="174"/>
      <c r="EY152" s="174"/>
      <c r="EZ152" s="174"/>
      <c r="FA152" s="174"/>
      <c r="FB152" s="174"/>
      <c r="FC152" s="174"/>
      <c r="FD152" s="174"/>
      <c r="FE152" s="174"/>
      <c r="FF152" s="174"/>
      <c r="FG152" s="174"/>
      <c r="FH152" s="174"/>
      <c r="FI152" s="174"/>
      <c r="FJ152" s="174"/>
      <c r="FK152" s="174"/>
      <c r="FL152" s="174"/>
      <c r="FM152" s="174"/>
      <c r="FN152" s="174"/>
      <c r="FO152" s="174"/>
      <c r="FP152" s="174"/>
      <c r="FQ152" s="174"/>
      <c r="FR152" s="174"/>
      <c r="FS152" s="174"/>
      <c r="FT152" s="174"/>
      <c r="FU152" s="174"/>
      <c r="FV152" s="174"/>
      <c r="FW152" s="174"/>
      <c r="FX152" s="174"/>
      <c r="FY152" s="174"/>
      <c r="FZ152" s="174"/>
      <c r="GA152" s="174"/>
      <c r="GB152" s="174"/>
      <c r="GC152" s="174"/>
      <c r="GD152" s="174"/>
      <c r="GE152" s="174"/>
      <c r="GF152" s="174"/>
      <c r="GG152" s="174"/>
      <c r="GH152" s="174"/>
      <c r="GI152" s="174"/>
      <c r="GJ152" s="174"/>
      <c r="GK152" s="174"/>
      <c r="GL152" s="174"/>
      <c r="GM152" s="174"/>
      <c r="GN152" s="174"/>
      <c r="GO152" s="174"/>
      <c r="GP152" s="174"/>
      <c r="GQ152" s="174"/>
      <c r="GR152" s="174"/>
      <c r="GS152" s="174"/>
      <c r="GT152" s="174"/>
      <c r="GU152" s="174"/>
      <c r="GV152" s="174"/>
      <c r="GW152" s="174"/>
      <c r="GX152" s="174"/>
      <c r="GY152" s="174"/>
      <c r="GZ152" s="174"/>
      <c r="HA152" s="174"/>
      <c r="HB152" s="174"/>
      <c r="HC152" s="174"/>
      <c r="HD152" s="174"/>
      <c r="HE152" s="174"/>
      <c r="HF152" s="174"/>
      <c r="HG152" s="174"/>
      <c r="HH152" s="174"/>
      <c r="HI152" s="174"/>
      <c r="HJ152" s="174"/>
      <c r="HK152" s="174"/>
      <c r="HL152" s="174"/>
      <c r="HM152" s="174"/>
      <c r="HN152" s="174"/>
      <c r="HO152" s="174"/>
      <c r="HP152" s="174"/>
      <c r="HQ152" s="174"/>
      <c r="HR152" s="174"/>
      <c r="HS152" s="174"/>
      <c r="HT152" s="174"/>
      <c r="HU152" s="174"/>
      <c r="HV152" s="174"/>
      <c r="HW152" s="174"/>
      <c r="HX152" s="174"/>
      <c r="HY152" s="174"/>
      <c r="HZ152" s="174"/>
      <c r="IA152" s="174"/>
      <c r="IB152" s="174"/>
      <c r="IC152" s="174"/>
      <c r="ID152" s="174"/>
      <c r="IE152" s="174"/>
      <c r="IF152" s="174"/>
      <c r="IG152" s="174"/>
      <c r="IH152" s="174"/>
      <c r="II152" s="174"/>
      <c r="IJ152" s="174"/>
      <c r="IK152" s="174"/>
      <c r="IL152" s="174"/>
      <c r="IM152" s="174"/>
      <c r="IN152" s="174"/>
      <c r="IO152" s="174"/>
      <c r="IP152" s="174"/>
      <c r="IQ152" s="174"/>
      <c r="IR152" s="174"/>
      <c r="IS152" s="174"/>
      <c r="IT152" s="174"/>
      <c r="IU152" s="174"/>
      <c r="IV152" s="174"/>
      <c r="IW152" s="174"/>
    </row>
    <row r="153" customFormat="false" ht="12.75" hidden="false" customHeight="false" outlineLevel="0" collapsed="false">
      <c r="A153" s="196"/>
      <c r="B153" s="164"/>
      <c r="E153" s="119"/>
      <c r="G153" s="119"/>
      <c r="I153" s="119"/>
      <c r="L153" s="163"/>
      <c r="M153" s="110"/>
      <c r="O153" s="110"/>
      <c r="Q153" s="110"/>
      <c r="S153" s="110"/>
      <c r="T153" s="110"/>
      <c r="U153" s="110"/>
      <c r="V153" s="110"/>
      <c r="X153" s="110"/>
      <c r="Z153" s="110"/>
      <c r="AB153" s="110"/>
      <c r="AD153" s="110"/>
      <c r="AI153" s="119"/>
      <c r="BJ153" s="110"/>
      <c r="BM153" s="110"/>
      <c r="BO153" s="110"/>
      <c r="BP153" s="110"/>
      <c r="BS153" s="110"/>
      <c r="BZ153" s="110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4"/>
      <c r="DZ153" s="194"/>
      <c r="EA153" s="194"/>
      <c r="EB153" s="194"/>
      <c r="EC153" s="194"/>
      <c r="ED153" s="194"/>
      <c r="EE153" s="194"/>
      <c r="EF153" s="194"/>
      <c r="EG153" s="194"/>
      <c r="EH153" s="194"/>
      <c r="EI153" s="194"/>
      <c r="EJ153" s="194"/>
      <c r="EK153" s="194"/>
      <c r="EL153" s="194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  <c r="FE153" s="194"/>
      <c r="FF153" s="194"/>
      <c r="FG153" s="194"/>
      <c r="FH153" s="194"/>
      <c r="FI153" s="194"/>
      <c r="FJ153" s="194"/>
      <c r="FK153" s="194"/>
      <c r="FL153" s="194"/>
      <c r="FM153" s="194"/>
      <c r="FN153" s="194"/>
      <c r="FO153" s="194"/>
      <c r="FP153" s="194"/>
      <c r="FQ153" s="194"/>
      <c r="FR153" s="194"/>
      <c r="FS153" s="194"/>
      <c r="FT153" s="194"/>
      <c r="FU153" s="194"/>
      <c r="FV153" s="194"/>
      <c r="FW153" s="194"/>
      <c r="FX153" s="194"/>
      <c r="FY153" s="194"/>
      <c r="FZ153" s="194"/>
      <c r="GA153" s="194"/>
      <c r="GB153" s="194"/>
      <c r="GC153" s="194"/>
      <c r="GD153" s="194"/>
      <c r="GE153" s="194"/>
      <c r="GF153" s="194"/>
      <c r="GG153" s="194"/>
      <c r="GH153" s="194"/>
      <c r="GI153" s="194"/>
      <c r="GJ153" s="194"/>
      <c r="GK153" s="194"/>
      <c r="GL153" s="194"/>
      <c r="GM153" s="194"/>
      <c r="GN153" s="194"/>
      <c r="GO153" s="194"/>
      <c r="GP153" s="194"/>
      <c r="GQ153" s="194"/>
      <c r="GR153" s="194"/>
      <c r="GS153" s="194"/>
      <c r="GT153" s="194"/>
      <c r="GU153" s="194"/>
      <c r="GV153" s="194"/>
      <c r="GW153" s="194"/>
      <c r="GX153" s="194"/>
      <c r="GY153" s="194"/>
      <c r="GZ153" s="194"/>
      <c r="HA153" s="194"/>
      <c r="HB153" s="194"/>
      <c r="HC153" s="194"/>
      <c r="HD153" s="194"/>
      <c r="HE153" s="194"/>
      <c r="HF153" s="194"/>
      <c r="HG153" s="194"/>
      <c r="HH153" s="194"/>
      <c r="HI153" s="194"/>
      <c r="HJ153" s="194"/>
      <c r="HK153" s="194"/>
      <c r="HL153" s="194"/>
      <c r="HM153" s="194"/>
      <c r="HN153" s="194"/>
      <c r="HO153" s="194"/>
      <c r="HP153" s="194"/>
      <c r="HQ153" s="194"/>
      <c r="HR153" s="194"/>
      <c r="HS153" s="194"/>
      <c r="HT153" s="194"/>
      <c r="HU153" s="194"/>
      <c r="HV153" s="194"/>
      <c r="HW153" s="194"/>
      <c r="HX153" s="194"/>
      <c r="HY153" s="194"/>
      <c r="HZ153" s="194"/>
      <c r="IA153" s="194"/>
      <c r="IB153" s="194"/>
      <c r="IC153" s="194"/>
      <c r="ID153" s="194"/>
      <c r="IE153" s="194"/>
      <c r="IF153" s="194"/>
      <c r="IG153" s="194"/>
      <c r="IH153" s="194"/>
      <c r="II153" s="194"/>
      <c r="IJ153" s="194"/>
      <c r="IK153" s="194"/>
      <c r="IL153" s="194"/>
      <c r="IM153" s="194"/>
      <c r="IN153" s="194"/>
      <c r="IO153" s="194"/>
      <c r="IP153" s="194"/>
      <c r="IQ153" s="194"/>
      <c r="IR153" s="194"/>
      <c r="IS153" s="194"/>
      <c r="IT153" s="194"/>
      <c r="IU153" s="194"/>
      <c r="IV153" s="194"/>
      <c r="IW153" s="194"/>
    </row>
    <row r="154" customFormat="false" ht="12.75" hidden="false" customHeight="false" outlineLevel="0" collapsed="false">
      <c r="A154" s="160" t="s">
        <v>270</v>
      </c>
      <c r="B154" s="174"/>
      <c r="C154" s="174"/>
      <c r="D154" s="174"/>
      <c r="E154" s="174"/>
      <c r="F154" s="174"/>
      <c r="G154" s="174"/>
      <c r="H154" s="174"/>
      <c r="I154" s="174"/>
      <c r="J154" s="201"/>
      <c r="K154" s="174"/>
      <c r="L154" s="202" t="s">
        <v>151</v>
      </c>
      <c r="M154" s="24"/>
      <c r="N154" s="24" t="n">
        <v>0</v>
      </c>
      <c r="O154" s="24"/>
      <c r="P154" s="24" t="n">
        <v>0</v>
      </c>
      <c r="Q154" s="24"/>
      <c r="R154" s="24" t="n">
        <v>200000</v>
      </c>
      <c r="S154" s="24"/>
      <c r="T154" s="24" t="n">
        <v>0</v>
      </c>
      <c r="U154" s="24"/>
      <c r="V154" s="24" t="n">
        <v>0</v>
      </c>
      <c r="W154" s="24"/>
      <c r="X154" s="24"/>
      <c r="Y154" s="24"/>
      <c r="Z154" s="24" t="n">
        <v>0</v>
      </c>
      <c r="AA154" s="24"/>
      <c r="AB154" s="24" t="n">
        <v>0</v>
      </c>
      <c r="AC154" s="24"/>
      <c r="AD154" s="24" t="n">
        <v>29401.83</v>
      </c>
      <c r="AE154" s="24"/>
      <c r="AF154" s="24" t="n">
        <v>13770.85</v>
      </c>
      <c r="AG154" s="24"/>
      <c r="AH154" s="24" t="n">
        <v>7745.74</v>
      </c>
      <c r="AI154" s="119"/>
      <c r="AJ154" s="24" t="n">
        <v>6275.69</v>
      </c>
      <c r="AL154" s="24" t="n">
        <v>0</v>
      </c>
      <c r="AN154" s="24" t="n">
        <v>0</v>
      </c>
      <c r="AO154" s="24"/>
      <c r="AP154" s="24" t="n">
        <v>0</v>
      </c>
      <c r="AQ154" s="24"/>
      <c r="AR154" s="24" t="n">
        <v>0</v>
      </c>
      <c r="AS154" s="24"/>
      <c r="AT154" s="24" t="n">
        <v>0</v>
      </c>
      <c r="AU154" s="24"/>
      <c r="AV154" s="24" t="n">
        <v>0</v>
      </c>
      <c r="AW154" s="24"/>
      <c r="AX154" s="24" t="n">
        <v>9119.08</v>
      </c>
      <c r="AY154" s="24"/>
      <c r="AZ154" s="24" t="n">
        <v>9717.45</v>
      </c>
      <c r="BA154" s="24"/>
      <c r="BB154" s="24" t="n">
        <v>33664</v>
      </c>
      <c r="BC154" s="24"/>
      <c r="BD154" s="24" t="n">
        <v>0</v>
      </c>
      <c r="BF154" s="24" t="n">
        <v>0</v>
      </c>
      <c r="BH154" s="24" t="n">
        <v>0</v>
      </c>
      <c r="BJ154" s="24" t="n">
        <v>0</v>
      </c>
      <c r="BM154" s="24" t="n">
        <v>0</v>
      </c>
      <c r="BO154" s="24" t="n">
        <v>0</v>
      </c>
      <c r="BP154" s="24"/>
      <c r="BQ154" s="24" t="n">
        <f aca="false">SUM(T154:BP154)</f>
        <v>109694.64</v>
      </c>
      <c r="BR154" s="24"/>
      <c r="BS154" s="24" t="n">
        <v>-90305</v>
      </c>
      <c r="BU154" s="110" t="n">
        <f aca="false">IF(+R154-BQ154+BS154&gt;0,R154-BQ154+BS154,0)</f>
        <v>0.360000000000582</v>
      </c>
      <c r="BV154" s="24"/>
      <c r="BW154" s="24" t="n">
        <f aca="false">+BQ154+BU154</f>
        <v>109695</v>
      </c>
      <c r="BX154" s="24"/>
      <c r="BY154" s="110" t="n">
        <f aca="false">+R154-BW154</f>
        <v>90305</v>
      </c>
      <c r="BZ154" s="24"/>
      <c r="CA154" s="174"/>
      <c r="CB154" s="174"/>
      <c r="CC154" s="174"/>
      <c r="CD154" s="174"/>
      <c r="CE154" s="174"/>
      <c r="CF154" s="174"/>
      <c r="CG154" s="174"/>
      <c r="CH154" s="174"/>
      <c r="CI154" s="174"/>
      <c r="CJ154" s="174"/>
      <c r="CK154" s="174"/>
      <c r="CL154" s="174"/>
      <c r="CM154" s="174"/>
      <c r="CN154" s="174"/>
      <c r="CO154" s="174"/>
      <c r="CP154" s="174"/>
      <c r="CQ154" s="174"/>
      <c r="CR154" s="174"/>
      <c r="CS154" s="174"/>
      <c r="CT154" s="174"/>
      <c r="CU154" s="174"/>
      <c r="CV154" s="174"/>
      <c r="CW154" s="174"/>
      <c r="CX154" s="174"/>
      <c r="CY154" s="174"/>
      <c r="CZ154" s="174"/>
      <c r="DA154" s="174"/>
      <c r="DB154" s="174"/>
      <c r="DC154" s="174"/>
      <c r="DD154" s="174"/>
      <c r="DE154" s="174"/>
      <c r="DF154" s="174"/>
      <c r="DG154" s="174"/>
      <c r="DH154" s="174"/>
      <c r="DI154" s="174"/>
      <c r="DJ154" s="174"/>
      <c r="DK154" s="174"/>
      <c r="DL154" s="174"/>
      <c r="DM154" s="174"/>
      <c r="DN154" s="174"/>
      <c r="DO154" s="174"/>
      <c r="DP154" s="174"/>
      <c r="DQ154" s="174"/>
      <c r="DR154" s="174"/>
      <c r="DS154" s="174"/>
      <c r="DT154" s="174"/>
      <c r="DU154" s="174"/>
      <c r="DV154" s="174"/>
      <c r="DW154" s="174"/>
      <c r="DX154" s="174"/>
      <c r="DY154" s="174"/>
      <c r="DZ154" s="174"/>
      <c r="EA154" s="174"/>
      <c r="EB154" s="174"/>
      <c r="EC154" s="174"/>
      <c r="ED154" s="174"/>
      <c r="EE154" s="174"/>
      <c r="EF154" s="174"/>
      <c r="EG154" s="174"/>
      <c r="EH154" s="174"/>
      <c r="EI154" s="174"/>
      <c r="EJ154" s="174"/>
      <c r="EK154" s="174"/>
      <c r="EL154" s="174"/>
      <c r="EM154" s="174"/>
      <c r="EN154" s="174"/>
      <c r="EO154" s="174"/>
      <c r="EP154" s="174"/>
      <c r="EQ154" s="174"/>
      <c r="ER154" s="174"/>
      <c r="ES154" s="174"/>
      <c r="ET154" s="174"/>
      <c r="EU154" s="174"/>
      <c r="EV154" s="174"/>
      <c r="EW154" s="174"/>
      <c r="EX154" s="174"/>
      <c r="EY154" s="174"/>
      <c r="EZ154" s="174"/>
      <c r="FA154" s="174"/>
      <c r="FB154" s="174"/>
      <c r="FC154" s="174"/>
      <c r="FD154" s="174"/>
      <c r="FE154" s="174"/>
      <c r="FF154" s="174"/>
      <c r="FG154" s="174"/>
      <c r="FH154" s="174"/>
      <c r="FI154" s="174"/>
      <c r="FJ154" s="174"/>
      <c r="FK154" s="174"/>
      <c r="FL154" s="174"/>
      <c r="FM154" s="174"/>
      <c r="FN154" s="174"/>
      <c r="FO154" s="174"/>
      <c r="FP154" s="174"/>
      <c r="FQ154" s="174"/>
      <c r="FR154" s="174"/>
      <c r="FS154" s="174"/>
      <c r="FT154" s="174"/>
      <c r="FU154" s="174"/>
      <c r="FV154" s="174"/>
      <c r="FW154" s="174"/>
      <c r="FX154" s="174"/>
      <c r="FY154" s="174"/>
      <c r="FZ154" s="174"/>
      <c r="GA154" s="174"/>
      <c r="GB154" s="174"/>
      <c r="GC154" s="174"/>
      <c r="GD154" s="174"/>
      <c r="GE154" s="174"/>
      <c r="GF154" s="174"/>
      <c r="GG154" s="174"/>
      <c r="GH154" s="174"/>
      <c r="GI154" s="174"/>
      <c r="GJ154" s="174"/>
      <c r="GK154" s="174"/>
      <c r="GL154" s="174"/>
      <c r="GM154" s="174"/>
      <c r="GN154" s="174"/>
      <c r="GO154" s="174"/>
      <c r="GP154" s="174"/>
      <c r="GQ154" s="174"/>
      <c r="GR154" s="174"/>
      <c r="GS154" s="174"/>
      <c r="GT154" s="174"/>
      <c r="GU154" s="174"/>
      <c r="GV154" s="174"/>
      <c r="GW154" s="174"/>
      <c r="GX154" s="174"/>
      <c r="GY154" s="174"/>
      <c r="GZ154" s="174"/>
      <c r="HA154" s="174"/>
      <c r="HB154" s="174"/>
      <c r="HC154" s="174"/>
      <c r="HD154" s="174"/>
      <c r="HE154" s="174"/>
      <c r="HF154" s="174"/>
      <c r="HG154" s="174"/>
      <c r="HH154" s="174"/>
      <c r="HI154" s="174"/>
      <c r="HJ154" s="174"/>
      <c r="HK154" s="174"/>
      <c r="HL154" s="174"/>
      <c r="HM154" s="174"/>
      <c r="HN154" s="174"/>
      <c r="HO154" s="174"/>
      <c r="HP154" s="174"/>
      <c r="HQ154" s="174"/>
      <c r="HR154" s="174"/>
      <c r="HS154" s="174"/>
      <c r="HT154" s="174"/>
      <c r="HU154" s="174"/>
      <c r="HV154" s="174"/>
      <c r="HW154" s="174"/>
      <c r="HX154" s="174"/>
      <c r="HY154" s="174"/>
      <c r="HZ154" s="174"/>
      <c r="IA154" s="174"/>
      <c r="IB154" s="174"/>
      <c r="IC154" s="174"/>
      <c r="ID154" s="174"/>
      <c r="IE154" s="174"/>
      <c r="IF154" s="174"/>
      <c r="IG154" s="174"/>
      <c r="IH154" s="174"/>
      <c r="II154" s="174"/>
      <c r="IJ154" s="174"/>
      <c r="IK154" s="174"/>
      <c r="IL154" s="174"/>
      <c r="IM154" s="174"/>
      <c r="IN154" s="174"/>
      <c r="IO154" s="174"/>
      <c r="IP154" s="174"/>
      <c r="IQ154" s="174"/>
      <c r="IR154" s="174"/>
      <c r="IS154" s="174"/>
      <c r="IT154" s="174"/>
      <c r="IU154" s="174"/>
      <c r="IV154" s="174"/>
      <c r="IW154" s="174"/>
    </row>
    <row r="155" customFormat="false" ht="12.75" hidden="false" customHeight="false" outlineLevel="0" collapsed="false">
      <c r="A155" s="196"/>
      <c r="B155" s="164"/>
      <c r="E155" s="119"/>
      <c r="G155" s="119"/>
      <c r="I155" s="119"/>
      <c r="L155" s="163"/>
      <c r="M155" s="110"/>
      <c r="O155" s="110"/>
      <c r="Q155" s="110"/>
      <c r="S155" s="110"/>
      <c r="T155" s="110"/>
      <c r="U155" s="110"/>
      <c r="V155" s="110"/>
      <c r="X155" s="110"/>
      <c r="Z155" s="110"/>
      <c r="AB155" s="110"/>
      <c r="AD155" s="110"/>
      <c r="AI155" s="119"/>
      <c r="BJ155" s="110"/>
      <c r="BM155" s="110"/>
      <c r="BO155" s="110"/>
      <c r="BP155" s="110"/>
      <c r="BS155" s="110"/>
      <c r="BZ155" s="110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94"/>
      <c r="CM155" s="194"/>
      <c r="CN155" s="194"/>
      <c r="CO155" s="194"/>
      <c r="CP155" s="194"/>
      <c r="CQ155" s="194"/>
      <c r="CR155" s="194"/>
      <c r="CS155" s="194"/>
      <c r="CT155" s="194"/>
      <c r="CU155" s="194"/>
      <c r="CV155" s="194"/>
      <c r="CW155" s="194"/>
      <c r="CX155" s="194"/>
      <c r="CY155" s="194"/>
      <c r="CZ155" s="194"/>
      <c r="DA155" s="194"/>
      <c r="DB155" s="194"/>
      <c r="DC155" s="194"/>
      <c r="DD155" s="194"/>
      <c r="DE155" s="194"/>
      <c r="DF155" s="194"/>
      <c r="DG155" s="194"/>
      <c r="DH155" s="194"/>
      <c r="DI155" s="194"/>
      <c r="DJ155" s="194"/>
      <c r="DK155" s="194"/>
      <c r="DL155" s="194"/>
      <c r="DM155" s="194"/>
      <c r="DN155" s="194"/>
      <c r="DO155" s="194"/>
      <c r="DP155" s="194"/>
      <c r="DQ155" s="194"/>
      <c r="DR155" s="194"/>
      <c r="DS155" s="194"/>
      <c r="DT155" s="194"/>
      <c r="DU155" s="194"/>
      <c r="DV155" s="194"/>
      <c r="DW155" s="194"/>
      <c r="DX155" s="194"/>
      <c r="DY155" s="194"/>
      <c r="DZ155" s="194"/>
      <c r="EA155" s="194"/>
      <c r="EB155" s="194"/>
      <c r="EC155" s="194"/>
      <c r="ED155" s="194"/>
      <c r="EE155" s="194"/>
      <c r="EF155" s="194"/>
      <c r="EG155" s="194"/>
      <c r="EH155" s="194"/>
      <c r="EI155" s="194"/>
      <c r="EJ155" s="194"/>
      <c r="EK155" s="194"/>
      <c r="EL155" s="194"/>
      <c r="EM155" s="194"/>
      <c r="EN155" s="194"/>
      <c r="EO155" s="194"/>
      <c r="EP155" s="194"/>
      <c r="EQ155" s="194"/>
      <c r="ER155" s="194"/>
      <c r="ES155" s="194"/>
      <c r="ET155" s="194"/>
      <c r="EU155" s="194"/>
      <c r="EV155" s="194"/>
      <c r="EW155" s="194"/>
      <c r="EX155" s="194"/>
      <c r="EY155" s="194"/>
      <c r="EZ155" s="194"/>
      <c r="FA155" s="194"/>
      <c r="FB155" s="194"/>
      <c r="FC155" s="194"/>
      <c r="FD155" s="194"/>
      <c r="FE155" s="194"/>
      <c r="FF155" s="194"/>
      <c r="FG155" s="194"/>
      <c r="FH155" s="194"/>
      <c r="FI155" s="194"/>
      <c r="FJ155" s="194"/>
      <c r="FK155" s="194"/>
      <c r="FL155" s="194"/>
      <c r="FM155" s="194"/>
      <c r="FN155" s="194"/>
      <c r="FO155" s="194"/>
      <c r="FP155" s="194"/>
      <c r="FQ155" s="194"/>
      <c r="FR155" s="194"/>
      <c r="FS155" s="194"/>
      <c r="FT155" s="194"/>
      <c r="FU155" s="194"/>
      <c r="FV155" s="194"/>
      <c r="FW155" s="194"/>
      <c r="FX155" s="194"/>
      <c r="FY155" s="194"/>
      <c r="FZ155" s="194"/>
      <c r="GA155" s="194"/>
      <c r="GB155" s="194"/>
      <c r="GC155" s="194"/>
      <c r="GD155" s="194"/>
      <c r="GE155" s="194"/>
      <c r="GF155" s="194"/>
      <c r="GG155" s="194"/>
      <c r="GH155" s="194"/>
      <c r="GI155" s="194"/>
      <c r="GJ155" s="194"/>
      <c r="GK155" s="194"/>
      <c r="GL155" s="194"/>
      <c r="GM155" s="194"/>
      <c r="GN155" s="194"/>
      <c r="GO155" s="194"/>
      <c r="GP155" s="194"/>
      <c r="GQ155" s="194"/>
      <c r="GR155" s="194"/>
      <c r="GS155" s="194"/>
      <c r="GT155" s="194"/>
      <c r="GU155" s="194"/>
      <c r="GV155" s="194"/>
      <c r="GW155" s="194"/>
      <c r="GX155" s="194"/>
      <c r="GY155" s="194"/>
      <c r="GZ155" s="194"/>
      <c r="HA155" s="194"/>
      <c r="HB155" s="194"/>
      <c r="HC155" s="194"/>
      <c r="HD155" s="194"/>
      <c r="HE155" s="194"/>
      <c r="HF155" s="194"/>
      <c r="HG155" s="194"/>
      <c r="HH155" s="194"/>
      <c r="HI155" s="194"/>
      <c r="HJ155" s="194"/>
      <c r="HK155" s="194"/>
      <c r="HL155" s="194"/>
      <c r="HM155" s="194"/>
      <c r="HN155" s="194"/>
      <c r="HO155" s="194"/>
      <c r="HP155" s="194"/>
      <c r="HQ155" s="194"/>
      <c r="HR155" s="194"/>
      <c r="HS155" s="194"/>
      <c r="HT155" s="194"/>
      <c r="HU155" s="194"/>
      <c r="HV155" s="194"/>
      <c r="HW155" s="194"/>
      <c r="HX155" s="194"/>
      <c r="HY155" s="194"/>
      <c r="HZ155" s="194"/>
      <c r="IA155" s="194"/>
      <c r="IB155" s="194"/>
      <c r="IC155" s="194"/>
      <c r="ID155" s="194"/>
      <c r="IE155" s="194"/>
      <c r="IF155" s="194"/>
      <c r="IG155" s="194"/>
      <c r="IH155" s="194"/>
      <c r="II155" s="194"/>
      <c r="IJ155" s="194"/>
      <c r="IK155" s="194"/>
      <c r="IL155" s="194"/>
      <c r="IM155" s="194"/>
      <c r="IN155" s="194"/>
      <c r="IO155" s="194"/>
      <c r="IP155" s="194"/>
      <c r="IQ155" s="194"/>
      <c r="IR155" s="194"/>
      <c r="IS155" s="194"/>
      <c r="IT155" s="194"/>
      <c r="IU155" s="194"/>
      <c r="IV155" s="194"/>
      <c r="IW155" s="194"/>
    </row>
    <row r="156" customFormat="false" ht="12.75" hidden="false" customHeight="false" outlineLevel="0" collapsed="false">
      <c r="A156" s="160" t="s">
        <v>271</v>
      </c>
      <c r="B156" s="118"/>
      <c r="E156" s="119"/>
      <c r="G156" s="119"/>
      <c r="I156" s="119"/>
      <c r="L156" s="163"/>
      <c r="M156" s="110"/>
      <c r="O156" s="110"/>
      <c r="Q156" s="110"/>
      <c r="S156" s="110"/>
      <c r="T156" s="110"/>
      <c r="U156" s="110"/>
      <c r="V156" s="110"/>
      <c r="X156" s="110"/>
      <c r="Z156" s="110"/>
      <c r="AB156" s="110"/>
      <c r="AD156" s="110"/>
      <c r="AI156" s="119"/>
      <c r="BJ156" s="110"/>
      <c r="BM156" s="110"/>
      <c r="BO156" s="110"/>
      <c r="BP156" s="110"/>
      <c r="BS156" s="110"/>
      <c r="BZ156" s="110"/>
    </row>
    <row r="157" customFormat="false" ht="12.75" hidden="false" customHeight="false" outlineLevel="0" collapsed="false">
      <c r="A157" s="161"/>
      <c r="B157" s="118" t="s">
        <v>272</v>
      </c>
      <c r="C157" s="118"/>
      <c r="D157" s="118"/>
      <c r="E157" s="118"/>
      <c r="F157" s="118"/>
      <c r="G157" s="118"/>
      <c r="H157" s="118"/>
      <c r="I157" s="118"/>
      <c r="J157" s="192"/>
      <c r="K157" s="118"/>
      <c r="L157" s="203" t="s">
        <v>258</v>
      </c>
      <c r="M157" s="110"/>
      <c r="N157" s="110" t="n">
        <v>200000</v>
      </c>
      <c r="O157" s="110"/>
      <c r="P157" s="110" t="n">
        <v>0</v>
      </c>
      <c r="Q157" s="110"/>
      <c r="R157" s="110" t="n">
        <v>35000</v>
      </c>
      <c r="S157" s="110"/>
      <c r="T157" s="110" t="n">
        <v>0</v>
      </c>
      <c r="U157" s="110"/>
      <c r="V157" s="110" t="n">
        <v>0</v>
      </c>
      <c r="X157" s="110" t="n">
        <v>22604</v>
      </c>
      <c r="Z157" s="110" t="n">
        <v>0</v>
      </c>
      <c r="AB157" s="110" t="n">
        <v>7949</v>
      </c>
      <c r="AD157" s="110" t="n">
        <v>0</v>
      </c>
      <c r="AH157" s="110" t="n">
        <v>0</v>
      </c>
      <c r="AI157" s="119"/>
      <c r="AJ157" s="110" t="n">
        <v>0</v>
      </c>
      <c r="AL157" s="110" t="n">
        <v>6591.41</v>
      </c>
      <c r="AN157" s="110" t="n">
        <v>0</v>
      </c>
      <c r="AP157" s="110" t="n">
        <v>0</v>
      </c>
      <c r="AR157" s="110" t="n">
        <v>0</v>
      </c>
      <c r="AT157" s="110" t="n">
        <v>0</v>
      </c>
      <c r="AV157" s="110" t="n">
        <v>19123.98</v>
      </c>
      <c r="AX157" s="110" t="n">
        <v>0</v>
      </c>
      <c r="AZ157" s="110" t="n">
        <v>0</v>
      </c>
      <c r="BB157" s="110" t="n">
        <f aca="false">-56268+[1]Wilton!$Y$62</f>
        <v>-33664</v>
      </c>
      <c r="BD157" s="110" t="n">
        <v>0</v>
      </c>
      <c r="BF157" s="110" t="n">
        <v>0</v>
      </c>
      <c r="BH157" s="110" t="n">
        <v>0</v>
      </c>
      <c r="BJ157" s="110" t="n">
        <v>0</v>
      </c>
      <c r="BM157" s="110" t="n">
        <v>0</v>
      </c>
      <c r="BO157" s="110" t="n">
        <v>0</v>
      </c>
      <c r="BP157" s="110"/>
      <c r="BQ157" s="110" t="n">
        <f aca="false">SUM(T157:BP157)</f>
        <v>22604.39</v>
      </c>
      <c r="BS157" s="110" t="n">
        <v>-12396</v>
      </c>
      <c r="BU157" s="110" t="n">
        <f aca="false">IF(+R157-BQ157+BS157&gt;0,R157-BQ157+BS157,0)</f>
        <v>0</v>
      </c>
      <c r="BW157" s="110" t="n">
        <f aca="false">+BQ157+BU157</f>
        <v>22604.39</v>
      </c>
      <c r="BY157" s="110" t="n">
        <f aca="false">+R157-BW157</f>
        <v>12395.61</v>
      </c>
      <c r="BZ157" s="110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  <c r="HL157" s="118"/>
      <c r="HM157" s="118"/>
      <c r="HN157" s="118"/>
      <c r="HO157" s="118"/>
      <c r="HP157" s="118"/>
      <c r="HQ157" s="118"/>
      <c r="HR157" s="118"/>
      <c r="HS157" s="118"/>
      <c r="HT157" s="118"/>
      <c r="HU157" s="118"/>
      <c r="HV157" s="118"/>
      <c r="HW157" s="118"/>
      <c r="HX157" s="118"/>
      <c r="HY157" s="118"/>
      <c r="HZ157" s="118"/>
      <c r="IA157" s="118"/>
      <c r="IB157" s="118"/>
      <c r="IC157" s="118"/>
      <c r="ID157" s="118"/>
      <c r="IE157" s="118"/>
      <c r="IF157" s="118"/>
      <c r="IG157" s="118"/>
      <c r="IH157" s="118"/>
      <c r="II157" s="118"/>
      <c r="IJ157" s="118"/>
      <c r="IK157" s="118"/>
      <c r="IL157" s="118"/>
      <c r="IM157" s="118"/>
      <c r="IN157" s="118"/>
      <c r="IO157" s="118"/>
      <c r="IP157" s="118"/>
      <c r="IQ157" s="118"/>
      <c r="IR157" s="118"/>
      <c r="IS157" s="118"/>
      <c r="IT157" s="118"/>
      <c r="IU157" s="118"/>
      <c r="IV157" s="118"/>
      <c r="IW157" s="118"/>
    </row>
    <row r="158" customFormat="false" ht="12.75" hidden="false" customHeight="false" outlineLevel="0" collapsed="false">
      <c r="A158" s="161"/>
      <c r="B158" s="118" t="s">
        <v>273</v>
      </c>
      <c r="C158" s="118"/>
      <c r="D158" s="118"/>
      <c r="E158" s="118"/>
      <c r="F158" s="118"/>
      <c r="G158" s="118"/>
      <c r="H158" s="118"/>
      <c r="I158" s="118"/>
      <c r="J158" s="192"/>
      <c r="K158" s="118"/>
      <c r="L158" s="203" t="s">
        <v>258</v>
      </c>
      <c r="M158" s="110"/>
      <c r="N158" s="110" t="n">
        <v>0</v>
      </c>
      <c r="O158" s="110"/>
      <c r="P158" s="110" t="n">
        <v>50000</v>
      </c>
      <c r="Q158" s="110"/>
      <c r="R158" s="110" t="n">
        <v>45000</v>
      </c>
      <c r="S158" s="110"/>
      <c r="T158" s="110" t="n">
        <v>0</v>
      </c>
      <c r="U158" s="110"/>
      <c r="V158" s="110" t="n">
        <v>1236</v>
      </c>
      <c r="X158" s="110" t="n">
        <v>9770</v>
      </c>
      <c r="Z158" s="110" t="n">
        <v>5706</v>
      </c>
      <c r="AB158" s="110" t="n">
        <v>9652</v>
      </c>
      <c r="AD158" s="110" t="n">
        <v>3504</v>
      </c>
      <c r="AF158" s="110" t="n">
        <v>5185.43</v>
      </c>
      <c r="AH158" s="110" t="n">
        <v>3598.69</v>
      </c>
      <c r="AI158" s="119"/>
      <c r="AJ158" s="110" t="n">
        <v>3892.71</v>
      </c>
      <c r="AL158" s="110" t="n">
        <v>6342.74</v>
      </c>
      <c r="AN158" s="110" t="n">
        <v>1599.42</v>
      </c>
      <c r="AP158" s="110" t="n">
        <v>3506.18</v>
      </c>
      <c r="AR158" s="110" t="n">
        <v>5695.65</v>
      </c>
      <c r="AT158" s="110" t="n">
        <f aca="false">1559.48+7479.23</f>
        <v>9038.71</v>
      </c>
      <c r="AV158" s="110" t="n">
        <v>3164.35</v>
      </c>
      <c r="AX158" s="110" t="n">
        <v>3884.55</v>
      </c>
      <c r="AZ158" s="110" t="n">
        <v>1293.25</v>
      </c>
      <c r="BB158" s="110" t="n">
        <f aca="false">661.15+767.53</f>
        <v>1428.68</v>
      </c>
      <c r="BD158" s="110" t="n">
        <v>0</v>
      </c>
      <c r="BF158" s="110" t="n">
        <v>0</v>
      </c>
      <c r="BH158" s="110" t="n">
        <v>0</v>
      </c>
      <c r="BJ158" s="110" t="n">
        <v>0</v>
      </c>
      <c r="BM158" s="110" t="n">
        <v>0</v>
      </c>
      <c r="BO158" s="110" t="n">
        <v>0</v>
      </c>
      <c r="BP158" s="110"/>
      <c r="BQ158" s="110" t="n">
        <f aca="false">SUM(T158:BP158)</f>
        <v>78498.36</v>
      </c>
      <c r="BS158" s="110" t="n">
        <v>0</v>
      </c>
      <c r="BU158" s="110" t="n">
        <f aca="false">IF(+R158-BQ158+BS158&gt;0,R158-BQ158+BS158,0)</f>
        <v>0</v>
      </c>
      <c r="BW158" s="110" t="n">
        <f aca="false">+BQ158+BU158</f>
        <v>78498.36</v>
      </c>
      <c r="BY158" s="110" t="n">
        <f aca="false">+R158-BW158</f>
        <v>-33498.36</v>
      </c>
      <c r="BZ158" s="110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  <c r="CR158" s="118"/>
      <c r="CS158" s="118"/>
      <c r="CT158" s="118"/>
      <c r="CU158" s="118"/>
      <c r="CV158" s="118"/>
      <c r="CW158" s="118"/>
      <c r="CX158" s="118"/>
      <c r="CY158" s="118"/>
      <c r="CZ158" s="118"/>
      <c r="DA158" s="118"/>
      <c r="DB158" s="118"/>
      <c r="DC158" s="118"/>
      <c r="DD158" s="118"/>
      <c r="DE158" s="118"/>
      <c r="DF158" s="118"/>
      <c r="DG158" s="118"/>
      <c r="DH158" s="118"/>
      <c r="DI158" s="118"/>
      <c r="DJ158" s="118"/>
      <c r="DK158" s="118"/>
      <c r="DL158" s="118"/>
      <c r="DM158" s="118"/>
      <c r="DN158" s="118"/>
      <c r="DO158" s="118"/>
      <c r="DP158" s="118"/>
      <c r="DQ158" s="118"/>
      <c r="DR158" s="118"/>
      <c r="DS158" s="118"/>
      <c r="DT158" s="118"/>
      <c r="DU158" s="118"/>
      <c r="DV158" s="118"/>
      <c r="DW158" s="118"/>
      <c r="DX158" s="118"/>
      <c r="DY158" s="118"/>
      <c r="DZ158" s="118"/>
      <c r="EA158" s="118"/>
      <c r="EB158" s="118"/>
      <c r="EC158" s="118"/>
      <c r="ED158" s="118"/>
      <c r="EE158" s="118"/>
      <c r="EF158" s="118"/>
      <c r="EG158" s="118"/>
      <c r="EH158" s="118"/>
      <c r="EI158" s="118"/>
      <c r="EJ158" s="118"/>
      <c r="EK158" s="118"/>
      <c r="EL158" s="118"/>
      <c r="EM158" s="118"/>
      <c r="EN158" s="118"/>
      <c r="EO158" s="118"/>
      <c r="EP158" s="118"/>
      <c r="EQ158" s="118"/>
      <c r="ER158" s="118"/>
      <c r="ES158" s="118"/>
      <c r="ET158" s="118"/>
      <c r="EU158" s="118"/>
      <c r="EV158" s="118"/>
      <c r="EW158" s="118"/>
      <c r="EX158" s="118"/>
      <c r="EY158" s="118"/>
      <c r="EZ158" s="118"/>
      <c r="FA158" s="118"/>
      <c r="FB158" s="118"/>
      <c r="FC158" s="118"/>
      <c r="FD158" s="118"/>
      <c r="FE158" s="118"/>
      <c r="FF158" s="118"/>
      <c r="FG158" s="118"/>
      <c r="FH158" s="118"/>
      <c r="FI158" s="118"/>
      <c r="FJ158" s="118"/>
      <c r="FK158" s="118"/>
      <c r="FL158" s="118"/>
      <c r="FM158" s="118"/>
      <c r="FN158" s="118"/>
      <c r="FO158" s="118"/>
      <c r="FP158" s="118"/>
      <c r="FQ158" s="118"/>
      <c r="FR158" s="118"/>
      <c r="FS158" s="118"/>
      <c r="FT158" s="118"/>
      <c r="FU158" s="118"/>
      <c r="FV158" s="118"/>
      <c r="FW158" s="118"/>
      <c r="FX158" s="118"/>
      <c r="FY158" s="118"/>
      <c r="FZ158" s="118"/>
      <c r="GA158" s="118"/>
      <c r="GB158" s="118"/>
      <c r="GC158" s="118"/>
      <c r="GD158" s="118"/>
      <c r="GE158" s="118"/>
      <c r="GF158" s="118"/>
      <c r="GG158" s="118"/>
      <c r="GH158" s="118"/>
      <c r="GI158" s="118"/>
      <c r="GJ158" s="118"/>
      <c r="GK158" s="118"/>
      <c r="GL158" s="118"/>
      <c r="GM158" s="118"/>
      <c r="GN158" s="118"/>
      <c r="GO158" s="118"/>
      <c r="GP158" s="118"/>
      <c r="GQ158" s="118"/>
      <c r="GR158" s="118"/>
      <c r="GS158" s="118"/>
      <c r="GT158" s="118"/>
      <c r="GU158" s="118"/>
      <c r="GV158" s="118"/>
      <c r="GW158" s="118"/>
      <c r="GX158" s="118"/>
      <c r="GY158" s="118"/>
      <c r="GZ158" s="118"/>
      <c r="HA158" s="118"/>
      <c r="HB158" s="118"/>
      <c r="HC158" s="118"/>
      <c r="HD158" s="118"/>
      <c r="HE158" s="118"/>
      <c r="HF158" s="118"/>
      <c r="HG158" s="118"/>
      <c r="HH158" s="118"/>
      <c r="HI158" s="118"/>
      <c r="HJ158" s="118"/>
      <c r="HK158" s="118"/>
      <c r="HL158" s="118"/>
      <c r="HM158" s="118"/>
      <c r="HN158" s="118"/>
      <c r="HO158" s="118"/>
      <c r="HP158" s="118"/>
      <c r="HQ158" s="118"/>
      <c r="HR158" s="118"/>
      <c r="HS158" s="118"/>
      <c r="HT158" s="118"/>
      <c r="HU158" s="118"/>
      <c r="HV158" s="118"/>
      <c r="HW158" s="118"/>
      <c r="HX158" s="118"/>
      <c r="HY158" s="118"/>
      <c r="HZ158" s="118"/>
      <c r="IA158" s="118"/>
      <c r="IB158" s="118"/>
      <c r="IC158" s="118"/>
      <c r="ID158" s="118"/>
      <c r="IE158" s="118"/>
      <c r="IF158" s="118"/>
      <c r="IG158" s="118"/>
      <c r="IH158" s="118"/>
      <c r="II158" s="118"/>
      <c r="IJ158" s="118"/>
      <c r="IK158" s="118"/>
      <c r="IL158" s="118"/>
      <c r="IM158" s="118"/>
      <c r="IN158" s="118"/>
      <c r="IO158" s="118"/>
      <c r="IP158" s="118"/>
      <c r="IQ158" s="118"/>
      <c r="IR158" s="118"/>
      <c r="IS158" s="118"/>
      <c r="IT158" s="118"/>
      <c r="IU158" s="118"/>
      <c r="IV158" s="118"/>
      <c r="IW158" s="118"/>
    </row>
    <row r="159" customFormat="false" ht="12.75" hidden="false" customHeight="false" outlineLevel="0" collapsed="false">
      <c r="A159" s="161"/>
      <c r="B159" s="118" t="s">
        <v>274</v>
      </c>
      <c r="C159" s="118"/>
      <c r="D159" s="118"/>
      <c r="E159" s="118"/>
      <c r="F159" s="118"/>
      <c r="G159" s="118"/>
      <c r="H159" s="118"/>
      <c r="I159" s="118"/>
      <c r="J159" s="192"/>
      <c r="K159" s="118"/>
      <c r="L159" s="203" t="s">
        <v>258</v>
      </c>
      <c r="M159" s="110"/>
      <c r="N159" s="110" t="n">
        <v>0</v>
      </c>
      <c r="O159" s="110"/>
      <c r="P159" s="110" t="n">
        <v>24235</v>
      </c>
      <c r="Q159" s="110"/>
      <c r="R159" s="110" t="n">
        <v>0</v>
      </c>
      <c r="S159" s="110"/>
      <c r="T159" s="110" t="n">
        <v>0</v>
      </c>
      <c r="U159" s="110"/>
      <c r="V159" s="110" t="n">
        <v>0</v>
      </c>
      <c r="X159" s="110" t="n">
        <v>0</v>
      </c>
      <c r="Z159" s="110" t="n">
        <v>0</v>
      </c>
      <c r="AB159" s="110" t="n">
        <v>0</v>
      </c>
      <c r="AD159" s="110" t="n">
        <v>0</v>
      </c>
      <c r="AF159" s="110" t="n">
        <v>0</v>
      </c>
      <c r="AH159" s="110" t="n">
        <v>0</v>
      </c>
      <c r="AI159" s="119"/>
      <c r="AJ159" s="110" t="n">
        <v>0</v>
      </c>
      <c r="AL159" s="110" t="n">
        <v>0</v>
      </c>
      <c r="AN159" s="110" t="n">
        <v>37759.78</v>
      </c>
      <c r="AP159" s="110" t="n">
        <v>42194.99</v>
      </c>
      <c r="AR159" s="110" t="n">
        <v>35999.89</v>
      </c>
      <c r="AT159" s="110" t="n">
        <v>35401.09</v>
      </c>
      <c r="AV159" s="110" t="n">
        <v>38258.9</v>
      </c>
      <c r="AX159" s="110" t="n">
        <v>64824.96</v>
      </c>
      <c r="AZ159" s="110" t="n">
        <v>99822</v>
      </c>
      <c r="BB159" s="110" t="n">
        <v>0</v>
      </c>
      <c r="BD159" s="110" t="n">
        <f aca="false">73972.18+57369.39</f>
        <v>131341.57</v>
      </c>
      <c r="BF159" s="110" t="n">
        <v>0</v>
      </c>
      <c r="BH159" s="110" t="n">
        <v>29358.5</v>
      </c>
      <c r="BJ159" s="110" t="n">
        <v>0</v>
      </c>
      <c r="BM159" s="110" t="n">
        <v>0</v>
      </c>
      <c r="BO159" s="110" t="n">
        <v>0</v>
      </c>
      <c r="BP159" s="110"/>
      <c r="BQ159" s="110" t="n">
        <f aca="false">SUM(T159:BP159)</f>
        <v>514961.68</v>
      </c>
      <c r="BS159" s="110" t="n">
        <v>0</v>
      </c>
      <c r="BU159" s="110" t="n">
        <f aca="false">IF(+R159-BQ159+BS159&gt;0,R159-BQ159+BS159,0)</f>
        <v>0</v>
      </c>
      <c r="BW159" s="110" t="n">
        <f aca="false">+BQ159+BU159</f>
        <v>514961.68</v>
      </c>
      <c r="BY159" s="110" t="n">
        <f aca="false">+R159-BW159</f>
        <v>-514961.68</v>
      </c>
      <c r="BZ159" s="110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  <c r="GG159" s="118"/>
      <c r="GH159" s="118"/>
      <c r="GI159" s="118"/>
      <c r="GJ159" s="118"/>
      <c r="GK159" s="118"/>
      <c r="GL159" s="118"/>
      <c r="GM159" s="118"/>
      <c r="GN159" s="118"/>
      <c r="GO159" s="118"/>
      <c r="GP159" s="118"/>
      <c r="GQ159" s="118"/>
      <c r="GR159" s="118"/>
      <c r="GS159" s="118"/>
      <c r="GT159" s="118"/>
      <c r="GU159" s="118"/>
      <c r="GV159" s="118"/>
      <c r="GW159" s="118"/>
      <c r="GX159" s="118"/>
      <c r="GY159" s="118"/>
      <c r="GZ159" s="118"/>
      <c r="HA159" s="118"/>
      <c r="HB159" s="118"/>
      <c r="HC159" s="118"/>
      <c r="HD159" s="118"/>
      <c r="HE159" s="118"/>
      <c r="HF159" s="118"/>
      <c r="HG159" s="118"/>
      <c r="HH159" s="118"/>
      <c r="HI159" s="118"/>
      <c r="HJ159" s="118"/>
      <c r="HK159" s="118"/>
      <c r="HL159" s="118"/>
      <c r="HM159" s="118"/>
      <c r="HN159" s="118"/>
      <c r="HO159" s="118"/>
      <c r="HP159" s="118"/>
      <c r="HQ159" s="118"/>
      <c r="HR159" s="118"/>
      <c r="HS159" s="118"/>
      <c r="HT159" s="118"/>
      <c r="HU159" s="118"/>
      <c r="HV159" s="118"/>
      <c r="HW159" s="118"/>
      <c r="HX159" s="118"/>
      <c r="HY159" s="118"/>
      <c r="HZ159" s="118"/>
      <c r="IA159" s="118"/>
      <c r="IB159" s="118"/>
      <c r="IC159" s="118"/>
      <c r="ID159" s="118"/>
      <c r="IE159" s="118"/>
      <c r="IF159" s="118"/>
      <c r="IG159" s="118"/>
      <c r="IH159" s="118"/>
      <c r="II159" s="118"/>
      <c r="IJ159" s="118"/>
      <c r="IK159" s="118"/>
      <c r="IL159" s="118"/>
      <c r="IM159" s="118"/>
      <c r="IN159" s="118"/>
      <c r="IO159" s="118"/>
      <c r="IP159" s="118"/>
      <c r="IQ159" s="118"/>
      <c r="IR159" s="118"/>
      <c r="IS159" s="118"/>
      <c r="IT159" s="118"/>
      <c r="IU159" s="118"/>
      <c r="IV159" s="118"/>
      <c r="IW159" s="118"/>
    </row>
    <row r="160" customFormat="false" ht="12.75" hidden="false" customHeight="false" outlineLevel="0" collapsed="false">
      <c r="A160" s="161"/>
      <c r="B160" s="118" t="s">
        <v>128</v>
      </c>
      <c r="C160" s="118"/>
      <c r="D160" s="118"/>
      <c r="E160" s="118"/>
      <c r="F160" s="118"/>
      <c r="G160" s="118"/>
      <c r="H160" s="118"/>
      <c r="I160" s="118"/>
      <c r="J160" s="192"/>
      <c r="K160" s="118"/>
      <c r="L160" s="203" t="s">
        <v>258</v>
      </c>
      <c r="M160" s="110"/>
      <c r="N160" s="110" t="n">
        <v>400000</v>
      </c>
      <c r="O160" s="110"/>
      <c r="P160" s="110" t="n">
        <f aca="false">49065-N160-6000</f>
        <v>-356935</v>
      </c>
      <c r="Q160" s="110"/>
      <c r="R160" s="110" t="n">
        <f aca="false">129593+5000</f>
        <v>134593</v>
      </c>
      <c r="S160" s="110"/>
      <c r="T160" s="110" t="n">
        <v>0</v>
      </c>
      <c r="U160" s="110"/>
      <c r="V160" s="110" t="n">
        <v>0</v>
      </c>
      <c r="X160" s="110" t="n">
        <v>46735</v>
      </c>
      <c r="Z160" s="110" t="n">
        <v>21114</v>
      </c>
      <c r="AB160" s="110" t="n">
        <v>1899</v>
      </c>
      <c r="AD160" s="110" t="n">
        <v>8288</v>
      </c>
      <c r="AF160" s="110" t="n">
        <f aca="false">3330+7426.97+30387.78+738+100+50+20+10+11200+31000</f>
        <v>84262.75</v>
      </c>
      <c r="AH160" s="110" t="n">
        <f aca="false">10000+838.34</f>
        <v>10838.34</v>
      </c>
      <c r="AI160" s="119"/>
      <c r="AJ160" s="110" t="n">
        <v>0</v>
      </c>
      <c r="AL160" s="110" t="n">
        <v>20657.14</v>
      </c>
      <c r="AN160" s="110" t="n">
        <f aca="false">46225.52-37759.78</f>
        <v>8465.74</v>
      </c>
      <c r="AP160" s="110" t="n">
        <f aca="false">1415.06+712.75</f>
        <v>2127.81</v>
      </c>
      <c r="AR160" s="110" t="n">
        <f aca="false">2610+1500+540+200</f>
        <v>4850</v>
      </c>
      <c r="AT160" s="110" t="n">
        <f aca="false">1890.2+1000+2500+400.16+838.34</f>
        <v>6628.7</v>
      </c>
      <c r="AV160" s="110" t="n">
        <v>822.91</v>
      </c>
      <c r="AX160" s="110" t="n">
        <f aca="false">1450+1015+420+300+562.5+209+1085.4</f>
        <v>5041.9</v>
      </c>
      <c r="AZ160" s="110" t="n">
        <f aca="false">17+17+540+1</f>
        <v>575</v>
      </c>
      <c r="BB160" s="110" t="n">
        <f aca="false">58425.46+17.25+1500-1450-1015</f>
        <v>57477.71</v>
      </c>
      <c r="BD160" s="110" t="n">
        <f aca="false">21906+540+39105+39803.97+6077</f>
        <v>107431.97</v>
      </c>
      <c r="BF160" s="110" t="n">
        <f aca="false">17899.3+13668.55</f>
        <v>31567.85</v>
      </c>
      <c r="BH160" s="110" t="n">
        <f aca="false">1440+508.85+201.65+575+69.25</f>
        <v>2794.75</v>
      </c>
      <c r="BJ160" s="110" t="n">
        <f aca="false">123+2781+68</f>
        <v>2972</v>
      </c>
      <c r="BM160" s="110" t="n">
        <f aca="false">750+91726</f>
        <v>92476</v>
      </c>
      <c r="BO160" s="110" t="n">
        <v>0</v>
      </c>
      <c r="BP160" s="110"/>
      <c r="BQ160" s="110" t="n">
        <f aca="false">SUM(T160:BP160)</f>
        <v>517026.57</v>
      </c>
      <c r="BS160" s="110" t="n">
        <v>0</v>
      </c>
      <c r="BU160" s="110" t="n">
        <f aca="false">IF(+R160-BQ160+BS160&gt;0,R160-BQ160+BS160,0)</f>
        <v>0</v>
      </c>
      <c r="BW160" s="110" t="n">
        <f aca="false">+BQ160+BU160</f>
        <v>517026.57</v>
      </c>
      <c r="BY160" s="110" t="n">
        <f aca="false">+R160-BW160</f>
        <v>-382433.57</v>
      </c>
      <c r="BZ160" s="110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  <c r="CR160" s="118"/>
      <c r="CS160" s="118"/>
      <c r="CT160" s="118"/>
      <c r="CU160" s="118"/>
      <c r="CV160" s="118"/>
      <c r="CW160" s="118"/>
      <c r="CX160" s="118"/>
      <c r="CY160" s="118"/>
      <c r="CZ160" s="118"/>
      <c r="DA160" s="118"/>
      <c r="DB160" s="118"/>
      <c r="DC160" s="118"/>
      <c r="DD160" s="118"/>
      <c r="DE160" s="118"/>
      <c r="DF160" s="118"/>
      <c r="DG160" s="118"/>
      <c r="DH160" s="118"/>
      <c r="DI160" s="118"/>
      <c r="DJ160" s="118"/>
      <c r="DK160" s="118"/>
      <c r="DL160" s="118"/>
      <c r="DM160" s="118"/>
      <c r="DN160" s="118"/>
      <c r="DO160" s="118"/>
      <c r="DP160" s="118"/>
      <c r="DQ160" s="118"/>
      <c r="DR160" s="118"/>
      <c r="DS160" s="118"/>
      <c r="DT160" s="118"/>
      <c r="DU160" s="118"/>
      <c r="DV160" s="118"/>
      <c r="DW160" s="118"/>
      <c r="DX160" s="118"/>
      <c r="DY160" s="118"/>
      <c r="DZ160" s="118"/>
      <c r="EA160" s="118"/>
      <c r="EB160" s="118"/>
      <c r="EC160" s="118"/>
      <c r="ED160" s="118"/>
      <c r="EE160" s="118"/>
      <c r="EF160" s="118"/>
      <c r="EG160" s="118"/>
      <c r="EH160" s="118"/>
      <c r="EI160" s="118"/>
      <c r="EJ160" s="118"/>
      <c r="EK160" s="118"/>
      <c r="EL160" s="118"/>
      <c r="EM160" s="118"/>
      <c r="EN160" s="118"/>
      <c r="EO160" s="118"/>
      <c r="EP160" s="118"/>
      <c r="EQ160" s="118"/>
      <c r="ER160" s="118"/>
      <c r="ES160" s="118"/>
      <c r="ET160" s="118"/>
      <c r="EU160" s="118"/>
      <c r="EV160" s="118"/>
      <c r="EW160" s="118"/>
      <c r="EX160" s="118"/>
      <c r="EY160" s="118"/>
      <c r="EZ160" s="118"/>
      <c r="FA160" s="118"/>
      <c r="FB160" s="118"/>
      <c r="FC160" s="118"/>
      <c r="FD160" s="118"/>
      <c r="FE160" s="118"/>
      <c r="FF160" s="118"/>
      <c r="FG160" s="118"/>
      <c r="FH160" s="118"/>
      <c r="FI160" s="118"/>
      <c r="FJ160" s="118"/>
      <c r="FK160" s="118"/>
      <c r="FL160" s="118"/>
      <c r="FM160" s="118"/>
      <c r="FN160" s="118"/>
      <c r="FO160" s="118"/>
      <c r="FP160" s="118"/>
      <c r="FQ160" s="118"/>
      <c r="FR160" s="118"/>
      <c r="FS160" s="118"/>
      <c r="FT160" s="118"/>
      <c r="FU160" s="118"/>
      <c r="FV160" s="118"/>
      <c r="FW160" s="118"/>
      <c r="FX160" s="118"/>
      <c r="FY160" s="118"/>
      <c r="FZ160" s="118"/>
      <c r="GA160" s="118"/>
      <c r="GB160" s="118"/>
      <c r="GC160" s="118"/>
      <c r="GD160" s="118"/>
      <c r="GE160" s="118"/>
      <c r="GF160" s="118"/>
      <c r="GG160" s="118"/>
      <c r="GH160" s="118"/>
      <c r="GI160" s="118"/>
      <c r="GJ160" s="118"/>
      <c r="GK160" s="118"/>
      <c r="GL160" s="118"/>
      <c r="GM160" s="118"/>
      <c r="GN160" s="118"/>
      <c r="GO160" s="118"/>
      <c r="GP160" s="118"/>
      <c r="GQ160" s="118"/>
      <c r="GR160" s="118"/>
      <c r="GS160" s="118"/>
      <c r="GT160" s="118"/>
      <c r="GU160" s="118"/>
      <c r="GV160" s="118"/>
      <c r="GW160" s="118"/>
      <c r="GX160" s="118"/>
      <c r="GY160" s="118"/>
      <c r="GZ160" s="118"/>
      <c r="HA160" s="118"/>
      <c r="HB160" s="118"/>
      <c r="HC160" s="118"/>
      <c r="HD160" s="118"/>
      <c r="HE160" s="118"/>
      <c r="HF160" s="118"/>
      <c r="HG160" s="118"/>
      <c r="HH160" s="118"/>
      <c r="HI160" s="118"/>
      <c r="HJ160" s="118"/>
      <c r="HK160" s="118"/>
      <c r="HL160" s="118"/>
      <c r="HM160" s="118"/>
      <c r="HN160" s="118"/>
      <c r="HO160" s="118"/>
      <c r="HP160" s="118"/>
      <c r="HQ160" s="118"/>
      <c r="HR160" s="118"/>
      <c r="HS160" s="118"/>
      <c r="HT160" s="118"/>
      <c r="HU160" s="118"/>
      <c r="HV160" s="118"/>
      <c r="HW160" s="118"/>
      <c r="HX160" s="118"/>
      <c r="HY160" s="118"/>
      <c r="HZ160" s="118"/>
      <c r="IA160" s="118"/>
      <c r="IB160" s="118"/>
      <c r="IC160" s="118"/>
      <c r="ID160" s="118"/>
      <c r="IE160" s="118"/>
      <c r="IF160" s="118"/>
      <c r="IG160" s="118"/>
      <c r="IH160" s="118"/>
      <c r="II160" s="118"/>
      <c r="IJ160" s="118"/>
      <c r="IK160" s="118"/>
      <c r="IL160" s="118"/>
      <c r="IM160" s="118"/>
      <c r="IN160" s="118"/>
      <c r="IO160" s="118"/>
      <c r="IP160" s="118"/>
      <c r="IQ160" s="118"/>
      <c r="IR160" s="118"/>
      <c r="IS160" s="118"/>
      <c r="IT160" s="118"/>
      <c r="IU160" s="118"/>
      <c r="IV160" s="118"/>
      <c r="IW160" s="118"/>
    </row>
    <row r="161" customFormat="false" ht="12.75" hidden="false" customHeight="false" outlineLevel="0" collapsed="false">
      <c r="A161" s="161"/>
      <c r="B161" s="118" t="s">
        <v>275</v>
      </c>
      <c r="C161" s="118"/>
      <c r="D161" s="118"/>
      <c r="E161" s="118"/>
      <c r="F161" s="118"/>
      <c r="G161" s="118"/>
      <c r="H161" s="118"/>
      <c r="I161" s="118"/>
      <c r="J161" s="192"/>
      <c r="K161" s="118"/>
      <c r="L161" s="203"/>
      <c r="M161" s="110"/>
      <c r="O161" s="110"/>
      <c r="Q161" s="110"/>
      <c r="R161" s="110" t="n">
        <v>0</v>
      </c>
      <c r="S161" s="110"/>
      <c r="T161" s="110"/>
      <c r="U161" s="110"/>
      <c r="V161" s="110"/>
      <c r="X161" s="110"/>
      <c r="Z161" s="110"/>
      <c r="AB161" s="110"/>
      <c r="AD161" s="110"/>
      <c r="AI161" s="119"/>
      <c r="AP161" s="110" t="n">
        <v>83333.33</v>
      </c>
      <c r="AR161" s="110" t="n">
        <f aca="false">82333.33+25346.23</f>
        <v>107679.56</v>
      </c>
      <c r="BD161" s="118"/>
      <c r="BJ161" s="110"/>
      <c r="BM161" s="110"/>
      <c r="BO161" s="110"/>
      <c r="BP161" s="110"/>
      <c r="BQ161" s="110" t="n">
        <f aca="false">SUM(T161:BP161)</f>
        <v>191012.89</v>
      </c>
      <c r="BS161" s="110" t="n">
        <v>0</v>
      </c>
      <c r="BU161" s="110" t="n">
        <f aca="false">IF(+R161-BQ161+BS161&gt;0,R161-BQ161+BS161,0)</f>
        <v>0</v>
      </c>
      <c r="BW161" s="110" t="n">
        <f aca="false">+BQ161+BU161</f>
        <v>191012.89</v>
      </c>
      <c r="BY161" s="110" t="n">
        <f aca="false">+R161-BW161</f>
        <v>-191012.89</v>
      </c>
      <c r="BZ161" s="110"/>
      <c r="CA161" s="118"/>
      <c r="CB161" s="118"/>
      <c r="CC161" s="118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118"/>
      <c r="CO161" s="118"/>
      <c r="CP161" s="118"/>
      <c r="CQ161" s="118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118"/>
      <c r="DC161" s="118"/>
      <c r="DD161" s="118"/>
      <c r="DE161" s="118"/>
      <c r="DF161" s="118"/>
      <c r="DG161" s="118"/>
      <c r="DH161" s="118"/>
      <c r="DI161" s="118"/>
      <c r="DJ161" s="118"/>
      <c r="DK161" s="118"/>
      <c r="DL161" s="118"/>
      <c r="DM161" s="118"/>
      <c r="DN161" s="118"/>
      <c r="DO161" s="118"/>
      <c r="DP161" s="118"/>
      <c r="DQ161" s="118"/>
      <c r="DR161" s="118"/>
      <c r="DS161" s="118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118"/>
      <c r="EE161" s="118"/>
      <c r="EF161" s="118"/>
      <c r="EG161" s="118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118"/>
      <c r="ES161" s="118"/>
      <c r="ET161" s="118"/>
      <c r="EU161" s="118"/>
      <c r="EV161" s="118"/>
      <c r="EW161" s="118"/>
      <c r="EX161" s="118"/>
      <c r="EY161" s="118"/>
      <c r="EZ161" s="118"/>
      <c r="FA161" s="118"/>
      <c r="FB161" s="118"/>
      <c r="FC161" s="118"/>
      <c r="FD161" s="118"/>
      <c r="FE161" s="118"/>
      <c r="FF161" s="118"/>
      <c r="FG161" s="118"/>
      <c r="FH161" s="118"/>
      <c r="FI161" s="118"/>
      <c r="FJ161" s="118"/>
      <c r="FK161" s="118"/>
      <c r="FL161" s="118"/>
      <c r="FM161" s="118"/>
      <c r="FN161" s="118"/>
      <c r="FO161" s="118"/>
      <c r="FP161" s="118"/>
      <c r="FQ161" s="118"/>
      <c r="FR161" s="118"/>
      <c r="FS161" s="118"/>
      <c r="FT161" s="118"/>
      <c r="FU161" s="118"/>
      <c r="FV161" s="118"/>
      <c r="FW161" s="118"/>
      <c r="FX161" s="118"/>
      <c r="FY161" s="118"/>
      <c r="FZ161" s="118"/>
      <c r="GA161" s="118"/>
      <c r="GB161" s="118"/>
      <c r="GC161" s="118"/>
      <c r="GD161" s="118"/>
      <c r="GE161" s="118"/>
      <c r="GF161" s="118"/>
      <c r="GG161" s="118"/>
      <c r="GH161" s="118"/>
      <c r="GI161" s="118"/>
      <c r="GJ161" s="118"/>
      <c r="GK161" s="118"/>
      <c r="GL161" s="118"/>
      <c r="GM161" s="118"/>
      <c r="GN161" s="118"/>
      <c r="GO161" s="118"/>
      <c r="GP161" s="118"/>
      <c r="GQ161" s="118"/>
      <c r="GR161" s="118"/>
      <c r="GS161" s="118"/>
      <c r="GT161" s="118"/>
      <c r="GU161" s="118"/>
      <c r="GV161" s="118"/>
      <c r="GW161" s="118"/>
      <c r="GX161" s="118"/>
      <c r="GY161" s="118"/>
      <c r="GZ161" s="118"/>
      <c r="HA161" s="118"/>
      <c r="HB161" s="118"/>
      <c r="HC161" s="118"/>
      <c r="HD161" s="118"/>
      <c r="HE161" s="118"/>
      <c r="HF161" s="118"/>
      <c r="HG161" s="118"/>
      <c r="HH161" s="118"/>
      <c r="HI161" s="118"/>
      <c r="HJ161" s="118"/>
      <c r="HK161" s="118"/>
      <c r="HL161" s="118"/>
      <c r="HM161" s="118"/>
      <c r="HN161" s="118"/>
      <c r="HO161" s="118"/>
      <c r="HP161" s="118"/>
      <c r="HQ161" s="118"/>
      <c r="HR161" s="118"/>
      <c r="HS161" s="118"/>
      <c r="HT161" s="118"/>
      <c r="HU161" s="118"/>
      <c r="HV161" s="118"/>
      <c r="HW161" s="118"/>
      <c r="HX161" s="118"/>
      <c r="HY161" s="118"/>
      <c r="HZ161" s="118"/>
      <c r="IA161" s="118"/>
      <c r="IB161" s="118"/>
      <c r="IC161" s="118"/>
      <c r="ID161" s="118"/>
      <c r="IE161" s="118"/>
      <c r="IF161" s="118"/>
      <c r="IG161" s="118"/>
      <c r="IH161" s="118"/>
      <c r="II161" s="118"/>
      <c r="IJ161" s="118"/>
      <c r="IK161" s="118"/>
      <c r="IL161" s="118"/>
      <c r="IM161" s="118"/>
      <c r="IN161" s="118"/>
      <c r="IO161" s="118"/>
      <c r="IP161" s="118"/>
      <c r="IQ161" s="118"/>
      <c r="IR161" s="118"/>
      <c r="IS161" s="118"/>
      <c r="IT161" s="118"/>
      <c r="IU161" s="118"/>
      <c r="IV161" s="118"/>
      <c r="IW161" s="118"/>
    </row>
    <row r="162" customFormat="false" ht="12.75" hidden="false" customHeight="false" outlineLevel="0" collapsed="false">
      <c r="A162" s="161"/>
      <c r="B162" s="118" t="s">
        <v>276</v>
      </c>
      <c r="C162" s="118"/>
      <c r="D162" s="118"/>
      <c r="E162" s="118"/>
      <c r="F162" s="118"/>
      <c r="G162" s="118"/>
      <c r="H162" s="118"/>
      <c r="I162" s="118"/>
      <c r="J162" s="192"/>
      <c r="K162" s="118"/>
      <c r="L162" s="203"/>
      <c r="M162" s="110"/>
      <c r="O162" s="110"/>
      <c r="Q162" s="110"/>
      <c r="R162" s="110" t="n">
        <v>0</v>
      </c>
      <c r="S162" s="110"/>
      <c r="T162" s="110"/>
      <c r="U162" s="110"/>
      <c r="V162" s="110"/>
      <c r="X162" s="110"/>
      <c r="Z162" s="110"/>
      <c r="AB162" s="110"/>
      <c r="AD162" s="110"/>
      <c r="AF162" s="110" t="n">
        <f aca="false">199867.23-30387.78-11200-31000</f>
        <v>127279.45</v>
      </c>
      <c r="AH162" s="110" t="n">
        <f aca="false">1916.6+566.91+3047.17+16608.78+17351.65+10439.68</f>
        <v>49930.79</v>
      </c>
      <c r="AI162" s="119"/>
      <c r="AJ162" s="110" t="n">
        <v>29848.78</v>
      </c>
      <c r="BJ162" s="110"/>
      <c r="BM162" s="110"/>
      <c r="BO162" s="110"/>
      <c r="BP162" s="110"/>
      <c r="BQ162" s="110" t="n">
        <f aca="false">SUM(T162:BP162)</f>
        <v>207059.02</v>
      </c>
      <c r="BS162" s="110" t="n">
        <v>207059</v>
      </c>
      <c r="BU162" s="110" t="n">
        <f aca="false">IF(+R162-BQ162+BS162&gt;0,R162-BQ162+BS162,0)</f>
        <v>0</v>
      </c>
      <c r="BW162" s="110" t="n">
        <f aca="false">+BQ162+BU162</f>
        <v>207059.02</v>
      </c>
      <c r="BY162" s="110" t="n">
        <f aca="false">+R162-BW162</f>
        <v>-207059.02</v>
      </c>
      <c r="BZ162" s="110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  <c r="GG162" s="118"/>
      <c r="GH162" s="118"/>
      <c r="GI162" s="118"/>
      <c r="GJ162" s="118"/>
      <c r="GK162" s="118"/>
      <c r="GL162" s="118"/>
      <c r="GM162" s="118"/>
      <c r="GN162" s="118"/>
      <c r="GO162" s="118"/>
      <c r="GP162" s="118"/>
      <c r="GQ162" s="118"/>
      <c r="GR162" s="118"/>
      <c r="GS162" s="118"/>
      <c r="GT162" s="118"/>
      <c r="GU162" s="118"/>
      <c r="GV162" s="118"/>
      <c r="GW162" s="118"/>
      <c r="GX162" s="118"/>
      <c r="GY162" s="118"/>
      <c r="GZ162" s="118"/>
      <c r="HA162" s="118"/>
      <c r="HB162" s="118"/>
      <c r="HC162" s="118"/>
      <c r="HD162" s="118"/>
      <c r="HE162" s="118"/>
      <c r="HF162" s="118"/>
      <c r="HG162" s="118"/>
      <c r="HH162" s="118"/>
      <c r="HI162" s="118"/>
      <c r="HJ162" s="118"/>
      <c r="HK162" s="118"/>
      <c r="HL162" s="118"/>
      <c r="HM162" s="118"/>
      <c r="HN162" s="118"/>
      <c r="HO162" s="118"/>
      <c r="HP162" s="118"/>
      <c r="HQ162" s="118"/>
      <c r="HR162" s="118"/>
      <c r="HS162" s="118"/>
      <c r="HT162" s="118"/>
      <c r="HU162" s="118"/>
      <c r="HV162" s="118"/>
      <c r="HW162" s="118"/>
      <c r="HX162" s="118"/>
      <c r="HY162" s="118"/>
      <c r="HZ162" s="118"/>
      <c r="IA162" s="118"/>
      <c r="IB162" s="118"/>
      <c r="IC162" s="118"/>
      <c r="ID162" s="118"/>
      <c r="IE162" s="118"/>
      <c r="IF162" s="118"/>
      <c r="IG162" s="118"/>
      <c r="IH162" s="118"/>
      <c r="II162" s="118"/>
      <c r="IJ162" s="118"/>
      <c r="IK162" s="118"/>
      <c r="IL162" s="118"/>
      <c r="IM162" s="118"/>
      <c r="IN162" s="118"/>
      <c r="IO162" s="118"/>
      <c r="IP162" s="118"/>
      <c r="IQ162" s="118"/>
      <c r="IR162" s="118"/>
      <c r="IS162" s="118"/>
      <c r="IT162" s="118"/>
      <c r="IU162" s="118"/>
      <c r="IV162" s="118"/>
      <c r="IW162" s="118"/>
    </row>
    <row r="163" customFormat="false" ht="12.75" hidden="false" customHeight="false" outlineLevel="0" collapsed="false">
      <c r="A163" s="160"/>
      <c r="B163" s="174" t="s">
        <v>277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198" t="n">
        <f aca="false">SUM(N157:N160)</f>
        <v>600000</v>
      </c>
      <c r="O163" s="24"/>
      <c r="P163" s="198" t="n">
        <f aca="false">SUM(P157:P160)</f>
        <v>-282700</v>
      </c>
      <c r="Q163" s="24"/>
      <c r="R163" s="198" t="n">
        <f aca="false">SUM(R157:R162)</f>
        <v>214593</v>
      </c>
      <c r="S163" s="198" t="n">
        <f aca="false">SUM(S157:S162)</f>
        <v>0</v>
      </c>
      <c r="T163" s="198" t="n">
        <f aca="false">SUM(T157:T162)</f>
        <v>0</v>
      </c>
      <c r="U163" s="198" t="n">
        <f aca="false">SUM(U157:U162)</f>
        <v>0</v>
      </c>
      <c r="V163" s="198" t="n">
        <f aca="false">SUM(V157:V162)</f>
        <v>1236</v>
      </c>
      <c r="W163" s="198" t="n">
        <f aca="false">SUM(W157:W162)</f>
        <v>0</v>
      </c>
      <c r="X163" s="198" t="n">
        <f aca="false">SUM(X157:X162)</f>
        <v>79109</v>
      </c>
      <c r="Y163" s="198" t="n">
        <f aca="false">SUM(Y157:Y162)</f>
        <v>0</v>
      </c>
      <c r="Z163" s="198" t="n">
        <f aca="false">SUM(Z157:Z162)</f>
        <v>26820</v>
      </c>
      <c r="AA163" s="198" t="n">
        <f aca="false">SUM(AA157:AA162)</f>
        <v>0</v>
      </c>
      <c r="AB163" s="198" t="n">
        <f aca="false">SUM(AB157:AB162)</f>
        <v>19500</v>
      </c>
      <c r="AC163" s="198" t="n">
        <f aca="false">SUM(AC157:AC162)</f>
        <v>0</v>
      </c>
      <c r="AD163" s="198" t="n">
        <f aca="false">SUM(AD157:AD162)</f>
        <v>11792</v>
      </c>
      <c r="AE163" s="198"/>
      <c r="AF163" s="198" t="n">
        <f aca="false">SUM(AF157:AF162)</f>
        <v>216727.63</v>
      </c>
      <c r="AG163" s="198"/>
      <c r="AH163" s="198" t="n">
        <f aca="false">SUM(AH157:AH162)</f>
        <v>64367.82</v>
      </c>
      <c r="AI163" s="119"/>
      <c r="AJ163" s="198" t="n">
        <f aca="false">SUM(AJ157:AJ162)</f>
        <v>33741.49</v>
      </c>
      <c r="AL163" s="198" t="n">
        <f aca="false">SUM(AL157:AL162)</f>
        <v>33591.29</v>
      </c>
      <c r="AN163" s="198" t="n">
        <f aca="false">SUM(AN157:AN162)</f>
        <v>47824.94</v>
      </c>
      <c r="AO163" s="198" t="n">
        <f aca="false">SUM(AO157:AO162)</f>
        <v>0</v>
      </c>
      <c r="AP163" s="198" t="n">
        <f aca="false">SUM(AP157:AP162)</f>
        <v>131162.31</v>
      </c>
      <c r="AQ163" s="198" t="n">
        <f aca="false">SUM(AQ157:AQ162)</f>
        <v>0</v>
      </c>
      <c r="AR163" s="198" t="n">
        <f aca="false">SUM(AR157:AR162)</f>
        <v>154225.1</v>
      </c>
      <c r="AS163" s="198" t="n">
        <f aca="false">SUM(AS157:AS162)</f>
        <v>0</v>
      </c>
      <c r="AT163" s="198" t="n">
        <f aca="false">SUM(AT157:AT162)</f>
        <v>51068.5</v>
      </c>
      <c r="AU163" s="198" t="n">
        <f aca="false">SUM(AU157:AU162)</f>
        <v>0</v>
      </c>
      <c r="AV163" s="198" t="n">
        <f aca="false">SUM(AV157:AV162)</f>
        <v>61370.14</v>
      </c>
      <c r="AW163" s="198" t="n">
        <f aca="false">SUM(AW157:AW162)</f>
        <v>0</v>
      </c>
      <c r="AX163" s="198" t="n">
        <f aca="false">SUM(AX157:AX162)</f>
        <v>73751.41</v>
      </c>
      <c r="AY163" s="198" t="n">
        <f aca="false">SUM(AY157:AY162)</f>
        <v>0</v>
      </c>
      <c r="AZ163" s="198" t="n">
        <f aca="false">SUM(AZ157:AZ162)</f>
        <v>101690.25</v>
      </c>
      <c r="BA163" s="198" t="n">
        <f aca="false">SUM(BA157:BA162)</f>
        <v>0</v>
      </c>
      <c r="BB163" s="198" t="n">
        <f aca="false">SUM(BB157:BB162)</f>
        <v>25242.39</v>
      </c>
      <c r="BC163" s="198"/>
      <c r="BD163" s="198" t="n">
        <f aca="false">SUM(BD157:BD162)</f>
        <v>238773.54</v>
      </c>
      <c r="BF163" s="198" t="n">
        <f aca="false">SUM(BF157:BF162)</f>
        <v>31567.85</v>
      </c>
      <c r="BH163" s="198" t="n">
        <f aca="false">SUM(BH157:BH162)</f>
        <v>32153.25</v>
      </c>
      <c r="BJ163" s="198" t="n">
        <f aca="false">SUM(BJ157:BJ162)</f>
        <v>2972</v>
      </c>
      <c r="BM163" s="198" t="n">
        <f aca="false">SUM(BM157:BM162)</f>
        <v>92476</v>
      </c>
      <c r="BO163" s="198" t="n">
        <f aca="false">SUM(BO157:BO162)</f>
        <v>0</v>
      </c>
      <c r="BP163" s="198"/>
      <c r="BQ163" s="198" t="n">
        <f aca="false">SUM(BQ157:BQ162)</f>
        <v>1531162.91</v>
      </c>
      <c r="BR163" s="198"/>
      <c r="BS163" s="198" t="n">
        <f aca="false">SUM(BS157:BS162)</f>
        <v>194663</v>
      </c>
      <c r="BU163" s="198" t="n">
        <f aca="false">SUM(BU157:BU162)</f>
        <v>0</v>
      </c>
      <c r="BV163" s="198" t="n">
        <f aca="false">SUM(BV157:BV162)</f>
        <v>0</v>
      </c>
      <c r="BW163" s="198" t="n">
        <f aca="false">SUM(BW157:BW162)</f>
        <v>1531162.91</v>
      </c>
      <c r="BX163" s="198" t="n">
        <f aca="false">SUM(BX157:BX162)</f>
        <v>0</v>
      </c>
      <c r="BY163" s="198" t="n">
        <f aca="false">SUM(BY157:BY162)</f>
        <v>-1316569.91</v>
      </c>
      <c r="BZ163" s="24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60"/>
      <c r="B164" s="174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119"/>
      <c r="AJ164" s="24"/>
      <c r="AL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F164" s="24"/>
      <c r="BH164" s="24"/>
      <c r="BJ164" s="24"/>
      <c r="BM164" s="24"/>
      <c r="BO164" s="24"/>
      <c r="BP164" s="24"/>
      <c r="BQ164" s="24"/>
      <c r="BR164" s="24"/>
      <c r="BS164" s="24"/>
      <c r="BU164" s="24"/>
      <c r="BV164" s="24"/>
      <c r="BW164" s="24"/>
      <c r="BX164" s="24"/>
      <c r="BY164" s="24"/>
      <c r="BZ164" s="24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60" t="s">
        <v>278</v>
      </c>
      <c r="B165" s="118"/>
      <c r="E165" s="119"/>
      <c r="G165" s="119"/>
      <c r="I165" s="119"/>
      <c r="L165" s="163"/>
      <c r="M165" s="110"/>
      <c r="O165" s="110"/>
      <c r="Q165" s="110"/>
      <c r="S165" s="110"/>
      <c r="T165" s="110"/>
      <c r="U165" s="110"/>
      <c r="V165" s="110"/>
      <c r="X165" s="110"/>
      <c r="Z165" s="110"/>
      <c r="AB165" s="110"/>
      <c r="AD165" s="110"/>
      <c r="AI165" s="119"/>
      <c r="BJ165" s="110"/>
      <c r="BM165" s="110"/>
      <c r="BO165" s="110"/>
      <c r="BP165" s="110"/>
      <c r="BS165" s="110"/>
      <c r="BZ165" s="110"/>
    </row>
    <row r="166" customFormat="false" ht="12.75" hidden="false" customHeight="false" outlineLevel="0" collapsed="false">
      <c r="A166" s="161"/>
      <c r="B166" s="118" t="s">
        <v>279</v>
      </c>
      <c r="C166" s="118"/>
      <c r="D166" s="118"/>
      <c r="E166" s="118"/>
      <c r="F166" s="118"/>
      <c r="G166" s="118"/>
      <c r="H166" s="118"/>
      <c r="I166" s="118"/>
      <c r="J166" s="192"/>
      <c r="K166" s="118"/>
      <c r="L166" s="203" t="s">
        <v>258</v>
      </c>
      <c r="M166" s="110"/>
      <c r="N166" s="110" t="n">
        <v>0</v>
      </c>
      <c r="O166" s="110"/>
      <c r="P166" s="110" t="n">
        <f aca="false">300000-5511</f>
        <v>294489</v>
      </c>
      <c r="Q166" s="110"/>
      <c r="R166" s="110" t="n">
        <v>6751</v>
      </c>
      <c r="S166" s="110"/>
      <c r="T166" s="110" t="n">
        <v>0</v>
      </c>
      <c r="U166" s="110"/>
      <c r="V166" s="110" t="n">
        <v>0</v>
      </c>
      <c r="X166" s="110" t="n">
        <v>0</v>
      </c>
      <c r="Z166" s="110" t="n">
        <v>0</v>
      </c>
      <c r="AB166" s="110" t="n">
        <v>0</v>
      </c>
      <c r="AD166" s="110" t="n">
        <v>605</v>
      </c>
      <c r="AF166" s="110" t="n">
        <v>0</v>
      </c>
      <c r="AH166" s="110" t="n">
        <v>0</v>
      </c>
      <c r="AI166" s="119"/>
      <c r="AJ166" s="110" t="n">
        <v>0</v>
      </c>
      <c r="AL166" s="110" t="n">
        <v>0</v>
      </c>
      <c r="AN166" s="110" t="n">
        <v>0</v>
      </c>
      <c r="AP166" s="110" t="n">
        <v>0</v>
      </c>
      <c r="AR166" s="110" t="n">
        <v>0</v>
      </c>
      <c r="AT166" s="110" t="n">
        <v>0</v>
      </c>
      <c r="AV166" s="110" t="n">
        <v>0</v>
      </c>
      <c r="AX166" s="110" t="n">
        <v>0</v>
      </c>
      <c r="AZ166" s="110" t="n">
        <v>0</v>
      </c>
      <c r="BB166" s="110" t="n">
        <v>0</v>
      </c>
      <c r="BD166" s="110" t="n">
        <v>0</v>
      </c>
      <c r="BF166" s="110" t="n">
        <v>0</v>
      </c>
      <c r="BH166" s="110" t="n">
        <v>0</v>
      </c>
      <c r="BJ166" s="110" t="n">
        <v>0</v>
      </c>
      <c r="BM166" s="110" t="n">
        <v>0</v>
      </c>
      <c r="BO166" s="110" t="n">
        <v>0</v>
      </c>
      <c r="BP166" s="110"/>
      <c r="BQ166" s="110" t="n">
        <f aca="false">SUM(T166:BP166)</f>
        <v>605</v>
      </c>
      <c r="BS166" s="110" t="n">
        <v>0</v>
      </c>
      <c r="BU166" s="110" t="n">
        <v>0</v>
      </c>
      <c r="BW166" s="110" t="n">
        <f aca="false">+BQ166+BU166</f>
        <v>605</v>
      </c>
      <c r="BY166" s="110" t="n">
        <f aca="false">+R166-BW166</f>
        <v>6146</v>
      </c>
      <c r="BZ166" s="110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  <c r="IB166" s="118"/>
      <c r="IC166" s="118"/>
      <c r="ID166" s="118"/>
      <c r="IE166" s="118"/>
      <c r="IF166" s="118"/>
      <c r="IG166" s="118"/>
      <c r="IH166" s="118"/>
      <c r="II166" s="118"/>
      <c r="IJ166" s="118"/>
      <c r="IK166" s="118"/>
      <c r="IL166" s="118"/>
      <c r="IM166" s="118"/>
      <c r="IN166" s="118"/>
      <c r="IO166" s="118"/>
      <c r="IP166" s="118"/>
      <c r="IQ166" s="118"/>
      <c r="IR166" s="118"/>
      <c r="IS166" s="118"/>
      <c r="IT166" s="118"/>
      <c r="IU166" s="118"/>
      <c r="IV166" s="118"/>
      <c r="IW166" s="118"/>
    </row>
    <row r="167" customFormat="false" ht="12.75" hidden="false" customHeight="false" outlineLevel="0" collapsed="false">
      <c r="A167" s="161"/>
      <c r="B167" s="118" t="s">
        <v>280</v>
      </c>
      <c r="C167" s="118"/>
      <c r="D167" s="118"/>
      <c r="E167" s="118"/>
      <c r="F167" s="118"/>
      <c r="G167" s="118"/>
      <c r="H167" s="118"/>
      <c r="I167" s="118"/>
      <c r="J167" s="192"/>
      <c r="K167" s="118"/>
      <c r="L167" s="203"/>
      <c r="M167" s="110"/>
      <c r="O167" s="110"/>
      <c r="Q167" s="110"/>
      <c r="S167" s="110"/>
      <c r="T167" s="110"/>
      <c r="U167" s="110"/>
      <c r="V167" s="110"/>
      <c r="X167" s="110"/>
      <c r="Z167" s="110"/>
      <c r="AB167" s="110"/>
      <c r="AD167" s="110"/>
      <c r="AI167" s="119"/>
      <c r="AR167" s="110" t="n">
        <v>252208.46</v>
      </c>
      <c r="AT167" s="110" t="n">
        <v>49463.67</v>
      </c>
      <c r="BJ167" s="110"/>
      <c r="BM167" s="110"/>
      <c r="BO167" s="110"/>
      <c r="BP167" s="110"/>
      <c r="BQ167" s="110" t="n">
        <f aca="false">SUM(T167:BP167)</f>
        <v>301672.13</v>
      </c>
      <c r="BS167" s="110" t="n">
        <v>0</v>
      </c>
      <c r="BU167" s="110" t="n">
        <f aca="false">IF(+R167-BQ167+BS167&gt;0,R167-BQ167+BS167,0)</f>
        <v>0</v>
      </c>
      <c r="BW167" s="110" t="n">
        <f aca="false">+BQ167+BU167</f>
        <v>301672.13</v>
      </c>
      <c r="BY167" s="110" t="n">
        <f aca="false">+R167-BW167</f>
        <v>-301672.13</v>
      </c>
      <c r="BZ167" s="110"/>
      <c r="DX167" s="118"/>
      <c r="DY167" s="118"/>
      <c r="DZ167" s="118"/>
      <c r="EA167" s="118"/>
      <c r="EB167" s="118"/>
      <c r="EC167" s="118"/>
      <c r="ED167" s="118"/>
      <c r="EE167" s="118"/>
      <c r="EF167" s="118"/>
      <c r="EG167" s="118"/>
      <c r="EH167" s="118"/>
      <c r="EI167" s="118"/>
      <c r="EJ167" s="118"/>
      <c r="EK167" s="118"/>
      <c r="EL167" s="118"/>
      <c r="EM167" s="118"/>
      <c r="EN167" s="118"/>
      <c r="EO167" s="118"/>
      <c r="EP167" s="118"/>
      <c r="EQ167" s="118"/>
      <c r="ER167" s="118"/>
      <c r="ES167" s="118"/>
      <c r="ET167" s="118"/>
      <c r="EU167" s="118"/>
      <c r="EV167" s="118"/>
      <c r="EW167" s="118"/>
      <c r="EX167" s="118"/>
      <c r="EY167" s="118"/>
      <c r="EZ167" s="118"/>
      <c r="FA167" s="118"/>
      <c r="FB167" s="118"/>
      <c r="FC167" s="118"/>
      <c r="FD167" s="118"/>
      <c r="FE167" s="118"/>
      <c r="FF167" s="118"/>
      <c r="FG167" s="118"/>
      <c r="FH167" s="118"/>
      <c r="FI167" s="118"/>
      <c r="FJ167" s="118"/>
      <c r="FK167" s="118"/>
      <c r="FL167" s="118"/>
      <c r="FM167" s="118"/>
      <c r="FN167" s="118"/>
      <c r="FO167" s="118"/>
      <c r="FP167" s="118"/>
      <c r="FQ167" s="118"/>
      <c r="FR167" s="118"/>
      <c r="FS167" s="118"/>
      <c r="FT167" s="118"/>
      <c r="FU167" s="118"/>
      <c r="FV167" s="118"/>
      <c r="FW167" s="118"/>
      <c r="FX167" s="118"/>
      <c r="FY167" s="118"/>
      <c r="FZ167" s="118"/>
      <c r="GA167" s="118"/>
      <c r="GB167" s="118"/>
      <c r="GC167" s="118"/>
      <c r="GD167" s="118"/>
      <c r="GE167" s="118"/>
      <c r="GF167" s="118"/>
      <c r="GG167" s="118"/>
      <c r="GH167" s="118"/>
      <c r="GI167" s="118"/>
      <c r="GJ167" s="118"/>
      <c r="GK167" s="118"/>
      <c r="GL167" s="118"/>
      <c r="GM167" s="118"/>
      <c r="GN167" s="118"/>
      <c r="GO167" s="118"/>
      <c r="GP167" s="118"/>
      <c r="GQ167" s="118"/>
      <c r="GR167" s="118"/>
      <c r="GS167" s="118"/>
      <c r="GT167" s="118"/>
      <c r="GU167" s="118"/>
      <c r="GV167" s="118"/>
      <c r="GW167" s="118"/>
      <c r="GX167" s="118"/>
      <c r="GY167" s="118"/>
      <c r="GZ167" s="118"/>
      <c r="HA167" s="118"/>
      <c r="HB167" s="118"/>
      <c r="HC167" s="118"/>
      <c r="HD167" s="118"/>
      <c r="HE167" s="118"/>
      <c r="HF167" s="118"/>
      <c r="HG167" s="118"/>
      <c r="HH167" s="118"/>
      <c r="HI167" s="118"/>
      <c r="HJ167" s="118"/>
      <c r="HK167" s="118"/>
      <c r="HL167" s="118"/>
      <c r="HM167" s="118"/>
      <c r="HN167" s="118"/>
      <c r="HO167" s="118"/>
      <c r="HP167" s="118"/>
      <c r="HQ167" s="118"/>
      <c r="HR167" s="118"/>
      <c r="HS167" s="118"/>
      <c r="HT167" s="118"/>
      <c r="HU167" s="118"/>
      <c r="HV167" s="118"/>
      <c r="HW167" s="118"/>
      <c r="HX167" s="118"/>
      <c r="HY167" s="118"/>
      <c r="HZ167" s="118"/>
      <c r="IA167" s="118"/>
      <c r="IB167" s="118"/>
      <c r="IC167" s="118"/>
      <c r="ID167" s="118"/>
      <c r="IE167" s="118"/>
      <c r="IF167" s="118"/>
      <c r="IG167" s="118"/>
      <c r="IH167" s="118"/>
      <c r="II167" s="118"/>
      <c r="IJ167" s="118"/>
      <c r="IK167" s="118"/>
      <c r="IL167" s="118"/>
      <c r="IM167" s="118"/>
      <c r="IN167" s="118"/>
      <c r="IO167" s="118"/>
      <c r="IP167" s="118"/>
      <c r="IQ167" s="118"/>
      <c r="IR167" s="118"/>
      <c r="IS167" s="118"/>
      <c r="IT167" s="118"/>
      <c r="IU167" s="118"/>
      <c r="IV167" s="118"/>
      <c r="IW167" s="118"/>
    </row>
    <row r="168" customFormat="false" ht="12.75" hidden="false" customHeight="false" outlineLevel="0" collapsed="false">
      <c r="A168" s="161"/>
      <c r="B168" s="118" t="s">
        <v>128</v>
      </c>
      <c r="C168" s="118"/>
      <c r="D168" s="118"/>
      <c r="E168" s="118"/>
      <c r="F168" s="118"/>
      <c r="G168" s="118"/>
      <c r="H168" s="118"/>
      <c r="I168" s="118"/>
      <c r="J168" s="192"/>
      <c r="K168" s="118"/>
      <c r="L168" s="203" t="s">
        <v>258</v>
      </c>
      <c r="M168" s="110"/>
      <c r="N168" s="110" t="n">
        <v>500000</v>
      </c>
      <c r="O168" s="110"/>
      <c r="P168" s="110" t="n">
        <v>-300000</v>
      </c>
      <c r="Q168" s="110"/>
      <c r="R168" s="110" t="n">
        <v>250000</v>
      </c>
      <c r="S168" s="110"/>
      <c r="T168" s="110" t="n">
        <v>0</v>
      </c>
      <c r="U168" s="110"/>
      <c r="V168" s="110" t="n">
        <v>0</v>
      </c>
      <c r="X168" s="110" t="n">
        <v>0</v>
      </c>
      <c r="Z168" s="110" t="n">
        <v>0</v>
      </c>
      <c r="AB168" s="110"/>
      <c r="AD168" s="110"/>
      <c r="AF168" s="110" t="n">
        <v>0</v>
      </c>
      <c r="AH168" s="110" t="n">
        <v>21422.91</v>
      </c>
      <c r="AI168" s="119"/>
      <c r="AJ168" s="110" t="n">
        <v>0</v>
      </c>
      <c r="AL168" s="110" t="n">
        <v>75</v>
      </c>
      <c r="AN168" s="110" t="n">
        <v>6749.05</v>
      </c>
      <c r="AP168" s="110" t="n">
        <v>4454.98</v>
      </c>
      <c r="AR168" s="110" t="n">
        <v>0</v>
      </c>
      <c r="AT168" s="110" t="n">
        <v>0</v>
      </c>
      <c r="AV168" s="110" t="n">
        <v>0</v>
      </c>
      <c r="AX168" s="110" t="n">
        <v>10000</v>
      </c>
      <c r="AZ168" s="110" t="n">
        <v>0</v>
      </c>
      <c r="BB168" s="110" t="n">
        <v>0</v>
      </c>
      <c r="BD168" s="110" t="n">
        <f aca="false">105510.2+158699.47</f>
        <v>264209.67</v>
      </c>
      <c r="BF168" s="110" t="n">
        <v>0</v>
      </c>
      <c r="BH168" s="110" t="n">
        <v>0</v>
      </c>
      <c r="BJ168" s="110" t="n">
        <v>0</v>
      </c>
      <c r="BM168" s="110" t="n">
        <v>0</v>
      </c>
      <c r="BO168" s="110" t="n">
        <v>0</v>
      </c>
      <c r="BP168" s="110"/>
      <c r="BQ168" s="110" t="n">
        <f aca="false">SUM(T168:BP168)</f>
        <v>306911.61</v>
      </c>
      <c r="BS168" s="110" t="n">
        <v>0</v>
      </c>
      <c r="BU168" s="110" t="n">
        <f aca="false">IF(+R168-BQ168+BS168&gt;0,R168-BQ168+BS168,0)</f>
        <v>0</v>
      </c>
      <c r="BW168" s="110" t="n">
        <f aca="false">BU168+BS168+BQ168</f>
        <v>306911.61</v>
      </c>
      <c r="BY168" s="110" t="n">
        <f aca="false">+R168-BW168</f>
        <v>-56911.61</v>
      </c>
      <c r="BZ168" s="110"/>
      <c r="DX168" s="118"/>
      <c r="DY168" s="118"/>
      <c r="DZ168" s="118"/>
      <c r="EA168" s="118"/>
      <c r="EB168" s="118"/>
      <c r="EC168" s="118"/>
      <c r="ED168" s="118"/>
      <c r="EE168" s="118"/>
      <c r="EF168" s="118"/>
      <c r="EG168" s="118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8"/>
      <c r="FL168" s="118"/>
      <c r="FM168" s="118"/>
      <c r="FN168" s="118"/>
      <c r="FO168" s="118"/>
      <c r="FP168" s="118"/>
      <c r="FQ168" s="118"/>
      <c r="FR168" s="118"/>
      <c r="FS168" s="118"/>
      <c r="FT168" s="118"/>
      <c r="FU168" s="118"/>
      <c r="FV168" s="118"/>
      <c r="FW168" s="118"/>
      <c r="FX168" s="118"/>
      <c r="FY168" s="118"/>
      <c r="FZ168" s="118"/>
      <c r="GA168" s="118"/>
      <c r="GB168" s="118"/>
      <c r="GC168" s="118"/>
      <c r="GD168" s="118"/>
      <c r="GE168" s="118"/>
      <c r="GF168" s="118"/>
      <c r="GG168" s="118"/>
      <c r="GH168" s="118"/>
      <c r="GI168" s="118"/>
      <c r="GJ168" s="118"/>
      <c r="GK168" s="118"/>
      <c r="GL168" s="118"/>
      <c r="GM168" s="118"/>
      <c r="GN168" s="118"/>
      <c r="GO168" s="118"/>
      <c r="GP168" s="118"/>
      <c r="GQ168" s="118"/>
      <c r="GR168" s="118"/>
      <c r="GS168" s="118"/>
      <c r="GT168" s="118"/>
      <c r="GU168" s="118"/>
      <c r="GV168" s="118"/>
      <c r="GW168" s="118"/>
      <c r="GX168" s="118"/>
      <c r="GY168" s="118"/>
      <c r="GZ168" s="118"/>
      <c r="HA168" s="118"/>
      <c r="HB168" s="118"/>
      <c r="HC168" s="118"/>
      <c r="HD168" s="118"/>
      <c r="HE168" s="118"/>
      <c r="HF168" s="118"/>
      <c r="HG168" s="118"/>
      <c r="HH168" s="118"/>
      <c r="HI168" s="118"/>
      <c r="HJ168" s="118"/>
      <c r="HK168" s="118"/>
      <c r="HL168" s="118"/>
      <c r="HM168" s="118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8"/>
      <c r="IR168" s="118"/>
      <c r="IS168" s="118"/>
      <c r="IT168" s="118"/>
      <c r="IU168" s="118"/>
      <c r="IV168" s="118"/>
      <c r="IW168" s="118"/>
    </row>
    <row r="169" customFormat="false" ht="12.75" hidden="false" customHeight="false" outlineLevel="0" collapsed="false">
      <c r="A169" s="161"/>
      <c r="B169" s="118"/>
      <c r="C169" s="118"/>
      <c r="D169" s="118"/>
      <c r="E169" s="118"/>
      <c r="F169" s="118"/>
      <c r="G169" s="118"/>
      <c r="H169" s="118"/>
      <c r="I169" s="118"/>
      <c r="J169" s="192"/>
      <c r="K169" s="118"/>
      <c r="L169" s="203"/>
      <c r="M169" s="110"/>
      <c r="O169" s="110"/>
      <c r="P169" s="110" t="n">
        <v>5511</v>
      </c>
      <c r="Q169" s="110"/>
      <c r="S169" s="110"/>
      <c r="T169" s="110"/>
      <c r="U169" s="110"/>
      <c r="V169" s="110"/>
      <c r="X169" s="110"/>
      <c r="Z169" s="110"/>
      <c r="AB169" s="110"/>
      <c r="AD169" s="110"/>
      <c r="AI169" s="119"/>
      <c r="BJ169" s="110"/>
      <c r="BM169" s="110"/>
      <c r="BO169" s="110"/>
      <c r="BP169" s="110"/>
      <c r="BQ169" s="110" t="n">
        <f aca="false">SUM(T169:BP169)</f>
        <v>0</v>
      </c>
      <c r="BS169" s="110" t="n">
        <v>0</v>
      </c>
      <c r="BU169" s="110" t="n">
        <f aca="false">IF(+R169-BQ169+BS169&gt;0,R169-BQ169+BS169,0)</f>
        <v>0</v>
      </c>
      <c r="BW169" s="110" t="n">
        <f aca="false">+BQ169+BU169</f>
        <v>0</v>
      </c>
      <c r="BY169" s="110" t="n">
        <f aca="false">+R169-BW169</f>
        <v>0</v>
      </c>
      <c r="BZ169" s="110"/>
      <c r="DX169" s="118"/>
      <c r="DY169" s="118"/>
      <c r="DZ169" s="118"/>
      <c r="EA169" s="118"/>
      <c r="EB169" s="118"/>
      <c r="EC169" s="118"/>
      <c r="ED169" s="118"/>
      <c r="EE169" s="118"/>
      <c r="EF169" s="118"/>
      <c r="EG169" s="118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8"/>
      <c r="FL169" s="118"/>
      <c r="FM169" s="118"/>
      <c r="FN169" s="118"/>
      <c r="FO169" s="118"/>
      <c r="FP169" s="118"/>
      <c r="FQ169" s="118"/>
      <c r="FR169" s="118"/>
      <c r="FS169" s="118"/>
      <c r="FT169" s="118"/>
      <c r="FU169" s="118"/>
      <c r="FV169" s="118"/>
      <c r="FW169" s="118"/>
      <c r="FX169" s="118"/>
      <c r="FY169" s="118"/>
      <c r="FZ169" s="118"/>
      <c r="GA169" s="118"/>
      <c r="GB169" s="118"/>
      <c r="GC169" s="118"/>
      <c r="GD169" s="118"/>
      <c r="GE169" s="118"/>
      <c r="GF169" s="118"/>
      <c r="GG169" s="118"/>
      <c r="GH169" s="118"/>
      <c r="GI169" s="118"/>
      <c r="GJ169" s="118"/>
      <c r="GK169" s="118"/>
      <c r="GL169" s="118"/>
      <c r="GM169" s="118"/>
      <c r="GN169" s="118"/>
      <c r="GO169" s="118"/>
      <c r="GP169" s="118"/>
      <c r="GQ169" s="118"/>
      <c r="GR169" s="118"/>
      <c r="GS169" s="118"/>
      <c r="GT169" s="118"/>
      <c r="GU169" s="118"/>
      <c r="GV169" s="118"/>
      <c r="GW169" s="118"/>
      <c r="GX169" s="118"/>
      <c r="GY169" s="118"/>
      <c r="GZ169" s="118"/>
      <c r="HA169" s="118"/>
      <c r="HB169" s="118"/>
      <c r="HC169" s="118"/>
      <c r="HD169" s="118"/>
      <c r="HE169" s="118"/>
      <c r="HF169" s="118"/>
      <c r="HG169" s="118"/>
      <c r="HH169" s="118"/>
      <c r="HI169" s="118"/>
      <c r="HJ169" s="118"/>
      <c r="HK169" s="118"/>
      <c r="HL169" s="118"/>
      <c r="HM169" s="118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8"/>
      <c r="IR169" s="118"/>
      <c r="IS169" s="118"/>
      <c r="IT169" s="118"/>
      <c r="IU169" s="118"/>
      <c r="IV169" s="118"/>
      <c r="IW169" s="118"/>
    </row>
    <row r="170" customFormat="false" ht="12.75" hidden="false" customHeight="false" outlineLevel="0" collapsed="false">
      <c r="A170" s="160"/>
      <c r="B170" s="174" t="s">
        <v>281</v>
      </c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198" t="n">
        <f aca="false">SUM(N166:N169)</f>
        <v>500000</v>
      </c>
      <c r="O170" s="198" t="n">
        <f aca="false">SUM(O166:O169)</f>
        <v>0</v>
      </c>
      <c r="P170" s="198" t="n">
        <f aca="false">SUM(P166:P169)</f>
        <v>0</v>
      </c>
      <c r="Q170" s="198" t="n">
        <f aca="false">SUM(Q166:Q169)</f>
        <v>0</v>
      </c>
      <c r="R170" s="198" t="n">
        <f aca="false">SUM(R166:R169)</f>
        <v>256751</v>
      </c>
      <c r="S170" s="24"/>
      <c r="T170" s="198" t="n">
        <f aca="false">SUM(T166:T169)</f>
        <v>0</v>
      </c>
      <c r="U170" s="24"/>
      <c r="V170" s="198" t="n">
        <f aca="false">SUM(V166:V169)</f>
        <v>0</v>
      </c>
      <c r="W170" s="24"/>
      <c r="X170" s="198" t="n">
        <f aca="false">SUM(X166:X169)</f>
        <v>0</v>
      </c>
      <c r="Y170" s="24"/>
      <c r="Z170" s="198" t="n">
        <f aca="false">SUM(Z166:Z169)</f>
        <v>0</v>
      </c>
      <c r="AA170" s="24"/>
      <c r="AB170" s="198" t="n">
        <f aca="false">SUM(AB166:AB169)</f>
        <v>0</v>
      </c>
      <c r="AC170" s="24"/>
      <c r="AD170" s="198" t="n">
        <f aca="false">SUM(AD166:AD169)</f>
        <v>605</v>
      </c>
      <c r="AE170" s="24"/>
      <c r="AF170" s="198" t="n">
        <f aca="false">SUM(AF166:AF169)</f>
        <v>0</v>
      </c>
      <c r="AG170" s="24"/>
      <c r="AH170" s="198" t="n">
        <f aca="false">SUM(AH166:AH169)</f>
        <v>21422.91</v>
      </c>
      <c r="AI170" s="119"/>
      <c r="AJ170" s="198" t="n">
        <f aca="false">SUM(AJ166:AJ169)</f>
        <v>0</v>
      </c>
      <c r="AL170" s="198" t="n">
        <f aca="false">SUM(AL166:AL169)</f>
        <v>75</v>
      </c>
      <c r="AN170" s="198" t="n">
        <f aca="false">SUM(AN166:AN169)</f>
        <v>6749.05</v>
      </c>
      <c r="AO170" s="24"/>
      <c r="AP170" s="198" t="n">
        <f aca="false">SUM(AP166:AP169)</f>
        <v>4454.98</v>
      </c>
      <c r="AQ170" s="24"/>
      <c r="AR170" s="198" t="n">
        <f aca="false">SUM(AR166:AR169)</f>
        <v>252208.46</v>
      </c>
      <c r="AS170" s="24"/>
      <c r="AT170" s="198" t="n">
        <f aca="false">SUM(AT166:AT169)</f>
        <v>49463.67</v>
      </c>
      <c r="AU170" s="24"/>
      <c r="AV170" s="198" t="n">
        <f aca="false">SUM(AV166:AV169)</f>
        <v>0</v>
      </c>
      <c r="AW170" s="24"/>
      <c r="AX170" s="198" t="n">
        <f aca="false">SUM(AX166:AX169)</f>
        <v>10000</v>
      </c>
      <c r="AY170" s="24"/>
      <c r="AZ170" s="198" t="n">
        <f aca="false">SUM(AZ166:AZ169)</f>
        <v>0</v>
      </c>
      <c r="BA170" s="24"/>
      <c r="BB170" s="198" t="n">
        <f aca="false">SUM(BB166:BB169)</f>
        <v>0</v>
      </c>
      <c r="BC170" s="24"/>
      <c r="BD170" s="198" t="n">
        <f aca="false">SUM(BD166:BD169)</f>
        <v>264209.67</v>
      </c>
      <c r="BF170" s="198" t="n">
        <f aca="false">SUM(BF166:BF169)</f>
        <v>0</v>
      </c>
      <c r="BH170" s="198" t="n">
        <f aca="false">SUM(BH166:BH169)</f>
        <v>0</v>
      </c>
      <c r="BJ170" s="198" t="n">
        <f aca="false">SUM(BJ166:BJ169)</f>
        <v>0</v>
      </c>
      <c r="BM170" s="198" t="n">
        <f aca="false">SUM(BM166:BM169)</f>
        <v>0</v>
      </c>
      <c r="BO170" s="198" t="n">
        <f aca="false">SUM(BO166:BO169)</f>
        <v>0</v>
      </c>
      <c r="BP170" s="198"/>
      <c r="BQ170" s="198" t="n">
        <f aca="false">SUM(BQ166:BQ169)</f>
        <v>609188.74</v>
      </c>
      <c r="BR170" s="198"/>
      <c r="BS170" s="198" t="n">
        <f aca="false">SUM(BS166:BS169)</f>
        <v>0</v>
      </c>
      <c r="BU170" s="198" t="n">
        <f aca="false">SUM(BU166:BU169)</f>
        <v>0</v>
      </c>
      <c r="BV170" s="24"/>
      <c r="BW170" s="198" t="n">
        <f aca="false">SUM(BW166:BW169)</f>
        <v>609188.74</v>
      </c>
      <c r="BX170" s="24"/>
      <c r="BY170" s="198" t="n">
        <f aca="false">SUM(BY166:BY169)</f>
        <v>-352437.74</v>
      </c>
      <c r="BZ170" s="24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60"/>
      <c r="B171" s="174"/>
      <c r="C171" s="2"/>
      <c r="D171" s="2"/>
      <c r="E171" s="2"/>
      <c r="F171" s="2"/>
      <c r="G171" s="2"/>
      <c r="H171" s="2"/>
      <c r="I171" s="2"/>
      <c r="J171" s="3"/>
      <c r="K171" s="2"/>
      <c r="L171" s="179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119"/>
      <c r="AJ171" s="24"/>
      <c r="AL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F171" s="24"/>
      <c r="BH171" s="24"/>
      <c r="BJ171" s="24"/>
      <c r="BM171" s="24"/>
      <c r="BO171" s="24"/>
      <c r="BP171" s="24"/>
      <c r="BQ171" s="24"/>
      <c r="BR171" s="24"/>
      <c r="BS171" s="24"/>
      <c r="BU171" s="24"/>
      <c r="BV171" s="24"/>
      <c r="BW171" s="24"/>
      <c r="BX171" s="24"/>
      <c r="BY171" s="24"/>
      <c r="BZ171" s="24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60" t="s">
        <v>282</v>
      </c>
      <c r="B172" s="174"/>
      <c r="C172" s="174"/>
      <c r="D172" s="174"/>
      <c r="E172" s="174"/>
      <c r="F172" s="174"/>
      <c r="G172" s="174"/>
      <c r="H172" s="174"/>
      <c r="I172" s="174"/>
      <c r="J172" s="201"/>
      <c r="K172" s="174"/>
      <c r="L172" s="202" t="s">
        <v>151</v>
      </c>
      <c r="M172" s="24"/>
      <c r="N172" s="24" t="n">
        <v>10922239</v>
      </c>
      <c r="O172" s="24"/>
      <c r="P172" s="24" t="n">
        <f aca="false">10969926-N172</f>
        <v>47687</v>
      </c>
      <c r="Q172" s="24"/>
      <c r="R172" s="24" t="n">
        <v>12808124</v>
      </c>
      <c r="S172" s="24"/>
      <c r="T172" s="24" t="n">
        <v>340000</v>
      </c>
      <c r="U172" s="24"/>
      <c r="V172" s="24" t="n">
        <v>46410</v>
      </c>
      <c r="W172" s="24"/>
      <c r="X172" s="24" t="n">
        <v>139384</v>
      </c>
      <c r="Y172" s="24"/>
      <c r="Z172" s="24" t="n">
        <v>227439</v>
      </c>
      <c r="AA172" s="24"/>
      <c r="AB172" s="24" t="n">
        <v>231444</v>
      </c>
      <c r="AC172" s="24"/>
      <c r="AD172" s="24" t="n">
        <f aca="false">419367-6077</f>
        <v>413290</v>
      </c>
      <c r="AE172" s="24"/>
      <c r="AF172" s="24" t="n">
        <v>378615.010854167</v>
      </c>
      <c r="AG172" s="24"/>
      <c r="AH172" s="24" t="n">
        <v>426069.824126849</v>
      </c>
      <c r="AI172" s="119"/>
      <c r="AJ172" s="24" t="n">
        <f aca="false">[1]Wilton!$K$40</f>
        <v>463711.375388706</v>
      </c>
      <c r="AL172" s="24" t="n">
        <f aca="false">[1]Wilton!$L$40</f>
        <v>505639.68570277</v>
      </c>
      <c r="AN172" s="24" t="n">
        <v>568176</v>
      </c>
      <c r="AO172" s="24"/>
      <c r="AP172" s="24" t="n">
        <f aca="false">[1]Wilton!$N$40</f>
        <v>663422.293877047</v>
      </c>
      <c r="AQ172" s="24"/>
      <c r="AR172" s="24" t="n">
        <f aca="false">[1]Wilton!$O$40</f>
        <v>873819.325295269</v>
      </c>
      <c r="AS172" s="24"/>
      <c r="AT172" s="24" t="n">
        <f aca="false">[1]Wilton!$P$40</f>
        <v>891069.815904508</v>
      </c>
      <c r="AU172" s="24"/>
      <c r="AV172" s="24" t="n">
        <f aca="false">[1]Wilton!$Q$40</f>
        <v>1048965.86877121</v>
      </c>
      <c r="AW172" s="24"/>
      <c r="AX172" s="24" t="n">
        <f aca="false">[1]Wilton!$R$40</f>
        <v>1175441.84449095</v>
      </c>
      <c r="AY172" s="24"/>
      <c r="AZ172" s="24" t="n">
        <v>1292974</v>
      </c>
      <c r="BA172" s="24"/>
      <c r="BB172" s="24" t="n">
        <v>1330970.16094722</v>
      </c>
      <c r="BC172" s="24"/>
      <c r="BD172" s="24"/>
      <c r="BF172" s="24" t="n">
        <v>0</v>
      </c>
      <c r="BH172" s="24" t="n">
        <v>0</v>
      </c>
      <c r="BJ172" s="24" t="n">
        <v>0</v>
      </c>
      <c r="BM172" s="24" t="n">
        <v>0</v>
      </c>
      <c r="BO172" s="24" t="n">
        <v>0</v>
      </c>
      <c r="BP172" s="24"/>
      <c r="BQ172" s="24" t="n">
        <f aca="false">SUM(T172:BP172)</f>
        <v>11016842.2053587</v>
      </c>
      <c r="BR172" s="24"/>
      <c r="BS172" s="24"/>
      <c r="BU172" s="110" t="n">
        <v>0</v>
      </c>
      <c r="BV172" s="24"/>
      <c r="BW172" s="24" t="n">
        <f aca="false">+BQ172+BU172</f>
        <v>11016842.2053587</v>
      </c>
      <c r="BX172" s="24"/>
      <c r="BY172" s="24" t="n">
        <f aca="false">+R172-BW172</f>
        <v>1791281.79464131</v>
      </c>
      <c r="BZ172" s="24"/>
      <c r="DX172" s="174"/>
      <c r="DY172" s="174"/>
      <c r="DZ172" s="174"/>
      <c r="EA172" s="174"/>
      <c r="EB172" s="174"/>
      <c r="EC172" s="174"/>
      <c r="ED172" s="174"/>
      <c r="EE172" s="174"/>
      <c r="EF172" s="174"/>
      <c r="EG172" s="174"/>
      <c r="EH172" s="174"/>
      <c r="EI172" s="174"/>
      <c r="EJ172" s="174"/>
      <c r="EK172" s="174"/>
      <c r="EL172" s="174"/>
      <c r="EM172" s="174"/>
      <c r="EN172" s="174"/>
      <c r="EO172" s="174"/>
      <c r="EP172" s="174"/>
      <c r="EQ172" s="174"/>
      <c r="ER172" s="174"/>
      <c r="ES172" s="174"/>
      <c r="ET172" s="174"/>
      <c r="EU172" s="174"/>
      <c r="EV172" s="174"/>
      <c r="EW172" s="174"/>
      <c r="EX172" s="174"/>
      <c r="EY172" s="174"/>
      <c r="EZ172" s="174"/>
      <c r="FA172" s="174"/>
      <c r="FB172" s="174"/>
      <c r="FC172" s="174"/>
      <c r="FD172" s="174"/>
      <c r="FE172" s="174"/>
      <c r="FF172" s="174"/>
      <c r="FG172" s="174"/>
      <c r="FH172" s="174"/>
      <c r="FI172" s="174"/>
      <c r="FJ172" s="174"/>
      <c r="FK172" s="174"/>
      <c r="FL172" s="174"/>
      <c r="FM172" s="174"/>
      <c r="FN172" s="174"/>
      <c r="FO172" s="174"/>
      <c r="FP172" s="174"/>
      <c r="FQ172" s="174"/>
      <c r="FR172" s="174"/>
      <c r="FS172" s="174"/>
      <c r="FT172" s="174"/>
      <c r="FU172" s="174"/>
      <c r="FV172" s="174"/>
      <c r="FW172" s="174"/>
      <c r="FX172" s="174"/>
      <c r="FY172" s="174"/>
      <c r="FZ172" s="174"/>
      <c r="GA172" s="174"/>
      <c r="GB172" s="174"/>
      <c r="GC172" s="174"/>
      <c r="GD172" s="174"/>
      <c r="GE172" s="174"/>
      <c r="GF172" s="174"/>
      <c r="GG172" s="174"/>
      <c r="GH172" s="174"/>
      <c r="GI172" s="174"/>
      <c r="GJ172" s="174"/>
      <c r="GK172" s="174"/>
      <c r="GL172" s="174"/>
      <c r="GM172" s="174"/>
      <c r="GN172" s="174"/>
      <c r="GO172" s="174"/>
      <c r="GP172" s="174"/>
      <c r="GQ172" s="174"/>
      <c r="GR172" s="174"/>
      <c r="GS172" s="174"/>
      <c r="GT172" s="174"/>
      <c r="GU172" s="174"/>
      <c r="GV172" s="174"/>
      <c r="GW172" s="174"/>
      <c r="GX172" s="174"/>
      <c r="GY172" s="174"/>
      <c r="GZ172" s="174"/>
      <c r="HA172" s="174"/>
      <c r="HB172" s="174"/>
      <c r="HC172" s="174"/>
      <c r="HD172" s="174"/>
      <c r="HE172" s="174"/>
      <c r="HF172" s="174"/>
      <c r="HG172" s="174"/>
      <c r="HH172" s="174"/>
      <c r="HI172" s="174"/>
      <c r="HJ172" s="174"/>
      <c r="HK172" s="174"/>
      <c r="HL172" s="174"/>
      <c r="HM172" s="174"/>
      <c r="HN172" s="174"/>
      <c r="HO172" s="174"/>
      <c r="HP172" s="174"/>
      <c r="HQ172" s="174"/>
      <c r="HR172" s="174"/>
      <c r="HS172" s="174"/>
      <c r="HT172" s="174"/>
      <c r="HU172" s="174"/>
      <c r="HV172" s="174"/>
      <c r="HW172" s="174"/>
      <c r="HX172" s="174"/>
      <c r="HY172" s="174"/>
      <c r="HZ172" s="174"/>
      <c r="IA172" s="174"/>
      <c r="IB172" s="174"/>
      <c r="IC172" s="174"/>
      <c r="ID172" s="174"/>
      <c r="IE172" s="174"/>
      <c r="IF172" s="174"/>
      <c r="IG172" s="174"/>
      <c r="IH172" s="174"/>
      <c r="II172" s="174"/>
      <c r="IJ172" s="174"/>
      <c r="IK172" s="174"/>
      <c r="IL172" s="174"/>
      <c r="IM172" s="174"/>
      <c r="IN172" s="174"/>
      <c r="IO172" s="174"/>
      <c r="IP172" s="174"/>
      <c r="IQ172" s="174"/>
      <c r="IR172" s="174"/>
      <c r="IS172" s="174"/>
      <c r="IT172" s="174"/>
      <c r="IU172" s="174"/>
      <c r="IV172" s="174"/>
      <c r="IW172" s="174"/>
    </row>
    <row r="173" customFormat="false" ht="12.75" hidden="false" customHeight="false" outlineLevel="0" collapsed="false">
      <c r="A173" s="160"/>
      <c r="B173" s="174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119"/>
      <c r="AJ173" s="24"/>
      <c r="AL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F173" s="24"/>
      <c r="BH173" s="24"/>
      <c r="BJ173" s="24"/>
      <c r="BM173" s="24"/>
      <c r="BO173" s="24"/>
      <c r="BP173" s="24"/>
      <c r="BQ173" s="24"/>
      <c r="BR173" s="24"/>
      <c r="BS173" s="24"/>
      <c r="BU173" s="24"/>
      <c r="BV173" s="24"/>
      <c r="BW173" s="24"/>
      <c r="BX173" s="24"/>
      <c r="BY173" s="24"/>
      <c r="BZ173" s="24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00" t="s">
        <v>283</v>
      </c>
      <c r="B174" s="184"/>
      <c r="C174" s="186"/>
      <c r="D174" s="186"/>
      <c r="E174" s="186"/>
      <c r="F174" s="186"/>
      <c r="G174" s="186"/>
      <c r="H174" s="186"/>
      <c r="I174" s="186"/>
      <c r="J174" s="187"/>
      <c r="K174" s="186"/>
      <c r="L174" s="188"/>
      <c r="M174" s="189"/>
      <c r="N174" s="189"/>
      <c r="O174" s="189"/>
      <c r="P174" s="189"/>
      <c r="Q174" s="189"/>
      <c r="R174" s="189" t="n">
        <f aca="false">R172+R163+R154+R152+R150+R144+R140+R132+R125+R123+R121+R244+R117+R170+R142</f>
        <v>24972135</v>
      </c>
      <c r="S174" s="189" t="n">
        <f aca="false">S172+S163+S154+S152+S150+S144+S140+S132+S125+S123+S121+S244+S117+S170+S142</f>
        <v>0</v>
      </c>
      <c r="T174" s="189" t="n">
        <f aca="false">T172+T163+T154+T152+T150+T144+T140+T132+T125+T123+T121+T244+T117+T170+T142</f>
        <v>340000</v>
      </c>
      <c r="U174" s="189" t="n">
        <f aca="false">U172+U163+U154+U152+U150+U144+U140+U132+U125+U123+U121+U244+U117+U170+U142</f>
        <v>0</v>
      </c>
      <c r="V174" s="189" t="n">
        <f aca="false">V172+V163+V154+V152+V150+V144+V140+V132+V125+V123+V121+V244+V117+V170+V142</f>
        <v>47646</v>
      </c>
      <c r="W174" s="189" t="n">
        <f aca="false">W172+W163+W154+W152+W150+W144+W140+W132+W125+W123+W121+W244+W117+W170+W142</f>
        <v>0</v>
      </c>
      <c r="X174" s="189" t="n">
        <f aca="false">X172+X163+X154+X152+X150+X144+X140+X132+X125+X123+X121+X244+X117+X170+X142</f>
        <v>218493</v>
      </c>
      <c r="Y174" s="189" t="n">
        <f aca="false">Y172+Y163+Y154+Y152+Y150+Y144+Y140+Y132+Y125+Y123+Y121+Y244+Y117+Y170+Y142</f>
        <v>0</v>
      </c>
      <c r="Z174" s="189" t="n">
        <f aca="false">Z172+Z163+Z154+Z152+Z150+Z144+Z140+Z132+Z125+Z123+Z121+Z244+Z117+Z170+Z142</f>
        <v>282259</v>
      </c>
      <c r="AA174" s="189" t="n">
        <f aca="false">AA172+AA163+AA154+AA152+AA150+AA144+AA140+AA132+AA125+AA123+AA121+AA244+AA117+AA170+AA142</f>
        <v>0</v>
      </c>
      <c r="AB174" s="189" t="n">
        <f aca="false">AB172+AB163+AB154+AB152+AB150+AB144+AB140+AB132+AB125+AB123+AB121+AB244+AB117+AB170+AB142</f>
        <v>1722017</v>
      </c>
      <c r="AC174" s="189" t="n">
        <f aca="false">AC172+AC163+AC154+AC152+AC150+AC144+AC140+AC132+AC125+AC123+AC121+AC244+AC117+AC170+AC142</f>
        <v>0</v>
      </c>
      <c r="AD174" s="189" t="n">
        <f aca="false">AD172+AD163+AD154+AD152+AD150+AD144+AD140+AD132+AD125+AD123+AD121+AD244+AD117+AD170+AD142</f>
        <v>534669.83</v>
      </c>
      <c r="AE174" s="189" t="n">
        <f aca="false">AE172+AE163+AE154+AE152+AE150+AE144+AE140+AE132+AE125+AE123+AE121+AE244+AE117+AE170+AE142</f>
        <v>0</v>
      </c>
      <c r="AF174" s="189" t="n">
        <f aca="false">AF172+AF163+AF154+AF152+AF150+AF144+AF140+AF132+AF125+AF123+AF121+AF244+AF117+AF170+AF142</f>
        <v>622375.140854167</v>
      </c>
      <c r="AG174" s="189" t="n">
        <f aca="false">AG172+AG163+AG154+AG152+AG150+AG144+AG140+AG132+AG125+AG123+AG121+AG244+AG117+AG170+AG142</f>
        <v>0</v>
      </c>
      <c r="AH174" s="189" t="n">
        <f aca="false">AH172+AH163+AH154+AH152+AH150+AH144+AH140+AH132+AH125+AH123+AH121+AH244+AH117+AH170+AH142</f>
        <v>1381148.86412685</v>
      </c>
      <c r="AI174" s="189" t="n">
        <f aca="false">AI172+AI163+AI154+AI152+AI150+AI144+AI140+AI132+AI125+AI123+AI121+AI244+AI117+AI170+AI142</f>
        <v>0</v>
      </c>
      <c r="AJ174" s="189" t="n">
        <f aca="false">AJ172+AJ163+AJ154+AJ152+AJ150+AJ144+AJ140+AJ132+AJ125+AJ123+AJ121+AJ244+AJ117+AJ170+AJ142</f>
        <v>515549.775388706</v>
      </c>
      <c r="AK174" s="189" t="n">
        <f aca="false">AK172+AK163+AK154+AK152+AK150+AK144+AK140+AK132+AK125+AK123+AK121+AK244+AK117+AK170+AK142</f>
        <v>0</v>
      </c>
      <c r="AL174" s="189" t="n">
        <f aca="false">AL172+AL163+AL154+AL152+AL150+AL144+AL140+AL132+AL125+AL123+AL121+AL244+AL117+AL170+AL142</f>
        <v>551052.15570277</v>
      </c>
      <c r="AM174" s="189" t="n">
        <f aca="false">AM172+AM163+AM154+AM152+AM150+AM144+AM140+AM132+AM125+AM123+AM121+AM244+AM117+AM170+AM142</f>
        <v>0</v>
      </c>
      <c r="AN174" s="189" t="n">
        <f aca="false">AN172+AN163+AN154+AN152+AN150+AN144+AN140+AN132+AN125+AN123+AN121+AN244+AN117+AN170+AN142</f>
        <v>693677.65</v>
      </c>
      <c r="AO174" s="189" t="n">
        <f aca="false">AO172+AO163+AO154+AO152+AO150+AO144+AO140+AO132+AO125+AO123+AO121+AO244+AO117+AO170+AO142</f>
        <v>0</v>
      </c>
      <c r="AP174" s="189" t="n">
        <f aca="false">AP172+AP163+AP154+AP152+AP150+AP144+AP140+AP132+AP125+AP123+AP121+AP244+AP117+AP170+AP142</f>
        <v>997479.583877047</v>
      </c>
      <c r="AQ174" s="189" t="n">
        <f aca="false">AQ172+AQ163+AQ154+AQ152+AQ150+AQ144+AQ140+AQ132+AQ125+AQ123+AQ121+AQ244+AQ117+AQ170+AQ142</f>
        <v>0</v>
      </c>
      <c r="AR174" s="189" t="n">
        <f aca="false">AR172+AR163+AR154+AR152+AR150+AR144+AR140+AR132+AR125+AR123+AR121+AR244+AR117+AR170+AR142</f>
        <v>1810970.32529527</v>
      </c>
      <c r="AS174" s="189" t="n">
        <f aca="false">AS172+AS163+AS154+AS152+AS150+AS144+AS140+AS132+AS125+AS123+AS121+AS244+AS117+AS170+AS142</f>
        <v>0</v>
      </c>
      <c r="AT174" s="189" t="n">
        <f aca="false">AT172+AT163+AT154+AT152+AT150+AT144+AT140+AT132+AT125+AT123+AT121+AT244+AT117+AT170+AT142</f>
        <v>1294710.12590451</v>
      </c>
      <c r="AU174" s="189" t="n">
        <f aca="false">AU172+AU163+AU154+AU152+AU150+AU144+AU140+AU132+AU125+AU123+AU121+AU244+AU117+AU170+AU142</f>
        <v>0</v>
      </c>
      <c r="AV174" s="189" t="n">
        <f aca="false">AV172+AV163+AV154+AV152+AV150+AV144+AV140+AV132+AV125+AV123+AV121+AV244+AV117+AV170+AV142</f>
        <v>1582025.67877121</v>
      </c>
      <c r="AW174" s="189" t="n">
        <f aca="false">AW172+AW163+AW154+AW152+AW150+AW144+AW140+AW132+AW125+AW123+AW121+AW244+AW117+AW170+AW142</f>
        <v>0</v>
      </c>
      <c r="AX174" s="189" t="n">
        <f aca="false">AX172+AX163+AX154+AX152+AX150+AX144+AX140+AX132+AX125+AX123+AX121+AX244+AX117+AX170+AX142</f>
        <v>1578800.33449095</v>
      </c>
      <c r="AY174" s="189" t="n">
        <f aca="false">AY172+AY163+AY154+AY152+AY150+AY144+AY140+AY132+AY125+AY123+AY121+AY244+AY117+AY170+AY142</f>
        <v>0</v>
      </c>
      <c r="AZ174" s="189" t="n">
        <f aca="false">AZ172+AZ163+AZ154+AZ152+AZ150+AZ144+AZ140+AZ132+AZ125+AZ123+AZ121+AZ244+AZ117+AZ170+AZ142</f>
        <v>1875329.53</v>
      </c>
      <c r="BA174" s="189" t="n">
        <f aca="false">BA172+BA163+BA154+BA152+BA150+BA144+BA140+BA132+BA125+BA123+BA121+BA244+BA117+BA170+BA142</f>
        <v>0</v>
      </c>
      <c r="BB174" s="189" t="n">
        <f aca="false">BB172+BB163+BB154+BB152+BB150+BB144+BB140+BB132+BB125+BB123+BB121+BB117+BB170+BB142</f>
        <v>7508652.38094722</v>
      </c>
      <c r="BC174" s="189"/>
      <c r="BD174" s="189" t="n">
        <f aca="false">BD172+BD163+BD154+BD152+BD150+BD144+BD140+BD132+BD125+BD123+BD121+BD244+BD117+BD170+BD142</f>
        <v>614483.34</v>
      </c>
      <c r="BF174" s="189" t="n">
        <f aca="false">BF172+BF163+BF154+BF152+BF150+BF144+BF140+BF132+BF125+BF123+BF121+BF244+BF117+BF170+BF142</f>
        <v>373521.65</v>
      </c>
      <c r="BH174" s="189" t="n">
        <f aca="false">BH172+BH163+BH154+BH152+BH150+BH144+BH140+BH132+BH125+BH123+BH121+BH244+BH117+BH170+BH142</f>
        <v>401728.89</v>
      </c>
      <c r="BJ174" s="189" t="n">
        <f aca="false">BJ172+BJ163+BJ154+BJ152+BJ150+BJ144+BJ140+BJ132+BJ125+BJ123+BJ121+BJ244+BJ117+BJ170+BJ142</f>
        <v>4787407</v>
      </c>
      <c r="BM174" s="189" t="n">
        <f aca="false">BM172+BM163+BM154+BM152+BM150+BM144+BM140+BM132+BM125+BM123+BM121+BM244+BM117+BM170+BM142</f>
        <v>245540</v>
      </c>
      <c r="BO174" s="189" t="n">
        <f aca="false">BO172+BO163+BO154+BO152+BO150+BO144+BO140+BO132+BO125+BO123+BO121+BO244+BO117+BO170+BO142</f>
        <v>817894</v>
      </c>
      <c r="BP174" s="189"/>
      <c r="BQ174" s="189" t="n">
        <f aca="false">BQ172+BQ163+BQ154+BQ152+BQ150+BQ144+BQ140+BQ132+BQ125+BQ123+BQ121+BQ117+BQ170+BQ142</f>
        <v>30797431.2553587</v>
      </c>
      <c r="BR174" s="189"/>
      <c r="BS174" s="189" t="n">
        <f aca="false">BS172+BS163+BS154+BS152+BS150+BS144+BS140+BS132+BS125+BS123+BS121+BS244+BS117+BS170+BS142</f>
        <v>7504358</v>
      </c>
      <c r="BU174" s="189" t="n">
        <f aca="false">BU117+BU121+BU123+BU125+BU132+BU140+BU142+BU144+BU150+BU152+BU154+BU163+BU170+BU172</f>
        <v>1240506.36</v>
      </c>
      <c r="BV174" s="189" t="n">
        <f aca="false">BV172+BV163+BV154+BV152+BV150+BV144+BV140+BV132+BV125+BV123+BV121+BV244+BV117+BV170+BV142</f>
        <v>0</v>
      </c>
      <c r="BW174" s="189" t="n">
        <f aca="false">BW117+BW121+BW123+BW125+BW132+BW140+BW142+BW144+BW150+BW152+BW154+BW163+BW170+BW172</f>
        <v>32037937.6153587</v>
      </c>
      <c r="BX174" s="189" t="n">
        <f aca="false">BX172+BX163+BX154+BX152+BX150+BX144+BX140+BX132+BX125+BX123+BX121+BX244+BX117+BX170+BX142</f>
        <v>0</v>
      </c>
      <c r="BY174" s="189" t="n">
        <f aca="false">BY117+BY121+BY123+BY125+BY132+BY140+BY142+BY144+BY150+BY152+BY154+BY163+BY170+BY172</f>
        <v>-7065802.61535869</v>
      </c>
      <c r="BZ174" s="189" t="n">
        <f aca="false">BZ172+BZ163+BZ154+BZ152+BZ150+BZ144+BZ140+BZ132+BZ125+BZ123+BZ121+BZ244+BZ117+BZ170</f>
        <v>0</v>
      </c>
      <c r="DX174" s="186"/>
      <c r="DY174" s="186"/>
      <c r="DZ174" s="186"/>
      <c r="EA174" s="186"/>
      <c r="EB174" s="186"/>
      <c r="EC174" s="186"/>
      <c r="ED174" s="186"/>
      <c r="EE174" s="186"/>
      <c r="EF174" s="186"/>
      <c r="EG174" s="186"/>
      <c r="EH174" s="186"/>
      <c r="EI174" s="186"/>
      <c r="EJ174" s="186"/>
      <c r="EK174" s="186"/>
      <c r="EL174" s="186"/>
      <c r="EM174" s="186"/>
      <c r="EN174" s="186"/>
      <c r="EO174" s="186"/>
      <c r="EP174" s="186"/>
      <c r="EQ174" s="186"/>
      <c r="ER174" s="186"/>
      <c r="ES174" s="186"/>
      <c r="ET174" s="186"/>
      <c r="EU174" s="186"/>
      <c r="EV174" s="186"/>
      <c r="EW174" s="186"/>
      <c r="EX174" s="186"/>
      <c r="EY174" s="186"/>
      <c r="EZ174" s="186"/>
      <c r="FA174" s="186"/>
      <c r="FB174" s="186"/>
      <c r="FC174" s="186"/>
      <c r="FD174" s="186"/>
      <c r="FE174" s="186"/>
      <c r="FF174" s="186"/>
      <c r="FG174" s="186"/>
      <c r="FH174" s="186"/>
      <c r="FI174" s="186"/>
      <c r="FJ174" s="186"/>
      <c r="FK174" s="186"/>
      <c r="FL174" s="186"/>
      <c r="FM174" s="186"/>
      <c r="FN174" s="186"/>
      <c r="FO174" s="186"/>
      <c r="FP174" s="186"/>
      <c r="FQ174" s="186"/>
      <c r="FR174" s="186"/>
      <c r="FS174" s="186"/>
      <c r="FT174" s="186"/>
      <c r="FU174" s="186"/>
      <c r="FV174" s="186"/>
      <c r="FW174" s="186"/>
      <c r="FX174" s="186"/>
      <c r="FY174" s="186"/>
      <c r="FZ174" s="186"/>
      <c r="GA174" s="186"/>
      <c r="GB174" s="186"/>
      <c r="GC174" s="186"/>
      <c r="GD174" s="186"/>
      <c r="GE174" s="186"/>
      <c r="GF174" s="186"/>
      <c r="GG174" s="186"/>
      <c r="GH174" s="186"/>
      <c r="GI174" s="186"/>
      <c r="GJ174" s="186"/>
      <c r="GK174" s="186"/>
      <c r="GL174" s="186"/>
      <c r="GM174" s="186"/>
      <c r="GN174" s="186"/>
      <c r="GO174" s="186"/>
      <c r="GP174" s="186"/>
      <c r="GQ174" s="186"/>
      <c r="GR174" s="186"/>
      <c r="GS174" s="186"/>
      <c r="GT174" s="186"/>
      <c r="GU174" s="186"/>
      <c r="GV174" s="186"/>
      <c r="GW174" s="186"/>
      <c r="GX174" s="186"/>
      <c r="GY174" s="186"/>
      <c r="GZ174" s="186"/>
      <c r="HA174" s="186"/>
      <c r="HB174" s="186"/>
      <c r="HC174" s="186"/>
      <c r="HD174" s="186"/>
      <c r="HE174" s="186"/>
      <c r="HF174" s="186"/>
      <c r="HG174" s="186"/>
      <c r="HH174" s="186"/>
      <c r="HI174" s="186"/>
      <c r="HJ174" s="186"/>
      <c r="HK174" s="186"/>
      <c r="HL174" s="186"/>
      <c r="HM174" s="186"/>
      <c r="HN174" s="186"/>
      <c r="HO174" s="186"/>
      <c r="HP174" s="186"/>
      <c r="HQ174" s="186"/>
      <c r="HR174" s="186"/>
      <c r="HS174" s="186"/>
      <c r="HT174" s="186"/>
      <c r="HU174" s="186"/>
      <c r="HV174" s="186"/>
      <c r="HW174" s="186"/>
      <c r="HX174" s="186"/>
      <c r="HY174" s="186"/>
      <c r="HZ174" s="186"/>
      <c r="IA174" s="186"/>
      <c r="IB174" s="186"/>
      <c r="IC174" s="186"/>
      <c r="ID174" s="186"/>
      <c r="IE174" s="186"/>
      <c r="IF174" s="186"/>
      <c r="IG174" s="186"/>
      <c r="IH174" s="186"/>
      <c r="II174" s="186"/>
      <c r="IJ174" s="186"/>
      <c r="IK174" s="186"/>
      <c r="IL174" s="186"/>
      <c r="IM174" s="186"/>
      <c r="IN174" s="186"/>
      <c r="IO174" s="186"/>
      <c r="IP174" s="186"/>
      <c r="IQ174" s="186"/>
      <c r="IR174" s="186"/>
      <c r="IS174" s="186"/>
      <c r="IT174" s="186"/>
      <c r="IU174" s="186"/>
      <c r="IV174" s="186"/>
      <c r="IW174" s="186"/>
    </row>
    <row r="175" customFormat="false" ht="12.75" hidden="false" customHeight="false" outlineLevel="0" collapsed="false">
      <c r="A175" s="160"/>
      <c r="B175" s="174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119"/>
      <c r="AJ175" s="24"/>
      <c r="AL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F175" s="24"/>
      <c r="BH175" s="24"/>
      <c r="BJ175" s="24"/>
      <c r="BM175" s="24"/>
      <c r="BO175" s="24"/>
      <c r="BP175" s="24"/>
      <c r="BQ175" s="24"/>
      <c r="BR175" s="24"/>
      <c r="BS175" s="24"/>
      <c r="BU175" s="24"/>
      <c r="BV175" s="24"/>
      <c r="BW175" s="24"/>
      <c r="BX175" s="24"/>
      <c r="BY175" s="24"/>
      <c r="BZ175" s="24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160" t="s">
        <v>186</v>
      </c>
      <c r="B176" s="174"/>
      <c r="C176" s="2"/>
      <c r="D176" s="2"/>
      <c r="E176" s="2"/>
      <c r="F176" s="2"/>
      <c r="G176" s="2"/>
      <c r="H176" s="2"/>
      <c r="I176" s="2"/>
      <c r="J176" s="3"/>
      <c r="K176" s="2"/>
      <c r="L176" s="179" t="s">
        <v>151</v>
      </c>
      <c r="M176" s="24"/>
      <c r="N176" s="24" t="n">
        <v>5395729</v>
      </c>
      <c r="O176" s="24"/>
      <c r="P176" s="24" t="n">
        <f aca="false">5463580+-N176</f>
        <v>67851</v>
      </c>
      <c r="Q176" s="24"/>
      <c r="R176" s="24" t="n">
        <v>4408071.75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 t="n">
        <v>0</v>
      </c>
      <c r="AG176" s="24"/>
      <c r="AH176" s="24"/>
      <c r="AI176" s="119"/>
      <c r="AJ176" s="24"/>
      <c r="AL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F176" s="24"/>
      <c r="BH176" s="24"/>
      <c r="BJ176" s="24"/>
      <c r="BM176" s="24"/>
      <c r="BO176" s="24"/>
      <c r="BP176" s="24"/>
      <c r="BQ176" s="24" t="n">
        <f aca="false">SUM(T176:BM176)</f>
        <v>0</v>
      </c>
      <c r="BR176" s="24"/>
      <c r="BS176" s="24" t="n">
        <v>-4408072</v>
      </c>
      <c r="BU176" s="110" t="n">
        <f aca="false">IF(+R176-BQ176+BS176&gt;0,R176-BQ176+BS176,0)</f>
        <v>0</v>
      </c>
      <c r="BV176" s="24" t="n">
        <v>2030320</v>
      </c>
      <c r="BW176" s="24" t="n">
        <f aca="false">+BQ176+BU176</f>
        <v>0</v>
      </c>
      <c r="BX176" s="24" t="n">
        <v>2030320</v>
      </c>
      <c r="BY176" s="110" t="n">
        <f aca="false">+R176-BW176</f>
        <v>4408071.75</v>
      </c>
      <c r="BZ176" s="24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60"/>
      <c r="B177" s="174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119"/>
      <c r="AJ177" s="24"/>
      <c r="AL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F177" s="24"/>
      <c r="BH177" s="24"/>
      <c r="BJ177" s="24"/>
      <c r="BM177" s="24"/>
      <c r="BO177" s="24"/>
      <c r="BP177" s="24"/>
      <c r="BQ177" s="24"/>
      <c r="BR177" s="24"/>
      <c r="BS177" s="24"/>
      <c r="BU177" s="24"/>
      <c r="BV177" s="24"/>
      <c r="BW177" s="24"/>
      <c r="BX177" s="24"/>
      <c r="BY177" s="24"/>
      <c r="BZ177" s="24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60"/>
      <c r="B178" s="174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119"/>
      <c r="AJ178" s="24"/>
      <c r="AL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F178" s="24"/>
      <c r="BH178" s="24"/>
      <c r="BJ178" s="24"/>
      <c r="BM178" s="24"/>
      <c r="BO178" s="24"/>
      <c r="BP178" s="24"/>
      <c r="BQ178" s="24"/>
      <c r="BR178" s="24"/>
      <c r="BS178" s="24"/>
      <c r="BU178" s="24"/>
      <c r="BV178" s="24"/>
      <c r="BW178" s="24"/>
      <c r="BX178" s="24"/>
      <c r="BY178" s="24"/>
      <c r="BZ178" s="24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04" t="s">
        <v>284</v>
      </c>
      <c r="B179" s="205"/>
      <c r="C179" s="205"/>
      <c r="D179" s="205"/>
      <c r="E179" s="205"/>
      <c r="F179" s="205"/>
      <c r="G179" s="205"/>
      <c r="H179" s="205"/>
      <c r="I179" s="205"/>
      <c r="J179" s="206"/>
      <c r="K179" s="205"/>
      <c r="L179" s="207"/>
      <c r="M179" s="208"/>
      <c r="N179" s="208"/>
      <c r="O179" s="208"/>
      <c r="P179" s="208"/>
      <c r="Q179" s="208"/>
      <c r="R179" s="209" t="n">
        <f aca="false">R33+R99+R89+R108+R174+R176</f>
        <v>239675467.75</v>
      </c>
      <c r="S179" s="209" t="n">
        <f aca="false">S33+S99+S89+S108+S174+S176</f>
        <v>0</v>
      </c>
      <c r="T179" s="209" t="n">
        <f aca="false">T33+T99+T89+T108+T174+T176</f>
        <v>7140000</v>
      </c>
      <c r="U179" s="209" t="n">
        <f aca="false">U33+U99+U89+U108+U174+U176</f>
        <v>0</v>
      </c>
      <c r="V179" s="209" t="n">
        <f aca="false">V33+V99+V89+V108+V174+V176</f>
        <v>1297646</v>
      </c>
      <c r="W179" s="209" t="n">
        <f aca="false">W33+W99+W89+W108+W174+W176</f>
        <v>0</v>
      </c>
      <c r="X179" s="209" t="n">
        <f aca="false">X33+X99+X89+X108+X174+X176</f>
        <v>33103293</v>
      </c>
      <c r="Y179" s="209" t="n">
        <f aca="false">Y33+Y99+Y89+Y108+Y174+Y176</f>
        <v>0</v>
      </c>
      <c r="Z179" s="209" t="n">
        <f aca="false">Z33+Z99+Z89+Z108+Z174+Z176</f>
        <v>282259</v>
      </c>
      <c r="AA179" s="209" t="n">
        <f aca="false">AA33+AA99+AA89+AA108+AA174+AA176</f>
        <v>0</v>
      </c>
      <c r="AB179" s="209" t="n">
        <f aca="false">AB33+AB99+AB89+AB108+AB174+AB176</f>
        <v>1722017</v>
      </c>
      <c r="AC179" s="209" t="n">
        <f aca="false">AC33+AC99+AC89+AC108+AC174+AC176</f>
        <v>0</v>
      </c>
      <c r="AD179" s="209" t="n">
        <f aca="false">AD33+AD99+AD89+AD108+AD174+AD176</f>
        <v>18845196.83</v>
      </c>
      <c r="AE179" s="209"/>
      <c r="AF179" s="209" t="n">
        <f aca="false">AF33+AF99+AF89+AF108+AF174+AF176</f>
        <v>8237655.14085417</v>
      </c>
      <c r="AG179" s="209"/>
      <c r="AH179" s="209" t="n">
        <f aca="false">AH33+AH99+AH89+AH108+AH174+AH176</f>
        <v>8871230.93746018</v>
      </c>
      <c r="AI179" s="119"/>
      <c r="AJ179" s="209" t="n">
        <f aca="false">AJ33+AJ99+AJ89+AJ108+AJ174+AJ176</f>
        <v>6989210.12538871</v>
      </c>
      <c r="AL179" s="209" t="n">
        <f aca="false">AL33+AL99+AL89+AL108+AL174+AL176</f>
        <v>7789231.15570277</v>
      </c>
      <c r="AN179" s="209" t="n">
        <f aca="false">AN33+AN99+AN89+AN108+AN174+AN176</f>
        <v>11600775.18</v>
      </c>
      <c r="AO179" s="209" t="n">
        <f aca="false">AO33+AO99+AO89+AO108+AO174+AO176</f>
        <v>0</v>
      </c>
      <c r="AP179" s="209" t="n">
        <f aca="false">AP33+AP99+AP89+AP108+AP174+AP176</f>
        <v>17679120.913877</v>
      </c>
      <c r="AQ179" s="209" t="n">
        <f aca="false">AQ33+AQ99+AQ89+AQ108+AQ174+AQ176</f>
        <v>0</v>
      </c>
      <c r="AR179" s="209" t="n">
        <f aca="false">AR33+AR99+AR89+AR108+AR174+AR176</f>
        <v>39304333.6952953</v>
      </c>
      <c r="AS179" s="209" t="n">
        <f aca="false">AS33+AS99+AS89+AS108+AS174+AS176</f>
        <v>0</v>
      </c>
      <c r="AT179" s="209" t="n">
        <f aca="false">AT33+AT99+AT89+AT108+AT174+AT176</f>
        <v>2943898.25590451</v>
      </c>
      <c r="AU179" s="209" t="n">
        <f aca="false">AU33+AU99+AU89+AU108+AU174+AU176</f>
        <v>0</v>
      </c>
      <c r="AV179" s="209" t="n">
        <f aca="false">AV33+AV99+AV89+AV108+AV174+AV176</f>
        <v>29327061.2587712</v>
      </c>
      <c r="AW179" s="209" t="n">
        <f aca="false">AW33+AW99+AW89+AW108+AW174+AW176</f>
        <v>0</v>
      </c>
      <c r="AX179" s="209" t="n">
        <f aca="false">AX33+AX99+AX89+AX108+AX174+AX176</f>
        <v>23466763.2844909</v>
      </c>
      <c r="AY179" s="209" t="n">
        <f aca="false">AY33+AY99+AY89+AY108+AY174+AY176</f>
        <v>0</v>
      </c>
      <c r="AZ179" s="209" t="n">
        <f aca="false">AZ33+AZ99+AZ89+AZ108+AZ174+AZ176</f>
        <v>22126233.53</v>
      </c>
      <c r="BA179" s="209" t="n">
        <f aca="false">BA33+BA99+BA89+BA108+BA174+BA176</f>
        <v>0</v>
      </c>
      <c r="BB179" s="209" t="n">
        <f aca="false">BB33+BB99+BB89+BB108+BB174+BB176</f>
        <v>8412940.51094722</v>
      </c>
      <c r="BC179" s="209"/>
      <c r="BD179" s="209" t="n">
        <f aca="false">BD33+BD99+BD89+BD108+BD174+BD176</f>
        <v>11834996.67</v>
      </c>
      <c r="BF179" s="209" t="n">
        <f aca="false">BF33+BF99+BF89+BF108+BF174+BF176</f>
        <v>1350600.65</v>
      </c>
      <c r="BH179" s="209" t="n">
        <f aca="false">BH33+BH99+BH89+BH108+BH174+BH176</f>
        <v>401728.89</v>
      </c>
      <c r="BJ179" s="209" t="n">
        <f aca="false">BJ33+BJ99+BJ89+BJ108+BJ174+BJ176</f>
        <v>5162294</v>
      </c>
      <c r="BM179" s="209" t="n">
        <f aca="false">BM33+BM99+BM89+BM108+BM174+BM176</f>
        <v>245540</v>
      </c>
      <c r="BO179" s="209" t="n">
        <f aca="false">BO33+BO99+BO89+BO108+BO174+BO176</f>
        <v>817894</v>
      </c>
      <c r="BP179" s="209"/>
      <c r="BQ179" s="209" t="n">
        <f aca="false">BQ33+BQ99+BQ89+BQ108+BQ174+BQ176</f>
        <v>268951920.028692</v>
      </c>
      <c r="BR179" s="209"/>
      <c r="BS179" s="209" t="n">
        <f aca="false">BS33+BS99+BS89+BS108+BS174+BS176</f>
        <v>29487334</v>
      </c>
      <c r="BU179" s="209" t="n">
        <f aca="false">BU33+BU89+BU99+BU108+BU174</f>
        <v>-23579.6399999999</v>
      </c>
      <c r="BV179" s="209" t="n">
        <f aca="false">BV33+BV99+BV89+BV108+BV174+BV176</f>
        <v>2030320</v>
      </c>
      <c r="BW179" s="209" t="n">
        <f aca="false">BW33+BW99+BW89+BW108+BW174+BW176</f>
        <v>268928337.388692</v>
      </c>
      <c r="BX179" s="209" t="n">
        <f aca="false">BX33+BX99+BX89+BX108+BX174+BX176</f>
        <v>2030320</v>
      </c>
      <c r="BY179" s="209" t="n">
        <f aca="false">BY33+BY89+BY99+BY108+BY176+BY174</f>
        <v>-29252869.638692</v>
      </c>
      <c r="BZ179" s="208"/>
      <c r="DX179" s="205"/>
      <c r="DY179" s="205"/>
      <c r="DZ179" s="205"/>
      <c r="EA179" s="205"/>
      <c r="EB179" s="205"/>
      <c r="EC179" s="205"/>
      <c r="ED179" s="205"/>
      <c r="EE179" s="205"/>
      <c r="EF179" s="205"/>
      <c r="EG179" s="205"/>
      <c r="EH179" s="205"/>
      <c r="EI179" s="205"/>
      <c r="EJ179" s="205"/>
      <c r="EK179" s="205"/>
      <c r="EL179" s="205"/>
      <c r="EM179" s="205"/>
      <c r="EN179" s="205"/>
      <c r="EO179" s="205"/>
      <c r="EP179" s="205"/>
      <c r="EQ179" s="205"/>
      <c r="ER179" s="205"/>
      <c r="ES179" s="205"/>
      <c r="ET179" s="205"/>
      <c r="EU179" s="205"/>
      <c r="EV179" s="205"/>
      <c r="EW179" s="205"/>
      <c r="EX179" s="205"/>
      <c r="EY179" s="205"/>
      <c r="EZ179" s="205"/>
      <c r="FA179" s="205"/>
      <c r="FB179" s="205"/>
      <c r="FC179" s="205"/>
      <c r="FD179" s="205"/>
      <c r="FE179" s="205"/>
      <c r="FF179" s="205"/>
      <c r="FG179" s="205"/>
      <c r="FH179" s="205"/>
      <c r="FI179" s="205"/>
      <c r="FJ179" s="205"/>
      <c r="FK179" s="205"/>
      <c r="FL179" s="205"/>
      <c r="FM179" s="205"/>
      <c r="FN179" s="205"/>
      <c r="FO179" s="205"/>
      <c r="FP179" s="205"/>
      <c r="FQ179" s="205"/>
      <c r="FR179" s="205"/>
      <c r="FS179" s="205"/>
      <c r="FT179" s="205"/>
      <c r="FU179" s="205"/>
      <c r="FV179" s="205"/>
      <c r="FW179" s="205"/>
      <c r="FX179" s="205"/>
      <c r="FY179" s="205"/>
      <c r="FZ179" s="205"/>
      <c r="GA179" s="205"/>
      <c r="GB179" s="205"/>
      <c r="GC179" s="205"/>
      <c r="GD179" s="205"/>
      <c r="GE179" s="205"/>
      <c r="GF179" s="205"/>
      <c r="GG179" s="205"/>
      <c r="GH179" s="205"/>
      <c r="GI179" s="205"/>
      <c r="GJ179" s="205"/>
      <c r="GK179" s="205"/>
      <c r="GL179" s="205"/>
      <c r="GM179" s="205"/>
      <c r="GN179" s="205"/>
      <c r="GO179" s="205"/>
      <c r="GP179" s="205"/>
      <c r="GQ179" s="205"/>
      <c r="GR179" s="205"/>
      <c r="GS179" s="205"/>
      <c r="GT179" s="205"/>
      <c r="GU179" s="205"/>
      <c r="GV179" s="205"/>
      <c r="GW179" s="205"/>
      <c r="GX179" s="205"/>
      <c r="GY179" s="205"/>
      <c r="GZ179" s="205"/>
      <c r="HA179" s="205"/>
      <c r="HB179" s="205"/>
      <c r="HC179" s="205"/>
      <c r="HD179" s="205"/>
      <c r="HE179" s="205"/>
      <c r="HF179" s="205"/>
      <c r="HG179" s="205"/>
      <c r="HH179" s="205"/>
      <c r="HI179" s="205"/>
      <c r="HJ179" s="205"/>
      <c r="HK179" s="205"/>
      <c r="HL179" s="205"/>
      <c r="HM179" s="205"/>
      <c r="HN179" s="205"/>
      <c r="HO179" s="205"/>
      <c r="HP179" s="205"/>
      <c r="HQ179" s="205"/>
      <c r="HR179" s="205"/>
      <c r="HS179" s="205"/>
      <c r="HT179" s="205"/>
      <c r="HU179" s="205"/>
      <c r="HV179" s="205"/>
      <c r="HW179" s="205"/>
      <c r="HX179" s="205"/>
      <c r="HY179" s="205"/>
      <c r="HZ179" s="205"/>
      <c r="IA179" s="205"/>
      <c r="IB179" s="205"/>
      <c r="IC179" s="205"/>
      <c r="ID179" s="205"/>
      <c r="IE179" s="205"/>
      <c r="IF179" s="205"/>
      <c r="IG179" s="205"/>
      <c r="IH179" s="205"/>
      <c r="II179" s="205"/>
      <c r="IJ179" s="205"/>
      <c r="IK179" s="205"/>
      <c r="IL179" s="205"/>
      <c r="IM179" s="205"/>
      <c r="IN179" s="205"/>
      <c r="IO179" s="205"/>
      <c r="IP179" s="205"/>
      <c r="IQ179" s="205"/>
      <c r="IR179" s="205"/>
      <c r="IS179" s="205"/>
      <c r="IT179" s="205"/>
      <c r="IU179" s="205"/>
      <c r="IV179" s="205"/>
      <c r="IW179" s="205"/>
    </row>
    <row r="180" customFormat="false" ht="13.5" hidden="false" customHeight="true" outlineLevel="0" collapsed="false">
      <c r="A180" s="160" t="s">
        <v>285</v>
      </c>
      <c r="B180" s="174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119"/>
      <c r="AJ180" s="24"/>
      <c r="AL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F180" s="24"/>
      <c r="BH180" s="24"/>
      <c r="BJ180" s="24"/>
      <c r="BM180" s="24"/>
      <c r="BO180" s="24"/>
      <c r="BP180" s="24"/>
      <c r="BQ180" s="24"/>
      <c r="BR180" s="24"/>
      <c r="BS180" s="24"/>
      <c r="BU180" s="24"/>
      <c r="BV180" s="24"/>
      <c r="BW180" s="24" t="n">
        <f aca="false">BW179/B4</f>
        <v>442316.344389296</v>
      </c>
      <c r="BX180" s="24"/>
      <c r="BY180" s="24"/>
      <c r="BZ180" s="24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" hidden="false" customHeight="true" outlineLevel="0" collapsed="false">
      <c r="A181" s="160"/>
      <c r="B181" s="174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119"/>
      <c r="AJ181" s="24"/>
      <c r="AL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F181" s="24"/>
      <c r="BH181" s="24"/>
      <c r="BJ181" s="24"/>
      <c r="BM181" s="24"/>
      <c r="BO181" s="24"/>
      <c r="BP181" s="24"/>
      <c r="BQ181" s="2"/>
      <c r="BR181" s="2"/>
      <c r="BS181" s="24"/>
      <c r="BU181" s="24"/>
      <c r="BV181" s="24"/>
      <c r="BW181" s="24"/>
      <c r="BX181" s="24"/>
      <c r="BY181" s="24"/>
      <c r="BZ181" s="24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60"/>
      <c r="B182" s="174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 t="n">
        <f aca="false">T179-T117-T125</f>
        <v>7140000</v>
      </c>
      <c r="U182" s="24" t="n">
        <f aca="false">U179-U117-U125</f>
        <v>0</v>
      </c>
      <c r="V182" s="24" t="n">
        <f aca="false">V179-V117-V125</f>
        <v>1297646</v>
      </c>
      <c r="W182" s="24" t="n">
        <f aca="false">W179-W117-W125</f>
        <v>0</v>
      </c>
      <c r="X182" s="24" t="n">
        <f aca="false">X179-X117-X125</f>
        <v>33103293</v>
      </c>
      <c r="Y182" s="24" t="n">
        <f aca="false">Y179-Y117-Y125</f>
        <v>0</v>
      </c>
      <c r="Z182" s="24" t="n">
        <f aca="false">Z179-Z117-Z125</f>
        <v>282259</v>
      </c>
      <c r="AA182" s="24" t="n">
        <f aca="false">AA179-AA117-AA125</f>
        <v>0</v>
      </c>
      <c r="AB182" s="24" t="n">
        <f aca="false">AB179-AB117-AB125</f>
        <v>1722017</v>
      </c>
      <c r="AC182" s="24" t="n">
        <f aca="false">AC179-AC117-AC125</f>
        <v>0</v>
      </c>
      <c r="AD182" s="24" t="n">
        <f aca="false">AD179-AD117-AD125</f>
        <v>18845196.83</v>
      </c>
      <c r="AE182" s="24" t="n">
        <f aca="false">AE179-AE117-AE125</f>
        <v>0</v>
      </c>
      <c r="AF182" s="24" t="n">
        <f aca="false">AF179-AF117-AF125</f>
        <v>8237655.14085417</v>
      </c>
      <c r="AG182" s="24" t="n">
        <f aca="false">AG179-AG117-AG125</f>
        <v>0</v>
      </c>
      <c r="AH182" s="24" t="n">
        <f aca="false">AH179-AH117-AH125</f>
        <v>8871230.93746018</v>
      </c>
      <c r="AI182" s="24" t="n">
        <f aca="false">AI179-AI117-AI125</f>
        <v>0</v>
      </c>
      <c r="AJ182" s="24" t="n">
        <f aca="false">AJ179-AJ117-AJ125</f>
        <v>6989210.12538871</v>
      </c>
      <c r="AK182" s="24" t="n">
        <f aca="false">AK179-AK117-AK125</f>
        <v>0</v>
      </c>
      <c r="AL182" s="24" t="n">
        <f aca="false">AL179-AL117-AL125</f>
        <v>7789231.15570277</v>
      </c>
      <c r="AM182" s="24" t="n">
        <f aca="false">AM179-AM117-AM125</f>
        <v>0</v>
      </c>
      <c r="AN182" s="24" t="n">
        <f aca="false">AN179-AN117-AN125</f>
        <v>11600775.18</v>
      </c>
      <c r="AO182" s="24" t="n">
        <f aca="false">AO179-AO117-AO125</f>
        <v>0</v>
      </c>
      <c r="AP182" s="24" t="n">
        <f aca="false">AP179-AP117-AP125</f>
        <v>17679120.913877</v>
      </c>
      <c r="AQ182" s="24" t="n">
        <f aca="false">AQ179-AQ117-AQ125</f>
        <v>0</v>
      </c>
      <c r="AR182" s="24" t="n">
        <f aca="false">AR179-AR117-AR125</f>
        <v>39304333.6952953</v>
      </c>
      <c r="AS182" s="24" t="n">
        <f aca="false">AS179-AS117-AS125</f>
        <v>0</v>
      </c>
      <c r="AT182" s="24" t="n">
        <f aca="false">AT179-AT117-AT125</f>
        <v>2943898.25590451</v>
      </c>
      <c r="AU182" s="24" t="n">
        <f aca="false">AU179-AU117-AU125</f>
        <v>0</v>
      </c>
      <c r="AV182" s="24" t="n">
        <f aca="false">AV179-AV117-AV125</f>
        <v>29290061.2587712</v>
      </c>
      <c r="AW182" s="24" t="n">
        <f aca="false">AW179-AW117-AW125</f>
        <v>0</v>
      </c>
      <c r="AX182" s="24" t="n">
        <f aca="false">AX179-AX117-AX125</f>
        <v>23325111.2844909</v>
      </c>
      <c r="AY182" s="24" t="n">
        <f aca="false">AY179-AY117-AY125</f>
        <v>0</v>
      </c>
      <c r="AZ182" s="24" t="n">
        <f aca="false">AZ179-AZ117-AZ125</f>
        <v>21974521.7</v>
      </c>
      <c r="BA182" s="24" t="n">
        <f aca="false">BA179-BA117-BA125</f>
        <v>0</v>
      </c>
      <c r="BB182" s="24" t="n">
        <f aca="false">BB179-BB117-BB125</f>
        <v>8181598.81094722</v>
      </c>
      <c r="BC182" s="24" t="n">
        <f aca="false">BC179-BC117-BC125</f>
        <v>0</v>
      </c>
      <c r="BD182" s="24" t="n">
        <f aca="false">BD179-BD117-BD125</f>
        <v>11611326.92</v>
      </c>
      <c r="BE182" s="24" t="n">
        <f aca="false">BE179-BE117-BE125</f>
        <v>0</v>
      </c>
      <c r="BF182" s="24" t="n">
        <f aca="false">BF179-BF117-BF125</f>
        <v>1013827.09</v>
      </c>
      <c r="BG182" s="24" t="n">
        <f aca="false">BG179-BG117-BG125</f>
        <v>0</v>
      </c>
      <c r="BH182" s="24" t="n">
        <f aca="false">BH179-BH117-BH125</f>
        <v>166691.42</v>
      </c>
      <c r="BI182" s="24" t="n">
        <f aca="false">BI179-BI117-BI125</f>
        <v>0</v>
      </c>
      <c r="BJ182" s="24" t="n">
        <f aca="false">BJ179-BJ117-BJ125</f>
        <v>5121888</v>
      </c>
      <c r="BK182" s="24" t="n">
        <f aca="false">BK179-BK117-BK125</f>
        <v>0</v>
      </c>
      <c r="BL182" s="24"/>
      <c r="BM182" s="24" t="n">
        <f aca="false">BM179-BM117-BM125</f>
        <v>225401</v>
      </c>
      <c r="BN182" s="24"/>
      <c r="BO182" s="24" t="n">
        <f aca="false">BO179-BO117-BO125</f>
        <v>817894</v>
      </c>
      <c r="BP182" s="24"/>
      <c r="BQ182" s="2"/>
      <c r="BR182" s="2"/>
      <c r="BS182" s="24"/>
      <c r="BU182" s="24"/>
      <c r="BV182" s="24"/>
      <c r="BW182" s="24"/>
      <c r="BX182" s="24"/>
      <c r="BY182" s="24"/>
      <c r="BZ182" s="24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119"/>
      <c r="AJ183" s="24"/>
      <c r="AL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F183" s="24"/>
      <c r="BH183" s="24"/>
      <c r="BJ183" s="24"/>
      <c r="BM183" s="24" t="s">
        <v>286</v>
      </c>
      <c r="BO183" s="24" t="s">
        <v>286</v>
      </c>
      <c r="BP183" s="24"/>
      <c r="BQ183" s="24" t="n">
        <f aca="false">-BQ125</f>
        <v>-505702.69</v>
      </c>
      <c r="BR183" s="24"/>
      <c r="BS183" s="24"/>
      <c r="BU183" s="24"/>
      <c r="BV183" s="24"/>
      <c r="BW183" s="24"/>
      <c r="BX183" s="24"/>
      <c r="BY183" s="24"/>
      <c r="BZ183" s="24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60"/>
      <c r="B184" s="174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119"/>
      <c r="AJ184" s="24"/>
      <c r="AL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F184" s="24"/>
      <c r="BH184" s="24"/>
      <c r="BJ184" s="24"/>
      <c r="BM184" s="24" t="s">
        <v>287</v>
      </c>
      <c r="BO184" s="24" t="s">
        <v>287</v>
      </c>
      <c r="BP184" s="24"/>
      <c r="BQ184" s="24" t="n">
        <f aca="false">-BQ117</f>
        <v>-912028.62</v>
      </c>
      <c r="BR184" s="24"/>
      <c r="BS184" s="24"/>
      <c r="BU184" s="24"/>
      <c r="BV184" s="24"/>
      <c r="BW184" s="24"/>
      <c r="BX184" s="24"/>
      <c r="BY184" s="24"/>
      <c r="BZ184" s="24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60"/>
      <c r="B185" s="174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119"/>
      <c r="AJ185" s="24"/>
      <c r="AL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F185" s="24"/>
      <c r="BH185" s="24"/>
      <c r="BJ185" s="24"/>
      <c r="BM185" s="24" t="s">
        <v>288</v>
      </c>
      <c r="BO185" s="24" t="s">
        <v>288</v>
      </c>
      <c r="BP185" s="24"/>
      <c r="BQ185" s="24" t="n">
        <v>0</v>
      </c>
      <c r="BR185" s="24"/>
      <c r="BS185" s="24"/>
      <c r="BU185" s="24"/>
      <c r="BV185" s="24"/>
      <c r="BW185" s="24"/>
      <c r="BX185" s="24"/>
      <c r="BY185" s="24"/>
      <c r="BZ185" s="24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60"/>
      <c r="B186" s="174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119"/>
      <c r="AJ186" s="24"/>
      <c r="AL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F186" s="24"/>
      <c r="BH186" s="24"/>
      <c r="BJ186" s="2"/>
      <c r="BM186" s="2" t="s">
        <v>289</v>
      </c>
      <c r="BO186" s="2" t="s">
        <v>289</v>
      </c>
      <c r="BP186" s="2"/>
      <c r="BQ186" s="24" t="n">
        <v>-426646</v>
      </c>
      <c r="BR186" s="24"/>
      <c r="BS186" s="24"/>
      <c r="BU186" s="24"/>
      <c r="BV186" s="24"/>
      <c r="BW186" s="24"/>
      <c r="BX186" s="24"/>
      <c r="BY186" s="24"/>
      <c r="BZ186" s="24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60"/>
      <c r="B187" s="174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119"/>
      <c r="AJ187" s="24"/>
      <c r="AL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F187" s="24"/>
      <c r="BH187" s="24"/>
      <c r="BJ187" s="2"/>
      <c r="BM187" s="2" t="s">
        <v>290</v>
      </c>
      <c r="BO187" s="2" t="s">
        <v>290</v>
      </c>
      <c r="BP187" s="2"/>
      <c r="BQ187" s="24" t="n">
        <v>0</v>
      </c>
      <c r="BR187" s="24"/>
      <c r="BS187" s="24"/>
      <c r="BU187" s="24"/>
      <c r="BV187" s="24"/>
      <c r="BW187" s="24"/>
      <c r="BX187" s="24"/>
      <c r="BY187" s="24"/>
      <c r="BZ187" s="24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60"/>
      <c r="B188" s="174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119"/>
      <c r="AJ188" s="24"/>
      <c r="AL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F188" s="24"/>
      <c r="BH188" s="24"/>
      <c r="BJ188" s="24"/>
      <c r="BM188" s="24"/>
      <c r="BO188" s="24"/>
      <c r="BP188" s="24"/>
      <c r="BQ188" s="24" t="n">
        <f aca="false">SUM(BQ179:BQ187)</f>
        <v>267107542.718692</v>
      </c>
      <c r="BR188" s="24"/>
      <c r="BS188" s="24"/>
      <c r="BU188" s="24"/>
      <c r="BV188" s="24"/>
      <c r="BW188" s="24"/>
      <c r="BX188" s="24"/>
      <c r="BY188" s="24"/>
      <c r="BZ188" s="24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>
      <c r="A189" s="160"/>
      <c r="B189" s="174"/>
      <c r="C189" s="2"/>
      <c r="D189" s="2"/>
      <c r="E189" s="2"/>
      <c r="F189" s="2"/>
      <c r="G189" s="2"/>
      <c r="H189" s="2"/>
      <c r="I189" s="2"/>
      <c r="J189" s="3"/>
      <c r="K189" s="2"/>
      <c r="L189" s="179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119"/>
      <c r="AJ189" s="24"/>
      <c r="AL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F189" s="24"/>
      <c r="BH189" s="24"/>
      <c r="BJ189" s="24"/>
      <c r="BM189" s="24"/>
      <c r="BO189" s="24"/>
      <c r="BP189" s="24"/>
      <c r="BQ189" s="24"/>
      <c r="BR189" s="24"/>
      <c r="BS189" s="24"/>
      <c r="BU189" s="24"/>
      <c r="BV189" s="24"/>
      <c r="BW189" s="24"/>
      <c r="BX189" s="24"/>
      <c r="BY189" s="24"/>
      <c r="BZ189" s="24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true" customHeight="false" outlineLevel="0" collapsed="false">
      <c r="A190" s="160"/>
      <c r="B190" s="174"/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119"/>
      <c r="AJ190" s="24"/>
      <c r="AL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F190" s="24"/>
      <c r="BH190" s="24"/>
      <c r="BJ190" s="24"/>
      <c r="BM190" s="24" t="s">
        <v>291</v>
      </c>
      <c r="BO190" s="24" t="s">
        <v>291</v>
      </c>
      <c r="BP190" s="24"/>
      <c r="BQ190" s="24" t="n">
        <f aca="false">267411123-1478</f>
        <v>267409645</v>
      </c>
      <c r="BR190" s="24"/>
      <c r="BS190" s="24"/>
      <c r="BU190" s="24"/>
      <c r="BV190" s="24"/>
      <c r="BW190" s="24"/>
      <c r="BX190" s="24"/>
      <c r="BY190" s="24"/>
      <c r="BZ190" s="24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160"/>
      <c r="B191" s="174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119"/>
      <c r="AJ191" s="24"/>
      <c r="AL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F191" s="24"/>
      <c r="BH191" s="24"/>
      <c r="BJ191" s="24"/>
      <c r="BM191" s="24"/>
      <c r="BO191" s="24"/>
      <c r="BP191" s="24"/>
      <c r="BQ191" s="24" t="n">
        <f aca="false">BQ188-BQ190</f>
        <v>-302102.281307995</v>
      </c>
      <c r="BR191" s="24"/>
      <c r="BS191" s="24"/>
      <c r="BU191" s="24"/>
      <c r="BV191" s="24"/>
      <c r="BW191" s="24"/>
      <c r="BX191" s="24"/>
      <c r="BY191" s="24"/>
      <c r="BZ191" s="24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160"/>
      <c r="B192" s="174"/>
      <c r="C192" s="2"/>
      <c r="D192" s="2"/>
      <c r="E192" s="2"/>
      <c r="F192" s="2"/>
      <c r="G192" s="2"/>
      <c r="H192" s="2"/>
      <c r="I192" s="2"/>
      <c r="J192" s="3"/>
      <c r="K192" s="2"/>
      <c r="L192" s="179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119"/>
      <c r="AJ192" s="24"/>
      <c r="AL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F192" s="24"/>
      <c r="BH192" s="24"/>
      <c r="BJ192" s="24"/>
      <c r="BM192" s="24"/>
      <c r="BO192" s="24"/>
      <c r="BP192" s="24"/>
      <c r="BQ192" s="24"/>
      <c r="BR192" s="24"/>
      <c r="BS192" s="24"/>
      <c r="BU192" s="24"/>
      <c r="BV192" s="24"/>
      <c r="BW192" s="24"/>
      <c r="BX192" s="24"/>
      <c r="BY192" s="24"/>
      <c r="BZ192" s="24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160"/>
      <c r="B193" s="174"/>
      <c r="C193" s="2"/>
      <c r="D193" s="2"/>
      <c r="E193" s="2"/>
      <c r="F193" s="2"/>
      <c r="G193" s="2"/>
      <c r="H193" s="2"/>
      <c r="I193" s="2"/>
      <c r="J193" s="3"/>
      <c r="K193" s="2"/>
      <c r="L193" s="179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119"/>
      <c r="AJ193" s="24"/>
      <c r="AL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F193" s="24"/>
      <c r="BH193" s="24"/>
      <c r="BJ193" s="24"/>
      <c r="BM193" s="24"/>
      <c r="BO193" s="24"/>
      <c r="BP193" s="24"/>
      <c r="BQ193" s="24"/>
      <c r="BR193" s="24"/>
      <c r="BS193" s="24"/>
      <c r="BU193" s="24"/>
      <c r="BV193" s="24"/>
      <c r="BW193" s="24"/>
      <c r="BX193" s="24"/>
      <c r="BY193" s="24"/>
      <c r="BZ193" s="24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160"/>
      <c r="B194" s="174"/>
      <c r="C194" s="2"/>
      <c r="D194" s="2"/>
      <c r="E194" s="2"/>
      <c r="F194" s="2"/>
      <c r="G194" s="2"/>
      <c r="H194" s="2"/>
      <c r="I194" s="2"/>
      <c r="J194" s="3"/>
      <c r="K194" s="2"/>
      <c r="L194" s="179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119"/>
      <c r="AJ194" s="24"/>
      <c r="AL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F194" s="24"/>
      <c r="BH194" s="24"/>
      <c r="BJ194" s="24"/>
      <c r="BM194" s="24"/>
      <c r="BO194" s="24"/>
      <c r="BP194" s="24"/>
      <c r="BQ194" s="24"/>
      <c r="BR194" s="24"/>
      <c r="BS194" s="24"/>
      <c r="BU194" s="24"/>
      <c r="BV194" s="24"/>
      <c r="BW194" s="24"/>
      <c r="BX194" s="24"/>
      <c r="BY194" s="24"/>
      <c r="BZ194" s="24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160"/>
      <c r="B195" s="174"/>
      <c r="C195" s="2"/>
      <c r="D195" s="2"/>
      <c r="E195" s="2"/>
      <c r="F195" s="2"/>
      <c r="G195" s="2"/>
      <c r="H195" s="2"/>
      <c r="I195" s="2"/>
      <c r="J195" s="3"/>
      <c r="K195" s="2"/>
      <c r="L195" s="179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119"/>
      <c r="AJ195" s="24"/>
      <c r="AL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F195" s="24"/>
      <c r="BH195" s="24"/>
      <c r="BJ195" s="24"/>
      <c r="BM195" s="24"/>
      <c r="BO195" s="24"/>
      <c r="BP195" s="24"/>
      <c r="BQ195" s="24"/>
      <c r="BR195" s="24"/>
      <c r="BS195" s="24"/>
      <c r="BU195" s="24"/>
      <c r="BV195" s="24"/>
      <c r="BW195" s="24"/>
      <c r="BX195" s="24"/>
      <c r="BY195" s="24"/>
      <c r="BZ195" s="24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160"/>
      <c r="B196" s="174"/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119"/>
      <c r="AJ196" s="24"/>
      <c r="AL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F196" s="24"/>
      <c r="BH196" s="24"/>
      <c r="BJ196" s="24"/>
      <c r="BM196" s="24"/>
      <c r="BO196" s="24"/>
      <c r="BP196" s="24"/>
      <c r="BQ196" s="24"/>
      <c r="BR196" s="24"/>
      <c r="BS196" s="24"/>
      <c r="BU196" s="24"/>
      <c r="BV196" s="24"/>
      <c r="BW196" s="24"/>
      <c r="BX196" s="24"/>
      <c r="BY196" s="24"/>
      <c r="BZ196" s="24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60"/>
      <c r="B197" s="174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119"/>
      <c r="AJ197" s="24"/>
      <c r="AL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F197" s="24"/>
      <c r="BH197" s="24"/>
      <c r="BJ197" s="24"/>
      <c r="BM197" s="24"/>
      <c r="BO197" s="24"/>
      <c r="BP197" s="24"/>
      <c r="BQ197" s="24"/>
      <c r="BR197" s="24"/>
      <c r="BS197" s="24"/>
      <c r="BU197" s="24"/>
      <c r="BV197" s="24"/>
      <c r="BW197" s="24"/>
      <c r="BX197" s="24"/>
      <c r="BY197" s="24"/>
      <c r="BZ197" s="24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60"/>
      <c r="B198" s="174"/>
      <c r="C198" s="2"/>
      <c r="D198" s="2"/>
      <c r="E198" s="2"/>
      <c r="F198" s="2"/>
      <c r="G198" s="2"/>
      <c r="H198" s="2"/>
      <c r="I198" s="2"/>
      <c r="J198" s="3"/>
      <c r="K198" s="2"/>
      <c r="L198" s="179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119"/>
      <c r="AJ198" s="24"/>
      <c r="AL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F198" s="24"/>
      <c r="BH198" s="24"/>
      <c r="BJ198" s="24"/>
      <c r="BM198" s="24"/>
      <c r="BO198" s="24"/>
      <c r="BP198" s="24"/>
      <c r="BQ198" s="24"/>
      <c r="BR198" s="24"/>
      <c r="BS198" s="24"/>
      <c r="BU198" s="24"/>
      <c r="BV198" s="24"/>
      <c r="BW198" s="24"/>
      <c r="BX198" s="24"/>
      <c r="BY198" s="24"/>
      <c r="BZ198" s="24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false" customHeight="false" outlineLevel="0" collapsed="false">
      <c r="A199" s="160"/>
      <c r="B199" s="174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119"/>
      <c r="AJ199" s="24"/>
      <c r="AL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F199" s="24"/>
      <c r="BH199" s="24"/>
      <c r="BJ199" s="24"/>
      <c r="BM199" s="24"/>
      <c r="BO199" s="24"/>
      <c r="BP199" s="24"/>
      <c r="BQ199" s="24"/>
      <c r="BR199" s="24"/>
      <c r="BS199" s="24"/>
      <c r="BU199" s="24"/>
      <c r="BV199" s="24"/>
      <c r="BW199" s="24"/>
      <c r="BX199" s="24"/>
      <c r="BY199" s="24"/>
      <c r="BZ199" s="24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160"/>
      <c r="B200" s="174"/>
      <c r="C200" s="2"/>
      <c r="D200" s="2"/>
      <c r="E200" s="2"/>
      <c r="F200" s="2"/>
      <c r="G200" s="2"/>
      <c r="H200" s="2"/>
      <c r="I200" s="2"/>
      <c r="J200" s="3"/>
      <c r="K200" s="2"/>
      <c r="L200" s="179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119"/>
      <c r="AJ200" s="24"/>
      <c r="AL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F200" s="24"/>
      <c r="BH200" s="24"/>
      <c r="BJ200" s="24"/>
      <c r="BM200" s="24"/>
      <c r="BO200" s="24"/>
      <c r="BP200" s="24"/>
      <c r="BQ200" s="24"/>
      <c r="BR200" s="24"/>
      <c r="BS200" s="24"/>
      <c r="BU200" s="24"/>
      <c r="BV200" s="24"/>
      <c r="BW200" s="24"/>
      <c r="BX200" s="24"/>
      <c r="BY200" s="24"/>
      <c r="BZ200" s="24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160"/>
      <c r="B201" s="174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119"/>
      <c r="AJ201" s="24"/>
      <c r="AL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F201" s="24"/>
      <c r="BH201" s="24"/>
      <c r="BJ201" s="24"/>
      <c r="BM201" s="24"/>
      <c r="BO201" s="24"/>
      <c r="BP201" s="24"/>
      <c r="BQ201" s="24"/>
      <c r="BR201" s="24"/>
      <c r="BS201" s="24"/>
      <c r="BU201" s="24"/>
      <c r="BV201" s="24"/>
      <c r="BW201" s="24"/>
      <c r="BX201" s="24"/>
      <c r="BY201" s="24"/>
      <c r="BZ201" s="24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60"/>
      <c r="B202" s="174"/>
      <c r="C202" s="2"/>
      <c r="D202" s="2"/>
      <c r="E202" s="2"/>
      <c r="F202" s="2"/>
      <c r="G202" s="2"/>
      <c r="H202" s="2"/>
      <c r="I202" s="2"/>
      <c r="J202" s="3"/>
      <c r="K202" s="2"/>
      <c r="L202" s="179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119"/>
      <c r="AJ202" s="24"/>
      <c r="AL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F202" s="24"/>
      <c r="BH202" s="24"/>
      <c r="BJ202" s="24"/>
      <c r="BM202" s="24"/>
      <c r="BO202" s="24"/>
      <c r="BP202" s="24"/>
      <c r="BQ202" s="24"/>
      <c r="BR202" s="24"/>
      <c r="BS202" s="24"/>
      <c r="BU202" s="24"/>
      <c r="BV202" s="24"/>
      <c r="BW202" s="24"/>
      <c r="BX202" s="24"/>
      <c r="BY202" s="24"/>
      <c r="BZ202" s="24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60"/>
      <c r="B203" s="174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119"/>
      <c r="AJ203" s="24"/>
      <c r="AL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F203" s="24"/>
      <c r="BH203" s="24"/>
      <c r="BJ203" s="24"/>
      <c r="BM203" s="24"/>
      <c r="BO203" s="24"/>
      <c r="BP203" s="24"/>
      <c r="BQ203" s="24"/>
      <c r="BR203" s="24"/>
      <c r="BS203" s="24"/>
      <c r="BU203" s="24"/>
      <c r="BV203" s="24"/>
      <c r="BW203" s="24"/>
      <c r="BX203" s="24"/>
      <c r="BY203" s="24"/>
      <c r="BZ203" s="24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60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119"/>
      <c r="AJ204" s="24"/>
      <c r="AL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F204" s="24"/>
      <c r="BH204" s="24"/>
      <c r="BJ204" s="24"/>
      <c r="BM204" s="24"/>
      <c r="BO204" s="24"/>
      <c r="BP204" s="24"/>
      <c r="BQ204" s="24"/>
      <c r="BR204" s="24"/>
      <c r="BS204" s="24"/>
      <c r="BU204" s="24"/>
      <c r="BV204" s="24"/>
      <c r="BW204" s="24"/>
      <c r="BX204" s="24"/>
      <c r="BY204" s="24"/>
      <c r="BZ204" s="24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60"/>
      <c r="B205" s="174"/>
      <c r="C205" s="2"/>
      <c r="D205" s="2"/>
      <c r="E205" s="2"/>
      <c r="F205" s="2"/>
      <c r="G205" s="2"/>
      <c r="H205" s="2"/>
      <c r="I205" s="2"/>
      <c r="J205" s="3"/>
      <c r="K205" s="2"/>
      <c r="L205" s="179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119"/>
      <c r="AJ205" s="24"/>
      <c r="AL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F205" s="24"/>
      <c r="BH205" s="24"/>
      <c r="BJ205" s="24"/>
      <c r="BM205" s="24"/>
      <c r="BO205" s="24"/>
      <c r="BP205" s="24"/>
      <c r="BQ205" s="24"/>
      <c r="BR205" s="24"/>
      <c r="BS205" s="24"/>
      <c r="BU205" s="24"/>
      <c r="BV205" s="24"/>
      <c r="BW205" s="24"/>
      <c r="BX205" s="24"/>
      <c r="BY205" s="24"/>
      <c r="BZ205" s="24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60"/>
      <c r="B206" s="174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119"/>
      <c r="AJ206" s="24"/>
      <c r="AL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F206" s="24"/>
      <c r="BH206" s="24"/>
      <c r="BJ206" s="24"/>
      <c r="BM206" s="24"/>
      <c r="BO206" s="24"/>
      <c r="BP206" s="24"/>
      <c r="BQ206" s="24"/>
      <c r="BR206" s="24"/>
      <c r="BS206" s="24"/>
      <c r="BU206" s="24"/>
      <c r="BV206" s="24"/>
      <c r="BW206" s="24"/>
      <c r="BX206" s="24"/>
      <c r="BY206" s="24"/>
      <c r="BZ206" s="24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60"/>
      <c r="B207" s="174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119"/>
      <c r="AJ207" s="24"/>
      <c r="AL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F207" s="24"/>
      <c r="BH207" s="24"/>
      <c r="BJ207" s="24"/>
      <c r="BM207" s="24"/>
      <c r="BO207" s="24"/>
      <c r="BP207" s="24"/>
      <c r="BQ207" s="24"/>
      <c r="BR207" s="24"/>
      <c r="BS207" s="24"/>
      <c r="BU207" s="24"/>
      <c r="BV207" s="24"/>
      <c r="BW207" s="24"/>
      <c r="BX207" s="24"/>
      <c r="BY207" s="24"/>
      <c r="BZ207" s="24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60"/>
      <c r="B208" s="174"/>
      <c r="C208" s="2"/>
      <c r="D208" s="2"/>
      <c r="E208" s="2"/>
      <c r="F208" s="2"/>
      <c r="G208" s="2"/>
      <c r="H208" s="2"/>
      <c r="I208" s="2"/>
      <c r="J208" s="3"/>
      <c r="K208" s="2"/>
      <c r="L208" s="179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119"/>
      <c r="AJ208" s="24"/>
      <c r="AL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F208" s="24"/>
      <c r="BH208" s="24"/>
      <c r="BJ208" s="24"/>
      <c r="BM208" s="24"/>
      <c r="BO208" s="24"/>
      <c r="BP208" s="24"/>
      <c r="BQ208" s="24"/>
      <c r="BR208" s="24"/>
      <c r="BS208" s="24"/>
      <c r="BU208" s="24"/>
      <c r="BV208" s="24"/>
      <c r="BW208" s="24"/>
      <c r="BX208" s="24"/>
      <c r="BY208" s="24"/>
      <c r="BZ208" s="24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60"/>
      <c r="B209" s="174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119"/>
      <c r="AJ209" s="24"/>
      <c r="AL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F209" s="24"/>
      <c r="BH209" s="24"/>
      <c r="BJ209" s="24"/>
      <c r="BM209" s="24"/>
      <c r="BO209" s="24"/>
      <c r="BP209" s="24"/>
      <c r="BQ209" s="24"/>
      <c r="BR209" s="24"/>
      <c r="BS209" s="24"/>
      <c r="BU209" s="24"/>
      <c r="BV209" s="24"/>
      <c r="BW209" s="24"/>
      <c r="BX209" s="24"/>
      <c r="BY209" s="24"/>
      <c r="BZ209" s="24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60"/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119"/>
      <c r="AJ210" s="24"/>
      <c r="AL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F210" s="24"/>
      <c r="BH210" s="24"/>
      <c r="BJ210" s="24"/>
      <c r="BM210" s="24"/>
      <c r="BO210" s="24"/>
      <c r="BP210" s="24"/>
      <c r="BQ210" s="24"/>
      <c r="BR210" s="24"/>
      <c r="BS210" s="24"/>
      <c r="BU210" s="24"/>
      <c r="BV210" s="24"/>
      <c r="BW210" s="24"/>
      <c r="BX210" s="24"/>
      <c r="BY210" s="24"/>
      <c r="BZ210" s="24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60"/>
      <c r="B211" s="174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119"/>
      <c r="AJ211" s="24"/>
      <c r="AL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F211" s="24"/>
      <c r="BH211" s="24"/>
      <c r="BJ211" s="24"/>
      <c r="BM211" s="24"/>
      <c r="BO211" s="24"/>
      <c r="BP211" s="24"/>
      <c r="BQ211" s="24"/>
      <c r="BR211" s="24"/>
      <c r="BS211" s="24"/>
      <c r="BU211" s="24"/>
      <c r="BV211" s="24"/>
      <c r="BW211" s="24"/>
      <c r="BX211" s="24"/>
      <c r="BY211" s="24"/>
      <c r="BZ211" s="24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60"/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119"/>
      <c r="AJ212" s="24"/>
      <c r="AL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F212" s="24"/>
      <c r="BH212" s="24"/>
      <c r="BJ212" s="24"/>
      <c r="BM212" s="24"/>
      <c r="BO212" s="24"/>
      <c r="BP212" s="24"/>
      <c r="BQ212" s="24"/>
      <c r="BR212" s="24"/>
      <c r="BS212" s="24"/>
      <c r="BU212" s="24"/>
      <c r="BV212" s="24"/>
      <c r="BW212" s="24"/>
      <c r="BX212" s="24"/>
      <c r="BY212" s="24"/>
      <c r="BZ212" s="24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60"/>
      <c r="B213" s="174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119"/>
      <c r="AJ213" s="24"/>
      <c r="AL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F213" s="24"/>
      <c r="BH213" s="24"/>
      <c r="BJ213" s="24"/>
      <c r="BM213" s="24"/>
      <c r="BO213" s="24"/>
      <c r="BP213" s="24"/>
      <c r="BQ213" s="24"/>
      <c r="BR213" s="24"/>
      <c r="BS213" s="24"/>
      <c r="BU213" s="24"/>
      <c r="BV213" s="24"/>
      <c r="BW213" s="24"/>
      <c r="BX213" s="24"/>
      <c r="BY213" s="24"/>
      <c r="BZ213" s="24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60"/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119"/>
      <c r="AJ214" s="24"/>
      <c r="AL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F214" s="24"/>
      <c r="BH214" s="24"/>
      <c r="BJ214" s="24"/>
      <c r="BM214" s="24"/>
      <c r="BO214" s="24"/>
      <c r="BP214" s="24"/>
      <c r="BQ214" s="24"/>
      <c r="BR214" s="24"/>
      <c r="BS214" s="24"/>
      <c r="BU214" s="24"/>
      <c r="BV214" s="24"/>
      <c r="BW214" s="24"/>
      <c r="BX214" s="24"/>
      <c r="BY214" s="24"/>
      <c r="BZ214" s="24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/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119"/>
      <c r="AJ215" s="24"/>
      <c r="AL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F215" s="24"/>
      <c r="BH215" s="24"/>
      <c r="BJ215" s="24"/>
      <c r="BM215" s="24"/>
      <c r="BO215" s="24"/>
      <c r="BP215" s="24"/>
      <c r="BQ215" s="24"/>
      <c r="BR215" s="24"/>
      <c r="BS215" s="24"/>
      <c r="BU215" s="24"/>
      <c r="BV215" s="24"/>
      <c r="BW215" s="24"/>
      <c r="BX215" s="24"/>
      <c r="BY215" s="24"/>
      <c r="BZ215" s="24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60"/>
      <c r="B216" s="174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119"/>
      <c r="AJ216" s="24"/>
      <c r="AL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F216" s="24"/>
      <c r="BH216" s="24"/>
      <c r="BJ216" s="24"/>
      <c r="BM216" s="24"/>
      <c r="BO216" s="24"/>
      <c r="BP216" s="24"/>
      <c r="BQ216" s="24"/>
      <c r="BR216" s="24"/>
      <c r="BS216" s="24"/>
      <c r="BU216" s="24"/>
      <c r="BV216" s="24"/>
      <c r="BW216" s="24"/>
      <c r="BX216" s="24"/>
      <c r="BY216" s="24"/>
      <c r="BZ216" s="24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160"/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119"/>
      <c r="AJ217" s="24"/>
      <c r="AL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F217" s="24"/>
      <c r="BH217" s="24"/>
      <c r="BJ217" s="24"/>
      <c r="BM217" s="24"/>
      <c r="BO217" s="24"/>
      <c r="BP217" s="24"/>
      <c r="BQ217" s="110" t="n">
        <v>166466044</v>
      </c>
      <c r="BS217" s="24"/>
      <c r="BU217" s="24"/>
      <c r="BV217" s="24"/>
      <c r="BW217" s="24"/>
      <c r="BX217" s="24"/>
      <c r="BY217" s="24"/>
      <c r="BZ217" s="24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60"/>
      <c r="B218" s="174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119"/>
      <c r="AJ218" s="24"/>
      <c r="AL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F218" s="24"/>
      <c r="BH218" s="24"/>
      <c r="BJ218" s="24"/>
      <c r="BM218" s="24"/>
      <c r="BO218" s="24"/>
      <c r="BP218" s="24"/>
      <c r="BQ218" s="110" t="n">
        <f aca="false">93413104.03</f>
        <v>93413104.03</v>
      </c>
      <c r="BS218" s="24"/>
      <c r="BU218" s="24"/>
      <c r="BV218" s="24"/>
      <c r="BW218" s="24"/>
      <c r="BX218" s="24"/>
      <c r="BY218" s="24"/>
      <c r="BZ218" s="24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true" customHeight="false" outlineLevel="0" collapsed="false">
      <c r="A219" s="160"/>
      <c r="B219" s="174"/>
      <c r="C219" s="2"/>
      <c r="D219" s="2"/>
      <c r="E219" s="2"/>
      <c r="F219" s="2"/>
      <c r="G219" s="2"/>
      <c r="H219" s="2"/>
      <c r="I219" s="2"/>
      <c r="J219" s="3"/>
      <c r="K219" s="2"/>
      <c r="L219" s="179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119"/>
      <c r="AJ219" s="24"/>
      <c r="AL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F219" s="24"/>
      <c r="BH219" s="24"/>
      <c r="BJ219" s="24"/>
      <c r="BM219" s="24"/>
      <c r="BO219" s="24"/>
      <c r="BP219" s="24"/>
      <c r="BQ219" s="110" t="n">
        <v>755906.13</v>
      </c>
      <c r="BS219" s="24"/>
      <c r="BU219" s="24"/>
      <c r="BV219" s="24"/>
      <c r="BW219" s="24"/>
      <c r="BX219" s="24"/>
      <c r="BY219" s="24"/>
      <c r="BZ219" s="24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true" customHeight="false" outlineLevel="0" collapsed="false">
      <c r="A220" s="160"/>
      <c r="B220" s="174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119"/>
      <c r="AJ220" s="24"/>
      <c r="AL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F220" s="24"/>
      <c r="BH220" s="24"/>
      <c r="BJ220" s="24"/>
      <c r="BM220" s="24"/>
      <c r="BO220" s="24"/>
      <c r="BP220" s="24"/>
      <c r="BQ220" s="110" t="n">
        <v>-6077</v>
      </c>
      <c r="BS220" s="24"/>
      <c r="BU220" s="24"/>
      <c r="BV220" s="24"/>
      <c r="BW220" s="24"/>
      <c r="BX220" s="24"/>
      <c r="BY220" s="24"/>
      <c r="BZ220" s="24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true" customHeight="false" outlineLevel="0" collapsed="false">
      <c r="A221" s="160"/>
      <c r="B221" s="174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119"/>
      <c r="AJ221" s="24"/>
      <c r="AL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F221" s="24"/>
      <c r="BH221" s="24"/>
      <c r="BJ221" s="24"/>
      <c r="BM221" s="24"/>
      <c r="BO221" s="24"/>
      <c r="BP221" s="24"/>
      <c r="BQ221" s="110" t="n">
        <v>80000</v>
      </c>
      <c r="BS221" s="24"/>
      <c r="BU221" s="24"/>
      <c r="BV221" s="24"/>
      <c r="BW221" s="24"/>
      <c r="BX221" s="24"/>
      <c r="BY221" s="24"/>
      <c r="BZ221" s="24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60"/>
      <c r="B222" s="174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119"/>
      <c r="AJ222" s="24"/>
      <c r="AL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F222" s="24"/>
      <c r="BH222" s="24"/>
      <c r="BJ222" s="24"/>
      <c r="BM222" s="24"/>
      <c r="BO222" s="24"/>
      <c r="BP222" s="24"/>
      <c r="BQ222" s="110" t="n">
        <v>100</v>
      </c>
      <c r="BS222" s="24"/>
      <c r="BU222" s="24"/>
      <c r="BV222" s="24"/>
      <c r="BW222" s="24"/>
      <c r="BX222" s="24"/>
      <c r="BY222" s="24"/>
      <c r="BZ222" s="24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60"/>
      <c r="B223" s="174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119"/>
      <c r="AJ223" s="24"/>
      <c r="AL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F223" s="24"/>
      <c r="BH223" s="24"/>
      <c r="BJ223" s="24"/>
      <c r="BM223" s="24"/>
      <c r="BO223" s="24"/>
      <c r="BP223" s="24"/>
      <c r="BQ223" s="110" t="n">
        <v>278090.26</v>
      </c>
      <c r="BS223" s="24"/>
      <c r="BU223" s="24"/>
      <c r="BV223" s="24"/>
      <c r="BW223" s="24"/>
      <c r="BX223" s="24"/>
      <c r="BY223" s="24"/>
      <c r="BZ223" s="24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60"/>
      <c r="B224" s="174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119"/>
      <c r="AJ224" s="24"/>
      <c r="AL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F224" s="24"/>
      <c r="BH224" s="24"/>
      <c r="BJ224" s="24"/>
      <c r="BM224" s="24"/>
      <c r="BO224" s="24"/>
      <c r="BP224" s="24"/>
      <c r="BQ224" s="110" t="n">
        <f aca="false">BD148</f>
        <v>-127637.5</v>
      </c>
      <c r="BS224" s="24"/>
      <c r="BU224" s="24"/>
      <c r="BV224" s="24"/>
      <c r="BW224" s="24"/>
      <c r="BX224" s="24"/>
      <c r="BY224" s="24"/>
      <c r="BZ224" s="24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60"/>
      <c r="B225" s="174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119"/>
      <c r="AJ225" s="24"/>
      <c r="AL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F225" s="24"/>
      <c r="BH225" s="24"/>
      <c r="BJ225" s="24"/>
      <c r="BM225" s="24"/>
      <c r="BO225" s="24"/>
      <c r="BP225" s="24"/>
      <c r="BQ225" s="110" t="n">
        <f aca="false">SUM(BQ217:BQ224)</f>
        <v>260859529.92</v>
      </c>
      <c r="BS225" s="24"/>
      <c r="BU225" s="24"/>
      <c r="BV225" s="24"/>
      <c r="BW225" s="24"/>
      <c r="BX225" s="24"/>
      <c r="BY225" s="24"/>
      <c r="BZ225" s="24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60"/>
      <c r="B226" s="174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119"/>
      <c r="AJ226" s="24"/>
      <c r="AL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F226" s="24"/>
      <c r="BH226" s="24"/>
      <c r="BJ226" s="24"/>
      <c r="BM226" s="24"/>
      <c r="BO226" s="24"/>
      <c r="BP226" s="24"/>
      <c r="BS226" s="24"/>
      <c r="BU226" s="24"/>
      <c r="BV226" s="24"/>
      <c r="BW226" s="24"/>
      <c r="BX226" s="24"/>
      <c r="BY226" s="24"/>
      <c r="BZ226" s="24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60"/>
      <c r="B227" s="174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119"/>
      <c r="AJ227" s="24"/>
      <c r="AL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F227" s="24"/>
      <c r="BH227" s="24"/>
      <c r="BJ227" s="24"/>
      <c r="BM227" s="24"/>
      <c r="BO227" s="24"/>
      <c r="BP227" s="24"/>
      <c r="BQ227" s="110" t="n">
        <f aca="false">BQ247-BQ225</f>
        <v>8017860.61869201</v>
      </c>
      <c r="BS227" s="24"/>
      <c r="BU227" s="24"/>
      <c r="BV227" s="24"/>
      <c r="BW227" s="24"/>
      <c r="BX227" s="24"/>
      <c r="BY227" s="24"/>
      <c r="BZ227" s="24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60"/>
      <c r="B228" s="174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119"/>
      <c r="AJ228" s="24"/>
      <c r="AL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F228" s="24"/>
      <c r="BH228" s="24"/>
      <c r="BJ228" s="24"/>
      <c r="BM228" s="24"/>
      <c r="BO228" s="24"/>
      <c r="BP228" s="24"/>
      <c r="BS228" s="24"/>
      <c r="BU228" s="24"/>
      <c r="BV228" s="24"/>
      <c r="BW228" s="24"/>
      <c r="BX228" s="24"/>
      <c r="BY228" s="24"/>
      <c r="BZ228" s="24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60"/>
      <c r="B229" s="174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119"/>
      <c r="AJ229" s="24"/>
      <c r="AL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F229" s="24"/>
      <c r="BH229" s="24"/>
      <c r="BJ229" s="24"/>
      <c r="BM229" s="24"/>
      <c r="BO229" s="24"/>
      <c r="BP229" s="24"/>
      <c r="BQ229" s="24"/>
      <c r="BR229" s="24"/>
      <c r="BS229" s="24"/>
      <c r="BU229" s="24"/>
      <c r="BV229" s="24"/>
      <c r="BW229" s="24"/>
      <c r="BX229" s="24"/>
      <c r="BY229" s="24"/>
      <c r="BZ229" s="24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true" customHeight="false" outlineLevel="0" collapsed="false">
      <c r="A230" s="160"/>
      <c r="B230" s="174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119"/>
      <c r="AJ230" s="24"/>
      <c r="AL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F230" s="24"/>
      <c r="BH230" s="24"/>
      <c r="BJ230" s="24"/>
      <c r="BM230" s="24"/>
      <c r="BO230" s="24"/>
      <c r="BP230" s="24"/>
      <c r="BQ230" s="24"/>
      <c r="BR230" s="24"/>
      <c r="BS230" s="24"/>
      <c r="BU230" s="24"/>
      <c r="BV230" s="24"/>
      <c r="BW230" s="24"/>
      <c r="BX230" s="24"/>
      <c r="BY230" s="24"/>
      <c r="BZ230" s="24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true" customHeight="false" outlineLevel="0" collapsed="false">
      <c r="A231" s="160"/>
      <c r="B231" s="174"/>
      <c r="C231" s="2"/>
      <c r="D231" s="2"/>
      <c r="E231" s="2"/>
      <c r="F231" s="2"/>
      <c r="G231" s="2"/>
      <c r="H231" s="2"/>
      <c r="I231" s="2"/>
      <c r="J231" s="3"/>
      <c r="K231" s="2"/>
      <c r="L231" s="179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119"/>
      <c r="AJ231" s="24"/>
      <c r="AL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F231" s="24"/>
      <c r="BH231" s="24"/>
      <c r="BJ231" s="24"/>
      <c r="BM231" s="24"/>
      <c r="BO231" s="24"/>
      <c r="BP231" s="24"/>
      <c r="BQ231" s="24"/>
      <c r="BR231" s="24"/>
      <c r="BS231" s="24"/>
      <c r="BU231" s="24"/>
      <c r="BV231" s="24"/>
      <c r="BW231" s="24"/>
      <c r="BX231" s="24"/>
      <c r="BY231" s="24"/>
      <c r="BZ231" s="24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true" customHeight="false" outlineLevel="0" collapsed="false">
      <c r="A232" s="160"/>
      <c r="B232" s="174"/>
      <c r="C232" s="2"/>
      <c r="D232" s="2"/>
      <c r="E232" s="2"/>
      <c r="F232" s="2"/>
      <c r="G232" s="2"/>
      <c r="H232" s="2"/>
      <c r="I232" s="2"/>
      <c r="J232" s="3"/>
      <c r="K232" s="2"/>
      <c r="L232" s="179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119"/>
      <c r="AJ232" s="24"/>
      <c r="AL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F232" s="24"/>
      <c r="BH232" s="24"/>
      <c r="BJ232" s="24"/>
      <c r="BM232" s="24"/>
      <c r="BO232" s="24"/>
      <c r="BP232" s="24"/>
      <c r="BQ232" s="24"/>
      <c r="BR232" s="24"/>
      <c r="BS232" s="24"/>
      <c r="BU232" s="24"/>
      <c r="BV232" s="24"/>
      <c r="BW232" s="24"/>
      <c r="BX232" s="24"/>
      <c r="BY232" s="24"/>
      <c r="BZ232" s="24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customFormat="false" ht="12.75" hidden="true" customHeight="false" outlineLevel="0" collapsed="false">
      <c r="A233" s="160"/>
      <c r="B233" s="174"/>
      <c r="C233" s="2"/>
      <c r="D233" s="2"/>
      <c r="E233" s="2"/>
      <c r="F233" s="2"/>
      <c r="G233" s="2"/>
      <c r="H233" s="2"/>
      <c r="I233" s="2"/>
      <c r="J233" s="3"/>
      <c r="K233" s="2"/>
      <c r="L233" s="179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119"/>
      <c r="AJ233" s="24"/>
      <c r="AL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F233" s="24"/>
      <c r="BH233" s="24"/>
      <c r="BJ233" s="24"/>
      <c r="BM233" s="24"/>
      <c r="BO233" s="24"/>
      <c r="BP233" s="24"/>
      <c r="BQ233" s="24"/>
      <c r="BR233" s="24"/>
      <c r="BS233" s="24"/>
      <c r="BU233" s="24"/>
      <c r="BV233" s="24"/>
      <c r="BW233" s="24"/>
      <c r="BX233" s="24"/>
      <c r="BY233" s="24"/>
      <c r="BZ233" s="24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customFormat="false" ht="12.75" hidden="true" customHeight="false" outlineLevel="0" collapsed="false">
      <c r="A234" s="160"/>
      <c r="B234" s="174"/>
      <c r="C234" s="2"/>
      <c r="D234" s="2"/>
      <c r="E234" s="2"/>
      <c r="F234" s="2"/>
      <c r="G234" s="2"/>
      <c r="H234" s="2"/>
      <c r="I234" s="2"/>
      <c r="J234" s="3"/>
      <c r="K234" s="2"/>
      <c r="L234" s="179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119"/>
      <c r="AJ234" s="24"/>
      <c r="AL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F234" s="24"/>
      <c r="BH234" s="24"/>
      <c r="BJ234" s="24"/>
      <c r="BM234" s="24"/>
      <c r="BO234" s="24"/>
      <c r="BP234" s="24"/>
      <c r="BQ234" s="24"/>
      <c r="BR234" s="24"/>
      <c r="BS234" s="24"/>
      <c r="BU234" s="24"/>
      <c r="BV234" s="24"/>
      <c r="BW234" s="24"/>
      <c r="BX234" s="24"/>
      <c r="BY234" s="24"/>
      <c r="BZ234" s="24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customFormat="false" ht="12.75" hidden="true" customHeight="false" outlineLevel="0" collapsed="false">
      <c r="A235" s="160"/>
      <c r="B235" s="174"/>
      <c r="C235" s="2"/>
      <c r="D235" s="2"/>
      <c r="E235" s="2"/>
      <c r="F235" s="2"/>
      <c r="G235" s="2"/>
      <c r="H235" s="2"/>
      <c r="I235" s="2"/>
      <c r="J235" s="3"/>
      <c r="K235" s="2"/>
      <c r="L235" s="179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119"/>
      <c r="AJ235" s="24"/>
      <c r="AL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F235" s="24"/>
      <c r="BH235" s="24"/>
      <c r="BJ235" s="24"/>
      <c r="BM235" s="24"/>
      <c r="BO235" s="24"/>
      <c r="BP235" s="24"/>
      <c r="BQ235" s="24"/>
      <c r="BR235" s="24"/>
      <c r="BS235" s="24"/>
      <c r="BU235" s="24"/>
      <c r="BV235" s="24"/>
      <c r="BW235" s="24"/>
      <c r="BX235" s="24"/>
      <c r="BY235" s="24"/>
      <c r="BZ235" s="24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customFormat="false" ht="12.75" hidden="true" customHeight="false" outlineLevel="0" collapsed="false">
      <c r="A236" s="160"/>
      <c r="B236" s="174"/>
      <c r="C236" s="2"/>
      <c r="D236" s="2"/>
      <c r="E236" s="2"/>
      <c r="F236" s="2"/>
      <c r="G236" s="2"/>
      <c r="H236" s="2"/>
      <c r="I236" s="2"/>
      <c r="J236" s="3"/>
      <c r="K236" s="2"/>
      <c r="L236" s="179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119"/>
      <c r="AJ236" s="24"/>
      <c r="AL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F236" s="24"/>
      <c r="BH236" s="24"/>
      <c r="BJ236" s="24"/>
      <c r="BM236" s="24"/>
      <c r="BO236" s="24"/>
      <c r="BP236" s="24"/>
      <c r="BQ236" s="24"/>
      <c r="BR236" s="24"/>
      <c r="BS236" s="24"/>
      <c r="BU236" s="24"/>
      <c r="BV236" s="24"/>
      <c r="BW236" s="24"/>
      <c r="BX236" s="24"/>
      <c r="BY236" s="24"/>
      <c r="BZ236" s="24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customFormat="false" ht="12.75" hidden="true" customHeight="false" outlineLevel="0" collapsed="false">
      <c r="A237" s="160"/>
      <c r="B237" s="174"/>
      <c r="C237" s="2"/>
      <c r="D237" s="2"/>
      <c r="E237" s="2"/>
      <c r="F237" s="2"/>
      <c r="G237" s="2"/>
      <c r="H237" s="2"/>
      <c r="I237" s="2"/>
      <c r="J237" s="3"/>
      <c r="K237" s="2"/>
      <c r="L237" s="179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119"/>
      <c r="AJ237" s="24"/>
      <c r="AL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F237" s="24"/>
      <c r="BH237" s="24"/>
      <c r="BJ237" s="24"/>
      <c r="BM237" s="24"/>
      <c r="BO237" s="24"/>
      <c r="BP237" s="24"/>
      <c r="BQ237" s="24"/>
      <c r="BR237" s="24"/>
      <c r="BS237" s="24"/>
      <c r="BU237" s="24"/>
      <c r="BV237" s="24"/>
      <c r="BW237" s="24"/>
      <c r="BX237" s="24"/>
      <c r="BY237" s="24"/>
      <c r="BZ237" s="24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customFormat="false" ht="12.75" hidden="true" customHeight="false" outlineLevel="0" collapsed="false">
      <c r="A238" s="160"/>
      <c r="B238" s="174"/>
      <c r="C238" s="2"/>
      <c r="D238" s="2"/>
      <c r="E238" s="2"/>
      <c r="F238" s="2"/>
      <c r="G238" s="2"/>
      <c r="H238" s="2"/>
      <c r="I238" s="2"/>
      <c r="J238" s="3"/>
      <c r="K238" s="2"/>
      <c r="L238" s="179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119"/>
      <c r="AJ238" s="24"/>
      <c r="AL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F238" s="24"/>
      <c r="BH238" s="24"/>
      <c r="BJ238" s="24"/>
      <c r="BM238" s="24"/>
      <c r="BO238" s="24"/>
      <c r="BP238" s="24"/>
      <c r="BQ238" s="24"/>
      <c r="BR238" s="24"/>
      <c r="BS238" s="24"/>
      <c r="BU238" s="24"/>
      <c r="BV238" s="24"/>
      <c r="BW238" s="24"/>
      <c r="BX238" s="24"/>
      <c r="BY238" s="24"/>
      <c r="BZ238" s="24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customFormat="false" ht="12.75" hidden="true" customHeight="false" outlineLevel="0" collapsed="false">
      <c r="A239" s="160"/>
      <c r="B239" s="174"/>
      <c r="C239" s="2"/>
      <c r="D239" s="2"/>
      <c r="E239" s="2"/>
      <c r="F239" s="2"/>
      <c r="G239" s="2"/>
      <c r="H239" s="2"/>
      <c r="I239" s="2"/>
      <c r="J239" s="3"/>
      <c r="K239" s="2"/>
      <c r="L239" s="179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119"/>
      <c r="AJ239" s="24"/>
      <c r="AL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F239" s="24"/>
      <c r="BH239" s="24"/>
      <c r="BJ239" s="24"/>
      <c r="BM239" s="24"/>
      <c r="BO239" s="24"/>
      <c r="BP239" s="24"/>
      <c r="BQ239" s="24"/>
      <c r="BR239" s="24"/>
      <c r="BS239" s="24"/>
      <c r="BU239" s="24"/>
      <c r="BV239" s="24"/>
      <c r="BW239" s="24"/>
      <c r="BX239" s="24"/>
      <c r="BY239" s="24"/>
      <c r="BZ239" s="24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customFormat="false" ht="12.75" hidden="true" customHeight="false" outlineLevel="0" collapsed="false">
      <c r="A240" s="160"/>
      <c r="B240" s="174"/>
      <c r="C240" s="2"/>
      <c r="D240" s="2"/>
      <c r="E240" s="2"/>
      <c r="F240" s="2"/>
      <c r="G240" s="2"/>
      <c r="H240" s="2"/>
      <c r="I240" s="2"/>
      <c r="J240" s="3"/>
      <c r="K240" s="2"/>
      <c r="L240" s="179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119"/>
      <c r="AJ240" s="24"/>
      <c r="AL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F240" s="24"/>
      <c r="BH240" s="24"/>
      <c r="BJ240" s="24"/>
      <c r="BM240" s="24"/>
      <c r="BO240" s="24"/>
      <c r="BP240" s="24"/>
      <c r="BQ240" s="24"/>
      <c r="BR240" s="24"/>
      <c r="BS240" s="24"/>
      <c r="BU240" s="24"/>
      <c r="BV240" s="24"/>
      <c r="BW240" s="24"/>
      <c r="BX240" s="24"/>
      <c r="BY240" s="24"/>
      <c r="BZ240" s="24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customFormat="false" ht="12.75" hidden="true" customHeight="false" outlineLevel="0" collapsed="false">
      <c r="A241" s="160" t="s">
        <v>292</v>
      </c>
      <c r="B241" s="174"/>
      <c r="C241" s="2"/>
      <c r="D241" s="2"/>
      <c r="E241" s="2"/>
      <c r="F241" s="2"/>
      <c r="G241" s="2"/>
      <c r="H241" s="2"/>
      <c r="I241" s="2"/>
      <c r="J241" s="3"/>
      <c r="K241" s="2"/>
      <c r="L241" s="179" t="s">
        <v>151</v>
      </c>
      <c r="M241" s="24"/>
      <c r="N241" s="24" t="n">
        <v>0</v>
      </c>
      <c r="O241" s="24"/>
      <c r="P241" s="24" t="n">
        <f aca="false">21557+23365.91</f>
        <v>44922.91</v>
      </c>
      <c r="Q241" s="24"/>
      <c r="R241" s="24" t="n">
        <v>-6078</v>
      </c>
      <c r="S241" s="24"/>
      <c r="T241" s="24"/>
      <c r="U241" s="24"/>
      <c r="V241" s="24"/>
      <c r="W241" s="24"/>
      <c r="X241" s="24"/>
      <c r="Y241" s="24"/>
      <c r="Z241" s="24" t="n">
        <v>-21556.4</v>
      </c>
      <c r="AA241" s="24"/>
      <c r="AB241" s="24" t="n">
        <f aca="false">43113+23365.91</f>
        <v>66478.91</v>
      </c>
      <c r="AC241" s="24"/>
      <c r="AD241" s="24" t="n">
        <v>-51000</v>
      </c>
      <c r="AE241" s="24"/>
      <c r="AF241" s="24"/>
      <c r="AG241" s="24"/>
      <c r="AH241" s="24"/>
      <c r="AI241" s="119"/>
      <c r="AJ241" s="24"/>
      <c r="AL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F241" s="24"/>
      <c r="BH241" s="24"/>
      <c r="BJ241" s="24"/>
      <c r="BM241" s="24"/>
      <c r="BO241" s="24"/>
      <c r="BP241" s="24"/>
      <c r="BQ241" s="24" t="n">
        <f aca="false">SUM(T241:BM241)</f>
        <v>-6077.49</v>
      </c>
      <c r="BR241" s="24"/>
      <c r="BS241" s="24" t="n">
        <v>0</v>
      </c>
      <c r="BU241" s="110" t="n">
        <f aca="false">IF(+R241-BQ241+BS241&gt;0,R241-BQ241+BS241,0)</f>
        <v>0</v>
      </c>
      <c r="BV241" s="24"/>
      <c r="BW241" s="24" t="n">
        <f aca="false">+BQ241+BU241</f>
        <v>-6077.49</v>
      </c>
      <c r="BX241" s="24"/>
      <c r="BY241" s="24" t="n">
        <v>0</v>
      </c>
      <c r="BZ241" s="24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customFormat="false" ht="12.75" hidden="true" customHeight="false" outlineLevel="0" collapsed="false">
      <c r="A242" s="160"/>
      <c r="B242" s="174"/>
      <c r="C242" s="2"/>
      <c r="D242" s="2"/>
      <c r="E242" s="2"/>
      <c r="F242" s="2"/>
      <c r="G242" s="2"/>
      <c r="H242" s="2"/>
      <c r="I242" s="2"/>
      <c r="J242" s="3"/>
      <c r="K242" s="2"/>
      <c r="L242" s="179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119"/>
      <c r="AJ242" s="24"/>
      <c r="AL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F242" s="24"/>
      <c r="BH242" s="24"/>
      <c r="BJ242" s="24"/>
      <c r="BM242" s="24"/>
      <c r="BO242" s="24"/>
      <c r="BP242" s="24"/>
      <c r="BQ242" s="24"/>
      <c r="BR242" s="24"/>
      <c r="BS242" s="24"/>
      <c r="BU242" s="24"/>
      <c r="BV242" s="24"/>
      <c r="BW242" s="24"/>
      <c r="BX242" s="24"/>
      <c r="BY242" s="24"/>
      <c r="BZ242" s="24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customFormat="false" ht="12.75" hidden="true" customHeight="false" outlineLevel="0" collapsed="false">
      <c r="A243" s="160" t="s">
        <v>293</v>
      </c>
      <c r="B243" s="174"/>
      <c r="C243" s="2"/>
      <c r="D243" s="2"/>
      <c r="E243" s="2"/>
      <c r="F243" s="2"/>
      <c r="G243" s="2"/>
      <c r="H243" s="2"/>
      <c r="I243" s="2"/>
      <c r="J243" s="3"/>
      <c r="K243" s="2"/>
      <c r="L243" s="179"/>
      <c r="M243" s="24"/>
      <c r="N243" s="24"/>
      <c r="O243" s="24"/>
      <c r="P243" s="24"/>
      <c r="Q243" s="24"/>
      <c r="R243" s="24" t="n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 t="n">
        <v>0</v>
      </c>
      <c r="AC243" s="24"/>
      <c r="AD243" s="24" t="n">
        <v>100</v>
      </c>
      <c r="AE243" s="24"/>
      <c r="AF243" s="24"/>
      <c r="AG243" s="24"/>
      <c r="AH243" s="24"/>
      <c r="AI243" s="119"/>
      <c r="AJ243" s="24" t="n">
        <f aca="false">220+59</f>
        <v>279</v>
      </c>
      <c r="AL243" s="24" t="n">
        <v>10</v>
      </c>
      <c r="AN243" s="24"/>
      <c r="AO243" s="24"/>
      <c r="AP243" s="24" t="n">
        <v>800</v>
      </c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 t="n">
        <v>100</v>
      </c>
      <c r="BC243" s="24"/>
      <c r="BD243" s="24"/>
      <c r="BF243" s="24"/>
      <c r="BH243" s="24"/>
      <c r="BJ243" s="24"/>
      <c r="BM243" s="24"/>
      <c r="BO243" s="24"/>
      <c r="BP243" s="24"/>
      <c r="BQ243" s="24" t="n">
        <f aca="false">SUM(T243:BM243)</f>
        <v>1289</v>
      </c>
      <c r="BR243" s="24"/>
      <c r="BS243" s="24" t="n">
        <v>0</v>
      </c>
      <c r="BU243" s="110" t="n">
        <f aca="false">IF(+R243-BQ243+BS243&gt;0,R243-BQ243+BS243,0)</f>
        <v>0</v>
      </c>
      <c r="BV243" s="24"/>
      <c r="BW243" s="24" t="n">
        <f aca="false">+BQ243+BU243</f>
        <v>1289</v>
      </c>
      <c r="BX243" s="24"/>
      <c r="BZ243" s="24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2.75" hidden="true" customHeight="false" outlineLevel="0" collapsed="false">
      <c r="A244" s="177" t="s">
        <v>294</v>
      </c>
      <c r="B244" s="160"/>
      <c r="C244" s="2"/>
      <c r="D244" s="2"/>
      <c r="E244" s="2"/>
      <c r="F244" s="2"/>
      <c r="G244" s="2"/>
      <c r="H244" s="2"/>
      <c r="I244" s="2"/>
      <c r="J244" s="3" t="s">
        <v>141</v>
      </c>
      <c r="K244" s="2"/>
      <c r="L244" s="179" t="s">
        <v>151</v>
      </c>
      <c r="M244" s="24"/>
      <c r="N244" s="24" t="n">
        <v>0</v>
      </c>
      <c r="O244" s="24"/>
      <c r="P244" s="24" t="n">
        <v>0</v>
      </c>
      <c r="Q244" s="24"/>
      <c r="R244" s="24" t="n">
        <v>0</v>
      </c>
      <c r="S244" s="24"/>
      <c r="T244" s="24" t="n">
        <v>0</v>
      </c>
      <c r="U244" s="24"/>
      <c r="V244" s="24" t="n">
        <v>0</v>
      </c>
      <c r="W244" s="24"/>
      <c r="X244" s="24" t="n">
        <v>0</v>
      </c>
      <c r="Y244" s="24"/>
      <c r="Z244" s="24" t="n">
        <v>0</v>
      </c>
      <c r="AA244" s="24"/>
      <c r="AB244" s="24" t="n">
        <v>0</v>
      </c>
      <c r="AC244" s="24"/>
      <c r="AD244" s="24" t="n">
        <v>0</v>
      </c>
      <c r="AE244" s="24"/>
      <c r="AF244" s="24" t="n">
        <v>0</v>
      </c>
      <c r="AG244" s="24"/>
      <c r="AH244" s="24" t="n">
        <v>0</v>
      </c>
      <c r="AI244" s="119"/>
      <c r="AJ244" s="24" t="n">
        <v>0</v>
      </c>
      <c r="AL244" s="24" t="n">
        <v>0</v>
      </c>
      <c r="AN244" s="24" t="n">
        <v>0</v>
      </c>
      <c r="AO244" s="24"/>
      <c r="AP244" s="24" t="n">
        <v>0</v>
      </c>
      <c r="AQ244" s="24"/>
      <c r="AR244" s="24" t="n">
        <v>0</v>
      </c>
      <c r="AS244" s="24"/>
      <c r="AT244" s="24" t="n">
        <v>0</v>
      </c>
      <c r="AU244" s="24"/>
      <c r="AV244" s="24" t="n">
        <v>0</v>
      </c>
      <c r="AW244" s="24"/>
      <c r="AX244" s="24" t="n">
        <v>0</v>
      </c>
      <c r="AY244" s="24"/>
      <c r="AZ244" s="24" t="n">
        <v>0</v>
      </c>
      <c r="BA244" s="24"/>
      <c r="BB244" s="24" t="n">
        <v>80000</v>
      </c>
      <c r="BC244" s="24"/>
      <c r="BD244" s="24" t="n">
        <v>0</v>
      </c>
      <c r="BF244" s="24" t="n">
        <v>0</v>
      </c>
      <c r="BH244" s="24" t="n">
        <v>0</v>
      </c>
      <c r="BJ244" s="24" t="n">
        <v>0</v>
      </c>
      <c r="BM244" s="24" t="n">
        <v>0</v>
      </c>
      <c r="BO244" s="24" t="n">
        <v>0</v>
      </c>
      <c r="BP244" s="24"/>
      <c r="BQ244" s="24" t="n">
        <f aca="false">SUM(T244:BM244)</f>
        <v>80000</v>
      </c>
      <c r="BR244" s="24"/>
      <c r="BS244" s="24" t="n">
        <v>0</v>
      </c>
      <c r="BU244" s="110" t="n">
        <f aca="false">IF(+R244-BQ244+BS244&gt;0,R244-BQ244+BS244,0)</f>
        <v>0</v>
      </c>
      <c r="BV244" s="24"/>
      <c r="BW244" s="24" t="n">
        <f aca="false">+BQ244+BU244</f>
        <v>80000</v>
      </c>
      <c r="BX244" s="24"/>
      <c r="BZ244" s="24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customFormat="false" ht="12.75" hidden="true" customHeight="false" outlineLevel="0" collapsed="false">
      <c r="A245" s="160" t="s">
        <v>295</v>
      </c>
      <c r="B245" s="174"/>
      <c r="C245" s="2"/>
      <c r="D245" s="2"/>
      <c r="E245" s="2"/>
      <c r="F245" s="2"/>
      <c r="G245" s="2"/>
      <c r="H245" s="2"/>
      <c r="I245" s="2"/>
      <c r="J245" s="3"/>
      <c r="K245" s="2"/>
      <c r="L245" s="179"/>
      <c r="M245" s="24"/>
      <c r="N245" s="24"/>
      <c r="O245" s="24"/>
      <c r="P245" s="24"/>
      <c r="Q245" s="24"/>
      <c r="R245" s="24" t="n">
        <v>-56499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 t="n">
        <v>-56500</v>
      </c>
      <c r="AC245" s="24"/>
      <c r="AD245" s="24" t="n">
        <f aca="false">1-35</f>
        <v>-34</v>
      </c>
      <c r="AE245" s="24"/>
      <c r="AF245" s="24" t="n">
        <v>-69954</v>
      </c>
      <c r="AG245" s="24"/>
      <c r="AH245" s="24" t="n">
        <v>-22011</v>
      </c>
      <c r="AI245" s="119"/>
      <c r="AJ245" s="24" t="n">
        <f aca="false">-861-98</f>
        <v>-959</v>
      </c>
      <c r="AL245" s="24" t="n">
        <v>-3</v>
      </c>
      <c r="AN245" s="24" t="n">
        <f aca="false">52264-47</f>
        <v>52217</v>
      </c>
      <c r="AO245" s="24"/>
      <c r="AP245" s="24" t="n">
        <f aca="false">-233-52264</f>
        <v>-52497</v>
      </c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F245" s="24"/>
      <c r="BH245" s="24"/>
      <c r="BJ245" s="24"/>
      <c r="BM245" s="24"/>
      <c r="BO245" s="24"/>
      <c r="BP245" s="24"/>
      <c r="BQ245" s="24" t="n">
        <f aca="false">SUM(T245:BM245)</f>
        <v>-149741</v>
      </c>
      <c r="BR245" s="24"/>
      <c r="BS245" s="24"/>
      <c r="BU245" s="110" t="n">
        <v>0</v>
      </c>
      <c r="BV245" s="24"/>
      <c r="BW245" s="24" t="n">
        <f aca="false">+BQ245+BU245</f>
        <v>-149741</v>
      </c>
      <c r="BX245" s="24"/>
      <c r="BZ245" s="24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customFormat="false" ht="12.75" hidden="true" customHeight="false" outlineLevel="0" collapsed="false">
      <c r="A246" s="160"/>
      <c r="B246" s="174"/>
      <c r="C246" s="2"/>
      <c r="D246" s="2"/>
      <c r="E246" s="2"/>
      <c r="F246" s="2"/>
      <c r="G246" s="2"/>
      <c r="H246" s="2"/>
      <c r="I246" s="2"/>
      <c r="J246" s="3"/>
      <c r="K246" s="2"/>
      <c r="L246" s="179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119"/>
      <c r="AJ246" s="24"/>
      <c r="AL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F246" s="24"/>
      <c r="BH246" s="24"/>
      <c r="BJ246" s="24"/>
      <c r="BM246" s="24"/>
      <c r="BO246" s="24"/>
      <c r="BP246" s="24"/>
      <c r="BQ246" s="24"/>
      <c r="BR246" s="24"/>
      <c r="BS246" s="24"/>
      <c r="BU246" s="24"/>
      <c r="BV246" s="24"/>
      <c r="BW246" s="24"/>
      <c r="BX246" s="24"/>
      <c r="BY246" s="24"/>
      <c r="BZ246" s="24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customFormat="false" ht="12.75" hidden="true" customHeight="false" outlineLevel="0" collapsed="false">
      <c r="A247" s="160" t="s">
        <v>296</v>
      </c>
      <c r="B247" s="174"/>
      <c r="C247" s="2"/>
      <c r="D247" s="2"/>
      <c r="E247" s="2"/>
      <c r="F247" s="2"/>
      <c r="G247" s="2"/>
      <c r="H247" s="2"/>
      <c r="I247" s="2"/>
      <c r="J247" s="3"/>
      <c r="K247" s="2"/>
      <c r="L247" s="179"/>
      <c r="M247" s="24"/>
      <c r="N247" s="24"/>
      <c r="O247" s="24"/>
      <c r="P247" s="24"/>
      <c r="Q247" s="24"/>
      <c r="R247" s="24" t="n">
        <f aca="false">R179+R241+R243+R245</f>
        <v>239612890.75</v>
      </c>
      <c r="S247" s="24" t="n">
        <f aca="false">S179+S241+S243+S245</f>
        <v>0</v>
      </c>
      <c r="T247" s="24" t="n">
        <f aca="false">T179+T241+T243+T245</f>
        <v>7140000</v>
      </c>
      <c r="U247" s="24" t="n">
        <f aca="false">U179+U241+U243+U245</f>
        <v>0</v>
      </c>
      <c r="V247" s="24" t="n">
        <f aca="false">V179+V241+V243+V245</f>
        <v>1297646</v>
      </c>
      <c r="W247" s="24" t="n">
        <f aca="false">W179+W241+W243+W245</f>
        <v>0</v>
      </c>
      <c r="X247" s="24" t="n">
        <f aca="false">X179+X241+X243+X245</f>
        <v>33103293</v>
      </c>
      <c r="Y247" s="24" t="n">
        <f aca="false">Y179+Y241+Y243+Y245</f>
        <v>0</v>
      </c>
      <c r="Z247" s="24" t="n">
        <f aca="false">Z179+Z241+Z243+Z245</f>
        <v>260702.6</v>
      </c>
      <c r="AA247" s="24" t="n">
        <f aca="false">AA179+AA241+AA243+AA245</f>
        <v>0</v>
      </c>
      <c r="AB247" s="24" t="n">
        <f aca="false">AB179+AB241+AB243+AB245</f>
        <v>1731995.91</v>
      </c>
      <c r="AC247" s="24" t="n">
        <f aca="false">AC179+AC241+AC243+AC245</f>
        <v>0</v>
      </c>
      <c r="AD247" s="24" t="n">
        <f aca="false">AD179+AD241+AD243+AD245</f>
        <v>18794262.83</v>
      </c>
      <c r="AE247" s="24"/>
      <c r="AF247" s="24" t="n">
        <f aca="false">AF179+AF241+AF243+AF245</f>
        <v>8167701.14085417</v>
      </c>
      <c r="AG247" s="24"/>
      <c r="AH247" s="24" t="n">
        <f aca="false">AH179+AH241+AH243+AH245</f>
        <v>8849219.93746018</v>
      </c>
      <c r="AI247" s="119"/>
      <c r="AJ247" s="24" t="n">
        <f aca="false">AJ179+AJ241+AJ243+AJ245</f>
        <v>6988530.12538871</v>
      </c>
      <c r="AL247" s="24" t="n">
        <f aca="false">AL179+AL241+AL243+AL245</f>
        <v>7789238.15570277</v>
      </c>
      <c r="AN247" s="24" t="n">
        <f aca="false">AN179+AN241+AN243+AN245</f>
        <v>11652992.18</v>
      </c>
      <c r="AO247" s="24" t="n">
        <f aca="false">AO179+AO241+AO243+AO245</f>
        <v>0</v>
      </c>
      <c r="AP247" s="24" t="n">
        <f aca="false">AP179+AP241+AP243+AP245</f>
        <v>17627423.913877</v>
      </c>
      <c r="AQ247" s="24" t="n">
        <f aca="false">AQ179+AQ241+AQ243+AQ245</f>
        <v>0</v>
      </c>
      <c r="AR247" s="24" t="n">
        <f aca="false">AR179+AR241+AR243+AR245</f>
        <v>39304333.6952953</v>
      </c>
      <c r="AS247" s="24" t="n">
        <f aca="false">AS179+AS241+AS243+AS245</f>
        <v>0</v>
      </c>
      <c r="AT247" s="24" t="n">
        <f aca="false">AT179+AT241+AT243+AT245</f>
        <v>2943898.25590451</v>
      </c>
      <c r="AU247" s="24" t="n">
        <f aca="false">AU179+AU241+AU243+AU245</f>
        <v>0</v>
      </c>
      <c r="AV247" s="24" t="n">
        <f aca="false">AV179+AV241+AV243+AV245</f>
        <v>29327061.2587712</v>
      </c>
      <c r="AW247" s="24" t="n">
        <f aca="false">AW179+AW241+AW243+AW245</f>
        <v>0</v>
      </c>
      <c r="AX247" s="24" t="n">
        <f aca="false">AX179+AX241+AX243+AX245</f>
        <v>23466763.2844909</v>
      </c>
      <c r="AY247" s="24" t="n">
        <f aca="false">AY179+AY241+AY243+AY245</f>
        <v>0</v>
      </c>
      <c r="AZ247" s="24" t="n">
        <f aca="false">AZ179+AZ241+AZ243+AZ245</f>
        <v>22126233.53</v>
      </c>
      <c r="BA247" s="24" t="n">
        <f aca="false">BA179+BA241+BA243+BA245</f>
        <v>0</v>
      </c>
      <c r="BB247" s="24" t="n">
        <f aca="false">BB179+BB241+BB243+BB245+BB244</f>
        <v>8493040.51094722</v>
      </c>
      <c r="BC247" s="24"/>
      <c r="BD247" s="24" t="n">
        <f aca="false">BD179+BD241+BD243+BD245</f>
        <v>11834996.67</v>
      </c>
      <c r="BF247" s="24" t="n">
        <f aca="false">BF179+BF241+BF243+BF245</f>
        <v>1350600.65</v>
      </c>
      <c r="BH247" s="24" t="n">
        <f aca="false">BH179+BH241+BH243+BH245</f>
        <v>401728.89</v>
      </c>
      <c r="BJ247" s="24" t="n">
        <f aca="false">BJ179+BJ241+BJ243+BJ245</f>
        <v>5162294</v>
      </c>
      <c r="BM247" s="24" t="n">
        <f aca="false">BM179+BM241+BM243+BM245</f>
        <v>245540</v>
      </c>
      <c r="BO247" s="24" t="n">
        <f aca="false">BO179+BO241+BO243+BO245</f>
        <v>817894</v>
      </c>
      <c r="BP247" s="24"/>
      <c r="BQ247" s="24" t="n">
        <f aca="false">BQ179+BQ241+BQ243+BQ245+BQ244</f>
        <v>268877390.538692</v>
      </c>
      <c r="BR247" s="24"/>
      <c r="BS247" s="24" t="n">
        <f aca="false">BS179+BS241+BS243+BS245+BS244</f>
        <v>29487334</v>
      </c>
      <c r="BU247" s="24" t="n">
        <f aca="false">BU179+BU241+BU243+BU245+BU244</f>
        <v>-23579.6399999999</v>
      </c>
      <c r="BV247" s="24" t="n">
        <f aca="false">BV179+BV241+BV243+BV245+BV244</f>
        <v>2030320</v>
      </c>
      <c r="BW247" s="24" t="n">
        <f aca="false">BW179+BW241+BW243+BW245+BW244</f>
        <v>268853807.898692</v>
      </c>
      <c r="BX247" s="24" t="n">
        <f aca="false">BX179+BX241+BX243+BX245+BX244</f>
        <v>2030320</v>
      </c>
      <c r="BY247" s="24" t="n">
        <f aca="false">BY179+BY241+BY243+BY245+BY244</f>
        <v>-29252869.638692</v>
      </c>
      <c r="BZ247" s="24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12.75" hidden="true" customHeight="false" outlineLevel="0" collapsed="false">
      <c r="A248" s="160"/>
      <c r="B248" s="174"/>
      <c r="C248" s="2"/>
      <c r="D248" s="2"/>
      <c r="E248" s="2"/>
      <c r="F248" s="2"/>
      <c r="G248" s="2"/>
      <c r="H248" s="2"/>
      <c r="I248" s="2"/>
      <c r="J248" s="3"/>
      <c r="K248" s="2"/>
      <c r="L248" s="179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10"/>
      <c r="AI248" s="119"/>
      <c r="AJ248" s="24"/>
      <c r="AL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F248" s="24"/>
      <c r="BH248" s="24"/>
      <c r="BJ248" s="24"/>
      <c r="BM248" s="24"/>
      <c r="BO248" s="24"/>
      <c r="BP248" s="24"/>
      <c r="BQ248" s="24"/>
      <c r="BR248" s="24"/>
      <c r="BS248" s="24"/>
      <c r="BU248" s="24"/>
      <c r="BV248" s="24"/>
      <c r="BW248" s="24"/>
      <c r="BX248" s="24"/>
      <c r="BY248" s="24"/>
      <c r="BZ248" s="24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</row>
    <row r="249" customFormat="false" ht="12.75" hidden="true" customHeight="false" outlineLevel="0" collapsed="false">
      <c r="E249" s="119"/>
      <c r="G249" s="119"/>
      <c r="I249" s="119"/>
      <c r="L249" s="163"/>
      <c r="M249" s="110"/>
      <c r="O249" s="110"/>
      <c r="Q249" s="110"/>
      <c r="S249" s="110"/>
      <c r="T249" s="110"/>
      <c r="U249" s="110"/>
      <c r="V249" s="110"/>
      <c r="X249" s="110"/>
      <c r="Z249" s="110"/>
      <c r="AB249" s="110"/>
      <c r="AD249" s="110"/>
      <c r="AH249" s="24"/>
      <c r="AI249" s="119"/>
      <c r="AJ249" s="24"/>
      <c r="BJ249" s="110"/>
      <c r="BM249" s="110"/>
      <c r="BO249" s="110"/>
      <c r="BP249" s="110"/>
      <c r="BS249" s="110"/>
      <c r="BZ249" s="110"/>
    </row>
    <row r="250" customFormat="false" ht="15" hidden="true" customHeight="false" outlineLevel="0" collapsed="false">
      <c r="A250" s="210" t="s">
        <v>90</v>
      </c>
      <c r="B250" s="126"/>
      <c r="C250" s="126"/>
      <c r="D250" s="126"/>
      <c r="E250" s="126"/>
      <c r="F250" s="126"/>
      <c r="G250" s="126"/>
      <c r="H250" s="126"/>
      <c r="I250" s="126"/>
      <c r="J250" s="211"/>
      <c r="K250" s="126"/>
      <c r="L250" s="212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213"/>
      <c r="AA250" s="213"/>
      <c r="AB250" s="213"/>
      <c r="AC250" s="213"/>
      <c r="AD250" s="213"/>
      <c r="AE250" s="213"/>
      <c r="AF250" s="213"/>
      <c r="AG250" s="213"/>
      <c r="AH250" s="213"/>
      <c r="AI250" s="119"/>
      <c r="AJ250" s="213"/>
      <c r="AL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F250" s="213"/>
      <c r="BH250" s="213"/>
      <c r="BJ250" s="213"/>
      <c r="BM250" s="213"/>
      <c r="BO250" s="213"/>
      <c r="BP250" s="213"/>
      <c r="BQ250" s="213"/>
      <c r="BR250" s="213"/>
      <c r="BS250" s="213"/>
      <c r="BU250" s="213"/>
      <c r="BV250" s="213"/>
      <c r="BW250" s="189"/>
      <c r="BX250" s="213"/>
      <c r="BY250" s="213"/>
      <c r="BZ250" s="213"/>
    </row>
    <row r="251" customFormat="false" ht="12.75" hidden="true" customHeight="false" outlineLevel="0" collapsed="false">
      <c r="A251" s="160" t="s">
        <v>270</v>
      </c>
      <c r="E251" s="119"/>
      <c r="G251" s="119"/>
      <c r="I251" s="119"/>
      <c r="L251" s="163" t="s">
        <v>258</v>
      </c>
      <c r="M251" s="110"/>
      <c r="N251" s="110" t="n">
        <v>0</v>
      </c>
      <c r="O251" s="110"/>
      <c r="P251" s="110" t="n">
        <v>220000</v>
      </c>
      <c r="Q251" s="110"/>
      <c r="R251" s="24"/>
      <c r="S251" s="110"/>
      <c r="T251" s="110"/>
      <c r="U251" s="110"/>
      <c r="V251" s="110"/>
      <c r="X251" s="110" t="n">
        <f aca="false">982.5+18746.43</f>
        <v>19728.93</v>
      </c>
      <c r="Z251" s="110" t="n">
        <v>0</v>
      </c>
      <c r="AB251" s="110"/>
      <c r="AD251" s="110" t="n">
        <v>12698.23</v>
      </c>
      <c r="AH251" s="110" t="n">
        <f aca="false">5134.27+591.18</f>
        <v>5725.45</v>
      </c>
      <c r="AI251" s="119"/>
      <c r="AL251" s="110" t="n">
        <v>591.45</v>
      </c>
      <c r="AR251" s="110" t="n">
        <v>1242.3</v>
      </c>
      <c r="BJ251" s="110"/>
      <c r="BM251" s="110"/>
      <c r="BO251" s="110"/>
      <c r="BP251" s="110"/>
      <c r="BQ251" s="24" t="n">
        <f aca="false">SUM(T251:BM251)</f>
        <v>39986.36</v>
      </c>
      <c r="BR251" s="24"/>
      <c r="BS251" s="110"/>
      <c r="BU251" s="110" t="n">
        <f aca="false">IF(+R251-BQ251+BS251&gt;0,R251-BQ251+BS251,0)</f>
        <v>0</v>
      </c>
      <c r="BW251" s="24" t="n">
        <f aca="false">+BU251+BQ251</f>
        <v>39986.36</v>
      </c>
      <c r="BY251" s="24" t="n">
        <v>0</v>
      </c>
      <c r="BZ251" s="110"/>
    </row>
    <row r="252" customFormat="false" ht="12.75" hidden="true" customHeight="false" outlineLevel="0" collapsed="false">
      <c r="A252" s="160" t="s">
        <v>271</v>
      </c>
      <c r="E252" s="119"/>
      <c r="G252" s="119"/>
      <c r="I252" s="119"/>
      <c r="L252" s="163" t="s">
        <v>258</v>
      </c>
      <c r="M252" s="110"/>
      <c r="N252" s="110" t="n">
        <v>0</v>
      </c>
      <c r="O252" s="110"/>
      <c r="P252" s="110" t="n">
        <v>30000</v>
      </c>
      <c r="Q252" s="110"/>
      <c r="R252" s="24"/>
      <c r="S252" s="110"/>
      <c r="T252" s="110"/>
      <c r="U252" s="110"/>
      <c r="V252" s="110" t="n">
        <v>1342.96</v>
      </c>
      <c r="X252" s="110" t="n">
        <f aca="false">24234.66+4681.29</f>
        <v>28915.95</v>
      </c>
      <c r="Z252" s="110" t="n">
        <f aca="false">18740.38+287.37+30.79+269.69</f>
        <v>19328.23</v>
      </c>
      <c r="AB252" s="110" t="n">
        <v>567.63</v>
      </c>
      <c r="AD252" s="110" t="n">
        <f aca="false">558.5+6000+11878.22+34085.81+15896.29</f>
        <v>68418.82</v>
      </c>
      <c r="AI252" s="119"/>
      <c r="BJ252" s="110"/>
      <c r="BM252" s="110"/>
      <c r="BO252" s="110"/>
      <c r="BP252" s="110"/>
      <c r="BQ252" s="24" t="n">
        <f aca="false">SUM(T252:BM252)</f>
        <v>118573.59</v>
      </c>
      <c r="BR252" s="24"/>
      <c r="BS252" s="110"/>
      <c r="BU252" s="110" t="n">
        <f aca="false">IF(+R252-BQ252+BS252&gt;0,R252-BQ252+BS252,0)</f>
        <v>0</v>
      </c>
      <c r="BW252" s="24" t="n">
        <f aca="false">+BU252+BQ252</f>
        <v>118573.59</v>
      </c>
      <c r="BY252" s="24" t="n">
        <v>0</v>
      </c>
      <c r="BZ252" s="110"/>
    </row>
    <row r="253" customFormat="false" ht="12.75" hidden="true" customHeight="false" outlineLevel="0" collapsed="false">
      <c r="A253" s="160" t="s">
        <v>278</v>
      </c>
      <c r="E253" s="119"/>
      <c r="G253" s="119"/>
      <c r="I253" s="119"/>
      <c r="L253" s="163" t="s">
        <v>258</v>
      </c>
      <c r="M253" s="110"/>
      <c r="N253" s="110" t="n">
        <v>0</v>
      </c>
      <c r="O253" s="110"/>
      <c r="P253" s="110" t="n">
        <v>35000</v>
      </c>
      <c r="Q253" s="110"/>
      <c r="R253" s="24"/>
      <c r="S253" s="110"/>
      <c r="T253" s="110" t="n">
        <v>52133</v>
      </c>
      <c r="U253" s="110"/>
      <c r="V253" s="110"/>
      <c r="X253" s="110"/>
      <c r="Z253" s="110"/>
      <c r="AB253" s="110" t="n">
        <v>1331.32</v>
      </c>
      <c r="AD253" s="110"/>
      <c r="AI253" s="119"/>
      <c r="BJ253" s="110"/>
      <c r="BM253" s="110"/>
      <c r="BO253" s="110"/>
      <c r="BP253" s="110"/>
      <c r="BQ253" s="24" t="n">
        <f aca="false">SUM(T253:BM253)</f>
        <v>53464.32</v>
      </c>
      <c r="BR253" s="24"/>
      <c r="BS253" s="110"/>
      <c r="BU253" s="110" t="n">
        <f aca="false">IF(+R253-BQ253+BS253&gt;0,R253-BQ253+BS253,0)</f>
        <v>0</v>
      </c>
      <c r="BW253" s="24" t="n">
        <f aca="false">+BU253+BQ253</f>
        <v>53464.32</v>
      </c>
      <c r="BY253" s="24" t="n">
        <v>0</v>
      </c>
      <c r="BZ253" s="110"/>
    </row>
    <row r="254" customFormat="false" ht="12.75" hidden="true" customHeight="false" outlineLevel="0" collapsed="false">
      <c r="A254" s="174" t="s">
        <v>297</v>
      </c>
      <c r="E254" s="119"/>
      <c r="G254" s="119"/>
      <c r="I254" s="119"/>
      <c r="L254" s="163" t="s">
        <v>258</v>
      </c>
      <c r="M254" s="110"/>
      <c r="N254" s="110" t="n">
        <v>0</v>
      </c>
      <c r="O254" s="110"/>
      <c r="P254" s="110" t="n">
        <v>20000</v>
      </c>
      <c r="Q254" s="110"/>
      <c r="R254" s="24"/>
      <c r="S254" s="110"/>
      <c r="T254" s="110" t="n">
        <v>87500</v>
      </c>
      <c r="U254" s="110"/>
      <c r="V254" s="110"/>
      <c r="X254" s="110"/>
      <c r="Z254" s="110"/>
      <c r="AB254" s="110"/>
      <c r="AD254" s="110"/>
      <c r="AI254" s="119"/>
      <c r="AX254" s="110" t="n">
        <v>15000</v>
      </c>
      <c r="BJ254" s="110"/>
      <c r="BM254" s="110"/>
      <c r="BO254" s="110"/>
      <c r="BP254" s="110"/>
      <c r="BQ254" s="24" t="n">
        <f aca="false">SUM(T254:BM254)</f>
        <v>102500</v>
      </c>
      <c r="BR254" s="24"/>
      <c r="BS254" s="110"/>
      <c r="BU254" s="110" t="n">
        <f aca="false">IF(+R254-BQ254+BS254&gt;0,R254-BQ254+BS254,0)</f>
        <v>0</v>
      </c>
      <c r="BW254" s="24" t="n">
        <f aca="false">+BU254+BQ254</f>
        <v>102500</v>
      </c>
      <c r="BY254" s="24" t="n">
        <v>0</v>
      </c>
      <c r="BZ254" s="110"/>
    </row>
    <row r="255" customFormat="false" ht="12.75" hidden="true" customHeight="false" outlineLevel="0" collapsed="false">
      <c r="E255" s="119"/>
      <c r="G255" s="119"/>
      <c r="I255" s="119"/>
      <c r="J255" s="119"/>
      <c r="L255" s="119"/>
      <c r="N255" s="119"/>
      <c r="P255" s="119"/>
      <c r="R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L255" s="119"/>
      <c r="AN255" s="119"/>
      <c r="AO255" s="119"/>
      <c r="AP255" s="119"/>
      <c r="AQ255" s="119"/>
      <c r="AR255" s="119"/>
      <c r="AS255" s="119"/>
      <c r="AT255" s="119"/>
      <c r="AU255" s="119"/>
      <c r="AV255" s="119"/>
      <c r="AW255" s="119"/>
      <c r="AX255" s="119"/>
      <c r="AY255" s="119"/>
      <c r="AZ255" s="119"/>
      <c r="BA255" s="119"/>
      <c r="BB255" s="119"/>
      <c r="BC255" s="119"/>
      <c r="BD255" s="119"/>
      <c r="BF255" s="119"/>
      <c r="BH255" s="119"/>
      <c r="BJ255" s="119"/>
      <c r="BM255" s="119"/>
      <c r="BO255" s="119"/>
      <c r="BP255" s="119"/>
      <c r="BQ255" s="119"/>
      <c r="BR255" s="119"/>
      <c r="BS255" s="119"/>
      <c r="BU255" s="110" t="n">
        <f aca="false">IF(+R255-BQ255+BS255&gt;0,R255-BQ255+BS255,0)</f>
        <v>0</v>
      </c>
      <c r="BV255" s="119"/>
      <c r="BW255" s="119"/>
      <c r="BX255" s="119"/>
      <c r="BY255" s="119"/>
    </row>
    <row r="256" customFormat="false" ht="13.5" hidden="true" customHeight="false" outlineLevel="0" collapsed="false">
      <c r="A256" s="214" t="s">
        <v>298</v>
      </c>
      <c r="B256" s="184"/>
      <c r="C256" s="186"/>
      <c r="D256" s="186"/>
      <c r="E256" s="186"/>
      <c r="F256" s="186"/>
      <c r="G256" s="186"/>
      <c r="H256" s="186"/>
      <c r="I256" s="186"/>
      <c r="J256" s="187"/>
      <c r="K256" s="186"/>
      <c r="L256" s="188"/>
      <c r="M256" s="189"/>
      <c r="N256" s="215" t="n">
        <f aca="false">SUM(N251:N255)</f>
        <v>0</v>
      </c>
      <c r="O256" s="189"/>
      <c r="P256" s="215" t="n">
        <f aca="false">SUM(P251:P255)</f>
        <v>305000</v>
      </c>
      <c r="Q256" s="189"/>
      <c r="R256" s="215" t="n">
        <f aca="false">SUM(R251:R255)</f>
        <v>0</v>
      </c>
      <c r="S256" s="189"/>
      <c r="T256" s="215" t="n">
        <f aca="false">SUM(T251:T255)</f>
        <v>139633</v>
      </c>
      <c r="U256" s="189"/>
      <c r="V256" s="215" t="n">
        <f aca="false">SUM(V251:V255)</f>
        <v>1342.96</v>
      </c>
      <c r="W256" s="189"/>
      <c r="X256" s="215" t="n">
        <f aca="false">SUM(X251:X255)</f>
        <v>48644.88</v>
      </c>
      <c r="Y256" s="189"/>
      <c r="Z256" s="215" t="n">
        <f aca="false">SUM(Z251:Z255)</f>
        <v>19328.23</v>
      </c>
      <c r="AA256" s="215" t="n">
        <f aca="false">SUM(AA251:AA255)</f>
        <v>0</v>
      </c>
      <c r="AB256" s="215" t="n">
        <f aca="false">SUM(AB251:AB255)</f>
        <v>1898.95</v>
      </c>
      <c r="AC256" s="215" t="n">
        <f aca="false">SUM(AC251:AC255)</f>
        <v>0</v>
      </c>
      <c r="AD256" s="215" t="n">
        <f aca="false">SUM(AD251:AD255)</f>
        <v>81117.05</v>
      </c>
      <c r="AE256" s="215"/>
      <c r="AF256" s="215" t="n">
        <f aca="false">SUM(AF251:AF255)</f>
        <v>0</v>
      </c>
      <c r="AG256" s="215"/>
      <c r="AH256" s="215" t="n">
        <f aca="false">SUM(AH251:AH255)</f>
        <v>5725.45</v>
      </c>
      <c r="AI256" s="215"/>
      <c r="AJ256" s="215" t="n">
        <f aca="false">SUM(AJ251:AJ255)</f>
        <v>0</v>
      </c>
      <c r="AL256" s="215" t="n">
        <f aca="false">SUM(AL251:AL255)</f>
        <v>591.45</v>
      </c>
      <c r="AN256" s="215" t="n">
        <f aca="false">SUM(AN251:AN255)</f>
        <v>0</v>
      </c>
      <c r="AO256" s="215" t="n">
        <f aca="false">SUM(AO251:AO255)</f>
        <v>0</v>
      </c>
      <c r="AP256" s="215" t="n">
        <f aca="false">SUM(AP251:AP255)</f>
        <v>0</v>
      </c>
      <c r="AQ256" s="215" t="n">
        <f aca="false">SUM(AQ251:AQ255)</f>
        <v>0</v>
      </c>
      <c r="AR256" s="215" t="n">
        <f aca="false">SUM(AR251:AR255)</f>
        <v>1242.3</v>
      </c>
      <c r="AS256" s="215" t="n">
        <f aca="false">SUM(AS251:AS255)</f>
        <v>0</v>
      </c>
      <c r="AT256" s="215" t="n">
        <f aca="false">SUM(AT251:AT255)</f>
        <v>0</v>
      </c>
      <c r="AU256" s="215" t="n">
        <f aca="false">SUM(AU251:AU255)</f>
        <v>0</v>
      </c>
      <c r="AV256" s="215" t="n">
        <f aca="false">SUM(AV251:AV255)</f>
        <v>0</v>
      </c>
      <c r="AW256" s="215" t="n">
        <f aca="false">SUM(AW251:AW255)</f>
        <v>0</v>
      </c>
      <c r="AX256" s="215" t="n">
        <f aca="false">SUM(AX251:AX255)</f>
        <v>15000</v>
      </c>
      <c r="AY256" s="215" t="n">
        <f aca="false">SUM(AY251:AY255)</f>
        <v>0</v>
      </c>
      <c r="AZ256" s="215" t="n">
        <f aca="false">SUM(AZ251:AZ255)</f>
        <v>0</v>
      </c>
      <c r="BA256" s="215" t="n">
        <f aca="false">SUM(BA251:BA255)</f>
        <v>0</v>
      </c>
      <c r="BB256" s="215" t="n">
        <f aca="false">SUM(BB251:BB255)</f>
        <v>0</v>
      </c>
      <c r="BC256" s="215"/>
      <c r="BD256" s="215" t="n">
        <f aca="false">SUM(BD251:BD255)</f>
        <v>0</v>
      </c>
      <c r="BF256" s="215" t="n">
        <f aca="false">SUM(BF251:BF255)</f>
        <v>0</v>
      </c>
      <c r="BH256" s="215" t="n">
        <f aca="false">SUM(BH251:BH255)</f>
        <v>0</v>
      </c>
      <c r="BJ256" s="215" t="n">
        <f aca="false">SUM(BJ251:BJ255)</f>
        <v>0</v>
      </c>
      <c r="BM256" s="215" t="n">
        <f aca="false">SUM(BM251:BM255)</f>
        <v>0</v>
      </c>
      <c r="BO256" s="215" t="n">
        <f aca="false">SUM(BO251:BO255)</f>
        <v>0</v>
      </c>
      <c r="BP256" s="215"/>
      <c r="BQ256" s="215" t="n">
        <f aca="false">SUM(T256:BM256)</f>
        <v>314524.27</v>
      </c>
      <c r="BR256" s="215"/>
      <c r="BS256" s="215"/>
      <c r="BU256" s="215" t="n">
        <f aca="false">SUM(BU250:BU255)</f>
        <v>0</v>
      </c>
      <c r="BV256" s="189"/>
      <c r="BW256" s="215" t="n">
        <f aca="false">+BU256+BQ256</f>
        <v>314524.27</v>
      </c>
      <c r="BX256" s="189"/>
      <c r="BY256" s="215" t="n">
        <v>0</v>
      </c>
      <c r="BZ256" s="189"/>
      <c r="DX256" s="186"/>
      <c r="DY256" s="186"/>
      <c r="DZ256" s="186"/>
      <c r="EA256" s="186"/>
      <c r="EB256" s="186"/>
      <c r="EC256" s="186"/>
      <c r="ED256" s="186"/>
      <c r="EE256" s="186"/>
      <c r="EF256" s="186"/>
      <c r="EG256" s="186"/>
      <c r="EH256" s="186"/>
      <c r="EI256" s="186"/>
      <c r="EJ256" s="186"/>
      <c r="EK256" s="186"/>
      <c r="EL256" s="186"/>
      <c r="EM256" s="186"/>
      <c r="EN256" s="186"/>
      <c r="EO256" s="186"/>
      <c r="EP256" s="186"/>
      <c r="EQ256" s="186"/>
      <c r="ER256" s="186"/>
      <c r="ES256" s="186"/>
      <c r="ET256" s="186"/>
      <c r="EU256" s="186"/>
      <c r="EV256" s="186"/>
      <c r="EW256" s="186"/>
      <c r="EX256" s="186"/>
      <c r="EY256" s="186"/>
      <c r="EZ256" s="186"/>
      <c r="FA256" s="186"/>
      <c r="FB256" s="186"/>
      <c r="FC256" s="186"/>
      <c r="FD256" s="186"/>
      <c r="FE256" s="186"/>
      <c r="FF256" s="186"/>
      <c r="FG256" s="186"/>
      <c r="FH256" s="186"/>
      <c r="FI256" s="186"/>
      <c r="FJ256" s="186"/>
      <c r="FK256" s="186"/>
      <c r="FL256" s="186"/>
      <c r="FM256" s="186"/>
      <c r="FN256" s="186"/>
      <c r="FO256" s="186"/>
      <c r="FP256" s="186"/>
      <c r="FQ256" s="186"/>
      <c r="FR256" s="186"/>
      <c r="FS256" s="186"/>
      <c r="FT256" s="186"/>
      <c r="FU256" s="186"/>
      <c r="FV256" s="186"/>
      <c r="FW256" s="186"/>
      <c r="FX256" s="186"/>
      <c r="FY256" s="186"/>
      <c r="FZ256" s="186"/>
      <c r="GA256" s="186"/>
      <c r="GB256" s="186"/>
      <c r="GC256" s="186"/>
      <c r="GD256" s="186"/>
      <c r="GE256" s="186"/>
      <c r="GF256" s="186"/>
      <c r="GG256" s="186"/>
      <c r="GH256" s="186"/>
      <c r="GI256" s="186"/>
      <c r="GJ256" s="186"/>
      <c r="GK256" s="186"/>
      <c r="GL256" s="186"/>
      <c r="GM256" s="186"/>
      <c r="GN256" s="186"/>
      <c r="GO256" s="186"/>
      <c r="GP256" s="186"/>
      <c r="GQ256" s="186"/>
      <c r="GR256" s="186"/>
      <c r="GS256" s="186"/>
      <c r="GT256" s="186"/>
      <c r="GU256" s="186"/>
      <c r="GV256" s="186"/>
      <c r="GW256" s="186"/>
      <c r="GX256" s="186"/>
      <c r="GY256" s="186"/>
      <c r="GZ256" s="186"/>
      <c r="HA256" s="186"/>
      <c r="HB256" s="186"/>
      <c r="HC256" s="186"/>
      <c r="HD256" s="186"/>
      <c r="HE256" s="186"/>
      <c r="HF256" s="186"/>
      <c r="HG256" s="186"/>
      <c r="HH256" s="186"/>
      <c r="HI256" s="186"/>
      <c r="HJ256" s="186"/>
      <c r="HK256" s="186"/>
      <c r="HL256" s="186"/>
      <c r="HM256" s="186"/>
      <c r="HN256" s="186"/>
      <c r="HO256" s="186"/>
      <c r="HP256" s="186"/>
      <c r="HQ256" s="186"/>
      <c r="HR256" s="186"/>
      <c r="HS256" s="186"/>
      <c r="HT256" s="186"/>
      <c r="HU256" s="186"/>
      <c r="HV256" s="186"/>
      <c r="HW256" s="186"/>
      <c r="HX256" s="186"/>
      <c r="HY256" s="186"/>
      <c r="HZ256" s="186"/>
      <c r="IA256" s="186"/>
      <c r="IB256" s="186"/>
      <c r="IC256" s="186"/>
      <c r="ID256" s="186"/>
      <c r="IE256" s="186"/>
      <c r="IF256" s="186"/>
      <c r="IG256" s="186"/>
      <c r="IH256" s="186"/>
      <c r="II256" s="186"/>
      <c r="IJ256" s="186"/>
      <c r="IK256" s="186"/>
      <c r="IL256" s="186"/>
      <c r="IM256" s="186"/>
      <c r="IN256" s="186"/>
      <c r="IO256" s="186"/>
      <c r="IP256" s="186"/>
      <c r="IQ256" s="186"/>
      <c r="IR256" s="186"/>
      <c r="IS256" s="186"/>
      <c r="IT256" s="186"/>
      <c r="IU256" s="186"/>
      <c r="IV256" s="186"/>
      <c r="IW256" s="186"/>
    </row>
    <row r="257" customFormat="false" ht="13.5" hidden="true" customHeight="false" outlineLevel="0" collapsed="false">
      <c r="E257" s="119"/>
      <c r="G257" s="119"/>
      <c r="I257" s="119"/>
      <c r="L257" s="163"/>
      <c r="M257" s="110"/>
      <c r="O257" s="110"/>
      <c r="Q257" s="110"/>
      <c r="S257" s="110"/>
      <c r="T257" s="110"/>
      <c r="U257" s="110"/>
      <c r="V257" s="110"/>
      <c r="X257" s="110"/>
      <c r="Z257" s="110"/>
      <c r="AB257" s="110"/>
      <c r="AD257" s="110"/>
      <c r="BJ257" s="110"/>
      <c r="BM257" s="110"/>
      <c r="BO257" s="110"/>
      <c r="BP257" s="110"/>
      <c r="BS257" s="110"/>
      <c r="BW257" s="160"/>
      <c r="BZ257" s="110"/>
    </row>
    <row r="258" customFormat="false" ht="12.75" hidden="true" customHeight="false" outlineLevel="0" collapsed="false">
      <c r="E258" s="119"/>
      <c r="G258" s="119"/>
      <c r="I258" s="119"/>
      <c r="L258" s="163"/>
      <c r="M258" s="110"/>
      <c r="O258" s="110"/>
      <c r="Q258" s="110"/>
      <c r="S258" s="110"/>
      <c r="T258" s="110"/>
      <c r="U258" s="110"/>
      <c r="V258" s="110"/>
      <c r="X258" s="110"/>
      <c r="Z258" s="110"/>
      <c r="AB258" s="110"/>
      <c r="AD258" s="110"/>
      <c r="BJ258" s="110"/>
      <c r="BM258" s="110"/>
      <c r="BO258" s="110"/>
      <c r="BP258" s="110"/>
      <c r="BS258" s="110"/>
      <c r="BW258" s="24"/>
      <c r="BZ258" s="110"/>
    </row>
    <row r="259" customFormat="false" ht="12.75" hidden="true" customHeight="false" outlineLevel="0" collapsed="false">
      <c r="E259" s="119"/>
      <c r="G259" s="119"/>
      <c r="I259" s="119"/>
      <c r="L259" s="163"/>
      <c r="M259" s="110"/>
      <c r="O259" s="110"/>
      <c r="Q259" s="110"/>
      <c r="S259" s="110"/>
      <c r="T259" s="110"/>
      <c r="U259" s="110"/>
      <c r="V259" s="110"/>
      <c r="X259" s="110"/>
      <c r="Z259" s="110"/>
      <c r="AB259" s="110"/>
      <c r="AD259" s="110"/>
      <c r="BJ259" s="110"/>
      <c r="BM259" s="110"/>
      <c r="BO259" s="110"/>
      <c r="BP259" s="110"/>
      <c r="BS259" s="110"/>
      <c r="BZ259" s="110"/>
    </row>
    <row r="260" customFormat="false" ht="12.75" hidden="true" customHeight="false" outlineLevel="0" collapsed="false">
      <c r="E260" s="119"/>
      <c r="G260" s="119"/>
      <c r="I260" s="119"/>
      <c r="L260" s="163"/>
      <c r="M260" s="110"/>
      <c r="O260" s="110"/>
      <c r="Q260" s="110"/>
      <c r="S260" s="110"/>
      <c r="T260" s="110"/>
      <c r="U260" s="110"/>
      <c r="V260" s="110"/>
      <c r="X260" s="110"/>
      <c r="Z260" s="110"/>
      <c r="AB260" s="110"/>
      <c r="AD260" s="110"/>
      <c r="BJ260" s="110"/>
      <c r="BM260" s="110"/>
      <c r="BO260" s="110"/>
      <c r="BP260" s="110"/>
      <c r="BS260" s="110"/>
      <c r="BZ260" s="110"/>
    </row>
    <row r="261" customFormat="false" ht="15" hidden="true" customHeight="true" outlineLevel="0" collapsed="false">
      <c r="A261" s="210" t="s">
        <v>299</v>
      </c>
      <c r="B261" s="126"/>
      <c r="C261" s="126"/>
      <c r="D261" s="126"/>
      <c r="E261" s="126"/>
      <c r="F261" s="126"/>
      <c r="G261" s="126"/>
      <c r="H261" s="126"/>
      <c r="I261" s="126"/>
      <c r="J261" s="211"/>
      <c r="K261" s="126"/>
      <c r="L261" s="212"/>
      <c r="M261" s="213"/>
      <c r="N261" s="215" t="e">
        <f aca="false">#REF!+N258</f>
        <v>#REF!</v>
      </c>
      <c r="O261" s="215"/>
      <c r="P261" s="215" t="e">
        <f aca="false">#REF!+P258</f>
        <v>#REF!</v>
      </c>
      <c r="Q261" s="215"/>
      <c r="R261" s="215" t="n">
        <f aca="false">R247+R256</f>
        <v>239612890.75</v>
      </c>
      <c r="S261" s="215" t="n">
        <f aca="false">S247+S256</f>
        <v>0</v>
      </c>
      <c r="T261" s="215" t="n">
        <f aca="false">T247+T256</f>
        <v>7279633</v>
      </c>
      <c r="U261" s="215" t="n">
        <f aca="false">U247+U256</f>
        <v>0</v>
      </c>
      <c r="V261" s="215" t="n">
        <f aca="false">V247+V256</f>
        <v>1298988.96</v>
      </c>
      <c r="W261" s="215" t="n">
        <f aca="false">W247+W256</f>
        <v>0</v>
      </c>
      <c r="X261" s="215" t="n">
        <f aca="false">X247+X256</f>
        <v>33151937.88</v>
      </c>
      <c r="Y261" s="215" t="n">
        <f aca="false">Y247+Y256</f>
        <v>0</v>
      </c>
      <c r="Z261" s="215" t="n">
        <f aca="false">Z247+Z256</f>
        <v>280030.83</v>
      </c>
      <c r="AA261" s="215" t="n">
        <f aca="false">AA247+AA256</f>
        <v>0</v>
      </c>
      <c r="AB261" s="215" t="n">
        <f aca="false">AB247+AB256</f>
        <v>1733894.86</v>
      </c>
      <c r="AC261" s="215" t="n">
        <f aca="false">AC247+AC256</f>
        <v>0</v>
      </c>
      <c r="AD261" s="215" t="n">
        <f aca="false">AD247+AD256</f>
        <v>18875379.88</v>
      </c>
      <c r="AE261" s="215"/>
      <c r="AF261" s="215" t="n">
        <f aca="false">AF247+AF256</f>
        <v>8167701.14085417</v>
      </c>
      <c r="AG261" s="215"/>
      <c r="AH261" s="215" t="n">
        <f aca="false">AH247+AH256</f>
        <v>8854945.38746018</v>
      </c>
      <c r="AI261" s="215"/>
      <c r="AJ261" s="215" t="n">
        <f aca="false">AJ247+AJ256</f>
        <v>6988530.12538871</v>
      </c>
      <c r="AL261" s="215" t="n">
        <f aca="false">AL247+AL256</f>
        <v>7789829.60570277</v>
      </c>
      <c r="AN261" s="215" t="n">
        <f aca="false">AN247+AN256</f>
        <v>11652992.18</v>
      </c>
      <c r="AO261" s="215" t="n">
        <f aca="false">AO247+AO256</f>
        <v>0</v>
      </c>
      <c r="AP261" s="215" t="n">
        <f aca="false">AP247+AP256</f>
        <v>17627423.913877</v>
      </c>
      <c r="AQ261" s="215" t="n">
        <f aca="false">AQ247+AQ256</f>
        <v>0</v>
      </c>
      <c r="AR261" s="215" t="n">
        <f aca="false">AR247+AR256</f>
        <v>39305575.9952953</v>
      </c>
      <c r="AS261" s="215" t="n">
        <f aca="false">AS247+AS256</f>
        <v>0</v>
      </c>
      <c r="AT261" s="215" t="n">
        <f aca="false">AT247+AT256</f>
        <v>2943898.25590451</v>
      </c>
      <c r="AU261" s="215" t="n">
        <f aca="false">AU247+AU256</f>
        <v>0</v>
      </c>
      <c r="AV261" s="215" t="n">
        <f aca="false">AV247+AV256</f>
        <v>29327061.2587712</v>
      </c>
      <c r="AW261" s="215" t="n">
        <f aca="false">AW247+AW256</f>
        <v>0</v>
      </c>
      <c r="AX261" s="215" t="n">
        <f aca="false">AX247+AX256</f>
        <v>23481763.2844909</v>
      </c>
      <c r="AY261" s="215" t="n">
        <f aca="false">AY247+AY256</f>
        <v>0</v>
      </c>
      <c r="AZ261" s="215" t="n">
        <f aca="false">AZ247+AZ256</f>
        <v>22126233.53</v>
      </c>
      <c r="BA261" s="215" t="n">
        <f aca="false">BA247+BA256</f>
        <v>0</v>
      </c>
      <c r="BB261" s="215" t="n">
        <f aca="false">BB247+BB256</f>
        <v>8493040.51094722</v>
      </c>
      <c r="BC261" s="215"/>
      <c r="BD261" s="215" t="n">
        <f aca="false">BD247+BD256</f>
        <v>11834996.67</v>
      </c>
      <c r="BF261" s="215" t="n">
        <f aca="false">BF247+BF256</f>
        <v>1350600.65</v>
      </c>
      <c r="BH261" s="215" t="n">
        <f aca="false">BH247+BH256</f>
        <v>401728.89</v>
      </c>
      <c r="BJ261" s="215" t="n">
        <f aca="false">BJ247+BJ256</f>
        <v>5162294</v>
      </c>
      <c r="BM261" s="215" t="n">
        <f aca="false">BM247+BM256</f>
        <v>245540</v>
      </c>
      <c r="BO261" s="215" t="n">
        <f aca="false">BO247+BO256</f>
        <v>817894</v>
      </c>
      <c r="BP261" s="215"/>
      <c r="BQ261" s="215" t="n">
        <f aca="false">BQ247+BQ256</f>
        <v>269191914.808692</v>
      </c>
      <c r="BR261" s="215"/>
      <c r="BS261" s="215" t="n">
        <f aca="false">BS247+BS256</f>
        <v>29487334</v>
      </c>
      <c r="BU261" s="215" t="n">
        <f aca="false">BU247+BU256</f>
        <v>-23579.6399999999</v>
      </c>
      <c r="BV261" s="215" t="n">
        <f aca="false">BV247+BV256</f>
        <v>2030320</v>
      </c>
      <c r="BW261" s="215" t="n">
        <f aca="false">BW247+BW256</f>
        <v>269168332.168692</v>
      </c>
      <c r="BX261" s="215" t="n">
        <f aca="false">BX247+BX256</f>
        <v>2030320</v>
      </c>
      <c r="BY261" s="215" t="n">
        <f aca="false">BY247+BY256</f>
        <v>-29252869.638692</v>
      </c>
      <c r="BZ261" s="213"/>
      <c r="DX261" s="126"/>
      <c r="DY261" s="126"/>
      <c r="DZ261" s="126"/>
      <c r="EA261" s="126"/>
      <c r="EB261" s="126"/>
      <c r="EC261" s="126"/>
      <c r="ED261" s="126"/>
      <c r="EE261" s="126"/>
      <c r="EF261" s="126"/>
      <c r="EG261" s="126"/>
      <c r="EH261" s="126"/>
      <c r="EI261" s="126"/>
      <c r="EJ261" s="126"/>
      <c r="EK261" s="126"/>
      <c r="EL261" s="126"/>
      <c r="EM261" s="126"/>
      <c r="EN261" s="126"/>
      <c r="EO261" s="126"/>
      <c r="EP261" s="126"/>
      <c r="EQ261" s="126"/>
      <c r="ER261" s="126"/>
      <c r="ES261" s="126"/>
      <c r="ET261" s="126"/>
      <c r="EU261" s="126"/>
      <c r="EV261" s="126"/>
      <c r="EW261" s="126"/>
      <c r="EX261" s="126"/>
      <c r="EY261" s="126"/>
      <c r="EZ261" s="126"/>
      <c r="FA261" s="126"/>
      <c r="FB261" s="126"/>
      <c r="FC261" s="126"/>
      <c r="FD261" s="126"/>
      <c r="FE261" s="126"/>
      <c r="FF261" s="126"/>
      <c r="FG261" s="126"/>
      <c r="FH261" s="126"/>
      <c r="FI261" s="126"/>
      <c r="FJ261" s="126"/>
      <c r="FK261" s="126"/>
      <c r="FL261" s="126"/>
      <c r="FM261" s="126"/>
      <c r="FN261" s="126"/>
      <c r="FO261" s="126"/>
      <c r="FP261" s="126"/>
      <c r="FQ261" s="126"/>
      <c r="FR261" s="126"/>
      <c r="FS261" s="126"/>
      <c r="FT261" s="126"/>
      <c r="FU261" s="126"/>
      <c r="FV261" s="126"/>
      <c r="FW261" s="126"/>
      <c r="FX261" s="126"/>
      <c r="FY261" s="126"/>
      <c r="FZ261" s="126"/>
      <c r="GA261" s="126"/>
      <c r="GB261" s="126"/>
      <c r="GC261" s="126"/>
      <c r="GD261" s="126"/>
      <c r="GE261" s="126"/>
      <c r="GF261" s="126"/>
      <c r="GG261" s="126"/>
      <c r="GH261" s="126"/>
      <c r="GI261" s="126"/>
      <c r="GJ261" s="126"/>
      <c r="GK261" s="126"/>
      <c r="GL261" s="126"/>
      <c r="GM261" s="126"/>
      <c r="GN261" s="126"/>
      <c r="GO261" s="126"/>
      <c r="GP261" s="126"/>
      <c r="GQ261" s="126"/>
      <c r="GR261" s="126"/>
      <c r="GS261" s="126"/>
      <c r="GT261" s="126"/>
      <c r="GU261" s="126"/>
      <c r="GV261" s="126"/>
      <c r="GW261" s="126"/>
      <c r="GX261" s="126"/>
      <c r="GY261" s="126"/>
      <c r="GZ261" s="126"/>
      <c r="HA261" s="126"/>
      <c r="HB261" s="126"/>
      <c r="HC261" s="126"/>
      <c r="HD261" s="126"/>
      <c r="HE261" s="126"/>
      <c r="HF261" s="126"/>
      <c r="HG261" s="126"/>
      <c r="HH261" s="126"/>
      <c r="HI261" s="126"/>
      <c r="HJ261" s="126"/>
      <c r="HK261" s="126"/>
      <c r="HL261" s="126"/>
      <c r="HM261" s="126"/>
      <c r="HN261" s="126"/>
      <c r="HO261" s="126"/>
      <c r="HP261" s="126"/>
      <c r="HQ261" s="126"/>
      <c r="HR261" s="126"/>
      <c r="HS261" s="126"/>
      <c r="HT261" s="126"/>
      <c r="HU261" s="126"/>
      <c r="HV261" s="126"/>
      <c r="HW261" s="126"/>
      <c r="HX261" s="126"/>
      <c r="HY261" s="126"/>
      <c r="HZ261" s="126"/>
      <c r="IA261" s="126"/>
      <c r="IB261" s="126"/>
      <c r="IC261" s="126"/>
      <c r="ID261" s="126"/>
      <c r="IE261" s="126"/>
      <c r="IF261" s="126"/>
      <c r="IG261" s="126"/>
      <c r="IH261" s="126"/>
      <c r="II261" s="126"/>
      <c r="IJ261" s="126"/>
      <c r="IK261" s="126"/>
      <c r="IL261" s="126"/>
      <c r="IM261" s="126"/>
      <c r="IN261" s="126"/>
      <c r="IO261" s="126"/>
      <c r="IP261" s="126"/>
      <c r="IQ261" s="126"/>
      <c r="IR261" s="126"/>
      <c r="IS261" s="126"/>
      <c r="IT261" s="126"/>
      <c r="IU261" s="126"/>
      <c r="IV261" s="126"/>
      <c r="IW261" s="126"/>
    </row>
    <row r="262" customFormat="false" ht="13.5" hidden="true" customHeight="false" outlineLevel="0" collapsed="false">
      <c r="E262" s="119"/>
      <c r="G262" s="119"/>
      <c r="I262" s="119"/>
      <c r="J262" s="119"/>
      <c r="L262" s="119"/>
      <c r="N262" s="119"/>
      <c r="P262" s="119"/>
      <c r="R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L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F262" s="119"/>
      <c r="BH262" s="119"/>
      <c r="BJ262" s="119"/>
      <c r="BM262" s="119"/>
      <c r="BO262" s="119"/>
      <c r="BP262" s="119"/>
      <c r="BQ262" s="119"/>
      <c r="BR262" s="119"/>
      <c r="BS262" s="119"/>
      <c r="BU262" s="119"/>
      <c r="BV262" s="119"/>
      <c r="BW262" s="119"/>
      <c r="BX262" s="119"/>
      <c r="BY262" s="119"/>
    </row>
    <row r="263" customFormat="false" ht="12.75" hidden="true" customHeight="false" outlineLevel="0" collapsed="false">
      <c r="K263" s="120"/>
      <c r="L263" s="216"/>
      <c r="M263" s="110"/>
      <c r="O263" s="110"/>
      <c r="Q263" s="110"/>
      <c r="S263" s="110"/>
      <c r="T263" s="110"/>
      <c r="U263" s="110"/>
      <c r="V263" s="110"/>
      <c r="X263" s="110"/>
      <c r="Z263" s="110"/>
      <c r="AB263" s="110"/>
      <c r="AD263" s="110"/>
      <c r="BD263" s="110" t="s">
        <v>300</v>
      </c>
      <c r="BJ263" s="110"/>
      <c r="BM263" s="110"/>
      <c r="BO263" s="110"/>
      <c r="BP263" s="110"/>
      <c r="BQ263" s="119"/>
      <c r="BR263" s="119"/>
      <c r="BS263" s="110"/>
      <c r="BZ263" s="110"/>
    </row>
    <row r="264" customFormat="false" ht="12.75" hidden="true" customHeight="false" outlineLevel="0" collapsed="false">
      <c r="K264" s="120"/>
      <c r="L264" s="216"/>
      <c r="M264" s="110"/>
      <c r="O264" s="110"/>
      <c r="Q264" s="110"/>
      <c r="S264" s="110"/>
      <c r="T264" s="110"/>
      <c r="U264" s="110"/>
      <c r="V264" s="110"/>
      <c r="X264" s="110"/>
      <c r="Z264" s="110"/>
      <c r="AB264" s="110"/>
      <c r="AD264" s="110"/>
      <c r="BD264" s="110" t="s">
        <v>301</v>
      </c>
      <c r="BJ264" s="110"/>
      <c r="BM264" s="110"/>
      <c r="BO264" s="110"/>
      <c r="BP264" s="110"/>
      <c r="BQ264" s="119"/>
      <c r="BR264" s="119"/>
      <c r="BS264" s="110"/>
      <c r="BZ264" s="110"/>
    </row>
    <row r="265" customFormat="false" ht="12.75" hidden="false" customHeight="false" outlineLevel="0" collapsed="false">
      <c r="K265" s="120"/>
      <c r="L265" s="216"/>
      <c r="M265" s="110"/>
      <c r="O265" s="110"/>
      <c r="Q265" s="110"/>
      <c r="S265" s="110"/>
      <c r="T265" s="110"/>
      <c r="U265" s="110"/>
      <c r="V265" s="110"/>
      <c r="X265" s="110"/>
      <c r="Z265" s="110"/>
      <c r="AB265" s="110"/>
      <c r="AD265" s="110"/>
      <c r="BD265" s="110" t="s">
        <v>302</v>
      </c>
      <c r="BJ265" s="110"/>
      <c r="BM265" s="110"/>
      <c r="BO265" s="110"/>
      <c r="BP265" s="110"/>
      <c r="BQ265" s="119"/>
      <c r="BR265" s="119"/>
      <c r="BS265" s="110"/>
      <c r="BZ265" s="110"/>
    </row>
    <row r="266" customFormat="false" ht="12.75" hidden="false" customHeight="false" outlineLevel="0" collapsed="false">
      <c r="K266" s="120"/>
      <c r="L266" s="216"/>
      <c r="M266" s="110"/>
      <c r="O266" s="110"/>
      <c r="Q266" s="110"/>
      <c r="S266" s="110"/>
      <c r="T266" s="110"/>
      <c r="U266" s="110"/>
      <c r="V266" s="110"/>
      <c r="X266" s="110"/>
      <c r="Z266" s="110"/>
      <c r="AB266" s="110"/>
      <c r="AD266" s="110"/>
      <c r="BD266" s="110" t="s">
        <v>303</v>
      </c>
      <c r="BJ266" s="110"/>
      <c r="BM266" s="110"/>
      <c r="BO266" s="110"/>
      <c r="BP266" s="110"/>
      <c r="BQ266" s="119"/>
      <c r="BR266" s="119"/>
      <c r="BS266" s="110"/>
      <c r="BZ266" s="110"/>
    </row>
    <row r="267" customFormat="false" ht="12.75" hidden="false" customHeight="false" outlineLevel="0" collapsed="false">
      <c r="K267" s="120"/>
      <c r="L267" s="216"/>
      <c r="M267" s="110"/>
      <c r="O267" s="110"/>
      <c r="Q267" s="110"/>
      <c r="S267" s="110"/>
      <c r="T267" s="110"/>
      <c r="U267" s="110"/>
      <c r="V267" s="110"/>
      <c r="X267" s="110"/>
      <c r="Z267" s="110"/>
      <c r="AB267" s="110"/>
      <c r="AD267" s="110"/>
      <c r="BD267" s="110" t="s">
        <v>304</v>
      </c>
      <c r="BJ267" s="110"/>
      <c r="BM267" s="110"/>
      <c r="BO267" s="110"/>
      <c r="BP267" s="110"/>
      <c r="BQ267" s="119"/>
      <c r="BR267" s="119"/>
      <c r="BS267" s="110"/>
      <c r="BZ267" s="110"/>
    </row>
    <row r="268" customFormat="false" ht="12.75" hidden="false" customHeight="false" outlineLevel="0" collapsed="false">
      <c r="K268" s="120"/>
      <c r="L268" s="216"/>
      <c r="M268" s="110"/>
      <c r="O268" s="110"/>
      <c r="Q268" s="110"/>
      <c r="S268" s="110"/>
      <c r="T268" s="110"/>
      <c r="U268" s="110"/>
      <c r="V268" s="110"/>
      <c r="X268" s="110"/>
      <c r="Z268" s="110"/>
      <c r="AB268" s="110"/>
      <c r="AD268" s="110"/>
      <c r="BD268" s="110" t="s">
        <v>305</v>
      </c>
      <c r="BJ268" s="110"/>
      <c r="BM268" s="110"/>
      <c r="BO268" s="110"/>
      <c r="BP268" s="110"/>
      <c r="BQ268" s="119"/>
      <c r="BR268" s="119"/>
      <c r="BS268" s="110"/>
      <c r="BZ268" s="110"/>
    </row>
    <row r="269" customFormat="false" ht="12.75" hidden="false" customHeight="false" outlineLevel="0" collapsed="false">
      <c r="K269" s="120"/>
      <c r="L269" s="216"/>
      <c r="M269" s="110"/>
      <c r="O269" s="110"/>
      <c r="Q269" s="110"/>
      <c r="S269" s="110"/>
      <c r="T269" s="110"/>
      <c r="U269" s="110"/>
      <c r="V269" s="110"/>
      <c r="X269" s="110"/>
      <c r="Z269" s="110"/>
      <c r="AB269" s="110"/>
      <c r="AD269" s="110"/>
      <c r="BD269" s="110" t="s">
        <v>306</v>
      </c>
      <c r="BJ269" s="110"/>
      <c r="BM269" s="110"/>
      <c r="BO269" s="110"/>
      <c r="BP269" s="110"/>
      <c r="BQ269" s="119"/>
      <c r="BR269" s="119"/>
      <c r="BS269" s="110"/>
      <c r="BZ269" s="110"/>
    </row>
    <row r="270" customFormat="false" ht="12.75" hidden="false" customHeight="false" outlineLevel="0" collapsed="false">
      <c r="K270" s="120"/>
      <c r="L270" s="216"/>
    </row>
    <row r="271" customFormat="false" ht="12.75" hidden="false" customHeight="false" outlineLevel="0" collapsed="false">
      <c r="K271" s="120"/>
      <c r="L271" s="216"/>
    </row>
    <row r="272" customFormat="false" ht="12.75" hidden="false" customHeight="false" outlineLevel="0" collapsed="false">
      <c r="K272" s="120"/>
      <c r="L272" s="216"/>
    </row>
    <row r="273" customFormat="false" ht="12.75" hidden="false" customHeight="false" outlineLevel="0" collapsed="false">
      <c r="K273" s="120"/>
      <c r="L273" s="216"/>
    </row>
    <row r="274" customFormat="false" ht="12.75" hidden="false" customHeight="false" outlineLevel="0" collapsed="false">
      <c r="K274" s="120"/>
      <c r="L274" s="216"/>
    </row>
    <row r="275" customFormat="false" ht="12.75" hidden="false" customHeight="false" outlineLevel="0" collapsed="false">
      <c r="L275" s="163"/>
    </row>
  </sheetData>
  <printOptions headings="false" gridLines="false" gridLinesSet="true" horizontalCentered="true" verticalCentered="false"/>
  <pageMargins left="0.25" right="0.170138888888889" top="0.320138888888889" bottom="0.19027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9" ySplit="8" topLeftCell="BN192" activePane="bottomRight" state="frozen"/>
      <selection pane="topLeft" activeCell="A1" activeCellId="0" sqref="A1"/>
      <selection pane="topRight" activeCell="BN1" activeCellId="0" sqref="BN1"/>
      <selection pane="bottomLeft" activeCell="A192" activeCellId="0" sqref="A192"/>
      <selection pane="bottomRigh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9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9" min="9" style="120" width="11.13"/>
    <col collapsed="false" customWidth="true" hidden="false" outlineLevel="0" max="10" min="10" style="120" width="11.13"/>
    <col collapsed="false" customWidth="true" hidden="false" outlineLevel="0" max="11" min="11" style="119" width="0.85"/>
    <col collapsed="false" customWidth="true" hidden="false" outlineLevel="0" max="12" min="12" style="121" width="12.28"/>
    <col collapsed="false" customWidth="true" hidden="fals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1.13"/>
    <col collapsed="false" customWidth="true" hidden="true" outlineLevel="0" max="19" min="19" style="119" width="2.42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0.13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0.13"/>
    <col collapsed="false" customWidth="true" hidden="true" outlineLevel="0" max="29" min="29" style="110" width="0.85"/>
    <col collapsed="false" customWidth="true" hidden="true" outlineLevel="0" max="30" min="30" style="122" width="17.99"/>
    <col collapsed="false" customWidth="true" hidden="true" outlineLevel="0" max="31" min="31" style="110" width="1.28"/>
    <col collapsed="false" customWidth="true" hidden="true" outlineLevel="0" max="32" min="32" style="110" width="17.99"/>
    <col collapsed="false" customWidth="true" hidden="true" outlineLevel="0" max="33" min="33" style="110" width="1.56"/>
    <col collapsed="false" customWidth="true" hidden="true" outlineLevel="0" max="34" min="34" style="110" width="17.7"/>
    <col collapsed="false" customWidth="true" hidden="true" outlineLevel="0" max="35" min="35" style="110" width="1.99"/>
    <col collapsed="false" customWidth="true" hidden="true" outlineLevel="0" max="36" min="36" style="110" width="17.85"/>
    <col collapsed="false" customWidth="true" hidden="true" outlineLevel="0" max="37" min="37" style="110" width="0.85"/>
    <col collapsed="false" customWidth="true" hidden="true" outlineLevel="0" max="38" min="38" style="110" width="17.85"/>
    <col collapsed="false" customWidth="true" hidden="true" outlineLevel="0" max="39" min="39" style="110" width="0.85"/>
    <col collapsed="false" customWidth="true" hidden="true" outlineLevel="0" max="40" min="40" style="110" width="17.85"/>
    <col collapsed="false" customWidth="true" hidden="fals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85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85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0.13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0" width="0.85"/>
    <col collapsed="false" customWidth="true" hidden="true" outlineLevel="0" max="58" min="58" style="110" width="17.85"/>
    <col collapsed="false" customWidth="true" hidden="true" outlineLevel="0" max="59" min="59" style="110" width="0.85"/>
    <col collapsed="false" customWidth="true" hidden="true" outlineLevel="0" max="60" min="60" style="110" width="17.85"/>
    <col collapsed="false" customWidth="true" hidden="true" outlineLevel="0" max="61" min="61" style="110" width="0.85"/>
    <col collapsed="false" customWidth="true" hidden="true" outlineLevel="0" max="62" min="62" style="110" width="17.85"/>
    <col collapsed="false" customWidth="true" hidden="true" outlineLevel="0" max="63" min="63" style="110" width="0.85"/>
    <col collapsed="false" customWidth="true" hidden="true" outlineLevel="0" max="64" min="64" style="122" width="15.99"/>
    <col collapsed="false" customWidth="true" hidden="true" outlineLevel="0" max="65" min="65" style="119" width="2.13"/>
    <col collapsed="false" customWidth="true" hidden="false" outlineLevel="0" max="66" min="66" style="110" width="20.85"/>
    <col collapsed="false" customWidth="true" hidden="true" outlineLevel="0" max="67" min="67" style="119" width="0.85"/>
    <col collapsed="false" customWidth="true" hidden="false" outlineLevel="0" max="68" min="68" style="122" width="19.14"/>
    <col collapsed="false" customWidth="true" hidden="false" outlineLevel="0" max="69" min="69" style="119" width="0.85"/>
    <col collapsed="false" customWidth="true" hidden="false" outlineLevel="0" max="70" min="70" style="110" width="24.85"/>
    <col collapsed="false" customWidth="true" hidden="false" outlineLevel="0" max="71" min="71" style="110" width="1.7"/>
    <col collapsed="false" customWidth="true" hidden="false" outlineLevel="0" max="72" min="72" style="110" width="20.85"/>
    <col collapsed="false" customWidth="true" hidden="false" outlineLevel="0" max="73" min="73" style="110" width="1.7"/>
    <col collapsed="false" customWidth="true" hidden="false" outlineLevel="0" max="74" min="74" style="110" width="15.85"/>
    <col collapsed="false" customWidth="true" hidden="false" outlineLevel="0" max="75" min="75" style="119" width="0.85"/>
    <col collapsed="false" customWidth="true" hidden="false" outlineLevel="0" max="76" min="76" style="119" width="75.85"/>
    <col collapsed="false" customWidth="false" hidden="false" outlineLevel="0" max="257" min="77" style="119" width="9.14"/>
  </cols>
  <sheetData>
    <row r="1" customFormat="false" ht="15.75" hidden="false" customHeight="false" outlineLevel="0" collapsed="false">
      <c r="A1" s="217" t="str">
        <f aca="false">+Summary!A1</f>
        <v>ENRON CAPITAL &amp; TRADE RESOURCES</v>
      </c>
      <c r="B1" s="125"/>
      <c r="C1" s="218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3"/>
      <c r="BM1" s="131"/>
      <c r="BN1" s="135"/>
      <c r="BO1" s="131"/>
      <c r="BP1" s="133"/>
      <c r="BQ1" s="131"/>
      <c r="BR1" s="135"/>
      <c r="BS1" s="135"/>
      <c r="BT1" s="135"/>
      <c r="BU1" s="135"/>
      <c r="BV1" s="132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217" t="str">
        <f aca="false">+Summary!A2</f>
        <v>Energy Services</v>
      </c>
      <c r="B2" s="125"/>
      <c r="C2" s="218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3"/>
      <c r="BM2" s="131"/>
      <c r="BN2" s="132"/>
      <c r="BO2" s="131"/>
      <c r="BP2" s="133"/>
      <c r="BQ2" s="131"/>
      <c r="BR2" s="132"/>
      <c r="BS2" s="132"/>
      <c r="BT2" s="132"/>
      <c r="BU2" s="132"/>
      <c r="BV2" s="136" t="str">
        <f aca="true">CELL("filename")</f>
        <v>'file:///mnt/12tb/@roms/datasets/enron/EDRM Enron Email Data Set v2 XML/filtered-attachments/xls/2000_Weekly_Report___112000.xls'#$Calvert City</v>
      </c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219" t="s">
        <v>307</v>
      </c>
      <c r="B3" s="125"/>
      <c r="C3" s="218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3"/>
      <c r="BM3" s="131"/>
      <c r="BN3" s="141"/>
      <c r="BO3" s="131"/>
      <c r="BP3" s="133"/>
      <c r="BQ3" s="131"/>
      <c r="BR3" s="141" t="n">
        <f aca="true">NOW()</f>
        <v>45926.9291516979</v>
      </c>
      <c r="BS3" s="131"/>
      <c r="BT3" s="141"/>
      <c r="BU3" s="131"/>
      <c r="BV3" s="135" t="str">
        <f aca="false">Summary!A5</f>
        <v>Revision # 68</v>
      </c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220"/>
      <c r="B4" s="143" t="n">
        <f aca="false">Summary!C13</f>
        <v>509</v>
      </c>
      <c r="C4" s="0"/>
      <c r="D4" s="131"/>
      <c r="E4" s="131"/>
      <c r="F4" s="131"/>
      <c r="G4" s="144"/>
      <c r="H4" s="131"/>
      <c r="I4" s="131"/>
      <c r="J4" s="221" t="s">
        <v>78</v>
      </c>
      <c r="K4" s="131"/>
      <c r="L4" s="145"/>
      <c r="M4" s="131"/>
      <c r="N4" s="133"/>
      <c r="O4" s="146" t="s">
        <v>308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33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E4" s="147"/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31"/>
      <c r="BN4" s="148"/>
      <c r="BO4" s="131"/>
      <c r="BP4" s="147" t="s">
        <v>139</v>
      </c>
      <c r="BQ4" s="131"/>
      <c r="BR4" s="148"/>
      <c r="BS4" s="131"/>
      <c r="BT4" s="148"/>
      <c r="BU4" s="131"/>
      <c r="BV4" s="148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222"/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140</v>
      </c>
      <c r="M5" s="131"/>
      <c r="N5" s="147" t="s">
        <v>141</v>
      </c>
      <c r="O5" s="146"/>
      <c r="P5" s="147" t="s">
        <v>142</v>
      </c>
      <c r="Q5" s="131"/>
      <c r="R5" s="148" t="s">
        <v>141</v>
      </c>
      <c r="S5" s="131"/>
      <c r="T5" s="147" t="s">
        <v>72</v>
      </c>
      <c r="U5" s="134"/>
      <c r="V5" s="147" t="s">
        <v>143</v>
      </c>
      <c r="W5" s="133"/>
      <c r="X5" s="147" t="s">
        <v>143</v>
      </c>
      <c r="Y5" s="133"/>
      <c r="Z5" s="147" t="s">
        <v>143</v>
      </c>
      <c r="AA5" s="133"/>
      <c r="AB5" s="147" t="s">
        <v>143</v>
      </c>
      <c r="AC5" s="133"/>
      <c r="AD5" s="147" t="s">
        <v>143</v>
      </c>
      <c r="AE5" s="133"/>
      <c r="AF5" s="147" t="s">
        <v>143</v>
      </c>
      <c r="AG5" s="133"/>
      <c r="AH5" s="147" t="s">
        <v>143</v>
      </c>
      <c r="AI5" s="133"/>
      <c r="AJ5" s="147" t="s">
        <v>143</v>
      </c>
      <c r="AK5" s="133"/>
      <c r="AL5" s="147" t="s">
        <v>143</v>
      </c>
      <c r="AM5" s="133"/>
      <c r="AN5" s="147" t="s">
        <v>143</v>
      </c>
      <c r="AO5" s="133"/>
      <c r="AP5" s="147" t="s">
        <v>143</v>
      </c>
      <c r="AQ5" s="133"/>
      <c r="AR5" s="147" t="s">
        <v>143</v>
      </c>
      <c r="AS5" s="133"/>
      <c r="AT5" s="147" t="s">
        <v>143</v>
      </c>
      <c r="AU5" s="133"/>
      <c r="AV5" s="147" t="s">
        <v>143</v>
      </c>
      <c r="AW5" s="147"/>
      <c r="AX5" s="147" t="s">
        <v>143</v>
      </c>
      <c r="AY5" s="147"/>
      <c r="AZ5" s="147" t="s">
        <v>143</v>
      </c>
      <c r="BA5" s="147"/>
      <c r="BB5" s="147" t="s">
        <v>143</v>
      </c>
      <c r="BC5" s="147"/>
      <c r="BD5" s="147" t="s">
        <v>143</v>
      </c>
      <c r="BE5" s="147"/>
      <c r="BF5" s="147" t="s">
        <v>143</v>
      </c>
      <c r="BG5" s="147"/>
      <c r="BH5" s="147" t="s">
        <v>143</v>
      </c>
      <c r="BI5" s="147"/>
      <c r="BJ5" s="147" t="s">
        <v>143</v>
      </c>
      <c r="BK5" s="147"/>
      <c r="BL5" s="147" t="s">
        <v>143</v>
      </c>
      <c r="BM5" s="131"/>
      <c r="BN5" s="148" t="s">
        <v>72</v>
      </c>
      <c r="BO5" s="131"/>
      <c r="BP5" s="147" t="s">
        <v>142</v>
      </c>
      <c r="BQ5" s="131"/>
      <c r="BR5" s="148" t="s">
        <v>144</v>
      </c>
      <c r="BS5" s="131"/>
      <c r="BT5" s="148" t="s">
        <v>145</v>
      </c>
      <c r="BU5" s="131"/>
      <c r="BV5" s="148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222"/>
      <c r="B6" s="131"/>
      <c r="C6" s="151" t="s">
        <v>147</v>
      </c>
      <c r="D6" s="131"/>
      <c r="E6" s="151" t="s">
        <v>148</v>
      </c>
      <c r="F6" s="131"/>
      <c r="G6" s="151" t="s">
        <v>149</v>
      </c>
      <c r="H6" s="131"/>
      <c r="I6" s="151" t="s">
        <v>150</v>
      </c>
      <c r="J6" s="152"/>
      <c r="K6" s="131"/>
      <c r="L6" s="153" t="s">
        <v>151</v>
      </c>
      <c r="M6" s="131"/>
      <c r="N6" s="154" t="s">
        <v>152</v>
      </c>
      <c r="O6" s="146"/>
      <c r="P6" s="154" t="s">
        <v>153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s">
        <v>309</v>
      </c>
      <c r="AM6" s="145"/>
      <c r="AN6" s="153" t="n">
        <v>36433</v>
      </c>
      <c r="AO6" s="145"/>
      <c r="AP6" s="153" t="n">
        <v>36464</v>
      </c>
      <c r="AQ6" s="145"/>
      <c r="AR6" s="153" t="n">
        <v>36494</v>
      </c>
      <c r="AS6" s="145"/>
      <c r="AT6" s="153" t="n">
        <v>36525</v>
      </c>
      <c r="AU6" s="145"/>
      <c r="AV6" s="153" t="n">
        <v>36556</v>
      </c>
      <c r="AW6" s="150"/>
      <c r="AX6" s="153" t="n">
        <v>36585</v>
      </c>
      <c r="AY6" s="150"/>
      <c r="AZ6" s="153" t="n">
        <v>36616</v>
      </c>
      <c r="BA6" s="150"/>
      <c r="BB6" s="153" t="n">
        <v>36646</v>
      </c>
      <c r="BC6" s="150"/>
      <c r="BD6" s="153" t="n">
        <v>36677</v>
      </c>
      <c r="BE6" s="150"/>
      <c r="BF6" s="153" t="n">
        <v>36707</v>
      </c>
      <c r="BG6" s="150"/>
      <c r="BH6" s="153" t="n">
        <v>36738</v>
      </c>
      <c r="BI6" s="150"/>
      <c r="BJ6" s="153" t="n">
        <v>36769</v>
      </c>
      <c r="BK6" s="150"/>
      <c r="BL6" s="153" t="n">
        <v>36799</v>
      </c>
      <c r="BM6" s="131"/>
      <c r="BN6" s="156" t="s">
        <v>154</v>
      </c>
      <c r="BO6" s="131"/>
      <c r="BP6" s="153" t="s">
        <v>153</v>
      </c>
      <c r="BQ6" s="131"/>
      <c r="BR6" s="156" t="s">
        <v>155</v>
      </c>
      <c r="BS6" s="131"/>
      <c r="BT6" s="156" t="s">
        <v>156</v>
      </c>
      <c r="BU6" s="131"/>
      <c r="BV6" s="156" t="s">
        <v>157</v>
      </c>
      <c r="BW6" s="131"/>
      <c r="BX6" s="156" t="s">
        <v>158</v>
      </c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222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11/17/00</v>
      </c>
      <c r="U7" s="134"/>
      <c r="V7" s="147" t="str">
        <f aca="false">+Summary!$O$4</f>
        <v> As of 11/17/00</v>
      </c>
      <c r="W7" s="133"/>
      <c r="X7" s="147" t="str">
        <f aca="false">+Summary!$O$4</f>
        <v> As of 11/17/00</v>
      </c>
      <c r="Y7" s="133"/>
      <c r="Z7" s="147" t="str">
        <f aca="false">+Summary!$O$4</f>
        <v> As of 11/17/00</v>
      </c>
      <c r="AA7" s="133"/>
      <c r="AB7" s="147" t="str">
        <f aca="false">+Summary!$O$4</f>
        <v> As of 11/17/00</v>
      </c>
      <c r="AC7" s="133"/>
      <c r="AD7" s="147" t="str">
        <f aca="false">+Summary!$O$4</f>
        <v> As of 11/17/00</v>
      </c>
      <c r="AE7" s="133"/>
      <c r="AF7" s="147" t="str">
        <f aca="false">+Summary!$O$4</f>
        <v> As of 11/17/00</v>
      </c>
      <c r="AG7" s="133"/>
      <c r="AH7" s="147" t="str">
        <f aca="false">+Summary!$O$4</f>
        <v> As of 11/17/00</v>
      </c>
      <c r="AI7" s="133"/>
      <c r="AJ7" s="147" t="str">
        <f aca="false">+Summary!$O$4</f>
        <v> As of 11/17/00</v>
      </c>
      <c r="AK7" s="133"/>
      <c r="AL7" s="147" t="str">
        <f aca="false">+Summary!$O$4</f>
        <v> As of 11/17/00</v>
      </c>
      <c r="AM7" s="133"/>
      <c r="AN7" s="147" t="str">
        <f aca="false">+Summary!$O$4</f>
        <v> As of 11/17/00</v>
      </c>
      <c r="AO7" s="133"/>
      <c r="AP7" s="147" t="str">
        <f aca="false">+Summary!$O$4</f>
        <v> As of 11/17/00</v>
      </c>
      <c r="AQ7" s="133"/>
      <c r="AR7" s="147" t="str">
        <f aca="false">+Summary!$O$4</f>
        <v> As of 11/17/00</v>
      </c>
      <c r="AS7" s="133"/>
      <c r="AT7" s="147" t="str">
        <f aca="false">+Summary!$O$4</f>
        <v> As of 11/17/00</v>
      </c>
      <c r="AU7" s="133"/>
      <c r="AV7" s="147" t="str">
        <f aca="false">+Summary!$O$4</f>
        <v> As of 11/17/00</v>
      </c>
      <c r="AW7" s="147"/>
      <c r="AX7" s="147" t="str">
        <f aca="false">+Summary!$O$4</f>
        <v> As of 11/17/00</v>
      </c>
      <c r="AY7" s="147"/>
      <c r="AZ7" s="147" t="str">
        <f aca="false">+Summary!$O$4</f>
        <v> As of 11/17/00</v>
      </c>
      <c r="BA7" s="147"/>
      <c r="BB7" s="147" t="str">
        <f aca="false">+Summary!$O$4</f>
        <v> As of 11/17/00</v>
      </c>
      <c r="BC7" s="147"/>
      <c r="BD7" s="147" t="str">
        <f aca="false">+Summary!$O$4</f>
        <v> As of 11/17/00</v>
      </c>
      <c r="BE7" s="147"/>
      <c r="BF7" s="147" t="str">
        <f aca="false">+Summary!$O$4</f>
        <v> As of 11/17/00</v>
      </c>
      <c r="BG7" s="147"/>
      <c r="BH7" s="147" t="str">
        <f aca="false">+Summary!$O$4</f>
        <v> As of 11/17/00</v>
      </c>
      <c r="BI7" s="147"/>
      <c r="BJ7" s="147" t="str">
        <f aca="false">+Summary!$O$4</f>
        <v> As of 11/17/00</v>
      </c>
      <c r="BK7" s="147"/>
      <c r="BL7" s="147" t="str">
        <f aca="false">+Summary!$O$4</f>
        <v> As of 11/17/00</v>
      </c>
      <c r="BM7" s="131"/>
      <c r="BN7" s="148" t="str">
        <f aca="false">+Summary!$O$4</f>
        <v> As of 11/17/00</v>
      </c>
      <c r="BO7" s="131"/>
      <c r="BP7" s="159" t="str">
        <f aca="false">+Summary!$O$4</f>
        <v> As of 11/17/00</v>
      </c>
      <c r="BQ7" s="131"/>
      <c r="BR7" s="148"/>
      <c r="BS7" s="131"/>
      <c r="BT7" s="148"/>
      <c r="BU7" s="131"/>
      <c r="BV7" s="148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223" t="s">
        <v>159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L8" s="110"/>
      <c r="BM8" s="110"/>
      <c r="BO8" s="110"/>
      <c r="BP8" s="110"/>
      <c r="BQ8" s="110"/>
      <c r="BW8" s="110"/>
    </row>
    <row r="9" customFormat="false" ht="12.75" hidden="false" customHeight="false" outlineLevel="0" collapsed="false">
      <c r="A9" s="224"/>
      <c r="B9" s="161" t="s">
        <v>310</v>
      </c>
      <c r="C9" s="0"/>
      <c r="D9" s="0"/>
      <c r="E9" s="0"/>
      <c r="F9" s="0"/>
      <c r="G9" s="0"/>
      <c r="H9" s="0"/>
      <c r="I9" s="0"/>
      <c r="J9" s="4" t="s">
        <v>141</v>
      </c>
      <c r="K9" s="0"/>
      <c r="L9" s="34" t="s">
        <v>151</v>
      </c>
      <c r="M9" s="110"/>
      <c r="N9" s="110" t="n">
        <v>0</v>
      </c>
      <c r="O9" s="110"/>
      <c r="P9" s="110" t="n">
        <v>0</v>
      </c>
      <c r="Q9" s="110"/>
      <c r="R9" s="110" t="n">
        <v>0</v>
      </c>
      <c r="S9" s="110"/>
      <c r="T9" s="110" t="n">
        <f aca="false">6170900+3056200+2997700</f>
        <v>12224800</v>
      </c>
      <c r="U9" s="110"/>
      <c r="V9" s="110" t="n">
        <f aca="false">31276400</f>
        <v>31276400</v>
      </c>
      <c r="X9" s="110" t="n">
        <f aca="false">3107550</f>
        <v>3107550</v>
      </c>
      <c r="Z9" s="110" t="n">
        <v>0</v>
      </c>
      <c r="AB9" s="110" t="n">
        <v>3107250</v>
      </c>
      <c r="AD9" s="110" t="n">
        <f aca="false">6240218.71</f>
        <v>6240218.71</v>
      </c>
      <c r="AF9" s="110" t="n">
        <v>0</v>
      </c>
      <c r="AH9" s="110" t="n">
        <v>0</v>
      </c>
      <c r="AJ9" s="110" t="n">
        <v>393210.9</v>
      </c>
      <c r="AL9" s="110" t="n">
        <v>-56349430</v>
      </c>
      <c r="AN9" s="110" t="n">
        <v>0</v>
      </c>
      <c r="AP9" s="110" t="n">
        <v>0</v>
      </c>
      <c r="AR9" s="110" t="n">
        <v>0</v>
      </c>
      <c r="AT9" s="110" t="n">
        <v>0</v>
      </c>
      <c r="AV9" s="110" t="n">
        <v>0</v>
      </c>
      <c r="AX9" s="110" t="n">
        <v>0</v>
      </c>
      <c r="AZ9" s="110" t="n">
        <v>0</v>
      </c>
      <c r="BB9" s="110" t="n">
        <v>0</v>
      </c>
      <c r="BF9" s="110" t="n">
        <v>0</v>
      </c>
      <c r="BH9" s="110" t="n">
        <v>0</v>
      </c>
      <c r="BJ9" s="110" t="n">
        <v>0</v>
      </c>
      <c r="BL9" s="110" t="n">
        <v>0</v>
      </c>
      <c r="BM9" s="110"/>
      <c r="BN9" s="110" t="n">
        <f aca="false">SUM(T9:BM9)</f>
        <v>-0.390000000596046</v>
      </c>
      <c r="BO9" s="110"/>
      <c r="BP9" s="110" t="n">
        <v>0</v>
      </c>
      <c r="BQ9" s="110"/>
      <c r="BR9" s="110" t="n">
        <f aca="false">IF(+R9-BN9+BP9&gt;0,R9-BN9+BP9,0)</f>
        <v>0.390000000596046</v>
      </c>
      <c r="BT9" s="110" t="n">
        <f aca="false">+BN9+BR9</f>
        <v>0</v>
      </c>
      <c r="BV9" s="110" t="n">
        <f aca="false">+R9-BT9</f>
        <v>0</v>
      </c>
      <c r="BW9" s="110"/>
    </row>
    <row r="10" customFormat="false" ht="12.75" hidden="false" customHeight="false" outlineLevel="0" collapsed="false">
      <c r="A10" s="224"/>
      <c r="B10" s="161" t="s">
        <v>311</v>
      </c>
      <c r="C10" s="0"/>
      <c r="D10" s="0"/>
      <c r="E10" s="0"/>
      <c r="F10" s="0"/>
      <c r="G10" s="0"/>
      <c r="H10" s="0"/>
      <c r="I10" s="0"/>
      <c r="J10" s="4" t="s">
        <v>141</v>
      </c>
      <c r="K10" s="0"/>
      <c r="L10" s="34" t="s">
        <v>151</v>
      </c>
      <c r="M10" s="110"/>
      <c r="N10" s="110" t="n">
        <v>0</v>
      </c>
      <c r="O10" s="110"/>
      <c r="P10" s="110" t="n">
        <v>0</v>
      </c>
      <c r="Q10" s="110"/>
      <c r="R10" s="110" t="n">
        <v>0</v>
      </c>
      <c r="S10" s="110"/>
      <c r="T10" s="110" t="n">
        <f aca="false">6237000+3030000+7884750</f>
        <v>17151750</v>
      </c>
      <c r="U10" s="110"/>
      <c r="V10" s="110" t="n">
        <v>12474000</v>
      </c>
      <c r="X10" s="110" t="n">
        <v>0</v>
      </c>
      <c r="Z10" s="110"/>
      <c r="AB10" s="110"/>
      <c r="AD10" s="110"/>
      <c r="AF10" s="110" t="n">
        <v>0</v>
      </c>
      <c r="AH10" s="110" t="n">
        <v>0</v>
      </c>
      <c r="AJ10" s="110" t="n">
        <v>0</v>
      </c>
      <c r="AL10" s="110" t="n">
        <v>-29625750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/>
      <c r="BN10" s="110" t="n">
        <f aca="false">SUM(T10:BM10)</f>
        <v>0</v>
      </c>
      <c r="BO10" s="110"/>
      <c r="BP10" s="110" t="n">
        <v>0</v>
      </c>
      <c r="BQ10" s="110"/>
      <c r="BR10" s="110" t="n">
        <f aca="false">IF(+R10-BN10+BP10&gt;0,R10-BN10+BP10,0)</f>
        <v>0</v>
      </c>
      <c r="BT10" s="110" t="n">
        <f aca="false">+BN10+BR10</f>
        <v>0</v>
      </c>
      <c r="BV10" s="110" t="n">
        <f aca="false">+R10-BT10</f>
        <v>0</v>
      </c>
      <c r="BW10" s="110"/>
    </row>
    <row r="11" customFormat="false" ht="12.75" hidden="true" customHeight="false" outlineLevel="0" collapsed="false">
      <c r="A11" s="224"/>
      <c r="B11" s="161" t="s">
        <v>312</v>
      </c>
      <c r="C11" s="0"/>
      <c r="D11" s="0"/>
      <c r="E11" s="0"/>
      <c r="F11" s="0"/>
      <c r="G11" s="0"/>
      <c r="H11" s="0"/>
      <c r="I11" s="0"/>
      <c r="J11" s="4" t="s">
        <v>141</v>
      </c>
      <c r="K11" s="0"/>
      <c r="L11" s="34" t="s">
        <v>151</v>
      </c>
      <c r="M11" s="110"/>
      <c r="N11" s="110" t="n">
        <v>0</v>
      </c>
      <c r="O11" s="110"/>
      <c r="P11" s="110" t="n">
        <v>0</v>
      </c>
      <c r="Q11" s="110"/>
      <c r="R11" s="110" t="n">
        <f aca="false">+N11+P11</f>
        <v>0</v>
      </c>
      <c r="S11" s="110"/>
      <c r="T11" s="110" t="n">
        <v>0</v>
      </c>
      <c r="U11" s="110"/>
      <c r="V11" s="110" t="n">
        <v>0</v>
      </c>
      <c r="X11" s="110" t="n">
        <v>0</v>
      </c>
      <c r="Z11" s="110" t="n">
        <v>0</v>
      </c>
      <c r="AB11" s="110" t="n">
        <v>0</v>
      </c>
      <c r="AD11" s="110" t="n">
        <v>0</v>
      </c>
      <c r="AF11" s="110" t="n">
        <v>0</v>
      </c>
      <c r="AH11" s="110" t="n">
        <v>0</v>
      </c>
      <c r="AJ11" s="110" t="n">
        <v>0</v>
      </c>
      <c r="AN11" s="110" t="n">
        <v>0</v>
      </c>
      <c r="AP11" s="110" t="n">
        <v>0</v>
      </c>
      <c r="AR11" s="110" t="n">
        <v>0</v>
      </c>
      <c r="AT11" s="110" t="n">
        <v>0</v>
      </c>
      <c r="AV11" s="110" t="n">
        <v>0</v>
      </c>
      <c r="AX11" s="110" t="n">
        <v>0</v>
      </c>
      <c r="AZ11" s="110" t="n">
        <v>0</v>
      </c>
      <c r="BB11" s="110" t="n">
        <v>0</v>
      </c>
      <c r="BD11" s="110" t="n">
        <v>0</v>
      </c>
      <c r="BF11" s="110" t="n">
        <v>0</v>
      </c>
      <c r="BH11" s="110" t="n">
        <v>0</v>
      </c>
      <c r="BJ11" s="110" t="n">
        <v>0</v>
      </c>
      <c r="BL11" s="110" t="n">
        <v>0</v>
      </c>
      <c r="BM11" s="110"/>
      <c r="BN11" s="110" t="n">
        <f aca="false">SUM(T11:BM11)</f>
        <v>0</v>
      </c>
      <c r="BO11" s="110"/>
      <c r="BP11" s="110" t="n">
        <v>0</v>
      </c>
      <c r="BQ11" s="110"/>
      <c r="BR11" s="110" t="n">
        <f aca="false">IF(+R11-BN11+BP11&gt;0,R11-BN11+BP11,0)</f>
        <v>0</v>
      </c>
      <c r="BT11" s="110" t="n">
        <f aca="false">+BN11+BR11</f>
        <v>0</v>
      </c>
      <c r="BV11" s="110" t="n">
        <f aca="false">+R11-BT11</f>
        <v>0</v>
      </c>
      <c r="BW11" s="110"/>
    </row>
    <row r="12" customFormat="false" ht="12.75" hidden="true" customHeight="false" outlineLevel="0" collapsed="false">
      <c r="A12" s="224"/>
      <c r="B12" s="161" t="s">
        <v>313</v>
      </c>
      <c r="C12" s="0"/>
      <c r="D12" s="0"/>
      <c r="E12" s="0"/>
      <c r="F12" s="0"/>
      <c r="G12" s="0"/>
      <c r="H12" s="0"/>
      <c r="I12" s="0"/>
      <c r="J12" s="4" t="s">
        <v>141</v>
      </c>
      <c r="K12" s="0"/>
      <c r="L12" s="34" t="s">
        <v>151</v>
      </c>
      <c r="M12" s="110"/>
      <c r="N12" s="110" t="n">
        <v>0</v>
      </c>
      <c r="O12" s="110"/>
      <c r="P12" s="110" t="n">
        <v>0</v>
      </c>
      <c r="Q12" s="110"/>
      <c r="R12" s="110" t="n">
        <f aca="false">+N12+P12</f>
        <v>0</v>
      </c>
      <c r="S12" s="110"/>
      <c r="T12" s="110" t="n">
        <v>0</v>
      </c>
      <c r="U12" s="110"/>
      <c r="V12" s="110" t="n">
        <v>0</v>
      </c>
      <c r="X12" s="110" t="n">
        <v>0</v>
      </c>
      <c r="Z12" s="110" t="n">
        <v>0</v>
      </c>
      <c r="AB12" s="110" t="n">
        <v>0</v>
      </c>
      <c r="AD12" s="110" t="n">
        <v>0</v>
      </c>
      <c r="AF12" s="110" t="n">
        <v>0</v>
      </c>
      <c r="AH12" s="110" t="n">
        <v>0</v>
      </c>
      <c r="AJ12" s="110" t="n">
        <v>0</v>
      </c>
      <c r="AN12" s="110" t="n">
        <v>0</v>
      </c>
      <c r="AP12" s="110" t="n">
        <v>0</v>
      </c>
      <c r="AR12" s="110" t="n">
        <v>0</v>
      </c>
      <c r="AT12" s="110" t="n">
        <v>0</v>
      </c>
      <c r="AV12" s="110" t="n">
        <v>0</v>
      </c>
      <c r="AX12" s="110" t="n">
        <v>0</v>
      </c>
      <c r="AZ12" s="110" t="n">
        <v>0</v>
      </c>
      <c r="BB12" s="110" t="n">
        <v>0</v>
      </c>
      <c r="BD12" s="110" t="n">
        <v>0</v>
      </c>
      <c r="BF12" s="110" t="n">
        <v>0</v>
      </c>
      <c r="BH12" s="110" t="n">
        <v>0</v>
      </c>
      <c r="BJ12" s="110" t="n">
        <v>0</v>
      </c>
      <c r="BL12" s="110" t="n">
        <v>0</v>
      </c>
      <c r="BM12" s="110"/>
      <c r="BN12" s="110" t="n">
        <f aca="false">SUM(T12:BM12)</f>
        <v>0</v>
      </c>
      <c r="BO12" s="110"/>
      <c r="BP12" s="110" t="n">
        <v>0</v>
      </c>
      <c r="BQ12" s="110"/>
      <c r="BR12" s="110" t="n">
        <f aca="false">IF(+R12-BN12+BP12&gt;0,R12-BN12+BP12,0)</f>
        <v>0</v>
      </c>
      <c r="BT12" s="110" t="n">
        <f aca="false">+BN12+BR12</f>
        <v>0</v>
      </c>
      <c r="BV12" s="110" t="n">
        <f aca="false">+R12-BT12</f>
        <v>0</v>
      </c>
      <c r="BW12" s="110"/>
    </row>
    <row r="13" customFormat="false" ht="12.75" hidden="true" customHeight="false" outlineLevel="0" collapsed="false">
      <c r="A13" s="224"/>
      <c r="B13" s="161" t="s">
        <v>314</v>
      </c>
      <c r="C13" s="0"/>
      <c r="D13" s="0"/>
      <c r="E13" s="0"/>
      <c r="F13" s="0"/>
      <c r="G13" s="0"/>
      <c r="H13" s="0"/>
      <c r="I13" s="0"/>
      <c r="J13" s="4" t="s">
        <v>141</v>
      </c>
      <c r="K13" s="0"/>
      <c r="L13" s="34" t="s">
        <v>151</v>
      </c>
      <c r="M13" s="110"/>
      <c r="N13" s="110" t="n">
        <v>0</v>
      </c>
      <c r="O13" s="110"/>
      <c r="P13" s="110" t="n">
        <v>0</v>
      </c>
      <c r="Q13" s="110"/>
      <c r="R13" s="110" t="n">
        <f aca="false">+N13+P13</f>
        <v>0</v>
      </c>
      <c r="S13" s="110"/>
      <c r="T13" s="110" t="n">
        <v>0</v>
      </c>
      <c r="U13" s="110"/>
      <c r="V13" s="110" t="n">
        <v>0</v>
      </c>
      <c r="X13" s="110" t="n">
        <v>0</v>
      </c>
      <c r="Z13" s="110" t="n">
        <v>0</v>
      </c>
      <c r="AB13" s="110" t="n">
        <v>0</v>
      </c>
      <c r="AD13" s="110" t="n">
        <v>0</v>
      </c>
      <c r="AF13" s="110" t="n">
        <v>0</v>
      </c>
      <c r="AH13" s="110" t="n">
        <v>0</v>
      </c>
      <c r="AJ13" s="110" t="n">
        <v>0</v>
      </c>
      <c r="AN13" s="110" t="n">
        <v>0</v>
      </c>
      <c r="AP13" s="110" t="n">
        <v>0</v>
      </c>
      <c r="AR13" s="110" t="n">
        <v>0</v>
      </c>
      <c r="AT13" s="110" t="n">
        <v>0</v>
      </c>
      <c r="AV13" s="110" t="n">
        <v>0</v>
      </c>
      <c r="AX13" s="110" t="n">
        <v>0</v>
      </c>
      <c r="AZ13" s="110" t="n">
        <v>0</v>
      </c>
      <c r="BB13" s="110" t="n">
        <v>0</v>
      </c>
      <c r="BD13" s="110" t="n">
        <v>0</v>
      </c>
      <c r="BF13" s="110" t="n">
        <v>0</v>
      </c>
      <c r="BH13" s="110" t="n">
        <v>0</v>
      </c>
      <c r="BJ13" s="110" t="n">
        <v>0</v>
      </c>
      <c r="BL13" s="110" t="n">
        <v>0</v>
      </c>
      <c r="BM13" s="110"/>
      <c r="BN13" s="110" t="n">
        <f aca="false">SUM(T13:BM13)</f>
        <v>0</v>
      </c>
      <c r="BO13" s="110"/>
      <c r="BP13" s="110" t="n">
        <v>0</v>
      </c>
      <c r="BQ13" s="110"/>
      <c r="BR13" s="110" t="n">
        <f aca="false">IF(+R13-BN13+BP13&gt;0,R13-BN13+BP13,0)</f>
        <v>0</v>
      </c>
      <c r="BT13" s="110" t="n">
        <f aca="false">+BN13+BR13</f>
        <v>0</v>
      </c>
      <c r="BV13" s="110" t="n">
        <f aca="false">+R13-BT13</f>
        <v>0</v>
      </c>
      <c r="BW13" s="110"/>
    </row>
    <row r="14" customFormat="false" ht="12.75" hidden="false" customHeight="false" outlineLevel="0" collapsed="false">
      <c r="A14" s="224"/>
      <c r="B14" s="161" t="s">
        <v>128</v>
      </c>
      <c r="C14" s="0"/>
      <c r="D14" s="0"/>
      <c r="E14" s="0"/>
      <c r="F14" s="0"/>
      <c r="G14" s="0"/>
      <c r="H14" s="0"/>
      <c r="I14" s="0"/>
      <c r="J14" s="4" t="s">
        <v>141</v>
      </c>
      <c r="K14" s="0"/>
      <c r="L14" s="34" t="s">
        <v>151</v>
      </c>
      <c r="M14" s="110"/>
      <c r="N14" s="110" t="n">
        <v>93330000</v>
      </c>
      <c r="O14" s="110"/>
      <c r="P14" s="110" t="n">
        <v>0</v>
      </c>
      <c r="Q14" s="110"/>
      <c r="R14" s="110" t="n"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107199.47</v>
      </c>
      <c r="AJ14" s="110" t="n">
        <v>0</v>
      </c>
      <c r="AL14" s="110" t="n">
        <v>-107199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L14" s="110" t="n">
        <v>0</v>
      </c>
      <c r="BM14" s="110"/>
      <c r="BN14" s="110" t="n">
        <f aca="false">SUM(T14:BM14)</f>
        <v>0.470000000001164</v>
      </c>
      <c r="BO14" s="110"/>
      <c r="BP14" s="110" t="n">
        <v>0</v>
      </c>
      <c r="BQ14" s="110"/>
      <c r="BR14" s="110" t="n">
        <f aca="false">IF(+R14-BN14+BP14&gt;0,R14-BN14+BP14,0)</f>
        <v>0</v>
      </c>
      <c r="BT14" s="110" t="n">
        <f aca="false">+BN14+BR14</f>
        <v>0.470000000001164</v>
      </c>
      <c r="BV14" s="110" t="n">
        <f aca="false">+R14-BT14</f>
        <v>-0.470000000001164</v>
      </c>
      <c r="BW14" s="110"/>
    </row>
    <row r="15" customFormat="false" ht="12.75" hidden="false" customHeight="false" outlineLevel="0" collapsed="false">
      <c r="A15" s="224"/>
      <c r="B15" s="161"/>
      <c r="C15" s="0"/>
      <c r="D15" s="0"/>
      <c r="E15" s="0"/>
      <c r="F15" s="0"/>
      <c r="G15" s="0"/>
      <c r="H15" s="0"/>
      <c r="I15" s="0"/>
      <c r="J15" s="4"/>
      <c r="K15" s="0"/>
      <c r="L15" s="34"/>
      <c r="M15" s="110"/>
      <c r="O15" s="110"/>
      <c r="Q15" s="110"/>
      <c r="S15" s="110"/>
      <c r="T15" s="110"/>
      <c r="U15" s="110"/>
      <c r="V15" s="110"/>
      <c r="X15" s="110"/>
      <c r="Z15" s="110"/>
      <c r="AB15" s="110"/>
      <c r="AD15" s="110"/>
      <c r="BL15" s="110"/>
      <c r="BM15" s="110"/>
      <c r="BO15" s="110"/>
      <c r="BP15" s="110"/>
      <c r="BQ15" s="110"/>
      <c r="BR15" s="110" t="n">
        <f aca="false">IF(+R15-BN15+BP15&gt;0,R15-BN15+BP15,0)</f>
        <v>0</v>
      </c>
      <c r="BV15" s="110" t="n">
        <f aca="false">+R15-BT15</f>
        <v>0</v>
      </c>
      <c r="BW15" s="110"/>
    </row>
    <row r="16" customFormat="false" ht="12.75" hidden="false" customHeight="false" outlineLevel="0" collapsed="false">
      <c r="A16" s="224"/>
      <c r="B16" s="161" t="s">
        <v>315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N16" s="165" t="n">
        <f aca="false">SUM(N9:N15)</f>
        <v>93330000</v>
      </c>
      <c r="O16" s="110"/>
      <c r="P16" s="165" t="n">
        <f aca="false">SUM(P9:P15)</f>
        <v>0</v>
      </c>
      <c r="Q16" s="110"/>
      <c r="R16" s="165" t="n">
        <f aca="false">SUM(R9:R15)</f>
        <v>0</v>
      </c>
      <c r="S16" s="110"/>
      <c r="T16" s="165" t="n">
        <f aca="false">SUM(T9:T15)</f>
        <v>29376550</v>
      </c>
      <c r="U16" s="110"/>
      <c r="V16" s="165" t="n">
        <f aca="false">SUM(V9:V15)</f>
        <v>43750400</v>
      </c>
      <c r="X16" s="165" t="n">
        <f aca="false">SUM(X9:X15)</f>
        <v>3107550</v>
      </c>
      <c r="Z16" s="165" t="n">
        <f aca="false">SUM(Z9:Z15)</f>
        <v>0</v>
      </c>
      <c r="AB16" s="165" t="n">
        <f aca="false">SUM(AB9:AB15)</f>
        <v>3107250</v>
      </c>
      <c r="AD16" s="165" t="n">
        <f aca="false">SUM(AD9:AD15)</f>
        <v>6240218.71</v>
      </c>
      <c r="AF16" s="165" t="n">
        <f aca="false">SUM(AF9:AF15)</f>
        <v>0</v>
      </c>
      <c r="AH16" s="165" t="n">
        <f aca="false">SUM(AH9:AH15)</f>
        <v>107199.47</v>
      </c>
      <c r="AJ16" s="165" t="n">
        <f aca="false">SUM(AJ9:AJ15)</f>
        <v>393210.9</v>
      </c>
      <c r="AL16" s="165" t="n">
        <f aca="false">SUM(AL9:AL15)</f>
        <v>-86082379</v>
      </c>
      <c r="AM16" s="165"/>
      <c r="AN16" s="165" t="n">
        <f aca="false">SUM(AN9:AN15)</f>
        <v>0</v>
      </c>
      <c r="AP16" s="165" t="n">
        <f aca="false">SUM(AP9:AP15)</f>
        <v>0</v>
      </c>
      <c r="AR16" s="165" t="n">
        <f aca="false">SUM(AR9:AR15)</f>
        <v>0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0</v>
      </c>
      <c r="BB16" s="165" t="n">
        <f aca="false">SUM(BB9:BB15)</f>
        <v>0</v>
      </c>
      <c r="BD16" s="165" t="n">
        <f aca="false">SUM(BD9:BD15)</f>
        <v>0</v>
      </c>
      <c r="BF16" s="165" t="n">
        <f aca="false">SUM(BF9:BF15)</f>
        <v>0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10"/>
      <c r="BN16" s="165" t="n">
        <f aca="false">SUM(BN9:BN15)</f>
        <v>0.0799999994051177</v>
      </c>
      <c r="BO16" s="110"/>
      <c r="BP16" s="165" t="n">
        <f aca="false">SUM(BP9:BP15)</f>
        <v>0</v>
      </c>
      <c r="BQ16" s="110"/>
      <c r="BR16" s="165" t="n">
        <f aca="false">SUM(BR9:BR15)</f>
        <v>0.390000000596046</v>
      </c>
      <c r="BT16" s="165" t="n">
        <f aca="false">SUM(BT9:BT15)</f>
        <v>0.470000000001164</v>
      </c>
      <c r="BV16" s="165" t="n">
        <f aca="false">SUM(BV9:BV15)</f>
        <v>-0.470000000001164</v>
      </c>
      <c r="BW16" s="110"/>
    </row>
    <row r="17" customFormat="false" ht="12.75" hidden="false" customHeight="false" outlineLevel="0" collapsed="false">
      <c r="A17" s="224"/>
      <c r="B17" s="161"/>
      <c r="C17" s="0"/>
      <c r="D17" s="0"/>
      <c r="E17" s="0"/>
      <c r="F17" s="0"/>
      <c r="G17" s="0"/>
      <c r="H17" s="0"/>
      <c r="I17" s="0"/>
      <c r="J17" s="4"/>
      <c r="K17" s="0"/>
      <c r="L17" s="34"/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L17" s="110"/>
      <c r="BM17" s="110"/>
      <c r="BO17" s="110"/>
      <c r="BP17" s="110"/>
      <c r="BQ17" s="110"/>
      <c r="BW17" s="110"/>
    </row>
    <row r="18" customFormat="false" ht="12.75" hidden="true" customHeight="false" outlineLevel="0" collapsed="false">
      <c r="A18" s="224"/>
      <c r="B18" s="161" t="s">
        <v>162</v>
      </c>
      <c r="C18" s="0"/>
      <c r="D18" s="0"/>
      <c r="E18" s="0"/>
      <c r="F18" s="0"/>
      <c r="G18" s="0"/>
      <c r="H18" s="0"/>
      <c r="I18" s="0"/>
      <c r="J18" s="4"/>
      <c r="K18" s="0"/>
      <c r="L18" s="34" t="s">
        <v>151</v>
      </c>
      <c r="M18" s="110"/>
      <c r="N18" s="110" t="n">
        <v>0</v>
      </c>
      <c r="O18" s="110"/>
      <c r="P18" s="110" t="n">
        <v>0</v>
      </c>
      <c r="Q18" s="110"/>
      <c r="R18" s="110" t="n">
        <f aca="false">+N18+P18</f>
        <v>0</v>
      </c>
      <c r="S18" s="110"/>
      <c r="T18" s="110" t="n">
        <v>0</v>
      </c>
      <c r="U18" s="110"/>
      <c r="V18" s="110" t="n">
        <v>0</v>
      </c>
      <c r="X18" s="110" t="n">
        <v>0</v>
      </c>
      <c r="Z18" s="110" t="n">
        <v>0</v>
      </c>
      <c r="AB18" s="110" t="n">
        <v>0</v>
      </c>
      <c r="AD18" s="110" t="n">
        <v>0</v>
      </c>
      <c r="AF18" s="110" t="n">
        <v>0</v>
      </c>
      <c r="AH18" s="110" t="n">
        <v>0</v>
      </c>
      <c r="AJ18" s="110" t="n">
        <v>0</v>
      </c>
      <c r="AN18" s="110" t="n">
        <v>0</v>
      </c>
      <c r="AP18" s="110" t="n">
        <v>0</v>
      </c>
      <c r="AR18" s="110" t="n">
        <v>0</v>
      </c>
      <c r="AT18" s="110" t="n">
        <v>0</v>
      </c>
      <c r="AV18" s="110" t="n">
        <v>0</v>
      </c>
      <c r="AX18" s="110" t="n">
        <v>0</v>
      </c>
      <c r="AZ18" s="110" t="n">
        <v>0</v>
      </c>
      <c r="BB18" s="110" t="n">
        <v>0</v>
      </c>
      <c r="BD18" s="110" t="n">
        <v>0</v>
      </c>
      <c r="BF18" s="110" t="n">
        <v>0</v>
      </c>
      <c r="BH18" s="110" t="n">
        <v>0</v>
      </c>
      <c r="BJ18" s="110" t="n">
        <v>0</v>
      </c>
      <c r="BL18" s="110" t="n">
        <v>0</v>
      </c>
      <c r="BM18" s="110"/>
      <c r="BN18" s="110" t="n">
        <f aca="false">SUM(T18:BM18)</f>
        <v>0</v>
      </c>
      <c r="BO18" s="110"/>
      <c r="BP18" s="110" t="n">
        <v>0</v>
      </c>
      <c r="BQ18" s="110"/>
      <c r="BR18" s="110" t="n">
        <f aca="false">+R18-BN18+BP18</f>
        <v>0</v>
      </c>
      <c r="BT18" s="110" t="n">
        <f aca="false">+BN18+BR18</f>
        <v>0</v>
      </c>
      <c r="BV18" s="110" t="n">
        <f aca="false">+R18-BT18</f>
        <v>0</v>
      </c>
      <c r="BW18" s="110"/>
    </row>
    <row r="19" customFormat="false" ht="12.75" hidden="false" customHeight="false" outlineLevel="0" collapsed="false">
      <c r="A19" s="225"/>
      <c r="B19" s="161" t="s">
        <v>163</v>
      </c>
      <c r="C19" s="0"/>
      <c r="D19" s="0"/>
      <c r="E19" s="0"/>
      <c r="F19" s="0"/>
      <c r="G19" s="0"/>
      <c r="H19" s="0"/>
      <c r="I19" s="0"/>
      <c r="J19" s="4" t="s">
        <v>141</v>
      </c>
      <c r="K19" s="0"/>
      <c r="L19" s="34" t="s">
        <v>151</v>
      </c>
      <c r="M19" s="110"/>
      <c r="N19" s="110" t="n">
        <v>0</v>
      </c>
      <c r="O19" s="110"/>
      <c r="P19" s="110" t="n">
        <v>0</v>
      </c>
      <c r="Q19" s="110"/>
      <c r="R19" s="110" t="n">
        <v>0</v>
      </c>
      <c r="S19" s="110"/>
      <c r="T19" s="110" t="n">
        <v>0</v>
      </c>
      <c r="U19" s="110"/>
      <c r="V19" s="110" t="n">
        <v>0</v>
      </c>
      <c r="X19" s="110" t="n">
        <v>0</v>
      </c>
      <c r="Z19" s="110" t="n">
        <v>0</v>
      </c>
      <c r="AB19" s="110" t="n">
        <v>0</v>
      </c>
      <c r="AD19" s="110" t="n">
        <v>0</v>
      </c>
      <c r="AF19" s="110" t="n">
        <v>0</v>
      </c>
      <c r="AH19" s="110" t="n">
        <v>293460.55</v>
      </c>
      <c r="AJ19" s="110" t="n">
        <v>883701.65</v>
      </c>
      <c r="AL19" s="110" t="n">
        <v>-1177162</v>
      </c>
      <c r="AN19" s="110" t="n">
        <v>0</v>
      </c>
      <c r="AP19" s="110" t="n">
        <v>0</v>
      </c>
      <c r="AR19" s="110" t="n">
        <v>0</v>
      </c>
      <c r="AT19" s="110" t="n">
        <v>0</v>
      </c>
      <c r="AV19" s="110" t="n">
        <v>0</v>
      </c>
      <c r="AX19" s="110" t="n">
        <v>0</v>
      </c>
      <c r="AZ19" s="110" t="n">
        <v>0</v>
      </c>
      <c r="BB19" s="110" t="n">
        <v>0</v>
      </c>
      <c r="BF19" s="110" t="n">
        <v>0</v>
      </c>
      <c r="BH19" s="110" t="n">
        <v>0</v>
      </c>
      <c r="BJ19" s="110" t="n">
        <v>0</v>
      </c>
      <c r="BL19" s="110" t="n">
        <v>0</v>
      </c>
      <c r="BM19" s="110"/>
      <c r="BN19" s="110" t="n">
        <f aca="false">SUM(T19:BM19)</f>
        <v>0.199999999953434</v>
      </c>
      <c r="BO19" s="110"/>
      <c r="BP19" s="110" t="n">
        <v>0</v>
      </c>
      <c r="BQ19" s="110"/>
      <c r="BR19" s="110" t="n">
        <f aca="false">IF(+R19-BN19+BP19&gt;0,R19-BN19+BP19,0)</f>
        <v>0</v>
      </c>
      <c r="BT19" s="110" t="n">
        <f aca="false">+BN19+BR19</f>
        <v>0.199999999953434</v>
      </c>
      <c r="BV19" s="110" t="n">
        <f aca="false">+R19-BT19</f>
        <v>-0.199999999953434</v>
      </c>
      <c r="BW19" s="110"/>
    </row>
    <row r="20" customFormat="false" ht="12.75" hidden="false" customHeight="false" outlineLevel="0" collapsed="false">
      <c r="A20" s="225"/>
      <c r="B20" s="161" t="s">
        <v>164</v>
      </c>
      <c r="C20" s="0"/>
      <c r="D20" s="0"/>
      <c r="E20" s="0"/>
      <c r="F20" s="0"/>
      <c r="G20" s="0"/>
      <c r="H20" s="0"/>
      <c r="I20" s="0"/>
      <c r="J20" s="4" t="s">
        <v>141</v>
      </c>
      <c r="K20" s="0"/>
      <c r="L20" s="34" t="s">
        <v>151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BL20" s="110"/>
      <c r="BM20" s="110"/>
      <c r="BO20" s="110"/>
      <c r="BP20" s="110"/>
      <c r="BQ20" s="110"/>
      <c r="BR20" s="110" t="n">
        <f aca="false">IF(+R20-BN20+BP20&gt;0,R20-BN20+BP20,0)</f>
        <v>0</v>
      </c>
      <c r="BT20" s="110" t="n">
        <f aca="false">+BN20+BR20</f>
        <v>0</v>
      </c>
      <c r="BV20" s="110" t="n">
        <f aca="false">+R20-BT20</f>
        <v>0</v>
      </c>
      <c r="BW20" s="110"/>
    </row>
    <row r="21" customFormat="false" ht="12.75" hidden="false" customHeight="false" outlineLevel="0" collapsed="false">
      <c r="A21" s="225"/>
      <c r="B21" s="161" t="s">
        <v>165</v>
      </c>
      <c r="C21" s="0"/>
      <c r="D21" s="0"/>
      <c r="E21" s="0"/>
      <c r="F21" s="0"/>
      <c r="G21" s="0"/>
      <c r="H21" s="0"/>
      <c r="I21" s="0"/>
      <c r="J21" s="4" t="s">
        <v>141</v>
      </c>
      <c r="K21" s="0"/>
      <c r="L21" s="34" t="s">
        <v>151</v>
      </c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L21" s="110"/>
      <c r="BM21" s="110"/>
      <c r="BO21" s="110"/>
      <c r="BP21" s="110"/>
      <c r="BQ21" s="110"/>
      <c r="BR21" s="110" t="n">
        <f aca="false">IF(+R21-BN21+BP21&gt;0,R21-BN21+BP21,0)</f>
        <v>0</v>
      </c>
      <c r="BT21" s="110" t="n">
        <f aca="false">+BN21+BR21</f>
        <v>0</v>
      </c>
      <c r="BV21" s="110" t="n">
        <f aca="false">+R21-BT21</f>
        <v>0</v>
      </c>
      <c r="BW21" s="110"/>
    </row>
    <row r="22" customFormat="false" ht="12.75" hidden="false" customHeight="false" outlineLevel="0" collapsed="false">
      <c r="A22" s="225"/>
      <c r="B22" s="161" t="s">
        <v>166</v>
      </c>
      <c r="C22" s="0"/>
      <c r="D22" s="0"/>
      <c r="E22" s="0"/>
      <c r="F22" s="0"/>
      <c r="G22" s="0"/>
      <c r="H22" s="0"/>
      <c r="I22" s="0"/>
      <c r="J22" s="4" t="s">
        <v>141</v>
      </c>
      <c r="K22" s="0"/>
      <c r="L22" s="34" t="s">
        <v>151</v>
      </c>
      <c r="M22" s="110"/>
      <c r="O22" s="110"/>
      <c r="Q22" s="110"/>
      <c r="S22" s="110"/>
      <c r="T22" s="110"/>
      <c r="U22" s="110"/>
      <c r="V22" s="110"/>
      <c r="X22" s="110"/>
      <c r="Z22" s="110"/>
      <c r="AB22" s="110"/>
      <c r="AD22" s="110"/>
      <c r="BL22" s="110"/>
      <c r="BM22" s="110"/>
      <c r="BO22" s="110"/>
      <c r="BP22" s="110"/>
      <c r="BQ22" s="110"/>
      <c r="BR22" s="110" t="n">
        <f aca="false">IF(+R22-BN22+BP22&gt;0,R22-BN22+BP22,0)</f>
        <v>0</v>
      </c>
      <c r="BT22" s="110" t="n">
        <f aca="false">+BN22+BR22</f>
        <v>0</v>
      </c>
      <c r="BV22" s="110" t="n">
        <f aca="false">+R22-BT22</f>
        <v>0</v>
      </c>
      <c r="BW22" s="110"/>
    </row>
    <row r="23" customFormat="false" ht="12.75" hidden="false" customHeight="false" outlineLevel="0" collapsed="false">
      <c r="A23" s="225"/>
      <c r="B23" s="161" t="s">
        <v>167</v>
      </c>
      <c r="C23" s="0"/>
      <c r="D23" s="0"/>
      <c r="E23" s="0"/>
      <c r="F23" s="0"/>
      <c r="G23" s="0"/>
      <c r="H23" s="0"/>
      <c r="I23" s="0"/>
      <c r="J23" s="4" t="s">
        <v>141</v>
      </c>
      <c r="K23" s="0"/>
      <c r="L23" s="34" t="s">
        <v>151</v>
      </c>
      <c r="M23" s="110"/>
      <c r="O23" s="110"/>
      <c r="Q23" s="110"/>
      <c r="S23" s="110"/>
      <c r="T23" s="110"/>
      <c r="U23" s="110"/>
      <c r="V23" s="110"/>
      <c r="X23" s="110"/>
      <c r="Z23" s="110"/>
      <c r="AB23" s="110"/>
      <c r="AD23" s="110"/>
      <c r="BL23" s="110"/>
      <c r="BM23" s="110"/>
      <c r="BO23" s="110"/>
      <c r="BP23" s="110"/>
      <c r="BQ23" s="110"/>
      <c r="BR23" s="110" t="n">
        <f aca="false">IF(+R23-BN23+BP23&gt;0,R23-BN23+BP23,0)</f>
        <v>0</v>
      </c>
      <c r="BT23" s="110" t="n">
        <f aca="false">+BN23+BR23</f>
        <v>0</v>
      </c>
      <c r="BV23" s="110" t="n">
        <f aca="false">+R23-BT23</f>
        <v>0</v>
      </c>
      <c r="BW23" s="110"/>
    </row>
    <row r="24" customFormat="false" ht="12.75" hidden="true" customHeight="false" outlineLevel="0" collapsed="false">
      <c r="A24" s="225"/>
      <c r="B24" s="161"/>
      <c r="C24" s="0"/>
      <c r="D24" s="0"/>
      <c r="E24" s="0"/>
      <c r="F24" s="0"/>
      <c r="G24" s="0"/>
      <c r="H24" s="0"/>
      <c r="I24" s="0"/>
      <c r="J24" s="4" t="s">
        <v>141</v>
      </c>
      <c r="K24" s="0"/>
      <c r="L24" s="34"/>
      <c r="M24" s="110"/>
      <c r="O24" s="110"/>
      <c r="Q24" s="110"/>
      <c r="S24" s="110"/>
      <c r="T24" s="110"/>
      <c r="U24" s="110"/>
      <c r="V24" s="110"/>
      <c r="X24" s="110"/>
      <c r="Z24" s="110"/>
      <c r="AB24" s="110"/>
      <c r="AD24" s="110"/>
      <c r="BL24" s="110"/>
      <c r="BM24" s="110"/>
      <c r="BO24" s="110"/>
      <c r="BP24" s="110"/>
      <c r="BQ24" s="110"/>
      <c r="BR24" s="110" t="n">
        <f aca="false">IF(+R24-BN24+BP24&gt;0,R24-BN24+BP24,0)</f>
        <v>0</v>
      </c>
      <c r="BT24" s="110" t="n">
        <f aca="false">+BN24+BR24</f>
        <v>0</v>
      </c>
      <c r="BV24" s="110" t="n">
        <f aca="false">+R24-BT24</f>
        <v>0</v>
      </c>
      <c r="BW24" s="110"/>
    </row>
    <row r="25" customFormat="false" ht="12.75" hidden="true" customHeight="false" outlineLevel="0" collapsed="false">
      <c r="A25" s="225"/>
      <c r="B25" s="161" t="s">
        <v>168</v>
      </c>
      <c r="C25" s="0"/>
      <c r="D25" s="0"/>
      <c r="E25" s="0"/>
      <c r="F25" s="0"/>
      <c r="G25" s="0"/>
      <c r="H25" s="0"/>
      <c r="I25" s="0"/>
      <c r="J25" s="4" t="s">
        <v>141</v>
      </c>
      <c r="K25" s="0"/>
      <c r="L25" s="34" t="s">
        <v>151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/>
      <c r="BN25" s="110" t="n">
        <f aca="false">SUM(T25:BM25)</f>
        <v>0</v>
      </c>
      <c r="BO25" s="110"/>
      <c r="BP25" s="110" t="n">
        <v>0</v>
      </c>
      <c r="BQ25" s="110"/>
      <c r="BR25" s="110" t="n">
        <f aca="false">IF(+R25-BN25+BP25&gt;0,R25-BN25+BP25,0)</f>
        <v>0</v>
      </c>
      <c r="BT25" s="110" t="n">
        <f aca="false">+BN25+BR25</f>
        <v>0</v>
      </c>
      <c r="BV25" s="110" t="n">
        <f aca="false">+R25-BT25</f>
        <v>0</v>
      </c>
      <c r="BW25" s="110"/>
    </row>
    <row r="26" customFormat="false" ht="12.75" hidden="true" customHeight="false" outlineLevel="0" collapsed="false">
      <c r="A26" s="225"/>
      <c r="B26" s="161" t="s">
        <v>169</v>
      </c>
      <c r="C26" s="0"/>
      <c r="D26" s="0"/>
      <c r="E26" s="0"/>
      <c r="F26" s="0"/>
      <c r="G26" s="0"/>
      <c r="H26" s="0"/>
      <c r="I26" s="0"/>
      <c r="J26" s="4" t="s">
        <v>141</v>
      </c>
      <c r="K26" s="0"/>
      <c r="L26" s="34" t="s">
        <v>151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/>
      <c r="BN26" s="110" t="n">
        <f aca="false">SUM(T26:BM26)</f>
        <v>0</v>
      </c>
      <c r="BO26" s="110"/>
      <c r="BP26" s="110" t="n">
        <v>0</v>
      </c>
      <c r="BQ26" s="110"/>
      <c r="BR26" s="110" t="n">
        <f aca="false">IF(+R26-BN26+BP26&gt;0,R26-BN26+BP26,0)</f>
        <v>0</v>
      </c>
      <c r="BT26" s="110" t="n">
        <f aca="false">+BN26+BR26</f>
        <v>0</v>
      </c>
      <c r="BV26" s="110" t="n">
        <f aca="false">+R26-BT26</f>
        <v>0</v>
      </c>
      <c r="BW26" s="110"/>
    </row>
    <row r="27" customFormat="false" ht="12.75" hidden="true" customHeight="false" outlineLevel="0" collapsed="false">
      <c r="A27" s="225"/>
      <c r="B27" s="161" t="s">
        <v>170</v>
      </c>
      <c r="C27" s="0"/>
      <c r="D27" s="0"/>
      <c r="E27" s="0"/>
      <c r="F27" s="0"/>
      <c r="G27" s="0"/>
      <c r="H27" s="0"/>
      <c r="I27" s="0"/>
      <c r="J27" s="4" t="s">
        <v>141</v>
      </c>
      <c r="K27" s="0"/>
      <c r="L27" s="34" t="s">
        <v>151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/>
      <c r="BN27" s="110" t="n">
        <f aca="false">SUM(T27:BM27)</f>
        <v>0</v>
      </c>
      <c r="BO27" s="110"/>
      <c r="BP27" s="110" t="n">
        <v>0</v>
      </c>
      <c r="BQ27" s="110"/>
      <c r="BR27" s="110" t="n">
        <f aca="false">IF(+R27-BN27+BP27&gt;0,R27-BN27+BP27,0)</f>
        <v>0</v>
      </c>
      <c r="BT27" s="110" t="n">
        <f aca="false">+BN27+BR27</f>
        <v>0</v>
      </c>
      <c r="BV27" s="110" t="n">
        <f aca="false">+R27-BT27</f>
        <v>0</v>
      </c>
      <c r="BW27" s="110"/>
    </row>
    <row r="28" customFormat="false" ht="12.75" hidden="true" customHeight="false" outlineLevel="0" collapsed="false">
      <c r="A28" s="225"/>
      <c r="B28" s="161" t="s">
        <v>171</v>
      </c>
      <c r="C28" s="0"/>
      <c r="D28" s="0"/>
      <c r="E28" s="0"/>
      <c r="F28" s="0"/>
      <c r="G28" s="0"/>
      <c r="H28" s="0"/>
      <c r="I28" s="0"/>
      <c r="J28" s="4" t="s">
        <v>141</v>
      </c>
      <c r="K28" s="0"/>
      <c r="L28" s="34" t="s">
        <v>151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/>
      <c r="BN28" s="110" t="n">
        <f aca="false">SUM(T28:BM28)</f>
        <v>0</v>
      </c>
      <c r="BO28" s="110"/>
      <c r="BP28" s="110" t="n">
        <v>0</v>
      </c>
      <c r="BQ28" s="110"/>
      <c r="BR28" s="110" t="n">
        <f aca="false">IF(+R28-BN28+BP28&gt;0,R28-BN28+BP28,0)</f>
        <v>0</v>
      </c>
      <c r="BT28" s="110" t="n">
        <f aca="false">+BN28+BR28</f>
        <v>0</v>
      </c>
      <c r="BV28" s="110" t="n">
        <f aca="false">+R28-BT28</f>
        <v>0</v>
      </c>
      <c r="BW28" s="110"/>
    </row>
    <row r="29" customFormat="false" ht="12.75" hidden="true" customHeight="false" outlineLevel="0" collapsed="false">
      <c r="A29" s="225"/>
      <c r="B29" s="161" t="s">
        <v>172</v>
      </c>
      <c r="C29" s="0"/>
      <c r="D29" s="0"/>
      <c r="E29" s="0"/>
      <c r="F29" s="0"/>
      <c r="G29" s="0"/>
      <c r="H29" s="0"/>
      <c r="I29" s="0"/>
      <c r="J29" s="4" t="s">
        <v>141</v>
      </c>
      <c r="K29" s="0"/>
      <c r="L29" s="34" t="s">
        <v>151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/>
      <c r="BN29" s="110" t="n">
        <f aca="false">SUM(T29:BM29)</f>
        <v>0</v>
      </c>
      <c r="BO29" s="110"/>
      <c r="BP29" s="110" t="n">
        <v>0</v>
      </c>
      <c r="BQ29" s="110"/>
      <c r="BR29" s="110" t="n">
        <f aca="false">IF(+R29-BN29+BP29&gt;0,R29-BN29+BP29,0)</f>
        <v>0</v>
      </c>
      <c r="BT29" s="110" t="n">
        <f aca="false">+BN29+BR29</f>
        <v>0</v>
      </c>
      <c r="BV29" s="110" t="n">
        <f aca="false">+R29-BT29</f>
        <v>0</v>
      </c>
      <c r="BW29" s="110"/>
    </row>
    <row r="30" customFormat="false" ht="12.75" hidden="true" customHeight="false" outlineLevel="0" collapsed="false">
      <c r="A30" s="226"/>
      <c r="B30" s="161" t="s">
        <v>173</v>
      </c>
      <c r="C30" s="0"/>
      <c r="D30" s="0"/>
      <c r="E30" s="0"/>
      <c r="F30" s="0"/>
      <c r="G30" s="0"/>
      <c r="H30" s="0"/>
      <c r="I30" s="0"/>
      <c r="J30" s="4" t="s">
        <v>141</v>
      </c>
      <c r="K30" s="0"/>
      <c r="L30" s="34" t="s">
        <v>151</v>
      </c>
      <c r="M30" s="110"/>
      <c r="N30" s="110" t="n">
        <v>0</v>
      </c>
      <c r="O30" s="110"/>
      <c r="P30" s="110" t="n">
        <v>0</v>
      </c>
      <c r="Q30" s="110"/>
      <c r="R30" s="110" t="n">
        <f aca="false">+N30+P30</f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 t="n">
        <v>0</v>
      </c>
      <c r="AF30" s="110" t="n">
        <v>0</v>
      </c>
      <c r="AH30" s="110" t="n">
        <v>0</v>
      </c>
      <c r="AJ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/>
      <c r="BN30" s="110" t="n">
        <f aca="false">SUM(T30:BM30)</f>
        <v>0</v>
      </c>
      <c r="BO30" s="110"/>
      <c r="BP30" s="110" t="n">
        <v>0</v>
      </c>
      <c r="BQ30" s="110"/>
      <c r="BR30" s="110" t="n">
        <f aca="false">IF(+R30-BN30+BP30&gt;0,R30-BN30+BP30,0)</f>
        <v>0</v>
      </c>
      <c r="BT30" s="110" t="n">
        <f aca="false">+BN30+BR30</f>
        <v>0</v>
      </c>
      <c r="BV30" s="110" t="n">
        <f aca="false">+R30-BT30</f>
        <v>0</v>
      </c>
      <c r="BW30" s="110"/>
    </row>
    <row r="31" customFormat="false" ht="12.75" hidden="true" customHeight="false" outlineLevel="0" collapsed="false">
      <c r="A31" s="226"/>
      <c r="B31" s="161" t="s">
        <v>174</v>
      </c>
      <c r="C31" s="0"/>
      <c r="D31" s="0"/>
      <c r="E31" s="0"/>
      <c r="F31" s="0"/>
      <c r="G31" s="0"/>
      <c r="H31" s="0"/>
      <c r="I31" s="0"/>
      <c r="J31" s="4" t="s">
        <v>141</v>
      </c>
      <c r="K31" s="0"/>
      <c r="L31" s="34" t="s">
        <v>151</v>
      </c>
      <c r="M31" s="110"/>
      <c r="N31" s="110" t="n">
        <v>0</v>
      </c>
      <c r="O31" s="110"/>
      <c r="P31" s="110" t="n">
        <v>0</v>
      </c>
      <c r="Q31" s="110"/>
      <c r="R31" s="110" t="n">
        <f aca="false">+N31+P31</f>
        <v>0</v>
      </c>
      <c r="S31" s="110"/>
      <c r="T31" s="110" t="n">
        <v>0</v>
      </c>
      <c r="U31" s="110"/>
      <c r="V31" s="110" t="n">
        <v>0</v>
      </c>
      <c r="X31" s="110" t="n">
        <v>0</v>
      </c>
      <c r="Z31" s="110" t="n">
        <v>0</v>
      </c>
      <c r="AB31" s="110" t="n">
        <v>0</v>
      </c>
      <c r="AD31" s="110" t="n">
        <v>0</v>
      </c>
      <c r="AF31" s="110" t="n">
        <v>0</v>
      </c>
      <c r="AH31" s="110" t="n">
        <v>0</v>
      </c>
      <c r="AJ31" s="110" t="n">
        <v>0</v>
      </c>
      <c r="AN31" s="110" t="n">
        <v>0</v>
      </c>
      <c r="AP31" s="110" t="n">
        <v>0</v>
      </c>
      <c r="AR31" s="110" t="n">
        <v>0</v>
      </c>
      <c r="AT31" s="110" t="n">
        <v>0</v>
      </c>
      <c r="AV31" s="110" t="n">
        <v>0</v>
      </c>
      <c r="AX31" s="110" t="n">
        <v>0</v>
      </c>
      <c r="AZ31" s="110" t="n">
        <v>0</v>
      </c>
      <c r="BB31" s="110" t="n">
        <v>0</v>
      </c>
      <c r="BD31" s="110" t="n">
        <v>0</v>
      </c>
      <c r="BF31" s="110" t="n">
        <v>0</v>
      </c>
      <c r="BH31" s="110" t="n">
        <v>0</v>
      </c>
      <c r="BJ31" s="110" t="n">
        <v>0</v>
      </c>
      <c r="BL31" s="110" t="n">
        <v>0</v>
      </c>
      <c r="BM31" s="110"/>
      <c r="BN31" s="110" t="n">
        <f aca="false">SUM(T31:BM31)</f>
        <v>0</v>
      </c>
      <c r="BO31" s="110"/>
      <c r="BP31" s="110" t="n">
        <v>0</v>
      </c>
      <c r="BQ31" s="110"/>
      <c r="BR31" s="110" t="n">
        <f aca="false">IF(+R31-BN31+BP31&gt;0,R31-BN31+BP31,0)</f>
        <v>0</v>
      </c>
      <c r="BT31" s="110" t="n">
        <f aca="false">+BN31+BR31</f>
        <v>0</v>
      </c>
      <c r="BV31" s="110" t="n">
        <f aca="false">+R31-BT31</f>
        <v>0</v>
      </c>
      <c r="BW31" s="110"/>
    </row>
    <row r="32" customFormat="false" ht="12.75" hidden="true" customHeight="false" outlineLevel="0" collapsed="false">
      <c r="A32" s="164"/>
      <c r="B32" s="161" t="s">
        <v>175</v>
      </c>
      <c r="C32" s="18"/>
      <c r="D32" s="18"/>
      <c r="E32" s="18"/>
      <c r="F32" s="18"/>
      <c r="G32" s="18"/>
      <c r="H32" s="18"/>
      <c r="I32" s="18"/>
      <c r="J32" s="4" t="s">
        <v>141</v>
      </c>
      <c r="K32" s="18"/>
      <c r="L32" s="34" t="s">
        <v>151</v>
      </c>
      <c r="M32" s="110"/>
      <c r="N32" s="110" t="n">
        <v>0</v>
      </c>
      <c r="O32" s="110"/>
      <c r="P32" s="110" t="n">
        <v>0</v>
      </c>
      <c r="Q32" s="110"/>
      <c r="R32" s="110" t="n">
        <f aca="false">+N32+P32</f>
        <v>0</v>
      </c>
      <c r="S32" s="110"/>
      <c r="T32" s="110" t="n">
        <v>0</v>
      </c>
      <c r="U32" s="110"/>
      <c r="V32" s="110" t="n">
        <v>0</v>
      </c>
      <c r="X32" s="110" t="n">
        <v>0</v>
      </c>
      <c r="Z32" s="110" t="n">
        <v>0</v>
      </c>
      <c r="AB32" s="110" t="n">
        <v>0</v>
      </c>
      <c r="AD32" s="110" t="n">
        <v>0</v>
      </c>
      <c r="AF32" s="110" t="n">
        <v>0</v>
      </c>
      <c r="AH32" s="110" t="n">
        <v>0</v>
      </c>
      <c r="AJ32" s="110" t="n">
        <v>0</v>
      </c>
      <c r="AN32" s="110" t="n">
        <v>0</v>
      </c>
      <c r="AP32" s="110" t="n">
        <v>0</v>
      </c>
      <c r="AR32" s="110" t="n">
        <v>0</v>
      </c>
      <c r="AT32" s="110" t="n">
        <v>0</v>
      </c>
      <c r="AV32" s="110" t="n">
        <v>0</v>
      </c>
      <c r="AX32" s="110" t="n">
        <v>0</v>
      </c>
      <c r="AZ32" s="110" t="n">
        <v>0</v>
      </c>
      <c r="BB32" s="110" t="n">
        <v>0</v>
      </c>
      <c r="BD32" s="110" t="n">
        <v>0</v>
      </c>
      <c r="BF32" s="110" t="n">
        <v>0</v>
      </c>
      <c r="BH32" s="110" t="n">
        <v>0</v>
      </c>
      <c r="BJ32" s="110" t="n">
        <v>0</v>
      </c>
      <c r="BL32" s="110" t="n">
        <v>0</v>
      </c>
      <c r="BM32" s="110"/>
      <c r="BN32" s="110" t="n">
        <f aca="false">SUM(T32:BM32)</f>
        <v>0</v>
      </c>
      <c r="BO32" s="110"/>
      <c r="BP32" s="110" t="n">
        <v>0</v>
      </c>
      <c r="BQ32" s="110"/>
      <c r="BR32" s="110" t="n">
        <f aca="false">IF(+R32-BN32+BP32&gt;0,R32-BN32+BP32,0)</f>
        <v>0</v>
      </c>
      <c r="BT32" s="110" t="n">
        <f aca="false">+BN32+BR32</f>
        <v>0</v>
      </c>
      <c r="BV32" s="110" t="n">
        <f aca="false">+R32-BT32</f>
        <v>0</v>
      </c>
      <c r="BW32" s="110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</row>
    <row r="33" customFormat="false" ht="12.75" hidden="false" customHeight="false" outlineLevel="0" collapsed="false">
      <c r="A33" s="225"/>
      <c r="B33" s="161" t="s">
        <v>128</v>
      </c>
      <c r="C33" s="0"/>
      <c r="D33" s="0"/>
      <c r="E33" s="0"/>
      <c r="F33" s="0"/>
      <c r="G33" s="0"/>
      <c r="H33" s="0"/>
      <c r="I33" s="0"/>
      <c r="J33" s="4" t="s">
        <v>141</v>
      </c>
      <c r="K33" s="0"/>
      <c r="L33" s="34" t="s">
        <v>151</v>
      </c>
      <c r="M33" s="110"/>
      <c r="N33" s="110" t="n">
        <v>0</v>
      </c>
      <c r="O33" s="110"/>
      <c r="P33" s="110" t="n">
        <v>0</v>
      </c>
      <c r="Q33" s="110"/>
      <c r="R33" s="110" t="n">
        <v>0</v>
      </c>
      <c r="S33" s="110"/>
      <c r="T33" s="110" t="n">
        <v>0</v>
      </c>
      <c r="U33" s="110"/>
      <c r="V33" s="110" t="n">
        <v>0</v>
      </c>
      <c r="X33" s="110" t="n">
        <v>0</v>
      </c>
      <c r="Z33" s="110" t="n">
        <v>0</v>
      </c>
      <c r="AB33" s="110" t="n">
        <v>0</v>
      </c>
      <c r="AD33" s="110" t="n">
        <v>0</v>
      </c>
      <c r="AF33" s="110" t="n">
        <v>0</v>
      </c>
      <c r="AH33" s="110" t="n">
        <v>0</v>
      </c>
      <c r="AJ33" s="110" t="n">
        <v>0</v>
      </c>
      <c r="AN33" s="110" t="n">
        <v>0</v>
      </c>
      <c r="AP33" s="110" t="n">
        <v>0</v>
      </c>
      <c r="AR33" s="110" t="n">
        <v>0</v>
      </c>
      <c r="AT33" s="110" t="n">
        <v>0</v>
      </c>
      <c r="AV33" s="110" t="n">
        <v>0</v>
      </c>
      <c r="AX33" s="110" t="n">
        <v>0</v>
      </c>
      <c r="AZ33" s="110" t="n">
        <v>0</v>
      </c>
      <c r="BB33" s="110" t="n">
        <v>0</v>
      </c>
      <c r="BD33" s="110" t="n">
        <v>0</v>
      </c>
      <c r="BF33" s="110" t="n">
        <v>0</v>
      </c>
      <c r="BH33" s="110" t="n">
        <v>0</v>
      </c>
      <c r="BJ33" s="110" t="n">
        <v>0</v>
      </c>
      <c r="BL33" s="110" t="n">
        <v>0</v>
      </c>
      <c r="BM33" s="110"/>
      <c r="BN33" s="110" t="n">
        <f aca="false">SUM(T33:BM33)</f>
        <v>0</v>
      </c>
      <c r="BO33" s="110"/>
      <c r="BP33" s="110" t="n">
        <v>0</v>
      </c>
      <c r="BQ33" s="110"/>
      <c r="BR33" s="110" t="n">
        <f aca="false">IF(+R33-BN33+BP33&gt;0,R33-BN33+BP33,0)</f>
        <v>0</v>
      </c>
      <c r="BT33" s="110" t="n">
        <f aca="false">+BN33+BR33</f>
        <v>0</v>
      </c>
      <c r="BV33" s="110" t="n">
        <f aca="false">+R33-BT33</f>
        <v>0</v>
      </c>
      <c r="BW33" s="110"/>
    </row>
    <row r="34" customFormat="false" ht="12.75" hidden="false" customHeight="false" outlineLevel="0" collapsed="false">
      <c r="A34" s="225"/>
      <c r="B34" s="161"/>
      <c r="C34" s="0"/>
      <c r="D34" s="0"/>
      <c r="E34" s="0"/>
      <c r="F34" s="0"/>
      <c r="G34" s="0"/>
      <c r="H34" s="0"/>
      <c r="I34" s="0"/>
      <c r="J34" s="4"/>
      <c r="K34" s="0"/>
      <c r="L34" s="34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BL34" s="110"/>
      <c r="BM34" s="110"/>
      <c r="BO34" s="110"/>
      <c r="BP34" s="110"/>
      <c r="BQ34" s="110"/>
      <c r="BR34" s="110" t="n">
        <f aca="false">IF(+R34-BN34+BP34&gt;0,R34-BN34+BP34,0)</f>
        <v>0</v>
      </c>
      <c r="BT34" s="110" t="n">
        <f aca="false">+BN34+BR34</f>
        <v>0</v>
      </c>
      <c r="BV34" s="110" t="n">
        <f aca="false">+R34-BT34</f>
        <v>0</v>
      </c>
      <c r="BW34" s="110"/>
    </row>
    <row r="35" customFormat="false" ht="12.75" hidden="false" customHeight="false" outlineLevel="0" collapsed="false">
      <c r="A35" s="225"/>
      <c r="B35" s="161" t="s">
        <v>176</v>
      </c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N35" s="165" t="n">
        <f aca="false">SUM(N18:N34)</f>
        <v>0</v>
      </c>
      <c r="O35" s="110"/>
      <c r="P35" s="165" t="n">
        <f aca="false">SUM(P18:P34)</f>
        <v>0</v>
      </c>
      <c r="Q35" s="110"/>
      <c r="R35" s="165" t="n">
        <f aca="false">SUM(R18:R34)</f>
        <v>0</v>
      </c>
      <c r="S35" s="110"/>
      <c r="T35" s="165" t="n">
        <f aca="false">SUM(T18:T34)</f>
        <v>0</v>
      </c>
      <c r="U35" s="110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293460.55</v>
      </c>
      <c r="AJ35" s="165" t="n">
        <f aca="false">SUM(AJ18:AJ34)</f>
        <v>883701.65</v>
      </c>
      <c r="AL35" s="165" t="n">
        <f aca="false">SUM(AL18:AL34)</f>
        <v>-1177162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0</v>
      </c>
      <c r="AT35" s="165" t="n">
        <f aca="false">SUM(AT18:AT34)</f>
        <v>0</v>
      </c>
      <c r="AV35" s="165" t="n">
        <f aca="false">SUM(AV18:AV34)</f>
        <v>0</v>
      </c>
      <c r="AX35" s="165" t="n">
        <f aca="false">SUM(AX18:AX34)</f>
        <v>0</v>
      </c>
      <c r="AZ35" s="165" t="n">
        <f aca="false">SUM(AZ18:AZ34)</f>
        <v>0</v>
      </c>
      <c r="BB35" s="165" t="n">
        <f aca="false">SUM(BB18:BB34)</f>
        <v>0</v>
      </c>
      <c r="BD35" s="165" t="n">
        <f aca="false">SUM(BD18:BD34)</f>
        <v>0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10"/>
      <c r="BN35" s="165" t="n">
        <f aca="false">SUM(BN18:BN34)</f>
        <v>0.199999999953434</v>
      </c>
      <c r="BO35" s="110"/>
      <c r="BP35" s="165" t="n">
        <f aca="false">SUM(BP18:BP34)</f>
        <v>0</v>
      </c>
      <c r="BQ35" s="110"/>
      <c r="BR35" s="165" t="n">
        <f aca="false">SUM(BR18:BR34)</f>
        <v>0</v>
      </c>
      <c r="BT35" s="165" t="n">
        <f aca="false">SUM(BT18:BT34)</f>
        <v>0.199999999953434</v>
      </c>
      <c r="BV35" s="165" t="n">
        <f aca="false">SUM(BV18:BV34)</f>
        <v>-0.199999999953434</v>
      </c>
      <c r="BW35" s="110"/>
    </row>
    <row r="36" customFormat="false" ht="12.75" hidden="false" customHeight="false" outlineLevel="0" collapsed="false">
      <c r="A36" s="225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L36" s="110"/>
      <c r="BM36" s="110"/>
      <c r="BO36" s="110"/>
      <c r="BP36" s="110"/>
      <c r="BQ36" s="110"/>
      <c r="BW36" s="110"/>
    </row>
    <row r="37" customFormat="false" ht="12.75" hidden="false" customHeight="false" outlineLevel="0" collapsed="false">
      <c r="A37" s="227"/>
      <c r="B37" s="168" t="s">
        <v>177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0</v>
      </c>
      <c r="S37" s="172"/>
      <c r="T37" s="172" t="n">
        <f aca="false">+T35+T16</f>
        <v>29376550</v>
      </c>
      <c r="U37" s="172"/>
      <c r="V37" s="172" t="n">
        <f aca="false">+V35+V16</f>
        <v>43750400</v>
      </c>
      <c r="W37" s="172"/>
      <c r="X37" s="172" t="n">
        <f aca="false">+X35+X16</f>
        <v>3107550</v>
      </c>
      <c r="Y37" s="172"/>
      <c r="Z37" s="172" t="n">
        <f aca="false">+Z35+Z16</f>
        <v>0</v>
      </c>
      <c r="AA37" s="172"/>
      <c r="AB37" s="172" t="n">
        <f aca="false">+AB35+AB16</f>
        <v>3107250</v>
      </c>
      <c r="AC37" s="172"/>
      <c r="AD37" s="172" t="n">
        <f aca="false">+AD35+AD16</f>
        <v>6240218.71</v>
      </c>
      <c r="AE37" s="172"/>
      <c r="AF37" s="172" t="n">
        <f aca="false">+AF35+AF16</f>
        <v>0</v>
      </c>
      <c r="AG37" s="172"/>
      <c r="AH37" s="172" t="n">
        <f aca="false">+AH35+AH16</f>
        <v>400660.02</v>
      </c>
      <c r="AI37" s="172"/>
      <c r="AJ37" s="172" t="n">
        <f aca="false">+AJ35+AJ16</f>
        <v>1276912.55</v>
      </c>
      <c r="AK37" s="172"/>
      <c r="AL37" s="172" t="n">
        <f aca="false">+AL35+AL16</f>
        <v>-87259541</v>
      </c>
      <c r="AM37" s="172"/>
      <c r="AN37" s="172" t="n">
        <f aca="false">+AN35+AN16</f>
        <v>0</v>
      </c>
      <c r="AO37" s="172"/>
      <c r="AP37" s="172" t="n">
        <f aca="false">+AP35+AP16</f>
        <v>0</v>
      </c>
      <c r="AQ37" s="172"/>
      <c r="AR37" s="172" t="n">
        <f aca="false">+AR35+AR16</f>
        <v>0</v>
      </c>
      <c r="AS37" s="172"/>
      <c r="AT37" s="172" t="n">
        <f aca="false">+AT35+AT16</f>
        <v>0</v>
      </c>
      <c r="AU37" s="172"/>
      <c r="AV37" s="172" t="n">
        <f aca="false">+AV35+AV16</f>
        <v>0</v>
      </c>
      <c r="AW37" s="172"/>
      <c r="AX37" s="172" t="n">
        <f aca="false">+AX35+AX16</f>
        <v>0</v>
      </c>
      <c r="AY37" s="172"/>
      <c r="AZ37" s="172" t="n">
        <f aca="false">+AZ35+AZ16</f>
        <v>0</v>
      </c>
      <c r="BA37" s="172"/>
      <c r="BB37" s="172" t="n">
        <f aca="false">+BB35+BB16</f>
        <v>0</v>
      </c>
      <c r="BC37" s="172"/>
      <c r="BD37" s="172" t="n">
        <f aca="false">+BD35+BD16</f>
        <v>0</v>
      </c>
      <c r="BE37" s="172"/>
      <c r="BF37" s="172" t="n">
        <f aca="false">+BF35+BF16</f>
        <v>0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/>
      <c r="BN37" s="172" t="n">
        <f aca="false">+BN35+BN16</f>
        <v>0.279999999358552</v>
      </c>
      <c r="BO37" s="172"/>
      <c r="BP37" s="172" t="n">
        <f aca="false">+BP35+BP16</f>
        <v>0</v>
      </c>
      <c r="BQ37" s="172"/>
      <c r="BR37" s="172" t="n">
        <f aca="false">+BR35+BR16</f>
        <v>0.390000000596046</v>
      </c>
      <c r="BS37" s="172"/>
      <c r="BT37" s="172" t="n">
        <f aca="false">+BT35+BT16</f>
        <v>0.669999999954598</v>
      </c>
      <c r="BU37" s="172"/>
      <c r="BV37" s="172" t="n">
        <f aca="false">+BV35+BV16</f>
        <v>-0.669999999954598</v>
      </c>
      <c r="BW37" s="172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225"/>
      <c r="B38" s="173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BL38" s="110"/>
      <c r="BM38" s="110"/>
      <c r="BO38" s="110"/>
      <c r="BP38" s="110"/>
      <c r="BQ38" s="110"/>
      <c r="BW38" s="110"/>
    </row>
    <row r="39" customFormat="false" ht="12.75" hidden="false" customHeight="false" outlineLevel="0" collapsed="false">
      <c r="A39" s="225"/>
      <c r="B39" s="161"/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BL39" s="110"/>
      <c r="BM39" s="110"/>
      <c r="BO39" s="110"/>
      <c r="BP39" s="110"/>
      <c r="BQ39" s="110"/>
      <c r="BW39" s="110"/>
    </row>
    <row r="40" customFormat="false" ht="12.75" hidden="false" customHeight="false" outlineLevel="0" collapsed="false">
      <c r="A40" s="228" t="s">
        <v>178</v>
      </c>
      <c r="B40" s="161"/>
      <c r="C40" s="0"/>
      <c r="D40" s="0"/>
      <c r="E40" s="0"/>
      <c r="F40" s="0"/>
      <c r="G40" s="0"/>
      <c r="H40" s="0"/>
      <c r="I40" s="0"/>
      <c r="J40" s="4"/>
      <c r="K40" s="0"/>
      <c r="L40" s="34"/>
      <c r="M40" s="110"/>
      <c r="O40" s="110"/>
      <c r="Q40" s="110"/>
      <c r="S40" s="110"/>
      <c r="T40" s="110"/>
      <c r="U40" s="110"/>
      <c r="V40" s="110"/>
      <c r="X40" s="110"/>
      <c r="Z40" s="110"/>
      <c r="AB40" s="110"/>
      <c r="AD40" s="110"/>
      <c r="BL40" s="110"/>
      <c r="BM40" s="110"/>
      <c r="BO40" s="110"/>
      <c r="BP40" s="110"/>
      <c r="BQ40" s="110"/>
      <c r="BW40" s="110"/>
    </row>
    <row r="41" customFormat="false" ht="12.75" hidden="false" customHeight="false" outlineLevel="0" collapsed="false">
      <c r="A41" s="225"/>
      <c r="B41" s="161" t="s">
        <v>316</v>
      </c>
      <c r="C41" s="0"/>
      <c r="D41" s="0"/>
      <c r="E41" s="0"/>
      <c r="F41" s="0"/>
      <c r="G41" s="0"/>
      <c r="H41" s="0"/>
      <c r="I41" s="0"/>
      <c r="J41" s="4" t="s">
        <v>181</v>
      </c>
      <c r="K41" s="0"/>
      <c r="L41" s="34" t="s">
        <v>151</v>
      </c>
      <c r="M41" s="110"/>
      <c r="N41" s="110" t="n">
        <v>0</v>
      </c>
      <c r="O41" s="110"/>
      <c r="P41" s="110" t="n">
        <v>0</v>
      </c>
      <c r="Q41" s="110"/>
      <c r="R41" s="110" t="n">
        <v>0</v>
      </c>
      <c r="S41" s="110"/>
      <c r="T41" s="110" t="n">
        <v>0</v>
      </c>
      <c r="U41" s="110"/>
      <c r="V41" s="110" t="n">
        <v>0</v>
      </c>
      <c r="X41" s="110" t="n">
        <v>0</v>
      </c>
      <c r="Z41" s="110" t="n">
        <v>0</v>
      </c>
      <c r="AB41" s="110" t="n">
        <v>0</v>
      </c>
      <c r="AD41" s="110" t="n">
        <v>0</v>
      </c>
      <c r="AF41" s="110" t="n">
        <v>0</v>
      </c>
      <c r="AH41" s="110" t="n">
        <v>0</v>
      </c>
      <c r="AJ41" s="110" t="n">
        <v>0</v>
      </c>
      <c r="AN41" s="110" t="n">
        <v>0</v>
      </c>
      <c r="AP41" s="110" t="n">
        <v>0</v>
      </c>
      <c r="AR41" s="110" t="n">
        <v>0</v>
      </c>
      <c r="AT41" s="110" t="n">
        <v>0</v>
      </c>
      <c r="AV41" s="110" t="n">
        <v>0</v>
      </c>
      <c r="AX41" s="110" t="n">
        <v>0</v>
      </c>
      <c r="AZ41" s="110" t="n">
        <v>0</v>
      </c>
      <c r="BB41" s="110" t="n">
        <v>0</v>
      </c>
      <c r="BD41" s="110" t="n">
        <v>0</v>
      </c>
      <c r="BF41" s="110" t="n">
        <v>0</v>
      </c>
      <c r="BH41" s="110" t="n">
        <v>0</v>
      </c>
      <c r="BJ41" s="110" t="n">
        <v>0</v>
      </c>
      <c r="BL41" s="110" t="n">
        <v>0</v>
      </c>
      <c r="BM41" s="110"/>
      <c r="BN41" s="110" t="n">
        <f aca="false">SUM(T41:BM41)</f>
        <v>0</v>
      </c>
      <c r="BO41" s="110"/>
      <c r="BP41" s="110" t="n">
        <v>0</v>
      </c>
      <c r="BQ41" s="110"/>
      <c r="BR41" s="110" t="n">
        <f aca="false">IF(+R41-BN41+BP41&gt;0,R41-BN41+BP41,0)</f>
        <v>0</v>
      </c>
      <c r="BT41" s="110" t="n">
        <f aca="false">+BN41+BR41</f>
        <v>0</v>
      </c>
      <c r="BV41" s="110" t="n">
        <f aca="false">+R41-BT41</f>
        <v>0</v>
      </c>
      <c r="BW41" s="110"/>
    </row>
    <row r="42" customFormat="false" ht="12.75" hidden="false" customHeight="false" outlineLevel="0" collapsed="false">
      <c r="A42" s="225"/>
      <c r="B42" s="161" t="s">
        <v>317</v>
      </c>
      <c r="C42" s="0"/>
      <c r="D42" s="0"/>
      <c r="E42" s="0"/>
      <c r="F42" s="0"/>
      <c r="G42" s="0"/>
      <c r="H42" s="0"/>
      <c r="I42" s="0"/>
      <c r="J42" s="4" t="s">
        <v>181</v>
      </c>
      <c r="K42" s="0"/>
      <c r="L42" s="34" t="s">
        <v>151</v>
      </c>
      <c r="M42" s="110"/>
      <c r="O42" s="110"/>
      <c r="Q42" s="110"/>
      <c r="R42" s="110" t="n">
        <v>0</v>
      </c>
      <c r="S42" s="110"/>
      <c r="T42" s="110"/>
      <c r="U42" s="110"/>
      <c r="V42" s="110"/>
      <c r="X42" s="110"/>
      <c r="Z42" s="110"/>
      <c r="AB42" s="110"/>
      <c r="AD42" s="110"/>
      <c r="BL42" s="110"/>
      <c r="BM42" s="110"/>
      <c r="BN42" s="110" t="n">
        <f aca="false">SUM(T42:BM42)</f>
        <v>0</v>
      </c>
      <c r="BO42" s="110"/>
      <c r="BP42" s="110" t="n">
        <v>0</v>
      </c>
      <c r="BQ42" s="110"/>
      <c r="BR42" s="110" t="n">
        <f aca="false">IF(+R42-BN42+BP42&gt;0,R42-BN42+BP42,0)</f>
        <v>0</v>
      </c>
      <c r="BT42" s="110" t="n">
        <f aca="false">+BN42+BR42</f>
        <v>0</v>
      </c>
      <c r="BV42" s="110" t="n">
        <f aca="false">+R42-BT42</f>
        <v>0</v>
      </c>
      <c r="BW42" s="110"/>
    </row>
    <row r="43" customFormat="false" ht="12.75" hidden="false" customHeight="false" outlineLevel="0" collapsed="false">
      <c r="A43" s="225"/>
      <c r="B43" s="161" t="s">
        <v>318</v>
      </c>
      <c r="C43" s="0"/>
      <c r="D43" s="0"/>
      <c r="E43" s="0"/>
      <c r="F43" s="0"/>
      <c r="G43" s="0"/>
      <c r="H43" s="0"/>
      <c r="I43" s="0"/>
      <c r="J43" s="4" t="s">
        <v>181</v>
      </c>
      <c r="K43" s="0"/>
      <c r="L43" s="34" t="s">
        <v>151</v>
      </c>
      <c r="M43" s="110"/>
      <c r="O43" s="110"/>
      <c r="Q43" s="110"/>
      <c r="R43" s="110" t="n">
        <v>0</v>
      </c>
      <c r="S43" s="110"/>
      <c r="T43" s="110"/>
      <c r="U43" s="110"/>
      <c r="V43" s="110"/>
      <c r="X43" s="110"/>
      <c r="Z43" s="110"/>
      <c r="AB43" s="110"/>
      <c r="AD43" s="110"/>
      <c r="BL43" s="110"/>
      <c r="BM43" s="110"/>
      <c r="BN43" s="110" t="n">
        <f aca="false">SUM(T43:BM43)</f>
        <v>0</v>
      </c>
      <c r="BO43" s="110"/>
      <c r="BP43" s="110" t="n">
        <v>0</v>
      </c>
      <c r="BQ43" s="110"/>
      <c r="BR43" s="110" t="n">
        <f aca="false">IF(+R43-BN43+BP43&gt;0,R43-BN43+BP43,0)</f>
        <v>0</v>
      </c>
      <c r="BT43" s="110" t="n">
        <f aca="false">+BN43+BR43</f>
        <v>0</v>
      </c>
      <c r="BV43" s="110" t="n">
        <f aca="false">+R43-BT43</f>
        <v>0</v>
      </c>
      <c r="BW43" s="110"/>
    </row>
    <row r="44" customFormat="false" ht="12.75" hidden="false" customHeight="false" outlineLevel="0" collapsed="false">
      <c r="A44" s="225"/>
      <c r="B44" s="161" t="s">
        <v>184</v>
      </c>
      <c r="C44" s="0"/>
      <c r="D44" s="0"/>
      <c r="E44" s="0"/>
      <c r="F44" s="0"/>
      <c r="G44" s="0"/>
      <c r="H44" s="0"/>
      <c r="I44" s="0"/>
      <c r="J44" s="4" t="s">
        <v>181</v>
      </c>
      <c r="K44" s="0"/>
      <c r="L44" s="34" t="s">
        <v>151</v>
      </c>
      <c r="M44" s="110"/>
      <c r="O44" s="110"/>
      <c r="Q44" s="110"/>
      <c r="R44" s="110" t="n">
        <v>0</v>
      </c>
      <c r="S44" s="110"/>
      <c r="T44" s="110"/>
      <c r="U44" s="110"/>
      <c r="V44" s="110"/>
      <c r="X44" s="110"/>
      <c r="Z44" s="110"/>
      <c r="AB44" s="110"/>
      <c r="AD44" s="110"/>
      <c r="BL44" s="110"/>
      <c r="BM44" s="110"/>
      <c r="BN44" s="110" t="n">
        <f aca="false">SUM(T44:BM44)</f>
        <v>0</v>
      </c>
      <c r="BO44" s="110"/>
      <c r="BP44" s="110" t="n">
        <v>0</v>
      </c>
      <c r="BQ44" s="110"/>
      <c r="BR44" s="110" t="n">
        <f aca="false">IF(+R44-BN44+BP44&gt;0,R44-BN44+BP44,0)</f>
        <v>0</v>
      </c>
      <c r="BT44" s="110" t="n">
        <f aca="false">+BN44+BR44</f>
        <v>0</v>
      </c>
      <c r="BV44" s="110" t="n">
        <f aca="false">+R44-BT44</f>
        <v>0</v>
      </c>
      <c r="BW44" s="110"/>
    </row>
    <row r="45" customFormat="false" ht="12.75" hidden="false" customHeight="false" outlineLevel="0" collapsed="false">
      <c r="A45" s="225"/>
      <c r="B45" s="161" t="s">
        <v>319</v>
      </c>
      <c r="C45" s="0"/>
      <c r="D45" s="0"/>
      <c r="E45" s="0"/>
      <c r="F45" s="0"/>
      <c r="G45" s="0"/>
      <c r="H45" s="0"/>
      <c r="I45" s="0"/>
      <c r="J45" s="4" t="s">
        <v>181</v>
      </c>
      <c r="K45" s="0"/>
      <c r="L45" s="34" t="s">
        <v>151</v>
      </c>
      <c r="M45" s="110"/>
      <c r="O45" s="110"/>
      <c r="Q45" s="110"/>
      <c r="R45" s="110" t="n">
        <v>0</v>
      </c>
      <c r="S45" s="110"/>
      <c r="T45" s="110"/>
      <c r="U45" s="110"/>
      <c r="V45" s="110"/>
      <c r="X45" s="110"/>
      <c r="Z45" s="110"/>
      <c r="AB45" s="110"/>
      <c r="AD45" s="110"/>
      <c r="BL45" s="110"/>
      <c r="BM45" s="110"/>
      <c r="BN45" s="110" t="n">
        <f aca="false">SUM(T45:BM45)</f>
        <v>0</v>
      </c>
      <c r="BO45" s="110"/>
      <c r="BP45" s="110" t="n">
        <v>0</v>
      </c>
      <c r="BQ45" s="110"/>
      <c r="BR45" s="110" t="n">
        <f aca="false">IF(+R45-BN45+BP45&gt;0,R45-BN45+BP45,0)</f>
        <v>0</v>
      </c>
      <c r="BT45" s="110" t="n">
        <f aca="false">+BN45+BR45</f>
        <v>0</v>
      </c>
      <c r="BV45" s="110" t="n">
        <f aca="false">+R45-BT45</f>
        <v>0</v>
      </c>
      <c r="BW45" s="110"/>
    </row>
    <row r="46" customFormat="false" ht="12.75" hidden="false" customHeight="false" outlineLevel="0" collapsed="false">
      <c r="A46" s="225"/>
      <c r="B46" s="161" t="s">
        <v>320</v>
      </c>
      <c r="C46" s="0"/>
      <c r="D46" s="0"/>
      <c r="E46" s="0"/>
      <c r="F46" s="0"/>
      <c r="G46" s="0"/>
      <c r="H46" s="0"/>
      <c r="I46" s="0"/>
      <c r="J46" s="4" t="s">
        <v>181</v>
      </c>
      <c r="K46" s="0"/>
      <c r="L46" s="34" t="s">
        <v>151</v>
      </c>
      <c r="M46" s="110"/>
      <c r="O46" s="110"/>
      <c r="Q46" s="110"/>
      <c r="R46" s="110" t="n">
        <v>0</v>
      </c>
      <c r="S46" s="110"/>
      <c r="T46" s="110"/>
      <c r="U46" s="110"/>
      <c r="V46" s="110"/>
      <c r="X46" s="110"/>
      <c r="Z46" s="110"/>
      <c r="AB46" s="110"/>
      <c r="AD46" s="110"/>
      <c r="BL46" s="110"/>
      <c r="BM46" s="110"/>
      <c r="BN46" s="110" t="n">
        <f aca="false">SUM(T46:BM46)</f>
        <v>0</v>
      </c>
      <c r="BO46" s="110"/>
      <c r="BP46" s="110" t="n">
        <v>0</v>
      </c>
      <c r="BQ46" s="110"/>
      <c r="BR46" s="110" t="n">
        <f aca="false">IF(+R46-BN46+BP46&gt;0,R46-BN46+BP46,0)</f>
        <v>0</v>
      </c>
      <c r="BT46" s="110" t="n">
        <f aca="false">+BN46+BR46</f>
        <v>0</v>
      </c>
      <c r="BV46" s="110" t="n">
        <f aca="false">+R46-BT46</f>
        <v>0</v>
      </c>
      <c r="BW46" s="110"/>
    </row>
    <row r="47" customFormat="false" ht="12.75" hidden="false" customHeight="false" outlineLevel="0" collapsed="false">
      <c r="A47" s="225"/>
      <c r="B47" s="161" t="s">
        <v>321</v>
      </c>
      <c r="C47" s="0"/>
      <c r="D47" s="0"/>
      <c r="E47" s="0"/>
      <c r="F47" s="0"/>
      <c r="G47" s="0"/>
      <c r="H47" s="0"/>
      <c r="I47" s="0"/>
      <c r="J47" s="4" t="s">
        <v>181</v>
      </c>
      <c r="K47" s="0"/>
      <c r="L47" s="34" t="s">
        <v>151</v>
      </c>
      <c r="M47" s="110"/>
      <c r="O47" s="110"/>
      <c r="Q47" s="110"/>
      <c r="R47" s="110" t="n">
        <v>0</v>
      </c>
      <c r="S47" s="110"/>
      <c r="T47" s="110"/>
      <c r="U47" s="110"/>
      <c r="V47" s="110"/>
      <c r="X47" s="110"/>
      <c r="Z47" s="110"/>
      <c r="AB47" s="110"/>
      <c r="AD47" s="110"/>
      <c r="BL47" s="110"/>
      <c r="BM47" s="110"/>
      <c r="BN47" s="110" t="n">
        <f aca="false">SUM(T47:BM47)</f>
        <v>0</v>
      </c>
      <c r="BO47" s="110"/>
      <c r="BP47" s="110" t="n">
        <v>0</v>
      </c>
      <c r="BQ47" s="110"/>
      <c r="BR47" s="110" t="n">
        <f aca="false">IF(+R47-BN47+BP47&gt;0,R47-BN47+BP47,0)</f>
        <v>0</v>
      </c>
      <c r="BT47" s="110" t="n">
        <f aca="false">+BN47+BR47</f>
        <v>0</v>
      </c>
      <c r="BV47" s="110" t="n">
        <f aca="false">+R47-BT47</f>
        <v>0</v>
      </c>
      <c r="BW47" s="110"/>
    </row>
    <row r="48" customFormat="false" ht="12.75" hidden="false" customHeight="false" outlineLevel="0" collapsed="false">
      <c r="A48" s="225"/>
      <c r="B48" s="161" t="s">
        <v>222</v>
      </c>
      <c r="C48" s="0"/>
      <c r="D48" s="0"/>
      <c r="E48" s="0"/>
      <c r="F48" s="0"/>
      <c r="G48" s="0"/>
      <c r="H48" s="0"/>
      <c r="I48" s="0"/>
      <c r="J48" s="4" t="s">
        <v>181</v>
      </c>
      <c r="K48" s="0"/>
      <c r="L48" s="34" t="s">
        <v>151</v>
      </c>
      <c r="M48" s="110"/>
      <c r="O48" s="110"/>
      <c r="Q48" s="110"/>
      <c r="R48" s="110" t="n">
        <v>0</v>
      </c>
      <c r="S48" s="110"/>
      <c r="T48" s="110"/>
      <c r="U48" s="110"/>
      <c r="V48" s="110"/>
      <c r="X48" s="110" t="n">
        <v>0</v>
      </c>
      <c r="Z48" s="110"/>
      <c r="AB48" s="110"/>
      <c r="AD48" s="110"/>
      <c r="BL48" s="110"/>
      <c r="BM48" s="110"/>
      <c r="BN48" s="110" t="n">
        <f aca="false">SUM(T48:BM48)</f>
        <v>0</v>
      </c>
      <c r="BO48" s="110"/>
      <c r="BP48" s="110" t="n">
        <v>0</v>
      </c>
      <c r="BQ48" s="110"/>
      <c r="BR48" s="110" t="n">
        <f aca="false">IF(+R48-BN48+BP48&gt;0,R48-BN48+BP48,0)</f>
        <v>0</v>
      </c>
      <c r="BT48" s="110" t="n">
        <f aca="false">+BN48+BR48</f>
        <v>0</v>
      </c>
      <c r="BV48" s="110" t="n">
        <f aca="false">+R48-BT48</f>
        <v>0</v>
      </c>
      <c r="BW48" s="110"/>
    </row>
    <row r="49" customFormat="false" ht="12.75" hidden="false" customHeight="false" outlineLevel="0" collapsed="false">
      <c r="A49" s="225"/>
      <c r="B49" s="161" t="s">
        <v>167</v>
      </c>
      <c r="C49" s="0"/>
      <c r="D49" s="0"/>
      <c r="E49" s="0"/>
      <c r="F49" s="0"/>
      <c r="G49" s="0"/>
      <c r="H49" s="0"/>
      <c r="I49" s="0"/>
      <c r="J49" s="4" t="s">
        <v>181</v>
      </c>
      <c r="K49" s="0"/>
      <c r="L49" s="34" t="s">
        <v>151</v>
      </c>
      <c r="M49" s="110"/>
      <c r="O49" s="110"/>
      <c r="Q49" s="110"/>
      <c r="R49" s="110" t="n">
        <v>0</v>
      </c>
      <c r="S49" s="110"/>
      <c r="T49" s="110"/>
      <c r="U49" s="110"/>
      <c r="V49" s="110"/>
      <c r="X49" s="110"/>
      <c r="Z49" s="110"/>
      <c r="AB49" s="110"/>
      <c r="AD49" s="110"/>
      <c r="BL49" s="110"/>
      <c r="BM49" s="110"/>
      <c r="BN49" s="110" t="n">
        <f aca="false">SUM(T49:BM49)</f>
        <v>0</v>
      </c>
      <c r="BO49" s="110"/>
      <c r="BP49" s="110" t="n">
        <v>0</v>
      </c>
      <c r="BQ49" s="110"/>
      <c r="BR49" s="110" t="n">
        <f aca="false">IF(+R49-BN49+BP49&gt;0,R49-BN49+BP49,0)</f>
        <v>0</v>
      </c>
      <c r="BT49" s="110" t="n">
        <f aca="false">+BN49+BR49</f>
        <v>0</v>
      </c>
      <c r="BV49" s="110" t="n">
        <f aca="false">+R49-BT49</f>
        <v>0</v>
      </c>
      <c r="BW49" s="110"/>
    </row>
    <row r="50" customFormat="false" ht="12.75" hidden="false" customHeight="false" outlineLevel="0" collapsed="false">
      <c r="A50" s="225"/>
      <c r="B50" s="161" t="s">
        <v>322</v>
      </c>
      <c r="C50" s="0"/>
      <c r="D50" s="0"/>
      <c r="E50" s="0"/>
      <c r="F50" s="0"/>
      <c r="G50" s="0"/>
      <c r="H50" s="0"/>
      <c r="I50" s="0"/>
      <c r="J50" s="4" t="s">
        <v>181</v>
      </c>
      <c r="K50" s="0"/>
      <c r="L50" s="34" t="s">
        <v>151</v>
      </c>
      <c r="M50" s="110"/>
      <c r="N50" s="110" t="n">
        <v>0</v>
      </c>
      <c r="O50" s="110"/>
      <c r="P50" s="110" t="n">
        <v>0</v>
      </c>
      <c r="Q50" s="110"/>
      <c r="R50" s="110" t="n">
        <v>0</v>
      </c>
      <c r="S50" s="110"/>
      <c r="T50" s="110" t="n">
        <v>0</v>
      </c>
      <c r="U50" s="110"/>
      <c r="V50" s="110" t="n">
        <v>0</v>
      </c>
      <c r="X50" s="110" t="n">
        <v>0</v>
      </c>
      <c r="Z50" s="110" t="n">
        <v>0</v>
      </c>
      <c r="AB50" s="110" t="n">
        <v>0</v>
      </c>
      <c r="AD50" s="110" t="n">
        <v>0</v>
      </c>
      <c r="AF50" s="110" t="n">
        <v>0</v>
      </c>
      <c r="AH50" s="110" t="n">
        <v>0</v>
      </c>
      <c r="AJ50" s="110" t="n">
        <v>0</v>
      </c>
      <c r="AN50" s="110" t="n">
        <v>0</v>
      </c>
      <c r="AP50" s="110" t="n">
        <v>0</v>
      </c>
      <c r="AR50" s="110" t="n">
        <v>0</v>
      </c>
      <c r="AT50" s="110" t="n">
        <v>0</v>
      </c>
      <c r="AV50" s="110" t="n">
        <v>0</v>
      </c>
      <c r="AX50" s="110" t="n">
        <v>0</v>
      </c>
      <c r="AZ50" s="110" t="n">
        <v>0</v>
      </c>
      <c r="BB50" s="110" t="n">
        <v>0</v>
      </c>
      <c r="BD50" s="110" t="n">
        <v>0</v>
      </c>
      <c r="BF50" s="110" t="n">
        <v>0</v>
      </c>
      <c r="BH50" s="110" t="n">
        <v>0</v>
      </c>
      <c r="BJ50" s="110" t="n">
        <v>0</v>
      </c>
      <c r="BL50" s="110" t="n">
        <v>0</v>
      </c>
      <c r="BM50" s="110"/>
      <c r="BN50" s="110" t="n">
        <f aca="false">SUM(T50:BM50)</f>
        <v>0</v>
      </c>
      <c r="BO50" s="110"/>
      <c r="BP50" s="110" t="n">
        <v>0</v>
      </c>
      <c r="BQ50" s="110"/>
      <c r="BR50" s="110" t="n">
        <f aca="false">IF(+R50-BN50+BP50&gt;0,R50-BN50+BP50,0)</f>
        <v>0</v>
      </c>
      <c r="BT50" s="110" t="n">
        <f aca="false">+BN50+BR50</f>
        <v>0</v>
      </c>
      <c r="BV50" s="110" t="n">
        <f aca="false">+R50-BT50</f>
        <v>0</v>
      </c>
      <c r="BW50" s="110"/>
    </row>
    <row r="51" customFormat="false" ht="12.75" hidden="true" customHeight="false" outlineLevel="0" collapsed="false">
      <c r="A51" s="225"/>
      <c r="B51" s="161" t="s">
        <v>323</v>
      </c>
      <c r="C51" s="0"/>
      <c r="D51" s="0"/>
      <c r="E51" s="0"/>
      <c r="F51" s="0"/>
      <c r="G51" s="0"/>
      <c r="H51" s="0"/>
      <c r="I51" s="0"/>
      <c r="J51" s="4" t="s">
        <v>181</v>
      </c>
      <c r="K51" s="0"/>
      <c r="L51" s="34" t="s">
        <v>151</v>
      </c>
      <c r="M51" s="110"/>
      <c r="N51" s="110" t="n">
        <v>0</v>
      </c>
      <c r="O51" s="110"/>
      <c r="P51" s="110" t="n">
        <v>0</v>
      </c>
      <c r="Q51" s="110"/>
      <c r="R51" s="110" t="n">
        <f aca="false">+N51+P51</f>
        <v>0</v>
      </c>
      <c r="S51" s="110"/>
      <c r="T51" s="110" t="n">
        <v>0</v>
      </c>
      <c r="U51" s="110"/>
      <c r="V51" s="110" t="n">
        <v>0</v>
      </c>
      <c r="X51" s="110" t="n">
        <v>0</v>
      </c>
      <c r="Z51" s="110" t="n">
        <v>0</v>
      </c>
      <c r="AB51" s="110" t="n">
        <v>0</v>
      </c>
      <c r="AD51" s="110" t="n">
        <v>0</v>
      </c>
      <c r="AF51" s="110" t="n">
        <v>0</v>
      </c>
      <c r="AH51" s="110" t="n">
        <v>0</v>
      </c>
      <c r="AJ51" s="110" t="n">
        <v>0</v>
      </c>
      <c r="AN51" s="110" t="n">
        <v>0</v>
      </c>
      <c r="AP51" s="110" t="n">
        <v>0</v>
      </c>
      <c r="AR51" s="110" t="n">
        <v>0</v>
      </c>
      <c r="AT51" s="110" t="n">
        <v>0</v>
      </c>
      <c r="AV51" s="110" t="n">
        <v>0</v>
      </c>
      <c r="AX51" s="110" t="n">
        <v>0</v>
      </c>
      <c r="AZ51" s="110" t="n">
        <v>0</v>
      </c>
      <c r="BB51" s="110" t="n">
        <v>0</v>
      </c>
      <c r="BD51" s="110" t="n">
        <v>0</v>
      </c>
      <c r="BF51" s="110" t="n">
        <v>0</v>
      </c>
      <c r="BH51" s="110" t="n">
        <v>0</v>
      </c>
      <c r="BJ51" s="110" t="n">
        <v>0</v>
      </c>
      <c r="BL51" s="110" t="n">
        <v>0</v>
      </c>
      <c r="BM51" s="110"/>
      <c r="BN51" s="110" t="n">
        <f aca="false">SUM(T51:BM51)</f>
        <v>0</v>
      </c>
      <c r="BO51" s="110"/>
      <c r="BP51" s="110" t="n">
        <v>0</v>
      </c>
      <c r="BQ51" s="110"/>
      <c r="BR51" s="110" t="n">
        <f aca="false">IF(+R51-BN51+BP51&gt;0,R51-BN51+BP51,0)</f>
        <v>0</v>
      </c>
      <c r="BT51" s="110" t="n">
        <f aca="false">+BN51+BR51</f>
        <v>0</v>
      </c>
      <c r="BV51" s="110" t="n">
        <f aca="false">+R51-BT51</f>
        <v>0</v>
      </c>
      <c r="BW51" s="110"/>
    </row>
    <row r="52" customFormat="false" ht="12.75" hidden="true" customHeight="false" outlineLevel="0" collapsed="false">
      <c r="A52" s="225"/>
      <c r="B52" s="161" t="s">
        <v>324</v>
      </c>
      <c r="C52" s="0"/>
      <c r="D52" s="0"/>
      <c r="E52" s="0"/>
      <c r="F52" s="0"/>
      <c r="G52" s="0"/>
      <c r="H52" s="0"/>
      <c r="I52" s="0"/>
      <c r="J52" s="4" t="s">
        <v>181</v>
      </c>
      <c r="K52" s="0"/>
      <c r="L52" s="34" t="s">
        <v>151</v>
      </c>
      <c r="M52" s="110"/>
      <c r="N52" s="110" t="n">
        <v>0</v>
      </c>
      <c r="O52" s="110"/>
      <c r="P52" s="110" t="n">
        <v>0</v>
      </c>
      <c r="Q52" s="110"/>
      <c r="R52" s="110" t="n">
        <f aca="false">+N52+P52</f>
        <v>0</v>
      </c>
      <c r="S52" s="110"/>
      <c r="T52" s="110" t="n">
        <v>0</v>
      </c>
      <c r="U52" s="110"/>
      <c r="V52" s="110" t="n">
        <v>0</v>
      </c>
      <c r="X52" s="110" t="n">
        <v>0</v>
      </c>
      <c r="Z52" s="110" t="n">
        <v>0</v>
      </c>
      <c r="AB52" s="110" t="n">
        <v>0</v>
      </c>
      <c r="AD52" s="110" t="n">
        <v>0</v>
      </c>
      <c r="AF52" s="110" t="n">
        <v>0</v>
      </c>
      <c r="AH52" s="110" t="n">
        <v>0</v>
      </c>
      <c r="AJ52" s="110" t="n">
        <v>0</v>
      </c>
      <c r="AN52" s="110" t="n">
        <v>0</v>
      </c>
      <c r="AP52" s="110" t="n">
        <v>0</v>
      </c>
      <c r="AR52" s="110" t="n">
        <v>0</v>
      </c>
      <c r="AT52" s="110" t="n">
        <v>0</v>
      </c>
      <c r="AV52" s="110" t="n">
        <v>0</v>
      </c>
      <c r="AX52" s="110" t="n">
        <v>0</v>
      </c>
      <c r="AZ52" s="110" t="n">
        <v>0</v>
      </c>
      <c r="BB52" s="110" t="n">
        <v>0</v>
      </c>
      <c r="BD52" s="110" t="n">
        <v>0</v>
      </c>
      <c r="BF52" s="110" t="n">
        <v>0</v>
      </c>
      <c r="BH52" s="110" t="n">
        <v>0</v>
      </c>
      <c r="BJ52" s="110" t="n">
        <v>0</v>
      </c>
      <c r="BL52" s="110" t="n">
        <v>0</v>
      </c>
      <c r="BM52" s="110"/>
      <c r="BN52" s="110" t="n">
        <f aca="false">SUM(T52:BM52)</f>
        <v>0</v>
      </c>
      <c r="BO52" s="110"/>
      <c r="BP52" s="110" t="n">
        <v>0</v>
      </c>
      <c r="BQ52" s="110"/>
      <c r="BR52" s="110" t="n">
        <f aca="false">IF(+R52-BN52+BP52&gt;0,R52-BN52+BP52,0)</f>
        <v>0</v>
      </c>
      <c r="BT52" s="110" t="n">
        <f aca="false">+BN52+BR52</f>
        <v>0</v>
      </c>
      <c r="BV52" s="110" t="n">
        <f aca="false">+R52-BT52</f>
        <v>0</v>
      </c>
      <c r="BW52" s="110"/>
    </row>
    <row r="53" customFormat="false" ht="12.75" hidden="true" customHeight="false" outlineLevel="0" collapsed="false">
      <c r="A53" s="225"/>
      <c r="B53" s="161" t="s">
        <v>325</v>
      </c>
      <c r="C53" s="0"/>
      <c r="D53" s="0"/>
      <c r="E53" s="0"/>
      <c r="F53" s="0"/>
      <c r="G53" s="0"/>
      <c r="H53" s="0"/>
      <c r="I53" s="0"/>
      <c r="J53" s="4" t="s">
        <v>181</v>
      </c>
      <c r="K53" s="0"/>
      <c r="L53" s="34" t="s">
        <v>151</v>
      </c>
      <c r="M53" s="110"/>
      <c r="N53" s="110" t="n">
        <v>0</v>
      </c>
      <c r="O53" s="110"/>
      <c r="P53" s="110" t="n">
        <v>0</v>
      </c>
      <c r="Q53" s="110"/>
      <c r="R53" s="110" t="n">
        <f aca="false">+N53+P53</f>
        <v>0</v>
      </c>
      <c r="S53" s="110"/>
      <c r="T53" s="110" t="n">
        <v>0</v>
      </c>
      <c r="U53" s="110"/>
      <c r="V53" s="110" t="n">
        <v>0</v>
      </c>
      <c r="X53" s="110" t="n">
        <v>0</v>
      </c>
      <c r="Z53" s="110" t="n">
        <v>0</v>
      </c>
      <c r="AB53" s="110" t="n">
        <v>0</v>
      </c>
      <c r="AD53" s="110" t="n">
        <v>0</v>
      </c>
      <c r="AF53" s="110" t="n">
        <v>0</v>
      </c>
      <c r="AH53" s="110" t="n">
        <v>0</v>
      </c>
      <c r="AJ53" s="110" t="n">
        <v>0</v>
      </c>
      <c r="AN53" s="110" t="n">
        <v>0</v>
      </c>
      <c r="AP53" s="110" t="n">
        <v>0</v>
      </c>
      <c r="AR53" s="110" t="n">
        <v>0</v>
      </c>
      <c r="AT53" s="110" t="n">
        <v>0</v>
      </c>
      <c r="AV53" s="110" t="n">
        <v>0</v>
      </c>
      <c r="AX53" s="110" t="n">
        <v>0</v>
      </c>
      <c r="AZ53" s="110" t="n">
        <v>0</v>
      </c>
      <c r="BB53" s="110" t="n">
        <v>0</v>
      </c>
      <c r="BD53" s="110" t="n">
        <v>0</v>
      </c>
      <c r="BF53" s="110" t="n">
        <v>0</v>
      </c>
      <c r="BH53" s="110" t="n">
        <v>0</v>
      </c>
      <c r="BJ53" s="110" t="n">
        <v>0</v>
      </c>
      <c r="BL53" s="110" t="n">
        <v>0</v>
      </c>
      <c r="BM53" s="110"/>
      <c r="BN53" s="110" t="n">
        <f aca="false">SUM(T53:BM53)</f>
        <v>0</v>
      </c>
      <c r="BO53" s="110"/>
      <c r="BP53" s="110" t="n">
        <v>0</v>
      </c>
      <c r="BQ53" s="110"/>
      <c r="BR53" s="110" t="n">
        <f aca="false">IF(+R53-BN53+BP53&gt;0,R53-BN53+BP53,0)</f>
        <v>0</v>
      </c>
      <c r="BT53" s="110" t="n">
        <f aca="false">+BN53+BR53</f>
        <v>0</v>
      </c>
      <c r="BV53" s="110" t="n">
        <f aca="false">+R53-BT53</f>
        <v>0</v>
      </c>
      <c r="BW53" s="110"/>
    </row>
    <row r="54" customFormat="false" ht="12.75" hidden="true" customHeight="false" outlineLevel="0" collapsed="false">
      <c r="A54" s="225"/>
      <c r="B54" s="161" t="s">
        <v>326</v>
      </c>
      <c r="C54" s="0"/>
      <c r="D54" s="0"/>
      <c r="E54" s="0"/>
      <c r="F54" s="0"/>
      <c r="G54" s="0"/>
      <c r="H54" s="0"/>
      <c r="I54" s="0"/>
      <c r="J54" s="4" t="s">
        <v>181</v>
      </c>
      <c r="K54" s="0"/>
      <c r="L54" s="34" t="s">
        <v>151</v>
      </c>
      <c r="M54" s="110"/>
      <c r="N54" s="110" t="n">
        <v>0</v>
      </c>
      <c r="O54" s="110"/>
      <c r="P54" s="110" t="n">
        <v>0</v>
      </c>
      <c r="Q54" s="110"/>
      <c r="R54" s="110" t="n">
        <f aca="false">+N54+P54</f>
        <v>0</v>
      </c>
      <c r="S54" s="110"/>
      <c r="T54" s="110" t="n">
        <v>0</v>
      </c>
      <c r="U54" s="110"/>
      <c r="V54" s="110" t="n">
        <v>0</v>
      </c>
      <c r="X54" s="110" t="n">
        <v>0</v>
      </c>
      <c r="Z54" s="110" t="n">
        <v>0</v>
      </c>
      <c r="AB54" s="110" t="n">
        <v>0</v>
      </c>
      <c r="AD54" s="110" t="n">
        <v>0</v>
      </c>
      <c r="AF54" s="110" t="n">
        <v>0</v>
      </c>
      <c r="AH54" s="110" t="n">
        <v>0</v>
      </c>
      <c r="AJ54" s="110" t="n">
        <v>0</v>
      </c>
      <c r="AN54" s="110" t="n">
        <v>0</v>
      </c>
      <c r="AP54" s="110" t="n">
        <v>0</v>
      </c>
      <c r="AR54" s="110" t="n">
        <v>0</v>
      </c>
      <c r="AT54" s="110" t="n">
        <v>0</v>
      </c>
      <c r="AV54" s="110" t="n">
        <v>0</v>
      </c>
      <c r="AX54" s="110" t="n">
        <v>0</v>
      </c>
      <c r="AZ54" s="110" t="n">
        <v>0</v>
      </c>
      <c r="BB54" s="110" t="n">
        <v>0</v>
      </c>
      <c r="BD54" s="110" t="n">
        <v>0</v>
      </c>
      <c r="BF54" s="110" t="n">
        <v>0</v>
      </c>
      <c r="BH54" s="110" t="n">
        <v>0</v>
      </c>
      <c r="BJ54" s="110" t="n">
        <v>0</v>
      </c>
      <c r="BL54" s="110" t="n">
        <v>0</v>
      </c>
      <c r="BM54" s="110"/>
      <c r="BN54" s="110" t="n">
        <f aca="false">SUM(T54:BM54)</f>
        <v>0</v>
      </c>
      <c r="BO54" s="110"/>
      <c r="BP54" s="110" t="n">
        <v>0</v>
      </c>
      <c r="BQ54" s="110"/>
      <c r="BR54" s="110" t="n">
        <f aca="false">IF(+R54-BN54+BP54&gt;0,R54-BN54+BP54,0)</f>
        <v>0</v>
      </c>
      <c r="BT54" s="110" t="n">
        <f aca="false">+BN54+BR54</f>
        <v>0</v>
      </c>
      <c r="BV54" s="110" t="n">
        <f aca="false">+R54-BT54</f>
        <v>0</v>
      </c>
      <c r="BW54" s="110"/>
    </row>
    <row r="55" customFormat="false" ht="12.75" hidden="true" customHeight="false" outlineLevel="0" collapsed="false">
      <c r="A55" s="225"/>
      <c r="B55" s="161" t="s">
        <v>327</v>
      </c>
      <c r="C55" s="0"/>
      <c r="D55" s="0"/>
      <c r="E55" s="0"/>
      <c r="F55" s="0"/>
      <c r="G55" s="0"/>
      <c r="H55" s="0"/>
      <c r="I55" s="0"/>
      <c r="J55" s="4" t="s">
        <v>181</v>
      </c>
      <c r="K55" s="0"/>
      <c r="L55" s="34" t="s">
        <v>151</v>
      </c>
      <c r="M55" s="110"/>
      <c r="N55" s="110" t="n">
        <v>0</v>
      </c>
      <c r="O55" s="110"/>
      <c r="P55" s="110" t="n">
        <v>0</v>
      </c>
      <c r="Q55" s="110"/>
      <c r="R55" s="110" t="n">
        <f aca="false">+N55+P55</f>
        <v>0</v>
      </c>
      <c r="S55" s="110"/>
      <c r="T55" s="110" t="n">
        <v>0</v>
      </c>
      <c r="U55" s="110"/>
      <c r="V55" s="110" t="n">
        <v>0</v>
      </c>
      <c r="X55" s="110" t="n">
        <v>0</v>
      </c>
      <c r="Z55" s="110" t="n">
        <v>0</v>
      </c>
      <c r="AB55" s="110" t="n">
        <v>0</v>
      </c>
      <c r="AD55" s="110" t="n">
        <v>0</v>
      </c>
      <c r="AF55" s="110" t="n">
        <v>0</v>
      </c>
      <c r="AH55" s="110" t="n">
        <v>0</v>
      </c>
      <c r="AJ55" s="110" t="n">
        <v>0</v>
      </c>
      <c r="AN55" s="110" t="n">
        <v>0</v>
      </c>
      <c r="AP55" s="110" t="n">
        <v>0</v>
      </c>
      <c r="AR55" s="110" t="n">
        <v>0</v>
      </c>
      <c r="AT55" s="110" t="n">
        <v>0</v>
      </c>
      <c r="AV55" s="110" t="n">
        <v>0</v>
      </c>
      <c r="AX55" s="110" t="n">
        <v>0</v>
      </c>
      <c r="AZ55" s="110" t="n">
        <v>0</v>
      </c>
      <c r="BB55" s="110" t="n">
        <v>0</v>
      </c>
      <c r="BD55" s="110" t="n">
        <v>0</v>
      </c>
      <c r="BF55" s="110" t="n">
        <v>0</v>
      </c>
      <c r="BH55" s="110" t="n">
        <v>0</v>
      </c>
      <c r="BJ55" s="110" t="n">
        <v>0</v>
      </c>
      <c r="BL55" s="110" t="n">
        <v>0</v>
      </c>
      <c r="BM55" s="110"/>
      <c r="BN55" s="110" t="n">
        <f aca="false">SUM(T55:BM55)</f>
        <v>0</v>
      </c>
      <c r="BO55" s="110"/>
      <c r="BP55" s="110" t="n">
        <v>0</v>
      </c>
      <c r="BQ55" s="110"/>
      <c r="BR55" s="110" t="n">
        <f aca="false">IF(+R55-BN55+BP55&gt;0,R55-BN55+BP55,0)</f>
        <v>0</v>
      </c>
      <c r="BT55" s="110" t="n">
        <f aca="false">+BN55+BR55</f>
        <v>0</v>
      </c>
      <c r="BV55" s="110" t="n">
        <f aca="false">+R55-BT55</f>
        <v>0</v>
      </c>
      <c r="BW55" s="110"/>
    </row>
    <row r="56" customFormat="false" ht="12.75" hidden="true" customHeight="false" outlineLevel="0" collapsed="false">
      <c r="A56" s="225"/>
      <c r="B56" s="161" t="s">
        <v>328</v>
      </c>
      <c r="C56" s="0"/>
      <c r="D56" s="0"/>
      <c r="E56" s="0"/>
      <c r="F56" s="0"/>
      <c r="G56" s="0"/>
      <c r="H56" s="0"/>
      <c r="I56" s="0"/>
      <c r="J56" s="4" t="s">
        <v>181</v>
      </c>
      <c r="K56" s="0"/>
      <c r="L56" s="34" t="s">
        <v>151</v>
      </c>
      <c r="M56" s="110"/>
      <c r="N56" s="110" t="n">
        <v>0</v>
      </c>
      <c r="O56" s="110"/>
      <c r="P56" s="110" t="n">
        <v>0</v>
      </c>
      <c r="Q56" s="110"/>
      <c r="R56" s="110" t="n">
        <f aca="false">+N56+P56</f>
        <v>0</v>
      </c>
      <c r="S56" s="110"/>
      <c r="T56" s="110" t="n">
        <v>0</v>
      </c>
      <c r="U56" s="110"/>
      <c r="V56" s="110" t="n">
        <v>0</v>
      </c>
      <c r="X56" s="110" t="n">
        <v>0</v>
      </c>
      <c r="Z56" s="110" t="n">
        <v>0</v>
      </c>
      <c r="AB56" s="110" t="n">
        <v>0</v>
      </c>
      <c r="AD56" s="110" t="n">
        <v>0</v>
      </c>
      <c r="AF56" s="110" t="n">
        <v>0</v>
      </c>
      <c r="AH56" s="110" t="n">
        <v>0</v>
      </c>
      <c r="AJ56" s="110" t="n">
        <v>0</v>
      </c>
      <c r="AN56" s="110" t="n">
        <v>0</v>
      </c>
      <c r="AP56" s="110" t="n">
        <v>0</v>
      </c>
      <c r="AR56" s="110" t="n">
        <v>0</v>
      </c>
      <c r="AT56" s="110" t="n">
        <v>0</v>
      </c>
      <c r="AV56" s="110" t="n">
        <v>0</v>
      </c>
      <c r="AX56" s="110" t="n">
        <v>0</v>
      </c>
      <c r="AZ56" s="110" t="n">
        <v>0</v>
      </c>
      <c r="BB56" s="110" t="n">
        <v>0</v>
      </c>
      <c r="BD56" s="110" t="n">
        <v>0</v>
      </c>
      <c r="BF56" s="110" t="n">
        <v>0</v>
      </c>
      <c r="BH56" s="110" t="n">
        <v>0</v>
      </c>
      <c r="BJ56" s="110" t="n">
        <v>0</v>
      </c>
      <c r="BL56" s="110" t="n">
        <v>0</v>
      </c>
      <c r="BM56" s="110"/>
      <c r="BN56" s="110" t="n">
        <f aca="false">SUM(T56:BM56)</f>
        <v>0</v>
      </c>
      <c r="BO56" s="110"/>
      <c r="BP56" s="110" t="n">
        <v>0</v>
      </c>
      <c r="BQ56" s="110"/>
      <c r="BR56" s="110" t="n">
        <f aca="false">IF(+R56-BN56+BP56&gt;0,R56-BN56+BP56,0)</f>
        <v>0</v>
      </c>
      <c r="BT56" s="110" t="n">
        <f aca="false">+BN56+BR56</f>
        <v>0</v>
      </c>
      <c r="BV56" s="110" t="n">
        <f aca="false">+R56-BT56</f>
        <v>0</v>
      </c>
      <c r="BW56" s="110"/>
    </row>
    <row r="57" customFormat="false" ht="12.75" hidden="true" customHeight="false" outlineLevel="0" collapsed="false">
      <c r="A57" s="225"/>
      <c r="B57" s="161" t="s">
        <v>329</v>
      </c>
      <c r="C57" s="0"/>
      <c r="D57" s="0"/>
      <c r="E57" s="0"/>
      <c r="F57" s="0"/>
      <c r="G57" s="0"/>
      <c r="H57" s="0"/>
      <c r="I57" s="0"/>
      <c r="J57" s="4" t="s">
        <v>181</v>
      </c>
      <c r="K57" s="0"/>
      <c r="L57" s="34" t="s">
        <v>151</v>
      </c>
      <c r="M57" s="110"/>
      <c r="N57" s="110" t="n">
        <v>0</v>
      </c>
      <c r="O57" s="110"/>
      <c r="P57" s="110" t="n">
        <v>0</v>
      </c>
      <c r="Q57" s="110"/>
      <c r="R57" s="110" t="n">
        <f aca="false">+N57+P57</f>
        <v>0</v>
      </c>
      <c r="S57" s="110"/>
      <c r="T57" s="110" t="n">
        <v>0</v>
      </c>
      <c r="U57" s="110"/>
      <c r="V57" s="110" t="n">
        <v>0</v>
      </c>
      <c r="X57" s="110" t="n">
        <v>0</v>
      </c>
      <c r="Z57" s="110" t="n">
        <v>0</v>
      </c>
      <c r="AB57" s="110" t="n">
        <v>0</v>
      </c>
      <c r="AD57" s="110" t="n">
        <v>0</v>
      </c>
      <c r="AF57" s="110" t="n">
        <v>0</v>
      </c>
      <c r="AH57" s="110" t="n">
        <v>0</v>
      </c>
      <c r="AJ57" s="110" t="n">
        <v>0</v>
      </c>
      <c r="AN57" s="110" t="n">
        <v>0</v>
      </c>
      <c r="AP57" s="110" t="n">
        <v>0</v>
      </c>
      <c r="AR57" s="110" t="n">
        <v>0</v>
      </c>
      <c r="AT57" s="110" t="n">
        <v>0</v>
      </c>
      <c r="AV57" s="110" t="n">
        <v>0</v>
      </c>
      <c r="AX57" s="110" t="n">
        <v>0</v>
      </c>
      <c r="AZ57" s="110" t="n">
        <v>0</v>
      </c>
      <c r="BB57" s="110" t="n">
        <v>0</v>
      </c>
      <c r="BD57" s="110" t="n">
        <v>0</v>
      </c>
      <c r="BF57" s="110" t="n">
        <v>0</v>
      </c>
      <c r="BH57" s="110" t="n">
        <v>0</v>
      </c>
      <c r="BJ57" s="110" t="n">
        <v>0</v>
      </c>
      <c r="BL57" s="110" t="n">
        <v>0</v>
      </c>
      <c r="BM57" s="110"/>
      <c r="BN57" s="110" t="n">
        <f aca="false">SUM(T57:BM57)</f>
        <v>0</v>
      </c>
      <c r="BO57" s="110"/>
      <c r="BP57" s="110" t="n">
        <v>0</v>
      </c>
      <c r="BQ57" s="110"/>
      <c r="BR57" s="110" t="n">
        <f aca="false">IF(+R57-BN57+BP57&gt;0,R57-BN57+BP57,0)</f>
        <v>0</v>
      </c>
      <c r="BT57" s="110" t="n">
        <f aca="false">+BN57+BR57</f>
        <v>0</v>
      </c>
      <c r="BV57" s="110" t="n">
        <f aca="false">+R57-BT57</f>
        <v>0</v>
      </c>
      <c r="BW57" s="110"/>
    </row>
    <row r="58" customFormat="false" ht="12.75" hidden="true" customHeight="false" outlineLevel="0" collapsed="false">
      <c r="A58" s="225"/>
      <c r="B58" s="161" t="s">
        <v>330</v>
      </c>
      <c r="C58" s="0"/>
      <c r="D58" s="0"/>
      <c r="E58" s="0"/>
      <c r="F58" s="0"/>
      <c r="G58" s="0"/>
      <c r="H58" s="0"/>
      <c r="I58" s="0"/>
      <c r="J58" s="4" t="s">
        <v>181</v>
      </c>
      <c r="K58" s="0"/>
      <c r="L58" s="34" t="s">
        <v>151</v>
      </c>
      <c r="M58" s="110"/>
      <c r="N58" s="110" t="n">
        <v>0</v>
      </c>
      <c r="O58" s="110"/>
      <c r="P58" s="110" t="n">
        <v>0</v>
      </c>
      <c r="Q58" s="110"/>
      <c r="R58" s="110" t="n">
        <f aca="false">+N58+P58</f>
        <v>0</v>
      </c>
      <c r="S58" s="110"/>
      <c r="T58" s="110" t="n">
        <v>0</v>
      </c>
      <c r="U58" s="110"/>
      <c r="V58" s="110" t="n">
        <v>0</v>
      </c>
      <c r="X58" s="110" t="n">
        <v>0</v>
      </c>
      <c r="Z58" s="110" t="n">
        <v>0</v>
      </c>
      <c r="AB58" s="110" t="n">
        <v>0</v>
      </c>
      <c r="AD58" s="110" t="n">
        <v>0</v>
      </c>
      <c r="AF58" s="110" t="n">
        <v>0</v>
      </c>
      <c r="AH58" s="110" t="n">
        <v>0</v>
      </c>
      <c r="AJ58" s="110" t="n">
        <v>0</v>
      </c>
      <c r="AN58" s="110" t="n">
        <v>0</v>
      </c>
      <c r="AP58" s="110" t="n">
        <v>0</v>
      </c>
      <c r="AR58" s="110" t="n">
        <v>0</v>
      </c>
      <c r="AT58" s="110" t="n">
        <v>0</v>
      </c>
      <c r="AV58" s="110" t="n">
        <v>0</v>
      </c>
      <c r="AX58" s="110" t="n">
        <v>0</v>
      </c>
      <c r="AZ58" s="110" t="n">
        <v>0</v>
      </c>
      <c r="BB58" s="110" t="n">
        <v>0</v>
      </c>
      <c r="BD58" s="110" t="n">
        <v>0</v>
      </c>
      <c r="BF58" s="110" t="n">
        <v>0</v>
      </c>
      <c r="BH58" s="110" t="n">
        <v>0</v>
      </c>
      <c r="BJ58" s="110" t="n">
        <v>0</v>
      </c>
      <c r="BL58" s="110" t="n">
        <v>0</v>
      </c>
      <c r="BM58" s="110"/>
      <c r="BN58" s="110" t="n">
        <f aca="false">SUM(T58:BM58)</f>
        <v>0</v>
      </c>
      <c r="BO58" s="110"/>
      <c r="BP58" s="110" t="n">
        <v>0</v>
      </c>
      <c r="BQ58" s="110"/>
      <c r="BR58" s="110" t="n">
        <f aca="false">IF(+R58-BN58+BP58&gt;0,R58-BN58+BP58,0)</f>
        <v>0</v>
      </c>
      <c r="BT58" s="110" t="n">
        <f aca="false">+BN58+BR58</f>
        <v>0</v>
      </c>
      <c r="BV58" s="110" t="n">
        <f aca="false">+R58-BT58</f>
        <v>0</v>
      </c>
      <c r="BW58" s="110"/>
    </row>
    <row r="59" customFormat="false" ht="12.75" hidden="true" customHeight="false" outlineLevel="0" collapsed="false">
      <c r="A59" s="225"/>
      <c r="B59" s="161" t="s">
        <v>331</v>
      </c>
      <c r="C59" s="0"/>
      <c r="D59" s="0"/>
      <c r="E59" s="0"/>
      <c r="F59" s="0"/>
      <c r="G59" s="0"/>
      <c r="H59" s="0"/>
      <c r="I59" s="0"/>
      <c r="J59" s="4" t="s">
        <v>181</v>
      </c>
      <c r="K59" s="0"/>
      <c r="L59" s="34" t="s">
        <v>151</v>
      </c>
      <c r="M59" s="110"/>
      <c r="N59" s="110" t="n">
        <v>0</v>
      </c>
      <c r="O59" s="110"/>
      <c r="P59" s="110" t="n">
        <v>0</v>
      </c>
      <c r="Q59" s="110"/>
      <c r="R59" s="110" t="n">
        <f aca="false">+N59+P59</f>
        <v>0</v>
      </c>
      <c r="S59" s="110"/>
      <c r="T59" s="110" t="n">
        <v>0</v>
      </c>
      <c r="U59" s="110"/>
      <c r="V59" s="110" t="n">
        <v>0</v>
      </c>
      <c r="X59" s="110" t="n">
        <v>0</v>
      </c>
      <c r="Z59" s="110" t="n">
        <v>0</v>
      </c>
      <c r="AB59" s="110" t="n">
        <v>0</v>
      </c>
      <c r="AD59" s="110" t="n">
        <v>0</v>
      </c>
      <c r="AF59" s="110" t="n">
        <v>0</v>
      </c>
      <c r="AH59" s="110" t="n">
        <v>0</v>
      </c>
      <c r="AJ59" s="110" t="n">
        <v>0</v>
      </c>
      <c r="AN59" s="110" t="n">
        <v>0</v>
      </c>
      <c r="AP59" s="110" t="n">
        <v>0</v>
      </c>
      <c r="AR59" s="110" t="n">
        <v>0</v>
      </c>
      <c r="AT59" s="110" t="n">
        <v>0</v>
      </c>
      <c r="AV59" s="110" t="n">
        <v>0</v>
      </c>
      <c r="AX59" s="110" t="n">
        <v>0</v>
      </c>
      <c r="AZ59" s="110" t="n">
        <v>0</v>
      </c>
      <c r="BB59" s="110" t="n">
        <v>0</v>
      </c>
      <c r="BD59" s="110" t="n">
        <v>0</v>
      </c>
      <c r="BF59" s="110" t="n">
        <v>0</v>
      </c>
      <c r="BH59" s="110" t="n">
        <v>0</v>
      </c>
      <c r="BJ59" s="110" t="n">
        <v>0</v>
      </c>
      <c r="BL59" s="110" t="n">
        <v>0</v>
      </c>
      <c r="BM59" s="110"/>
      <c r="BN59" s="110" t="n">
        <f aca="false">SUM(T59:BM59)</f>
        <v>0</v>
      </c>
      <c r="BO59" s="110"/>
      <c r="BP59" s="110" t="n">
        <v>0</v>
      </c>
      <c r="BQ59" s="110"/>
      <c r="BR59" s="110" t="n">
        <f aca="false">IF(+R59-BN59+BP59&gt;0,R59-BN59+BP59,0)</f>
        <v>0</v>
      </c>
      <c r="BT59" s="110" t="n">
        <f aca="false">+BN59+BR59</f>
        <v>0</v>
      </c>
      <c r="BV59" s="110" t="n">
        <f aca="false">+R59-BT59</f>
        <v>0</v>
      </c>
      <c r="BW59" s="110"/>
    </row>
    <row r="60" customFormat="false" ht="12.75" hidden="true" customHeight="false" outlineLevel="0" collapsed="false">
      <c r="A60" s="225"/>
      <c r="B60" s="161" t="s">
        <v>332</v>
      </c>
      <c r="C60" s="0"/>
      <c r="D60" s="0"/>
      <c r="E60" s="0"/>
      <c r="F60" s="0"/>
      <c r="G60" s="0"/>
      <c r="H60" s="0"/>
      <c r="I60" s="0"/>
      <c r="J60" s="4" t="s">
        <v>181</v>
      </c>
      <c r="K60" s="0"/>
      <c r="L60" s="34" t="s">
        <v>151</v>
      </c>
      <c r="M60" s="110"/>
      <c r="N60" s="110" t="n">
        <v>0</v>
      </c>
      <c r="O60" s="110"/>
      <c r="P60" s="110" t="n">
        <v>0</v>
      </c>
      <c r="Q60" s="110"/>
      <c r="R60" s="110" t="n">
        <f aca="false">+N60+P60</f>
        <v>0</v>
      </c>
      <c r="S60" s="110"/>
      <c r="T60" s="110" t="n">
        <v>0</v>
      </c>
      <c r="U60" s="110"/>
      <c r="V60" s="110" t="n">
        <v>0</v>
      </c>
      <c r="X60" s="110" t="n">
        <v>0</v>
      </c>
      <c r="Z60" s="110" t="n">
        <v>0</v>
      </c>
      <c r="AB60" s="110" t="n">
        <v>0</v>
      </c>
      <c r="AD60" s="110" t="n">
        <v>0</v>
      </c>
      <c r="AF60" s="110" t="n">
        <v>0</v>
      </c>
      <c r="AH60" s="110" t="n">
        <v>0</v>
      </c>
      <c r="AJ60" s="110" t="n">
        <v>0</v>
      </c>
      <c r="AN60" s="110" t="n">
        <v>0</v>
      </c>
      <c r="AP60" s="110" t="n">
        <v>0</v>
      </c>
      <c r="AR60" s="110" t="n">
        <v>0</v>
      </c>
      <c r="AT60" s="110" t="n">
        <v>0</v>
      </c>
      <c r="AV60" s="110" t="n">
        <v>0</v>
      </c>
      <c r="AX60" s="110" t="n">
        <v>0</v>
      </c>
      <c r="AZ60" s="110" t="n">
        <v>0</v>
      </c>
      <c r="BB60" s="110" t="n">
        <v>0</v>
      </c>
      <c r="BD60" s="110" t="n">
        <v>0</v>
      </c>
      <c r="BF60" s="110" t="n">
        <v>0</v>
      </c>
      <c r="BH60" s="110" t="n">
        <v>0</v>
      </c>
      <c r="BJ60" s="110" t="n">
        <v>0</v>
      </c>
      <c r="BL60" s="110" t="n">
        <v>0</v>
      </c>
      <c r="BM60" s="110"/>
      <c r="BN60" s="110" t="n">
        <f aca="false">SUM(T60:BM60)</f>
        <v>0</v>
      </c>
      <c r="BO60" s="110"/>
      <c r="BP60" s="110" t="n">
        <v>0</v>
      </c>
      <c r="BQ60" s="110"/>
      <c r="BR60" s="110" t="n">
        <f aca="false">IF(+R60-BN60+BP60&gt;0,R60-BN60+BP60,0)</f>
        <v>0</v>
      </c>
      <c r="BT60" s="110" t="n">
        <f aca="false">+BN60+BR60</f>
        <v>0</v>
      </c>
      <c r="BV60" s="110" t="n">
        <f aca="false">+R60-BT60</f>
        <v>0</v>
      </c>
      <c r="BW60" s="110"/>
    </row>
    <row r="61" customFormat="false" ht="12.75" hidden="true" customHeight="false" outlineLevel="0" collapsed="false">
      <c r="A61" s="225"/>
      <c r="B61" s="161" t="s">
        <v>333</v>
      </c>
      <c r="C61" s="0"/>
      <c r="D61" s="0"/>
      <c r="E61" s="0"/>
      <c r="F61" s="0"/>
      <c r="G61" s="0"/>
      <c r="H61" s="0"/>
      <c r="I61" s="0"/>
      <c r="J61" s="4" t="s">
        <v>181</v>
      </c>
      <c r="K61" s="0"/>
      <c r="L61" s="34" t="s">
        <v>151</v>
      </c>
      <c r="M61" s="110"/>
      <c r="N61" s="110" t="n">
        <v>0</v>
      </c>
      <c r="O61" s="110"/>
      <c r="P61" s="110" t="n">
        <v>0</v>
      </c>
      <c r="Q61" s="110"/>
      <c r="R61" s="110" t="n">
        <f aca="false">+N61+P61</f>
        <v>0</v>
      </c>
      <c r="S61" s="110"/>
      <c r="T61" s="110" t="n">
        <v>0</v>
      </c>
      <c r="U61" s="110"/>
      <c r="V61" s="110" t="n">
        <v>0</v>
      </c>
      <c r="X61" s="110" t="n">
        <v>0</v>
      </c>
      <c r="Z61" s="110" t="n">
        <v>0</v>
      </c>
      <c r="AB61" s="110" t="n">
        <v>0</v>
      </c>
      <c r="AD61" s="110" t="n">
        <v>0</v>
      </c>
      <c r="AF61" s="110" t="n">
        <v>0</v>
      </c>
      <c r="AH61" s="110" t="n">
        <v>0</v>
      </c>
      <c r="AJ61" s="110" t="n">
        <v>0</v>
      </c>
      <c r="AN61" s="110" t="n">
        <v>0</v>
      </c>
      <c r="AP61" s="110" t="n">
        <v>0</v>
      </c>
      <c r="AR61" s="110" t="n">
        <v>0</v>
      </c>
      <c r="AT61" s="110" t="n">
        <v>0</v>
      </c>
      <c r="AV61" s="110" t="n">
        <v>0</v>
      </c>
      <c r="AX61" s="110" t="n">
        <v>0</v>
      </c>
      <c r="AZ61" s="110" t="n">
        <v>0</v>
      </c>
      <c r="BB61" s="110" t="n">
        <v>0</v>
      </c>
      <c r="BD61" s="110" t="n">
        <v>0</v>
      </c>
      <c r="BF61" s="110" t="n">
        <v>0</v>
      </c>
      <c r="BH61" s="110" t="n">
        <v>0</v>
      </c>
      <c r="BJ61" s="110" t="n">
        <v>0</v>
      </c>
      <c r="BL61" s="110" t="n">
        <v>0</v>
      </c>
      <c r="BM61" s="110"/>
      <c r="BN61" s="110" t="n">
        <f aca="false">SUM(T61:BM61)</f>
        <v>0</v>
      </c>
      <c r="BO61" s="110"/>
      <c r="BP61" s="110" t="n">
        <v>0</v>
      </c>
      <c r="BQ61" s="110"/>
      <c r="BR61" s="110" t="n">
        <f aca="false">IF(+R61-BN61+BP61&gt;0,R61-BN61+BP61,0)</f>
        <v>0</v>
      </c>
      <c r="BT61" s="110" t="n">
        <f aca="false">+BN61+BR61</f>
        <v>0</v>
      </c>
      <c r="BV61" s="110" t="n">
        <f aca="false">+R61-BT61</f>
        <v>0</v>
      </c>
      <c r="BW61" s="110"/>
    </row>
    <row r="62" customFormat="false" ht="12.75" hidden="true" customHeight="false" outlineLevel="0" collapsed="false">
      <c r="A62" s="225"/>
      <c r="B62" s="161" t="s">
        <v>334</v>
      </c>
      <c r="C62" s="0"/>
      <c r="D62" s="0"/>
      <c r="E62" s="0"/>
      <c r="F62" s="0"/>
      <c r="G62" s="0"/>
      <c r="H62" s="0"/>
      <c r="I62" s="0"/>
      <c r="J62" s="4" t="s">
        <v>181</v>
      </c>
      <c r="K62" s="0"/>
      <c r="L62" s="34" t="s">
        <v>151</v>
      </c>
      <c r="M62" s="110"/>
      <c r="N62" s="110" t="n">
        <v>0</v>
      </c>
      <c r="O62" s="110"/>
      <c r="P62" s="110" t="n">
        <v>0</v>
      </c>
      <c r="Q62" s="110"/>
      <c r="R62" s="110" t="n">
        <f aca="false">+N62+P62</f>
        <v>0</v>
      </c>
      <c r="S62" s="110"/>
      <c r="T62" s="110" t="n">
        <v>0</v>
      </c>
      <c r="U62" s="110"/>
      <c r="V62" s="110" t="n">
        <v>0</v>
      </c>
      <c r="X62" s="110" t="n">
        <v>0</v>
      </c>
      <c r="Z62" s="110" t="n">
        <v>0</v>
      </c>
      <c r="AB62" s="110" t="n">
        <v>0</v>
      </c>
      <c r="AD62" s="110" t="n">
        <v>0</v>
      </c>
      <c r="AF62" s="110" t="n">
        <v>0</v>
      </c>
      <c r="AH62" s="110" t="n">
        <v>0</v>
      </c>
      <c r="AJ62" s="110" t="n">
        <v>0</v>
      </c>
      <c r="AN62" s="110" t="n">
        <v>0</v>
      </c>
      <c r="AP62" s="110" t="n">
        <v>0</v>
      </c>
      <c r="AR62" s="110" t="n">
        <v>0</v>
      </c>
      <c r="AT62" s="110" t="n">
        <v>0</v>
      </c>
      <c r="AV62" s="110" t="n">
        <v>0</v>
      </c>
      <c r="AX62" s="110" t="n">
        <v>0</v>
      </c>
      <c r="AZ62" s="110" t="n">
        <v>0</v>
      </c>
      <c r="BB62" s="110" t="n">
        <v>0</v>
      </c>
      <c r="BD62" s="110" t="n">
        <v>0</v>
      </c>
      <c r="BF62" s="110" t="n">
        <v>0</v>
      </c>
      <c r="BH62" s="110" t="n">
        <v>0</v>
      </c>
      <c r="BJ62" s="110" t="n">
        <v>0</v>
      </c>
      <c r="BL62" s="110" t="n">
        <v>0</v>
      </c>
      <c r="BM62" s="110"/>
      <c r="BN62" s="110" t="n">
        <f aca="false">SUM(T62:BM62)</f>
        <v>0</v>
      </c>
      <c r="BO62" s="110"/>
      <c r="BP62" s="110" t="n">
        <v>0</v>
      </c>
      <c r="BQ62" s="110"/>
      <c r="BR62" s="110" t="n">
        <f aca="false">IF(+R62-BN62+BP62&gt;0,R62-BN62+BP62,0)</f>
        <v>0</v>
      </c>
      <c r="BT62" s="110" t="n">
        <f aca="false">+BN62+BR62</f>
        <v>0</v>
      </c>
      <c r="BV62" s="110" t="n">
        <f aca="false">+R62-BT62</f>
        <v>0</v>
      </c>
      <c r="BW62" s="110"/>
    </row>
    <row r="63" customFormat="false" ht="12.75" hidden="true" customHeight="false" outlineLevel="0" collapsed="false">
      <c r="A63" s="225"/>
      <c r="B63" s="161" t="s">
        <v>335</v>
      </c>
      <c r="C63" s="0"/>
      <c r="D63" s="0"/>
      <c r="E63" s="0"/>
      <c r="F63" s="0"/>
      <c r="G63" s="0"/>
      <c r="H63" s="0"/>
      <c r="I63" s="0"/>
      <c r="J63" s="4" t="s">
        <v>181</v>
      </c>
      <c r="K63" s="0"/>
      <c r="L63" s="34" t="s">
        <v>151</v>
      </c>
      <c r="M63" s="110"/>
      <c r="N63" s="110" t="n">
        <v>0</v>
      </c>
      <c r="O63" s="110"/>
      <c r="P63" s="110" t="n">
        <v>0</v>
      </c>
      <c r="Q63" s="110"/>
      <c r="R63" s="110" t="n">
        <f aca="false">+N63+P63</f>
        <v>0</v>
      </c>
      <c r="S63" s="110"/>
      <c r="T63" s="110" t="n">
        <v>0</v>
      </c>
      <c r="U63" s="110"/>
      <c r="V63" s="110" t="n">
        <v>0</v>
      </c>
      <c r="X63" s="110" t="n">
        <v>0</v>
      </c>
      <c r="Z63" s="110" t="n">
        <v>0</v>
      </c>
      <c r="AB63" s="110" t="n">
        <v>0</v>
      </c>
      <c r="AD63" s="110" t="n">
        <v>0</v>
      </c>
      <c r="AF63" s="110" t="n">
        <v>0</v>
      </c>
      <c r="AH63" s="110" t="n">
        <v>0</v>
      </c>
      <c r="AJ63" s="110" t="n">
        <v>0</v>
      </c>
      <c r="AN63" s="110" t="n">
        <v>0</v>
      </c>
      <c r="AP63" s="110" t="n">
        <v>0</v>
      </c>
      <c r="AR63" s="110" t="n">
        <v>0</v>
      </c>
      <c r="AT63" s="110" t="n">
        <v>0</v>
      </c>
      <c r="AV63" s="110" t="n">
        <v>0</v>
      </c>
      <c r="AX63" s="110" t="n">
        <v>0</v>
      </c>
      <c r="AZ63" s="110" t="n">
        <v>0</v>
      </c>
      <c r="BB63" s="110" t="n">
        <v>0</v>
      </c>
      <c r="BD63" s="110" t="n">
        <v>0</v>
      </c>
      <c r="BF63" s="110" t="n">
        <v>0</v>
      </c>
      <c r="BH63" s="110" t="n">
        <v>0</v>
      </c>
      <c r="BJ63" s="110" t="n">
        <v>0</v>
      </c>
      <c r="BL63" s="110" t="n">
        <v>0</v>
      </c>
      <c r="BM63" s="110"/>
      <c r="BN63" s="110" t="n">
        <f aca="false">SUM(T63:BM63)</f>
        <v>0</v>
      </c>
      <c r="BO63" s="110"/>
      <c r="BP63" s="110" t="n">
        <v>0</v>
      </c>
      <c r="BQ63" s="110"/>
      <c r="BR63" s="110" t="n">
        <f aca="false">IF(+R63-BN63+BP63&gt;0,R63-BN63+BP63,0)</f>
        <v>0</v>
      </c>
      <c r="BT63" s="110" t="n">
        <f aca="false">+BN63+BR63</f>
        <v>0</v>
      </c>
      <c r="BV63" s="110" t="n">
        <f aca="false">+R63-BT63</f>
        <v>0</v>
      </c>
      <c r="BW63" s="110"/>
    </row>
    <row r="64" customFormat="false" ht="12.75" hidden="true" customHeight="false" outlineLevel="0" collapsed="false">
      <c r="A64" s="225"/>
      <c r="B64" s="161" t="s">
        <v>336</v>
      </c>
      <c r="C64" s="0"/>
      <c r="D64" s="0"/>
      <c r="E64" s="0"/>
      <c r="F64" s="0"/>
      <c r="G64" s="0"/>
      <c r="H64" s="0"/>
      <c r="I64" s="0"/>
      <c r="J64" s="4" t="s">
        <v>181</v>
      </c>
      <c r="K64" s="0"/>
      <c r="L64" s="34" t="s">
        <v>151</v>
      </c>
      <c r="M64" s="110"/>
      <c r="N64" s="110" t="n">
        <v>0</v>
      </c>
      <c r="O64" s="110"/>
      <c r="P64" s="110" t="n">
        <v>0</v>
      </c>
      <c r="Q64" s="110"/>
      <c r="R64" s="110" t="n">
        <f aca="false">+N64+P64</f>
        <v>0</v>
      </c>
      <c r="S64" s="110"/>
      <c r="T64" s="110" t="n">
        <v>0</v>
      </c>
      <c r="U64" s="110"/>
      <c r="V64" s="110" t="n">
        <v>0</v>
      </c>
      <c r="X64" s="110" t="n">
        <v>0</v>
      </c>
      <c r="Z64" s="110" t="n">
        <v>0</v>
      </c>
      <c r="AB64" s="110" t="n">
        <v>0</v>
      </c>
      <c r="AD64" s="110" t="n">
        <v>0</v>
      </c>
      <c r="AF64" s="110" t="n">
        <v>0</v>
      </c>
      <c r="AH64" s="110" t="n">
        <v>0</v>
      </c>
      <c r="AJ64" s="110" t="n">
        <v>0</v>
      </c>
      <c r="AN64" s="110" t="n">
        <v>0</v>
      </c>
      <c r="AP64" s="110" t="n">
        <v>0</v>
      </c>
      <c r="AR64" s="110" t="n">
        <v>0</v>
      </c>
      <c r="AT64" s="110" t="n">
        <v>0</v>
      </c>
      <c r="AV64" s="110" t="n">
        <v>0</v>
      </c>
      <c r="AX64" s="110" t="n">
        <v>0</v>
      </c>
      <c r="AZ64" s="110" t="n">
        <v>0</v>
      </c>
      <c r="BB64" s="110" t="n">
        <v>0</v>
      </c>
      <c r="BD64" s="110" t="n">
        <v>0</v>
      </c>
      <c r="BF64" s="110" t="n">
        <v>0</v>
      </c>
      <c r="BH64" s="110" t="n">
        <v>0</v>
      </c>
      <c r="BJ64" s="110" t="n">
        <v>0</v>
      </c>
      <c r="BL64" s="110" t="n">
        <v>0</v>
      </c>
      <c r="BM64" s="110"/>
      <c r="BN64" s="110" t="n">
        <f aca="false">SUM(T64:BM64)</f>
        <v>0</v>
      </c>
      <c r="BO64" s="110"/>
      <c r="BP64" s="110" t="n">
        <v>0</v>
      </c>
      <c r="BQ64" s="110"/>
      <c r="BR64" s="110" t="n">
        <f aca="false">IF(+R64-BN64+BP64&gt;0,R64-BN64+BP64,0)</f>
        <v>0</v>
      </c>
      <c r="BT64" s="110" t="n">
        <f aca="false">+BN64+BR64</f>
        <v>0</v>
      </c>
      <c r="BV64" s="110" t="n">
        <f aca="false">+R64-BT64</f>
        <v>0</v>
      </c>
      <c r="BW64" s="110"/>
    </row>
    <row r="65" customFormat="false" ht="12.75" hidden="true" customHeight="false" outlineLevel="0" collapsed="false">
      <c r="A65" s="225"/>
      <c r="B65" s="161" t="s">
        <v>337</v>
      </c>
      <c r="C65" s="0"/>
      <c r="D65" s="0"/>
      <c r="E65" s="0"/>
      <c r="F65" s="0"/>
      <c r="G65" s="0"/>
      <c r="H65" s="0"/>
      <c r="I65" s="0"/>
      <c r="J65" s="4" t="s">
        <v>181</v>
      </c>
      <c r="K65" s="0"/>
      <c r="L65" s="34" t="s">
        <v>151</v>
      </c>
      <c r="M65" s="110"/>
      <c r="N65" s="110" t="n">
        <v>0</v>
      </c>
      <c r="O65" s="110"/>
      <c r="P65" s="110" t="n">
        <v>0</v>
      </c>
      <c r="Q65" s="110"/>
      <c r="R65" s="110" t="n">
        <f aca="false">+N65+P65</f>
        <v>0</v>
      </c>
      <c r="S65" s="110"/>
      <c r="T65" s="110" t="n">
        <v>0</v>
      </c>
      <c r="U65" s="110"/>
      <c r="V65" s="110" t="n">
        <v>0</v>
      </c>
      <c r="X65" s="110" t="n">
        <v>0</v>
      </c>
      <c r="Z65" s="110" t="n">
        <v>0</v>
      </c>
      <c r="AB65" s="110" t="n">
        <v>0</v>
      </c>
      <c r="AD65" s="110" t="n">
        <v>0</v>
      </c>
      <c r="AF65" s="110" t="n">
        <v>0</v>
      </c>
      <c r="AH65" s="110" t="n">
        <v>0</v>
      </c>
      <c r="AJ65" s="110" t="n">
        <v>0</v>
      </c>
      <c r="AN65" s="110" t="n">
        <v>0</v>
      </c>
      <c r="AP65" s="110" t="n">
        <v>0</v>
      </c>
      <c r="AR65" s="110" t="n">
        <v>0</v>
      </c>
      <c r="AT65" s="110" t="n">
        <v>0</v>
      </c>
      <c r="AV65" s="110" t="n">
        <v>0</v>
      </c>
      <c r="AX65" s="110" t="n">
        <v>0</v>
      </c>
      <c r="AZ65" s="110" t="n">
        <v>0</v>
      </c>
      <c r="BB65" s="110" t="n">
        <v>0</v>
      </c>
      <c r="BD65" s="110" t="n">
        <v>0</v>
      </c>
      <c r="BF65" s="110" t="n">
        <v>0</v>
      </c>
      <c r="BH65" s="110" t="n">
        <v>0</v>
      </c>
      <c r="BJ65" s="110" t="n">
        <v>0</v>
      </c>
      <c r="BL65" s="110" t="n">
        <v>0</v>
      </c>
      <c r="BM65" s="110"/>
      <c r="BN65" s="110" t="n">
        <f aca="false">SUM(T65:BM65)</f>
        <v>0</v>
      </c>
      <c r="BO65" s="110"/>
      <c r="BP65" s="110" t="n">
        <v>0</v>
      </c>
      <c r="BQ65" s="110"/>
      <c r="BR65" s="110" t="n">
        <f aca="false">IF(+R65-BN65+BP65&gt;0,R65-BN65+BP65,0)</f>
        <v>0</v>
      </c>
      <c r="BT65" s="110" t="n">
        <f aca="false">+BN65+BR65</f>
        <v>0</v>
      </c>
      <c r="BV65" s="110" t="n">
        <f aca="false">+R65-BT65</f>
        <v>0</v>
      </c>
      <c r="BW65" s="110"/>
    </row>
    <row r="66" customFormat="false" ht="12.75" hidden="true" customHeight="false" outlineLevel="0" collapsed="false">
      <c r="A66" s="225"/>
      <c r="B66" s="161" t="s">
        <v>338</v>
      </c>
      <c r="C66" s="0"/>
      <c r="D66" s="0"/>
      <c r="E66" s="0"/>
      <c r="F66" s="0"/>
      <c r="G66" s="0"/>
      <c r="H66" s="0"/>
      <c r="I66" s="0"/>
      <c r="J66" s="4" t="s">
        <v>181</v>
      </c>
      <c r="K66" s="0"/>
      <c r="L66" s="34" t="s">
        <v>151</v>
      </c>
      <c r="M66" s="110"/>
      <c r="N66" s="110" t="n">
        <v>0</v>
      </c>
      <c r="O66" s="110"/>
      <c r="P66" s="110" t="n">
        <v>0</v>
      </c>
      <c r="Q66" s="110"/>
      <c r="R66" s="110" t="n">
        <f aca="false">+N66+P66</f>
        <v>0</v>
      </c>
      <c r="S66" s="110"/>
      <c r="T66" s="110" t="n">
        <v>0</v>
      </c>
      <c r="U66" s="110"/>
      <c r="V66" s="110" t="n">
        <v>0</v>
      </c>
      <c r="X66" s="110" t="n">
        <v>0</v>
      </c>
      <c r="Z66" s="110" t="n">
        <v>0</v>
      </c>
      <c r="AB66" s="110" t="n">
        <v>0</v>
      </c>
      <c r="AD66" s="110" t="n">
        <v>0</v>
      </c>
      <c r="AF66" s="110" t="n">
        <v>0</v>
      </c>
      <c r="AH66" s="110" t="n">
        <v>0</v>
      </c>
      <c r="AJ66" s="110" t="n">
        <v>0</v>
      </c>
      <c r="AN66" s="110" t="n">
        <v>0</v>
      </c>
      <c r="AP66" s="110" t="n">
        <v>0</v>
      </c>
      <c r="AR66" s="110" t="n">
        <v>0</v>
      </c>
      <c r="AT66" s="110" t="n">
        <v>0</v>
      </c>
      <c r="AV66" s="110" t="n">
        <v>0</v>
      </c>
      <c r="AX66" s="110" t="n">
        <v>0</v>
      </c>
      <c r="AZ66" s="110" t="n">
        <v>0</v>
      </c>
      <c r="BB66" s="110" t="n">
        <v>0</v>
      </c>
      <c r="BD66" s="110" t="n">
        <v>0</v>
      </c>
      <c r="BF66" s="110" t="n">
        <v>0</v>
      </c>
      <c r="BH66" s="110" t="n">
        <v>0</v>
      </c>
      <c r="BJ66" s="110" t="n">
        <v>0</v>
      </c>
      <c r="BL66" s="110" t="n">
        <v>0</v>
      </c>
      <c r="BM66" s="110"/>
      <c r="BN66" s="110" t="n">
        <f aca="false">SUM(T66:BM66)</f>
        <v>0</v>
      </c>
      <c r="BO66" s="110"/>
      <c r="BP66" s="110" t="n">
        <v>0</v>
      </c>
      <c r="BQ66" s="110"/>
      <c r="BR66" s="110" t="n">
        <f aca="false">IF(+R66-BN66+BP66&gt;0,R66-BN66+BP66,0)</f>
        <v>0</v>
      </c>
      <c r="BT66" s="110" t="n">
        <f aca="false">+BN66+BR66</f>
        <v>0</v>
      </c>
      <c r="BV66" s="110" t="n">
        <f aca="false">+R66-BT66</f>
        <v>0</v>
      </c>
      <c r="BW66" s="110"/>
    </row>
    <row r="67" customFormat="false" ht="12.75" hidden="true" customHeight="false" outlineLevel="0" collapsed="false">
      <c r="A67" s="225"/>
      <c r="B67" s="161" t="s">
        <v>339</v>
      </c>
      <c r="C67" s="0"/>
      <c r="D67" s="0"/>
      <c r="E67" s="0"/>
      <c r="F67" s="0"/>
      <c r="G67" s="0"/>
      <c r="H67" s="0"/>
      <c r="I67" s="0"/>
      <c r="J67" s="4" t="s">
        <v>181</v>
      </c>
      <c r="K67" s="0"/>
      <c r="L67" s="34" t="s">
        <v>151</v>
      </c>
      <c r="M67" s="110"/>
      <c r="N67" s="110" t="n">
        <v>0</v>
      </c>
      <c r="O67" s="110"/>
      <c r="P67" s="110" t="n">
        <v>0</v>
      </c>
      <c r="Q67" s="110"/>
      <c r="R67" s="110" t="n">
        <f aca="false">+N67+P67</f>
        <v>0</v>
      </c>
      <c r="S67" s="110"/>
      <c r="T67" s="110" t="n">
        <v>0</v>
      </c>
      <c r="U67" s="110"/>
      <c r="V67" s="110" t="n">
        <v>0</v>
      </c>
      <c r="X67" s="110" t="n">
        <v>0</v>
      </c>
      <c r="Z67" s="110" t="n">
        <v>0</v>
      </c>
      <c r="AB67" s="110" t="n">
        <v>0</v>
      </c>
      <c r="AD67" s="110" t="n">
        <v>0</v>
      </c>
      <c r="AF67" s="110" t="n">
        <v>0</v>
      </c>
      <c r="AH67" s="110" t="n">
        <v>0</v>
      </c>
      <c r="AJ67" s="110" t="n">
        <v>0</v>
      </c>
      <c r="AN67" s="110" t="n">
        <v>0</v>
      </c>
      <c r="AP67" s="110" t="n">
        <v>0</v>
      </c>
      <c r="AR67" s="110" t="n">
        <v>0</v>
      </c>
      <c r="AT67" s="110" t="n">
        <v>0</v>
      </c>
      <c r="AV67" s="110" t="n">
        <v>0</v>
      </c>
      <c r="AX67" s="110" t="n">
        <v>0</v>
      </c>
      <c r="AZ67" s="110" t="n">
        <v>0</v>
      </c>
      <c r="BB67" s="110" t="n">
        <v>0</v>
      </c>
      <c r="BD67" s="110" t="n">
        <v>0</v>
      </c>
      <c r="BF67" s="110" t="n">
        <v>0</v>
      </c>
      <c r="BH67" s="110" t="n">
        <v>0</v>
      </c>
      <c r="BJ67" s="110" t="n">
        <v>0</v>
      </c>
      <c r="BL67" s="110" t="n">
        <v>0</v>
      </c>
      <c r="BM67" s="110"/>
      <c r="BN67" s="110" t="n">
        <f aca="false">SUM(T67:BM67)</f>
        <v>0</v>
      </c>
      <c r="BO67" s="110"/>
      <c r="BP67" s="110" t="n">
        <v>0</v>
      </c>
      <c r="BQ67" s="110"/>
      <c r="BR67" s="110" t="n">
        <f aca="false">IF(+R67-BN67+BP67&gt;0,R67-BN67+BP67,0)</f>
        <v>0</v>
      </c>
      <c r="BT67" s="110" t="n">
        <f aca="false">+BN67+BR67</f>
        <v>0</v>
      </c>
      <c r="BV67" s="110" t="n">
        <f aca="false">+R67-BT67</f>
        <v>0</v>
      </c>
      <c r="BW67" s="110"/>
    </row>
    <row r="68" customFormat="false" ht="12.75" hidden="false" customHeight="false" outlineLevel="0" collapsed="false">
      <c r="A68" s="225"/>
      <c r="B68" s="161" t="s">
        <v>128</v>
      </c>
      <c r="C68" s="0"/>
      <c r="D68" s="0"/>
      <c r="E68" s="0"/>
      <c r="F68" s="0"/>
      <c r="G68" s="0"/>
      <c r="H68" s="0"/>
      <c r="I68" s="0"/>
      <c r="J68" s="4" t="s">
        <v>181</v>
      </c>
      <c r="K68" s="0"/>
      <c r="L68" s="34" t="s">
        <v>151</v>
      </c>
      <c r="M68" s="110"/>
      <c r="N68" s="110" t="n">
        <v>0</v>
      </c>
      <c r="O68" s="110"/>
      <c r="P68" s="110" t="n">
        <v>0</v>
      </c>
      <c r="Q68" s="110"/>
      <c r="R68" s="110" t="n">
        <f aca="false">+N68+P68</f>
        <v>0</v>
      </c>
      <c r="S68" s="110"/>
      <c r="T68" s="110" t="n">
        <v>0</v>
      </c>
      <c r="U68" s="110"/>
      <c r="V68" s="110" t="n">
        <v>0</v>
      </c>
      <c r="X68" s="110" t="n">
        <v>0</v>
      </c>
      <c r="Z68" s="110" t="n">
        <v>0</v>
      </c>
      <c r="AB68" s="110" t="n">
        <v>0</v>
      </c>
      <c r="AD68" s="110" t="n">
        <v>0</v>
      </c>
      <c r="AF68" s="110" t="n">
        <v>0</v>
      </c>
      <c r="AH68" s="110" t="n">
        <v>0</v>
      </c>
      <c r="AJ68" s="110" t="n">
        <v>0</v>
      </c>
      <c r="AN68" s="110" t="n">
        <v>0</v>
      </c>
      <c r="AP68" s="110" t="n">
        <v>0</v>
      </c>
      <c r="AR68" s="110" t="n">
        <v>0</v>
      </c>
      <c r="AT68" s="110" t="n">
        <v>0</v>
      </c>
      <c r="AV68" s="110" t="n">
        <v>0</v>
      </c>
      <c r="AX68" s="110" t="n">
        <v>0</v>
      </c>
      <c r="AZ68" s="110" t="n">
        <v>0</v>
      </c>
      <c r="BB68" s="110" t="n">
        <v>0</v>
      </c>
      <c r="BD68" s="110" t="n">
        <v>0</v>
      </c>
      <c r="BF68" s="110" t="n">
        <v>0</v>
      </c>
      <c r="BH68" s="110" t="n">
        <v>0</v>
      </c>
      <c r="BJ68" s="110" t="n">
        <v>0</v>
      </c>
      <c r="BL68" s="110" t="n">
        <v>0</v>
      </c>
      <c r="BM68" s="110"/>
      <c r="BN68" s="110" t="n">
        <f aca="false">SUM(T68:BM68)</f>
        <v>0</v>
      </c>
      <c r="BO68" s="110"/>
      <c r="BP68" s="110" t="n">
        <v>0</v>
      </c>
      <c r="BQ68" s="110"/>
      <c r="BR68" s="110" t="n">
        <f aca="false">IF(+R68-BN68+BP68&gt;0,R68-BN68+BP68,0)</f>
        <v>0</v>
      </c>
      <c r="BT68" s="110" t="n">
        <f aca="false">+BN68+BR68</f>
        <v>0</v>
      </c>
      <c r="BV68" s="110" t="n">
        <f aca="false">+R68-BT68</f>
        <v>0</v>
      </c>
      <c r="BW68" s="110"/>
    </row>
    <row r="69" customFormat="false" ht="12.75" hidden="false" customHeight="false" outlineLevel="0" collapsed="false">
      <c r="A69" s="164"/>
      <c r="B69" s="161"/>
      <c r="C69" s="18"/>
      <c r="D69" s="18"/>
      <c r="E69" s="18"/>
      <c r="F69" s="18"/>
      <c r="G69" s="18"/>
      <c r="H69" s="18"/>
      <c r="I69" s="18"/>
      <c r="J69" s="229"/>
      <c r="K69" s="18"/>
      <c r="L69" s="230"/>
      <c r="M69" s="110"/>
      <c r="O69" s="110"/>
      <c r="Q69" s="110"/>
      <c r="S69" s="110"/>
      <c r="T69" s="110"/>
      <c r="U69" s="110"/>
      <c r="V69" s="110"/>
      <c r="X69" s="110"/>
      <c r="Z69" s="110"/>
      <c r="AB69" s="110"/>
      <c r="AD69" s="110"/>
      <c r="BL69" s="110"/>
      <c r="BM69" s="110"/>
      <c r="BO69" s="110"/>
      <c r="BP69" s="110"/>
      <c r="BQ69" s="110"/>
      <c r="BR69" s="110" t="n">
        <f aca="false">IF(+R69-BN69+BP69&gt;0,R69-BN69+BP69,0)</f>
        <v>0</v>
      </c>
      <c r="BT69" s="110" t="n">
        <f aca="false">+BN69+BR69</f>
        <v>0</v>
      </c>
      <c r="BV69" s="110" t="n">
        <f aca="false">+R69-BT69</f>
        <v>0</v>
      </c>
      <c r="BW69" s="110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  <c r="IW69" s="118"/>
    </row>
    <row r="70" customFormat="false" ht="12.75" hidden="false" customHeight="false" outlineLevel="0" collapsed="false">
      <c r="A70" s="231"/>
      <c r="B70" s="177" t="s">
        <v>227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198" t="n">
        <f aca="false">SUM(N41:N69)</f>
        <v>0</v>
      </c>
      <c r="O70" s="24"/>
      <c r="P70" s="198" t="n">
        <f aca="false">SUM(P41:P69)</f>
        <v>0</v>
      </c>
      <c r="Q70" s="24"/>
      <c r="R70" s="198" t="n">
        <f aca="false">SUM(R41:R69)</f>
        <v>0</v>
      </c>
      <c r="S70" s="24"/>
      <c r="T70" s="198" t="n">
        <f aca="false">SUM(T41:T69)</f>
        <v>0</v>
      </c>
      <c r="U70" s="24"/>
      <c r="V70" s="198" t="n">
        <f aca="false">SUM(V41:V69)</f>
        <v>0</v>
      </c>
      <c r="W70" s="24"/>
      <c r="X70" s="198" t="n">
        <f aca="false">SUM(X41:X69)</f>
        <v>0</v>
      </c>
      <c r="Y70" s="24"/>
      <c r="Z70" s="198" t="n">
        <f aca="false">SUM(Z41:Z69)</f>
        <v>0</v>
      </c>
      <c r="AA70" s="24"/>
      <c r="AB70" s="198" t="n">
        <f aca="false">SUM(AB41:AB69)</f>
        <v>0</v>
      </c>
      <c r="AC70" s="24"/>
      <c r="AD70" s="198" t="n">
        <f aca="false">SUM(AD41:AD69)</f>
        <v>0</v>
      </c>
      <c r="AE70" s="24"/>
      <c r="AF70" s="198" t="n">
        <f aca="false">SUM(AF41:AF69)</f>
        <v>0</v>
      </c>
      <c r="AG70" s="24"/>
      <c r="AH70" s="198" t="n">
        <f aca="false">SUM(AH41:AH69)</f>
        <v>0</v>
      </c>
      <c r="AI70" s="24"/>
      <c r="AJ70" s="198" t="n">
        <f aca="false">SUM(AJ41:AJ69)</f>
        <v>0</v>
      </c>
      <c r="AK70" s="24"/>
      <c r="AL70" s="198" t="n">
        <f aca="false">SUM(AL41:AL69)</f>
        <v>0</v>
      </c>
      <c r="AM70" s="198"/>
      <c r="AN70" s="198" t="n">
        <f aca="false">SUM(AN41:AN69)</f>
        <v>0</v>
      </c>
      <c r="AO70" s="24"/>
      <c r="AP70" s="198" t="n">
        <f aca="false">SUM(AP41:AP69)</f>
        <v>0</v>
      </c>
      <c r="AQ70" s="24"/>
      <c r="AR70" s="198" t="n">
        <f aca="false">SUM(AR41:AR69)</f>
        <v>0</v>
      </c>
      <c r="AS70" s="24"/>
      <c r="AT70" s="198" t="n">
        <f aca="false">SUM(AT41:AT69)</f>
        <v>0</v>
      </c>
      <c r="AU70" s="24"/>
      <c r="AV70" s="198" t="n">
        <f aca="false">SUM(AV41:AV69)</f>
        <v>0</v>
      </c>
      <c r="AW70" s="24"/>
      <c r="AX70" s="198" t="n">
        <f aca="false">SUM(AX41:AX69)</f>
        <v>0</v>
      </c>
      <c r="AY70" s="24"/>
      <c r="AZ70" s="198" t="n">
        <f aca="false">SUM(AZ41:AZ69)</f>
        <v>0</v>
      </c>
      <c r="BA70" s="24"/>
      <c r="BB70" s="198" t="n">
        <f aca="false">SUM(BB41:BB69)</f>
        <v>0</v>
      </c>
      <c r="BC70" s="24"/>
      <c r="BD70" s="198" t="n">
        <f aca="false">SUM(BD41:BD69)</f>
        <v>0</v>
      </c>
      <c r="BE70" s="24"/>
      <c r="BF70" s="198" t="n">
        <f aca="false">SUM(BF41:BF69)</f>
        <v>0</v>
      </c>
      <c r="BG70" s="24"/>
      <c r="BH70" s="198" t="n">
        <f aca="false">SUM(BH41:BH69)</f>
        <v>0</v>
      </c>
      <c r="BI70" s="24"/>
      <c r="BJ70" s="198" t="n">
        <f aca="false">SUM(BJ41:BJ69)</f>
        <v>0</v>
      </c>
      <c r="BK70" s="24"/>
      <c r="BL70" s="198" t="n">
        <f aca="false">SUM(BL41:BL69)</f>
        <v>0</v>
      </c>
      <c r="BM70" s="24"/>
      <c r="BN70" s="198" t="n">
        <f aca="false">SUM(BN41:BN69)</f>
        <v>0</v>
      </c>
      <c r="BO70" s="24"/>
      <c r="BP70" s="198" t="n">
        <f aca="false">SUM(BP41:BP69)</f>
        <v>0</v>
      </c>
      <c r="BQ70" s="24"/>
      <c r="BR70" s="198" t="n">
        <f aca="false">SUM(BR41:BR69)</f>
        <v>0</v>
      </c>
      <c r="BS70" s="24"/>
      <c r="BT70" s="198" t="n">
        <f aca="false">SUM(BT41:BT69)</f>
        <v>0</v>
      </c>
      <c r="BU70" s="24"/>
      <c r="BV70" s="198" t="n">
        <f aca="false">SUM(BV41:BV69)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25"/>
      <c r="B71" s="161"/>
      <c r="C71" s="0"/>
      <c r="D71" s="0"/>
      <c r="E71" s="0"/>
      <c r="F71" s="0"/>
      <c r="G71" s="0"/>
      <c r="H71" s="0"/>
      <c r="I71" s="0"/>
      <c r="J71" s="4"/>
      <c r="K71" s="0"/>
      <c r="L71" s="34"/>
      <c r="M71" s="110"/>
      <c r="O71" s="110"/>
      <c r="Q71" s="110"/>
      <c r="S71" s="110"/>
      <c r="T71" s="110"/>
      <c r="U71" s="110"/>
      <c r="V71" s="110"/>
      <c r="X71" s="110"/>
      <c r="Z71" s="110"/>
      <c r="AB71" s="110"/>
      <c r="AD71" s="110"/>
      <c r="BL71" s="110"/>
      <c r="BM71" s="110"/>
      <c r="BO71" s="110"/>
      <c r="BP71" s="110"/>
      <c r="BQ71" s="110"/>
      <c r="BW71" s="110"/>
    </row>
    <row r="72" customFormat="false" ht="12.75" hidden="false" customHeight="false" outlineLevel="0" collapsed="false">
      <c r="A72" s="228" t="s">
        <v>228</v>
      </c>
      <c r="B72" s="118"/>
      <c r="C72" s="0"/>
      <c r="D72" s="0"/>
      <c r="E72" s="0"/>
      <c r="F72" s="0"/>
      <c r="G72" s="0"/>
      <c r="H72" s="0"/>
      <c r="I72" s="0"/>
      <c r="J72" s="4"/>
      <c r="K72" s="0"/>
      <c r="L72" s="34"/>
      <c r="M72" s="110"/>
      <c r="O72" s="110"/>
      <c r="Q72" s="110"/>
      <c r="S72" s="110"/>
      <c r="T72" s="110"/>
      <c r="U72" s="110"/>
      <c r="V72" s="110"/>
      <c r="X72" s="110"/>
      <c r="Z72" s="110"/>
      <c r="AB72" s="110"/>
      <c r="AD72" s="110"/>
      <c r="BL72" s="110"/>
      <c r="BM72" s="110"/>
      <c r="BO72" s="110"/>
      <c r="BP72" s="110"/>
      <c r="BQ72" s="110"/>
      <c r="BW72" s="110"/>
    </row>
    <row r="73" customFormat="false" ht="12.75" hidden="false" customHeight="false" outlineLevel="0" collapsed="false">
      <c r="A73" s="232"/>
      <c r="B73" s="161" t="s">
        <v>229</v>
      </c>
      <c r="C73" s="0"/>
      <c r="D73" s="0"/>
      <c r="E73" s="0"/>
      <c r="F73" s="0"/>
      <c r="G73" s="0"/>
      <c r="H73" s="0"/>
      <c r="I73" s="0"/>
      <c r="J73" s="4" t="s">
        <v>230</v>
      </c>
      <c r="K73" s="0"/>
      <c r="L73" s="34" t="s">
        <v>151</v>
      </c>
      <c r="M73" s="110"/>
      <c r="N73" s="110" t="n">
        <v>0</v>
      </c>
      <c r="O73" s="110"/>
      <c r="P73" s="110" t="n">
        <v>0</v>
      </c>
      <c r="Q73" s="110"/>
      <c r="R73" s="110" t="n">
        <v>0</v>
      </c>
      <c r="S73" s="110"/>
      <c r="T73" s="110" t="n">
        <v>0</v>
      </c>
      <c r="U73" s="110"/>
      <c r="V73" s="110" t="n">
        <v>0</v>
      </c>
      <c r="X73" s="110" t="n">
        <v>0</v>
      </c>
      <c r="Z73" s="110" t="n">
        <v>0</v>
      </c>
      <c r="AB73" s="110" t="n">
        <v>0</v>
      </c>
      <c r="AD73" s="110" t="n">
        <v>0</v>
      </c>
      <c r="AF73" s="110" t="n">
        <v>0</v>
      </c>
      <c r="AH73" s="110" t="n">
        <f aca="false">929800/12</f>
        <v>77483.3333333333</v>
      </c>
      <c r="AJ73" s="110" t="n">
        <v>77483.33</v>
      </c>
      <c r="AL73" s="110" t="n">
        <v>-232450</v>
      </c>
      <c r="AN73" s="110" t="n">
        <v>77483.34</v>
      </c>
      <c r="AP73" s="110" t="n">
        <v>0</v>
      </c>
      <c r="AR73" s="110" t="n">
        <v>0</v>
      </c>
      <c r="AT73" s="110" t="n">
        <v>0</v>
      </c>
      <c r="AV73" s="110" t="n">
        <v>0</v>
      </c>
      <c r="AX73" s="110" t="n">
        <v>0</v>
      </c>
      <c r="AZ73" s="110" t="n">
        <v>0</v>
      </c>
      <c r="BB73" s="110" t="n">
        <v>0</v>
      </c>
      <c r="BF73" s="110" t="n">
        <v>0</v>
      </c>
      <c r="BH73" s="110" t="n">
        <v>0</v>
      </c>
      <c r="BJ73" s="110" t="n">
        <v>0</v>
      </c>
      <c r="BL73" s="110" t="n">
        <v>0</v>
      </c>
      <c r="BM73" s="110"/>
      <c r="BN73" s="110" t="n">
        <f aca="false">SUM(T73:BM73)</f>
        <v>0.00333333332673647</v>
      </c>
      <c r="BO73" s="110"/>
      <c r="BP73" s="110" t="n">
        <v>0</v>
      </c>
      <c r="BQ73" s="110"/>
      <c r="BR73" s="110" t="n">
        <f aca="false">IF(+R73-BN73+BP73&gt;0,R73-BN73+BP73,0)</f>
        <v>0</v>
      </c>
      <c r="BT73" s="110" t="n">
        <f aca="false">+BN73+BR73</f>
        <v>0.00333333332673647</v>
      </c>
      <c r="BV73" s="110" t="n">
        <f aca="false">+R73-BT73</f>
        <v>-0.00333333332673647</v>
      </c>
      <c r="BW73" s="110"/>
    </row>
    <row r="74" customFormat="false" ht="12.75" hidden="false" customHeight="false" outlineLevel="0" collapsed="false">
      <c r="A74" s="232"/>
      <c r="B74" s="161" t="s">
        <v>231</v>
      </c>
      <c r="C74" s="0"/>
      <c r="D74" s="0"/>
      <c r="E74" s="0"/>
      <c r="F74" s="0"/>
      <c r="G74" s="0"/>
      <c r="H74" s="0"/>
      <c r="I74" s="0"/>
      <c r="J74" s="4" t="s">
        <v>231</v>
      </c>
      <c r="K74" s="0"/>
      <c r="L74" s="34" t="s">
        <v>151</v>
      </c>
      <c r="M74" s="110"/>
      <c r="N74" s="110" t="n">
        <v>0</v>
      </c>
      <c r="O74" s="110"/>
      <c r="P74" s="110" t="n">
        <v>0</v>
      </c>
      <c r="Q74" s="110"/>
      <c r="R74" s="110" t="n">
        <v>0</v>
      </c>
      <c r="S74" s="110"/>
      <c r="T74" s="110" t="n">
        <v>0</v>
      </c>
      <c r="U74" s="110"/>
      <c r="V74" s="110" t="n">
        <v>0</v>
      </c>
      <c r="X74" s="110" t="n">
        <v>0</v>
      </c>
      <c r="Z74" s="110" t="n">
        <v>0</v>
      </c>
      <c r="AB74" s="110" t="n">
        <v>0</v>
      </c>
      <c r="AD74" s="110" t="n">
        <v>0</v>
      </c>
      <c r="AF74" s="110" t="n">
        <v>0</v>
      </c>
      <c r="AH74" s="110" t="n">
        <f aca="false">2840700/12</f>
        <v>236725</v>
      </c>
      <c r="AJ74" s="110" t="n">
        <v>236725</v>
      </c>
      <c r="AL74" s="110" t="n">
        <v>-710172</v>
      </c>
      <c r="AN74" s="110" t="n">
        <v>236722.33</v>
      </c>
      <c r="AP74" s="110" t="n">
        <v>0</v>
      </c>
      <c r="AR74" s="110" t="n">
        <v>0</v>
      </c>
      <c r="AT74" s="110" t="n">
        <v>0</v>
      </c>
      <c r="AV74" s="110" t="n">
        <v>0</v>
      </c>
      <c r="AX74" s="110" t="n">
        <v>0</v>
      </c>
      <c r="AZ74" s="110" t="n">
        <v>0</v>
      </c>
      <c r="BB74" s="110" t="n">
        <v>0</v>
      </c>
      <c r="BF74" s="110" t="n">
        <v>0</v>
      </c>
      <c r="BH74" s="110" t="n">
        <v>0</v>
      </c>
      <c r="BJ74" s="110" t="n">
        <v>0</v>
      </c>
      <c r="BL74" s="110" t="n">
        <v>0</v>
      </c>
      <c r="BM74" s="110"/>
      <c r="BN74" s="110" t="n">
        <f aca="false">SUM(T74:BM74)</f>
        <v>0.329999999987194</v>
      </c>
      <c r="BO74" s="110"/>
      <c r="BP74" s="110" t="n">
        <v>0</v>
      </c>
      <c r="BQ74" s="110"/>
      <c r="BR74" s="110" t="n">
        <f aca="false">IF(+R74-BN74+BP74&gt;0,R74-BN74+BP74,0)</f>
        <v>0</v>
      </c>
      <c r="BT74" s="110" t="n">
        <f aca="false">+BN74+BR74</f>
        <v>0.329999999987194</v>
      </c>
      <c r="BV74" s="110" t="n">
        <f aca="false">+R74-BT74</f>
        <v>-0.329999999987194</v>
      </c>
      <c r="BW74" s="110"/>
    </row>
    <row r="75" customFormat="false" ht="12.75" hidden="false" customHeight="false" outlineLevel="0" collapsed="false">
      <c r="A75" s="232"/>
      <c r="B75" s="161" t="s">
        <v>232</v>
      </c>
      <c r="C75" s="0"/>
      <c r="D75" s="0"/>
      <c r="E75" s="0"/>
      <c r="F75" s="0"/>
      <c r="G75" s="0"/>
      <c r="H75" s="0"/>
      <c r="I75" s="0"/>
      <c r="J75" s="4" t="s">
        <v>230</v>
      </c>
      <c r="K75" s="0"/>
      <c r="L75" s="34" t="s">
        <v>151</v>
      </c>
      <c r="M75" s="110"/>
      <c r="N75" s="110" t="n">
        <v>0</v>
      </c>
      <c r="O75" s="110"/>
      <c r="P75" s="110" t="n">
        <v>0</v>
      </c>
      <c r="Q75" s="110"/>
      <c r="R75" s="110" t="n">
        <v>0</v>
      </c>
      <c r="S75" s="110"/>
      <c r="T75" s="110" t="n">
        <v>0</v>
      </c>
      <c r="U75" s="110"/>
      <c r="V75" s="110" t="n">
        <v>0</v>
      </c>
      <c r="X75" s="110" t="n">
        <v>0</v>
      </c>
      <c r="Z75" s="110" t="n">
        <v>0</v>
      </c>
      <c r="AB75" s="110" t="n">
        <v>0</v>
      </c>
      <c r="AD75" s="110" t="n">
        <v>0</v>
      </c>
      <c r="AF75" s="110" t="n">
        <v>0</v>
      </c>
      <c r="AH75" s="110" t="n">
        <v>0</v>
      </c>
      <c r="AJ75" s="110" t="n">
        <v>0</v>
      </c>
      <c r="AN75" s="110" t="n">
        <v>0</v>
      </c>
      <c r="AP75" s="110" t="n">
        <v>0</v>
      </c>
      <c r="AR75" s="110" t="n">
        <v>0</v>
      </c>
      <c r="AT75" s="110" t="n">
        <v>0</v>
      </c>
      <c r="AV75" s="110" t="n">
        <v>0</v>
      </c>
      <c r="AX75" s="110" t="n">
        <v>0</v>
      </c>
      <c r="AZ75" s="110" t="n">
        <v>0</v>
      </c>
      <c r="BB75" s="110" t="n">
        <v>0</v>
      </c>
      <c r="BD75" s="110" t="n">
        <v>0</v>
      </c>
      <c r="BF75" s="110" t="n">
        <v>0</v>
      </c>
      <c r="BH75" s="110" t="n">
        <v>0</v>
      </c>
      <c r="BJ75" s="110" t="n">
        <v>0</v>
      </c>
      <c r="BL75" s="110" t="n">
        <v>0</v>
      </c>
      <c r="BM75" s="110"/>
      <c r="BN75" s="110" t="n">
        <f aca="false">SUM(T75:BM75)</f>
        <v>0</v>
      </c>
      <c r="BO75" s="110"/>
      <c r="BP75" s="110" t="n">
        <v>0</v>
      </c>
      <c r="BQ75" s="110"/>
      <c r="BR75" s="110" t="n">
        <f aca="false">IF(+R75-BN75+BP75&gt;0,R75-BN75+BP75,0)</f>
        <v>0</v>
      </c>
      <c r="BT75" s="110" t="n">
        <f aca="false">+BN75+BR75</f>
        <v>0</v>
      </c>
      <c r="BV75" s="110" t="n">
        <f aca="false">+R75-BT75</f>
        <v>0</v>
      </c>
      <c r="BW75" s="110"/>
    </row>
    <row r="76" customFormat="false" ht="12.75" hidden="false" customHeight="false" outlineLevel="0" collapsed="false">
      <c r="A76" s="232"/>
      <c r="B76" s="161" t="s">
        <v>233</v>
      </c>
      <c r="C76" s="0"/>
      <c r="D76" s="0"/>
      <c r="E76" s="0"/>
      <c r="F76" s="0"/>
      <c r="G76" s="0"/>
      <c r="H76" s="0"/>
      <c r="I76" s="0"/>
      <c r="J76" s="4" t="s">
        <v>230</v>
      </c>
      <c r="K76" s="0"/>
      <c r="L76" s="34" t="s">
        <v>151</v>
      </c>
      <c r="M76" s="110"/>
      <c r="N76" s="110" t="n">
        <v>0</v>
      </c>
      <c r="O76" s="110"/>
      <c r="P76" s="110" t="n">
        <v>0</v>
      </c>
      <c r="Q76" s="110"/>
      <c r="R76" s="110" t="n">
        <f aca="false">+N76+P76</f>
        <v>0</v>
      </c>
      <c r="S76" s="110"/>
      <c r="T76" s="110" t="n">
        <v>0</v>
      </c>
      <c r="U76" s="110"/>
      <c r="V76" s="110" t="n">
        <v>0</v>
      </c>
      <c r="X76" s="110" t="n">
        <v>0</v>
      </c>
      <c r="Z76" s="110" t="n">
        <v>0</v>
      </c>
      <c r="AB76" s="110" t="n">
        <v>0</v>
      </c>
      <c r="AD76" s="110" t="n">
        <v>0</v>
      </c>
      <c r="AF76" s="110" t="n">
        <v>0</v>
      </c>
      <c r="AH76" s="110" t="n">
        <v>0</v>
      </c>
      <c r="AJ76" s="110" t="n">
        <v>0</v>
      </c>
      <c r="AN76" s="110" t="n">
        <v>0</v>
      </c>
      <c r="AP76" s="110" t="n">
        <v>0</v>
      </c>
      <c r="AR76" s="110" t="n">
        <v>0</v>
      </c>
      <c r="AT76" s="110" t="n">
        <v>0</v>
      </c>
      <c r="AV76" s="110" t="n">
        <v>0</v>
      </c>
      <c r="AX76" s="110" t="n">
        <v>0</v>
      </c>
      <c r="AZ76" s="110" t="n">
        <v>0</v>
      </c>
      <c r="BB76" s="110" t="n">
        <v>0</v>
      </c>
      <c r="BD76" s="110" t="n">
        <v>0</v>
      </c>
      <c r="BF76" s="110" t="n">
        <v>0</v>
      </c>
      <c r="BH76" s="110" t="n">
        <v>0</v>
      </c>
      <c r="BJ76" s="110" t="n">
        <v>0</v>
      </c>
      <c r="BL76" s="110" t="n">
        <v>0</v>
      </c>
      <c r="BM76" s="110"/>
      <c r="BN76" s="110" t="n">
        <f aca="false">SUM(T76:BM76)</f>
        <v>0</v>
      </c>
      <c r="BO76" s="110"/>
      <c r="BP76" s="110" t="n">
        <v>0</v>
      </c>
      <c r="BQ76" s="110"/>
      <c r="BR76" s="110" t="n">
        <f aca="false">IF(+R76-BN76+BP76&gt;0,R76-BN76+BP76,0)</f>
        <v>0</v>
      </c>
      <c r="BT76" s="110" t="n">
        <f aca="false">+BN76+BR76</f>
        <v>0</v>
      </c>
      <c r="BV76" s="110" t="n">
        <f aca="false">+R76-BT76</f>
        <v>0</v>
      </c>
      <c r="BW76" s="110"/>
    </row>
    <row r="77" customFormat="false" ht="12.75" hidden="false" customHeight="false" outlineLevel="0" collapsed="false">
      <c r="A77" s="161"/>
      <c r="B77" s="161" t="s">
        <v>234</v>
      </c>
      <c r="C77" s="18"/>
      <c r="D77" s="18"/>
      <c r="E77" s="18"/>
      <c r="F77" s="18"/>
      <c r="G77" s="18"/>
      <c r="H77" s="18"/>
      <c r="I77" s="18"/>
      <c r="J77" s="229" t="s">
        <v>230</v>
      </c>
      <c r="K77" s="18"/>
      <c r="L77" s="34" t="s">
        <v>151</v>
      </c>
      <c r="M77" s="110"/>
      <c r="N77" s="110" t="n">
        <v>0</v>
      </c>
      <c r="O77" s="110"/>
      <c r="P77" s="110" t="n">
        <v>0</v>
      </c>
      <c r="Q77" s="110"/>
      <c r="R77" s="110" t="n">
        <f aca="false">+N77+P77</f>
        <v>0</v>
      </c>
      <c r="S77" s="110"/>
      <c r="T77" s="110" t="n">
        <v>0</v>
      </c>
      <c r="U77" s="110"/>
      <c r="V77" s="110" t="n">
        <v>0</v>
      </c>
      <c r="X77" s="110" t="n">
        <v>0</v>
      </c>
      <c r="Z77" s="110" t="n">
        <v>0</v>
      </c>
      <c r="AB77" s="110" t="n">
        <v>0</v>
      </c>
      <c r="AD77" s="110" t="n">
        <v>0</v>
      </c>
      <c r="AF77" s="110" t="n">
        <v>0</v>
      </c>
      <c r="AH77" s="110" t="n">
        <v>0</v>
      </c>
      <c r="AJ77" s="110" t="n">
        <v>0</v>
      </c>
      <c r="AN77" s="110" t="n">
        <v>0</v>
      </c>
      <c r="AP77" s="110" t="n">
        <v>0</v>
      </c>
      <c r="AR77" s="110" t="n">
        <v>0</v>
      </c>
      <c r="AT77" s="110" t="n">
        <v>0</v>
      </c>
      <c r="AV77" s="110" t="n">
        <v>0</v>
      </c>
      <c r="AX77" s="110" t="n">
        <v>0</v>
      </c>
      <c r="AZ77" s="110" t="n">
        <v>0</v>
      </c>
      <c r="BB77" s="110" t="n">
        <v>0</v>
      </c>
      <c r="BD77" s="110" t="n">
        <v>0</v>
      </c>
      <c r="BF77" s="110" t="n">
        <v>0</v>
      </c>
      <c r="BH77" s="110" t="n">
        <v>0</v>
      </c>
      <c r="BJ77" s="110" t="n">
        <v>0</v>
      </c>
      <c r="BL77" s="110" t="n">
        <v>0</v>
      </c>
      <c r="BM77" s="110"/>
      <c r="BN77" s="110" t="n">
        <f aca="false">SUM(T77:BM77)</f>
        <v>0</v>
      </c>
      <c r="BO77" s="110"/>
      <c r="BP77" s="110" t="n">
        <v>0</v>
      </c>
      <c r="BQ77" s="110"/>
      <c r="BR77" s="110" t="n">
        <f aca="false">IF(+R77-BN77+BP77&gt;0,R77-BN77+BP77,0)</f>
        <v>0</v>
      </c>
      <c r="BT77" s="110" t="n">
        <f aca="false">+BN77+BR77</f>
        <v>0</v>
      </c>
      <c r="BV77" s="110" t="n">
        <f aca="false">+R77-BT77</f>
        <v>0</v>
      </c>
      <c r="BW77" s="110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  <c r="IA77" s="118"/>
      <c r="IB77" s="118"/>
      <c r="IC77" s="118"/>
      <c r="ID77" s="118"/>
      <c r="IE77" s="118"/>
      <c r="IF77" s="118"/>
      <c r="IG77" s="118"/>
      <c r="IH77" s="118"/>
      <c r="II77" s="118"/>
      <c r="IJ77" s="118"/>
      <c r="IK77" s="118"/>
      <c r="IL77" s="118"/>
      <c r="IM77" s="118"/>
      <c r="IN77" s="118"/>
      <c r="IO77" s="118"/>
      <c r="IP77" s="118"/>
      <c r="IQ77" s="118"/>
      <c r="IR77" s="118"/>
      <c r="IS77" s="118"/>
      <c r="IT77" s="118"/>
      <c r="IU77" s="118"/>
      <c r="IV77" s="118"/>
      <c r="IW77" s="118"/>
    </row>
    <row r="78" customFormat="false" ht="12.75" hidden="false" customHeight="false" outlineLevel="0" collapsed="false">
      <c r="A78" s="232"/>
      <c r="B78" s="161" t="s">
        <v>340</v>
      </c>
      <c r="C78" s="0"/>
      <c r="D78" s="0"/>
      <c r="E78" s="0"/>
      <c r="F78" s="0"/>
      <c r="G78" s="0"/>
      <c r="H78" s="0"/>
      <c r="I78" s="0"/>
      <c r="J78" s="4"/>
      <c r="K78" s="0"/>
      <c r="L78" s="34" t="s">
        <v>151</v>
      </c>
      <c r="M78" s="110"/>
      <c r="N78" s="110" t="n">
        <v>0</v>
      </c>
      <c r="O78" s="110"/>
      <c r="P78" s="110" t="n">
        <v>0</v>
      </c>
      <c r="Q78" s="110"/>
      <c r="R78" s="110" t="n">
        <f aca="false">+N78+P78</f>
        <v>0</v>
      </c>
      <c r="S78" s="110"/>
      <c r="T78" s="110" t="n">
        <v>0</v>
      </c>
      <c r="U78" s="110"/>
      <c r="V78" s="110" t="n">
        <v>0</v>
      </c>
      <c r="X78" s="110" t="n">
        <v>0</v>
      </c>
      <c r="Z78" s="110" t="n">
        <v>0</v>
      </c>
      <c r="AB78" s="110" t="n">
        <v>0</v>
      </c>
      <c r="AD78" s="110" t="n">
        <v>0</v>
      </c>
      <c r="AF78" s="110" t="n">
        <v>0</v>
      </c>
      <c r="AH78" s="110" t="n">
        <v>0</v>
      </c>
      <c r="AJ78" s="110" t="n">
        <v>0</v>
      </c>
      <c r="AN78" s="110" t="n">
        <v>0</v>
      </c>
      <c r="AP78" s="110" t="n">
        <v>0</v>
      </c>
      <c r="AR78" s="110" t="n">
        <v>0</v>
      </c>
      <c r="AT78" s="110" t="n">
        <v>250000</v>
      </c>
      <c r="AV78" s="110" t="n">
        <v>0</v>
      </c>
      <c r="AX78" s="110" t="n">
        <v>0</v>
      </c>
      <c r="AZ78" s="110" t="n">
        <v>0</v>
      </c>
      <c r="BB78" s="110" t="n">
        <v>0</v>
      </c>
      <c r="BD78" s="110" t="n">
        <v>0</v>
      </c>
      <c r="BF78" s="110" t="n">
        <v>0</v>
      </c>
      <c r="BH78" s="110" t="n">
        <v>0</v>
      </c>
      <c r="BJ78" s="110" t="n">
        <v>0</v>
      </c>
      <c r="BL78" s="110" t="n">
        <v>0</v>
      </c>
      <c r="BM78" s="110"/>
      <c r="BN78" s="110" t="n">
        <f aca="false">SUM(T78:BM78)</f>
        <v>250000</v>
      </c>
      <c r="BO78" s="110"/>
      <c r="BP78" s="110" t="n">
        <v>0</v>
      </c>
      <c r="BQ78" s="110"/>
      <c r="BR78" s="110" t="n">
        <f aca="false">IF(+R78-BN78+BP78&gt;0,R78-BN78+BP78,0)</f>
        <v>0</v>
      </c>
      <c r="BT78" s="110" t="n">
        <f aca="false">+BN78+BR78</f>
        <v>250000</v>
      </c>
      <c r="BV78" s="110" t="n">
        <f aca="false">+R78-BT78</f>
        <v>-250000</v>
      </c>
      <c r="BW78" s="110"/>
    </row>
    <row r="79" customFormat="false" ht="12.75" hidden="false" customHeight="false" outlineLevel="0" collapsed="false">
      <c r="A79" s="232"/>
      <c r="B79" s="161"/>
      <c r="C79" s="0"/>
      <c r="D79" s="0"/>
      <c r="E79" s="0"/>
      <c r="F79" s="0"/>
      <c r="G79" s="0"/>
      <c r="H79" s="0"/>
      <c r="I79" s="0"/>
      <c r="J79" s="4"/>
      <c r="K79" s="0"/>
      <c r="L79" s="34"/>
      <c r="M79" s="110"/>
      <c r="O79" s="110"/>
      <c r="Q79" s="110"/>
      <c r="S79" s="110"/>
      <c r="T79" s="110"/>
      <c r="U79" s="110"/>
      <c r="V79" s="110"/>
      <c r="X79" s="110"/>
      <c r="Z79" s="110"/>
      <c r="AB79" s="110"/>
      <c r="AD79" s="110"/>
      <c r="BL79" s="110"/>
      <c r="BM79" s="110"/>
      <c r="BO79" s="110"/>
      <c r="BP79" s="110"/>
      <c r="BQ79" s="110"/>
      <c r="BR79" s="110" t="n">
        <f aca="false">IF(+R79-BN79+BP79&gt;0,R79-BN79+BP79,0)</f>
        <v>0</v>
      </c>
      <c r="BW79" s="110"/>
    </row>
    <row r="80" customFormat="false" ht="12.75" hidden="false" customHeight="false" outlineLevel="0" collapsed="false">
      <c r="A80" s="227"/>
      <c r="B80" s="168" t="s">
        <v>235</v>
      </c>
      <c r="C80" s="169"/>
      <c r="D80" s="169"/>
      <c r="E80" s="169"/>
      <c r="F80" s="169"/>
      <c r="G80" s="169"/>
      <c r="H80" s="169"/>
      <c r="I80" s="169"/>
      <c r="J80" s="170"/>
      <c r="K80" s="169"/>
      <c r="L80" s="171"/>
      <c r="M80" s="172"/>
      <c r="N80" s="193" t="n">
        <f aca="false">SUM(N73:N79)</f>
        <v>0</v>
      </c>
      <c r="O80" s="172"/>
      <c r="P80" s="193" t="n">
        <f aca="false">SUM(P73:P79)</f>
        <v>0</v>
      </c>
      <c r="Q80" s="172"/>
      <c r="R80" s="193" t="n">
        <f aca="false">SUM(R73:R79)</f>
        <v>0</v>
      </c>
      <c r="S80" s="172"/>
      <c r="T80" s="193" t="n">
        <f aca="false">SUM(T73:T79)</f>
        <v>0</v>
      </c>
      <c r="U80" s="172"/>
      <c r="V80" s="193" t="n">
        <f aca="false">SUM(V73:V79)</f>
        <v>0</v>
      </c>
      <c r="W80" s="172"/>
      <c r="X80" s="193" t="n">
        <f aca="false">SUM(X73:X79)</f>
        <v>0</v>
      </c>
      <c r="Y80" s="172"/>
      <c r="Z80" s="193" t="n">
        <f aca="false">SUM(Z73:Z79)</f>
        <v>0</v>
      </c>
      <c r="AA80" s="172"/>
      <c r="AB80" s="193" t="n">
        <f aca="false">SUM(AB73:AB79)</f>
        <v>0</v>
      </c>
      <c r="AC80" s="172"/>
      <c r="AD80" s="193" t="n">
        <f aca="false">SUM(AD73:AD79)</f>
        <v>0</v>
      </c>
      <c r="AE80" s="172"/>
      <c r="AF80" s="193" t="n">
        <f aca="false">SUM(AF73:AF79)</f>
        <v>0</v>
      </c>
      <c r="AG80" s="172"/>
      <c r="AH80" s="193" t="n">
        <f aca="false">SUM(AH73:AH79)</f>
        <v>314208.333333333</v>
      </c>
      <c r="AI80" s="172"/>
      <c r="AJ80" s="193" t="n">
        <f aca="false">SUM(AJ73:AJ79)</f>
        <v>314208.33</v>
      </c>
      <c r="AK80" s="172"/>
      <c r="AL80" s="193" t="n">
        <f aca="false">SUM(AL73:AL79)</f>
        <v>-942622</v>
      </c>
      <c r="AM80" s="193"/>
      <c r="AN80" s="193" t="n">
        <f aca="false">SUM(AN73:AN79)</f>
        <v>314205.67</v>
      </c>
      <c r="AO80" s="172"/>
      <c r="AP80" s="193" t="n">
        <f aca="false">SUM(AP73:AP79)</f>
        <v>0</v>
      </c>
      <c r="AQ80" s="172"/>
      <c r="AR80" s="193" t="n">
        <f aca="false">SUM(AR73:AR79)</f>
        <v>0</v>
      </c>
      <c r="AS80" s="172"/>
      <c r="AT80" s="193" t="n">
        <f aca="false">SUM(AT73:AT79)</f>
        <v>250000</v>
      </c>
      <c r="AU80" s="172"/>
      <c r="AV80" s="193" t="n">
        <f aca="false">SUM(AV73:AV79)</f>
        <v>0</v>
      </c>
      <c r="AW80" s="172"/>
      <c r="AX80" s="193" t="n">
        <f aca="false">SUM(AX73:AX79)</f>
        <v>0</v>
      </c>
      <c r="AY80" s="172"/>
      <c r="AZ80" s="193" t="n">
        <f aca="false">SUM(AZ73:AZ79)</f>
        <v>0</v>
      </c>
      <c r="BA80" s="172"/>
      <c r="BB80" s="193" t="n">
        <f aca="false">SUM(BB73:BB79)</f>
        <v>0</v>
      </c>
      <c r="BC80" s="172"/>
      <c r="BD80" s="193" t="n">
        <f aca="false">SUM(BD73:BD79)</f>
        <v>0</v>
      </c>
      <c r="BE80" s="172"/>
      <c r="BF80" s="193" t="n">
        <f aca="false">SUM(BF73:BF79)</f>
        <v>0</v>
      </c>
      <c r="BG80" s="172"/>
      <c r="BH80" s="193" t="n">
        <f aca="false">SUM(BH73:BH79)</f>
        <v>0</v>
      </c>
      <c r="BI80" s="172"/>
      <c r="BJ80" s="193" t="n">
        <f aca="false">SUM(BJ73:BJ79)</f>
        <v>0</v>
      </c>
      <c r="BK80" s="172"/>
      <c r="BL80" s="193" t="n">
        <f aca="false">SUM(BL73:BL79)</f>
        <v>0</v>
      </c>
      <c r="BM80" s="172"/>
      <c r="BN80" s="193" t="n">
        <f aca="false">SUM(BN73:BN79)</f>
        <v>250000.333333333</v>
      </c>
      <c r="BO80" s="172"/>
      <c r="BP80" s="193" t="n">
        <f aca="false">SUM(BP73:BP79)</f>
        <v>0</v>
      </c>
      <c r="BQ80" s="172"/>
      <c r="BR80" s="193" t="n">
        <f aca="false">SUM(BR73:BR79)</f>
        <v>0</v>
      </c>
      <c r="BS80" s="172"/>
      <c r="BT80" s="193" t="n">
        <f aca="false">SUM(BT73:BT79)</f>
        <v>250000.333333333</v>
      </c>
      <c r="BU80" s="172"/>
      <c r="BV80" s="193" t="n">
        <f aca="false">SUM(BV73:BV79)</f>
        <v>-250000.333333333</v>
      </c>
      <c r="BW80" s="172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  <c r="EG80" s="169"/>
      <c r="EH80" s="169"/>
      <c r="EI80" s="169"/>
      <c r="EJ80" s="169"/>
      <c r="EK80" s="169"/>
      <c r="EL80" s="169"/>
      <c r="EM80" s="169"/>
      <c r="EN80" s="169"/>
      <c r="EO80" s="169"/>
      <c r="EP80" s="169"/>
      <c r="EQ80" s="169"/>
      <c r="ER80" s="169"/>
      <c r="ES80" s="169"/>
      <c r="ET80" s="169"/>
      <c r="EU80" s="169"/>
      <c r="EV80" s="169"/>
      <c r="EW80" s="169"/>
      <c r="EX80" s="169"/>
      <c r="EY80" s="169"/>
      <c r="EZ80" s="169"/>
      <c r="FA80" s="169"/>
      <c r="FB80" s="169"/>
      <c r="FC80" s="169"/>
      <c r="FD80" s="169"/>
      <c r="FE80" s="169"/>
      <c r="FF80" s="169"/>
      <c r="FG80" s="169"/>
      <c r="FH80" s="169"/>
      <c r="FI80" s="169"/>
      <c r="FJ80" s="169"/>
      <c r="FK80" s="169"/>
      <c r="FL80" s="169"/>
      <c r="FM80" s="169"/>
      <c r="FN80" s="169"/>
      <c r="FO80" s="169"/>
      <c r="FP80" s="169"/>
      <c r="FQ80" s="169"/>
      <c r="FR80" s="169"/>
      <c r="FS80" s="169"/>
      <c r="FT80" s="169"/>
      <c r="FU80" s="169"/>
      <c r="FV80" s="169"/>
      <c r="FW80" s="169"/>
      <c r="FX80" s="169"/>
      <c r="FY80" s="169"/>
      <c r="FZ80" s="169"/>
      <c r="GA80" s="169"/>
      <c r="GB80" s="169"/>
      <c r="GC80" s="169"/>
      <c r="GD80" s="169"/>
      <c r="GE80" s="169"/>
      <c r="GF80" s="169"/>
      <c r="GG80" s="169"/>
      <c r="GH80" s="169"/>
      <c r="GI80" s="169"/>
      <c r="GJ80" s="169"/>
      <c r="GK80" s="169"/>
      <c r="GL80" s="169"/>
      <c r="GM80" s="169"/>
      <c r="GN80" s="169"/>
      <c r="GO80" s="169"/>
      <c r="GP80" s="169"/>
      <c r="GQ80" s="169"/>
      <c r="GR80" s="169"/>
      <c r="GS80" s="169"/>
      <c r="GT80" s="169"/>
      <c r="GU80" s="169"/>
      <c r="GV80" s="169"/>
      <c r="GW80" s="169"/>
      <c r="GX80" s="169"/>
      <c r="GY80" s="169"/>
      <c r="GZ80" s="169"/>
      <c r="HA80" s="169"/>
      <c r="HB80" s="169"/>
      <c r="HC80" s="169"/>
      <c r="HD80" s="169"/>
      <c r="HE80" s="169"/>
      <c r="HF80" s="169"/>
      <c r="HG80" s="169"/>
      <c r="HH80" s="169"/>
      <c r="HI80" s="169"/>
      <c r="HJ80" s="169"/>
      <c r="HK80" s="169"/>
      <c r="HL80" s="169"/>
      <c r="HM80" s="169"/>
      <c r="HN80" s="169"/>
      <c r="HO80" s="169"/>
      <c r="HP80" s="169"/>
      <c r="HQ80" s="169"/>
      <c r="HR80" s="169"/>
      <c r="HS80" s="169"/>
      <c r="HT80" s="169"/>
      <c r="HU80" s="169"/>
      <c r="HV80" s="169"/>
      <c r="HW80" s="169"/>
      <c r="HX80" s="169"/>
      <c r="HY80" s="169"/>
      <c r="HZ80" s="169"/>
      <c r="IA80" s="169"/>
      <c r="IB80" s="169"/>
      <c r="IC80" s="169"/>
      <c r="ID80" s="169"/>
      <c r="IE80" s="169"/>
      <c r="IF80" s="169"/>
      <c r="IG80" s="169"/>
      <c r="IH80" s="169"/>
      <c r="II80" s="169"/>
      <c r="IJ80" s="169"/>
      <c r="IK80" s="169"/>
      <c r="IL80" s="169"/>
      <c r="IM80" s="169"/>
      <c r="IN80" s="169"/>
      <c r="IO80" s="169"/>
      <c r="IP80" s="169"/>
      <c r="IQ80" s="169"/>
      <c r="IR80" s="169"/>
      <c r="IS80" s="169"/>
      <c r="IT80" s="169"/>
      <c r="IU80" s="169"/>
      <c r="IV80" s="169"/>
      <c r="IW80" s="169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true" customHeight="false" outlineLevel="0" collapsed="false">
      <c r="A82" s="233" t="s">
        <v>236</v>
      </c>
      <c r="B82" s="161"/>
      <c r="C82" s="0"/>
      <c r="D82" s="0"/>
      <c r="E82" s="0"/>
      <c r="F82" s="0"/>
      <c r="G82" s="0"/>
      <c r="H82" s="0"/>
      <c r="I82" s="0"/>
      <c r="J82" s="4"/>
      <c r="K82" s="0"/>
      <c r="L82" s="34" t="s">
        <v>151</v>
      </c>
      <c r="M82" s="110"/>
      <c r="O82" s="110"/>
      <c r="Q82" s="110"/>
      <c r="S82" s="110"/>
      <c r="T82" s="110"/>
      <c r="U82" s="110"/>
      <c r="V82" s="110"/>
      <c r="X82" s="110"/>
      <c r="Z82" s="110"/>
      <c r="AB82" s="110"/>
      <c r="AD82" s="110"/>
      <c r="BL82" s="110"/>
      <c r="BM82" s="110"/>
      <c r="BO82" s="110"/>
      <c r="BP82" s="110"/>
      <c r="BQ82" s="110"/>
      <c r="BW82" s="110"/>
      <c r="BX82" s="194"/>
      <c r="BY82" s="194"/>
      <c r="BZ82" s="194"/>
      <c r="CA82" s="194"/>
      <c r="CB82" s="194"/>
      <c r="CC82" s="194"/>
      <c r="CD82" s="194"/>
      <c r="CE82" s="194"/>
      <c r="CF82" s="194"/>
      <c r="CG82" s="194"/>
      <c r="CH82" s="194"/>
      <c r="CI82" s="194"/>
      <c r="CJ82" s="194"/>
      <c r="CK82" s="194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  <c r="IE82" s="194"/>
      <c r="IF82" s="194"/>
      <c r="IG82" s="194"/>
      <c r="IH82" s="194"/>
      <c r="II82" s="194"/>
      <c r="IJ82" s="194"/>
      <c r="IK82" s="194"/>
      <c r="IL82" s="194"/>
      <c r="IM82" s="194"/>
      <c r="IN82" s="194"/>
      <c r="IO82" s="194"/>
      <c r="IP82" s="194"/>
      <c r="IQ82" s="194"/>
      <c r="IR82" s="194"/>
      <c r="IS82" s="194"/>
      <c r="IT82" s="194"/>
      <c r="IU82" s="194"/>
      <c r="IV82" s="194"/>
      <c r="IW82" s="194"/>
    </row>
    <row r="83" customFormat="false" ht="12.75" hidden="true" customHeight="false" outlineLevel="0" collapsed="false">
      <c r="A83" s="233"/>
      <c r="B83" s="161" t="s">
        <v>341</v>
      </c>
      <c r="C83" s="0"/>
      <c r="D83" s="0"/>
      <c r="E83" s="0"/>
      <c r="F83" s="0"/>
      <c r="G83" s="0"/>
      <c r="H83" s="0"/>
      <c r="I83" s="0"/>
      <c r="J83" s="4"/>
      <c r="K83" s="0"/>
      <c r="L83" s="34" t="s">
        <v>151</v>
      </c>
      <c r="M83" s="110"/>
      <c r="N83" s="110" t="n">
        <v>0</v>
      </c>
      <c r="O83" s="110"/>
      <c r="P83" s="110" t="n">
        <v>0</v>
      </c>
      <c r="Q83" s="110"/>
      <c r="R83" s="110" t="n">
        <f aca="false">+N83+P83</f>
        <v>0</v>
      </c>
      <c r="S83" s="110"/>
      <c r="T83" s="110" t="n">
        <v>0</v>
      </c>
      <c r="U83" s="110"/>
      <c r="V83" s="110" t="n">
        <v>0</v>
      </c>
      <c r="X83" s="110" t="n">
        <v>0</v>
      </c>
      <c r="Z83" s="110" t="n">
        <v>0</v>
      </c>
      <c r="AB83" s="110" t="n">
        <v>0</v>
      </c>
      <c r="AD83" s="110" t="n">
        <v>0</v>
      </c>
      <c r="AF83" s="110" t="n">
        <v>0</v>
      </c>
      <c r="AH83" s="110" t="n">
        <v>0</v>
      </c>
      <c r="AJ83" s="110" t="n">
        <v>0</v>
      </c>
      <c r="AN83" s="110" t="n">
        <v>0</v>
      </c>
      <c r="AP83" s="110" t="n">
        <v>0</v>
      </c>
      <c r="AR83" s="110" t="n">
        <v>0</v>
      </c>
      <c r="AT83" s="110" t="n">
        <v>0</v>
      </c>
      <c r="AV83" s="110" t="n">
        <v>0</v>
      </c>
      <c r="AX83" s="110" t="n">
        <v>0</v>
      </c>
      <c r="AZ83" s="110" t="n">
        <v>0</v>
      </c>
      <c r="BB83" s="110" t="n">
        <v>0</v>
      </c>
      <c r="BD83" s="110" t="n">
        <v>0</v>
      </c>
      <c r="BF83" s="110" t="n">
        <v>0</v>
      </c>
      <c r="BH83" s="110" t="n">
        <v>0</v>
      </c>
      <c r="BJ83" s="110" t="n">
        <v>0</v>
      </c>
      <c r="BL83" s="110" t="n">
        <v>0</v>
      </c>
      <c r="BM83" s="110"/>
      <c r="BN83" s="110" t="n">
        <f aca="false">SUM(T83:BM83)</f>
        <v>0</v>
      </c>
      <c r="BO83" s="110"/>
      <c r="BP83" s="110" t="n">
        <v>0</v>
      </c>
      <c r="BQ83" s="110"/>
      <c r="BR83" s="110" t="n">
        <f aca="false">+R83-BN83+BP83</f>
        <v>0</v>
      </c>
      <c r="BT83" s="110" t="n">
        <f aca="false">+BN83+BR83</f>
        <v>0</v>
      </c>
      <c r="BV83" s="110" t="n">
        <f aca="false">+R83-BT83</f>
        <v>0</v>
      </c>
      <c r="BW83" s="110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</row>
    <row r="84" customFormat="false" ht="12.75" hidden="true" customHeight="false" outlineLevel="0" collapsed="false">
      <c r="A84" s="233"/>
      <c r="B84" s="161" t="s">
        <v>342</v>
      </c>
      <c r="C84" s="0"/>
      <c r="D84" s="0"/>
      <c r="E84" s="0"/>
      <c r="F84" s="0"/>
      <c r="G84" s="0"/>
      <c r="H84" s="0"/>
      <c r="I84" s="0"/>
      <c r="J84" s="4"/>
      <c r="K84" s="0"/>
      <c r="L84" s="34" t="s">
        <v>151</v>
      </c>
      <c r="M84" s="110"/>
      <c r="N84" s="110" t="n">
        <v>0</v>
      </c>
      <c r="O84" s="110"/>
      <c r="P84" s="110" t="n">
        <v>0</v>
      </c>
      <c r="Q84" s="110"/>
      <c r="R84" s="110" t="n">
        <f aca="false">+N84+P84</f>
        <v>0</v>
      </c>
      <c r="S84" s="110"/>
      <c r="T84" s="110" t="n">
        <v>0</v>
      </c>
      <c r="U84" s="110"/>
      <c r="V84" s="110" t="n">
        <v>0</v>
      </c>
      <c r="X84" s="110" t="n">
        <v>0</v>
      </c>
      <c r="Z84" s="110" t="n">
        <v>0</v>
      </c>
      <c r="AB84" s="110" t="n">
        <v>0</v>
      </c>
      <c r="AD84" s="110" t="n">
        <v>0</v>
      </c>
      <c r="AF84" s="110" t="n">
        <v>0</v>
      </c>
      <c r="AH84" s="110" t="n">
        <v>0</v>
      </c>
      <c r="AJ84" s="110" t="n">
        <v>0</v>
      </c>
      <c r="AN84" s="110" t="n">
        <v>0</v>
      </c>
      <c r="AP84" s="110" t="n">
        <v>0</v>
      </c>
      <c r="AR84" s="110" t="n">
        <v>0</v>
      </c>
      <c r="AT84" s="110" t="n">
        <v>0</v>
      </c>
      <c r="AV84" s="110" t="n">
        <v>0</v>
      </c>
      <c r="AX84" s="110" t="n">
        <v>0</v>
      </c>
      <c r="AZ84" s="110" t="n">
        <v>0</v>
      </c>
      <c r="BB84" s="110" t="n">
        <v>0</v>
      </c>
      <c r="BD84" s="110" t="n">
        <v>0</v>
      </c>
      <c r="BF84" s="110" t="n">
        <v>0</v>
      </c>
      <c r="BH84" s="110" t="n">
        <v>0</v>
      </c>
      <c r="BJ84" s="110" t="n">
        <v>0</v>
      </c>
      <c r="BL84" s="110" t="n">
        <v>0</v>
      </c>
      <c r="BM84" s="110"/>
      <c r="BN84" s="110" t="n">
        <f aca="false">SUM(T84:BM84)</f>
        <v>0</v>
      </c>
      <c r="BO84" s="110"/>
      <c r="BP84" s="110" t="n">
        <v>0</v>
      </c>
      <c r="BQ84" s="110"/>
      <c r="BR84" s="110" t="n">
        <f aca="false">+R84-BN84+BP84</f>
        <v>0</v>
      </c>
      <c r="BT84" s="110" t="n">
        <f aca="false">+BN84+BR84</f>
        <v>0</v>
      </c>
      <c r="BV84" s="110" t="n">
        <f aca="false">+R84-BT84</f>
        <v>0</v>
      </c>
      <c r="BW84" s="110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true" customHeight="false" outlineLevel="0" collapsed="false">
      <c r="A85" s="225"/>
      <c r="B85" s="161" t="s">
        <v>343</v>
      </c>
      <c r="C85" s="0"/>
      <c r="D85" s="0"/>
      <c r="E85" s="0"/>
      <c r="F85" s="0"/>
      <c r="G85" s="0"/>
      <c r="H85" s="0"/>
      <c r="I85" s="0"/>
      <c r="J85" s="4"/>
      <c r="K85" s="0"/>
      <c r="L85" s="34" t="s">
        <v>151</v>
      </c>
      <c r="M85" s="110"/>
      <c r="N85" s="110" t="n">
        <v>0</v>
      </c>
      <c r="O85" s="110"/>
      <c r="P85" s="110" t="n">
        <v>0</v>
      </c>
      <c r="Q85" s="110"/>
      <c r="R85" s="110" t="n">
        <f aca="false">+N85+P85</f>
        <v>0</v>
      </c>
      <c r="S85" s="110"/>
      <c r="T85" s="110" t="n">
        <v>0</v>
      </c>
      <c r="U85" s="110"/>
      <c r="V85" s="110" t="n">
        <v>0</v>
      </c>
      <c r="X85" s="110" t="n">
        <v>0</v>
      </c>
      <c r="Z85" s="110" t="n">
        <v>0</v>
      </c>
      <c r="AB85" s="110" t="n">
        <v>0</v>
      </c>
      <c r="AD85" s="110" t="n">
        <v>0</v>
      </c>
      <c r="AF85" s="110" t="n">
        <v>0</v>
      </c>
      <c r="AH85" s="110" t="n">
        <v>0</v>
      </c>
      <c r="AJ85" s="110" t="n">
        <v>0</v>
      </c>
      <c r="AN85" s="110" t="n">
        <v>0</v>
      </c>
      <c r="AP85" s="110" t="n">
        <v>0</v>
      </c>
      <c r="AR85" s="110" t="n">
        <v>0</v>
      </c>
      <c r="AT85" s="110" t="n">
        <v>0</v>
      </c>
      <c r="AV85" s="110" t="n">
        <v>0</v>
      </c>
      <c r="AX85" s="110" t="n">
        <v>0</v>
      </c>
      <c r="AZ85" s="110" t="n">
        <v>0</v>
      </c>
      <c r="BB85" s="110" t="n">
        <v>0</v>
      </c>
      <c r="BD85" s="110" t="n">
        <v>0</v>
      </c>
      <c r="BF85" s="110" t="n">
        <v>0</v>
      </c>
      <c r="BH85" s="110" t="n">
        <v>0</v>
      </c>
      <c r="BJ85" s="110" t="n">
        <v>0</v>
      </c>
      <c r="BL85" s="110" t="n">
        <v>0</v>
      </c>
      <c r="BM85" s="110"/>
      <c r="BN85" s="110" t="n">
        <f aca="false">SUM(T85:BM85)</f>
        <v>0</v>
      </c>
      <c r="BO85" s="110"/>
      <c r="BP85" s="110" t="n">
        <v>0</v>
      </c>
      <c r="BQ85" s="110"/>
      <c r="BR85" s="110" t="n">
        <f aca="false">+R85-BN85+BP85</f>
        <v>0</v>
      </c>
      <c r="BT85" s="110" t="n">
        <f aca="false">+BN85+BR85</f>
        <v>0</v>
      </c>
      <c r="BV85" s="110" t="n">
        <f aca="false">+R85-BT85</f>
        <v>0</v>
      </c>
      <c r="BW85" s="110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4"/>
      <c r="DF85" s="194"/>
      <c r="DG85" s="194"/>
      <c r="DH85" s="194"/>
      <c r="DI85" s="194"/>
      <c r="DJ85" s="194"/>
      <c r="DK85" s="194"/>
      <c r="DL85" s="194"/>
      <c r="DM85" s="194"/>
      <c r="DN85" s="194"/>
      <c r="DO85" s="194"/>
      <c r="DP85" s="194"/>
      <c r="DQ85" s="194"/>
      <c r="DR85" s="194"/>
      <c r="DS85" s="194"/>
      <c r="DT85" s="194"/>
      <c r="DU85" s="194"/>
      <c r="DV85" s="194"/>
      <c r="DW85" s="194"/>
      <c r="DX85" s="194"/>
      <c r="DY85" s="194"/>
      <c r="DZ85" s="194"/>
      <c r="EA85" s="194"/>
      <c r="EB85" s="194"/>
      <c r="EC85" s="194"/>
      <c r="ED85" s="194"/>
      <c r="EE85" s="194"/>
      <c r="EF85" s="194"/>
      <c r="EG85" s="194"/>
      <c r="EH85" s="194"/>
      <c r="EI85" s="194"/>
      <c r="EJ85" s="194"/>
      <c r="EK85" s="194"/>
      <c r="EL85" s="194"/>
      <c r="EM85" s="194"/>
      <c r="EN85" s="194"/>
      <c r="EO85" s="194"/>
      <c r="EP85" s="194"/>
      <c r="EQ85" s="194"/>
      <c r="ER85" s="194"/>
      <c r="ES85" s="194"/>
      <c r="ET85" s="194"/>
      <c r="EU85" s="194"/>
      <c r="EV85" s="194"/>
      <c r="EW85" s="194"/>
      <c r="EX85" s="194"/>
      <c r="EY85" s="194"/>
      <c r="EZ85" s="194"/>
      <c r="FA85" s="194"/>
      <c r="FB85" s="194"/>
      <c r="FC85" s="194"/>
      <c r="FD85" s="194"/>
      <c r="FE85" s="194"/>
      <c r="FF85" s="194"/>
      <c r="FG85" s="194"/>
      <c r="FH85" s="194"/>
      <c r="FI85" s="194"/>
      <c r="FJ85" s="194"/>
      <c r="FK85" s="194"/>
      <c r="FL85" s="194"/>
      <c r="FM85" s="194"/>
      <c r="FN85" s="194"/>
      <c r="FO85" s="194"/>
      <c r="FP85" s="194"/>
      <c r="FQ85" s="194"/>
      <c r="FR85" s="194"/>
      <c r="FS85" s="194"/>
      <c r="FT85" s="194"/>
      <c r="FU85" s="194"/>
      <c r="FV85" s="194"/>
      <c r="FW85" s="194"/>
      <c r="FX85" s="194"/>
      <c r="FY85" s="194"/>
      <c r="FZ85" s="194"/>
      <c r="GA85" s="194"/>
      <c r="GB85" s="194"/>
      <c r="GC85" s="194"/>
      <c r="GD85" s="194"/>
      <c r="GE85" s="194"/>
      <c r="GF85" s="194"/>
      <c r="GG85" s="194"/>
      <c r="GH85" s="194"/>
      <c r="GI85" s="194"/>
      <c r="GJ85" s="194"/>
      <c r="GK85" s="194"/>
      <c r="GL85" s="194"/>
      <c r="GM85" s="194"/>
      <c r="GN85" s="194"/>
      <c r="GO85" s="194"/>
      <c r="GP85" s="194"/>
      <c r="GQ85" s="194"/>
      <c r="GR85" s="194"/>
      <c r="GS85" s="194"/>
      <c r="GT85" s="194"/>
      <c r="GU85" s="194"/>
      <c r="GV85" s="194"/>
      <c r="GW85" s="194"/>
      <c r="GX85" s="194"/>
      <c r="GY85" s="194"/>
      <c r="GZ85" s="194"/>
      <c r="HA85" s="194"/>
      <c r="HB85" s="194"/>
      <c r="HC85" s="194"/>
      <c r="HD85" s="194"/>
      <c r="HE85" s="194"/>
      <c r="HF85" s="194"/>
      <c r="HG85" s="194"/>
      <c r="HH85" s="194"/>
      <c r="HI85" s="194"/>
      <c r="HJ85" s="194"/>
      <c r="HK85" s="194"/>
      <c r="HL85" s="194"/>
      <c r="HM85" s="194"/>
      <c r="HN85" s="194"/>
      <c r="HO85" s="194"/>
      <c r="HP85" s="194"/>
      <c r="HQ85" s="194"/>
      <c r="HR85" s="194"/>
      <c r="HS85" s="194"/>
      <c r="HT85" s="194"/>
      <c r="HU85" s="194"/>
      <c r="HV85" s="194"/>
      <c r="HW85" s="194"/>
      <c r="HX85" s="194"/>
      <c r="HY85" s="194"/>
      <c r="HZ85" s="194"/>
      <c r="IA85" s="194"/>
      <c r="IB85" s="194"/>
      <c r="IC85" s="194"/>
      <c r="ID85" s="194"/>
      <c r="IE85" s="194"/>
      <c r="IF85" s="194"/>
      <c r="IG85" s="194"/>
      <c r="IH85" s="194"/>
      <c r="II85" s="194"/>
      <c r="IJ85" s="194"/>
      <c r="IK85" s="194"/>
      <c r="IL85" s="194"/>
      <c r="IM85" s="194"/>
      <c r="IN85" s="194"/>
      <c r="IO85" s="194"/>
      <c r="IP85" s="194"/>
      <c r="IQ85" s="194"/>
      <c r="IR85" s="194"/>
      <c r="IS85" s="194"/>
      <c r="IT85" s="194"/>
      <c r="IU85" s="194"/>
      <c r="IV85" s="194"/>
      <c r="IW85" s="194"/>
    </row>
    <row r="86" customFormat="false" ht="12.75" hidden="true" customHeight="false" outlineLevel="0" collapsed="false">
      <c r="A86" s="164"/>
      <c r="B86" s="161" t="s">
        <v>192</v>
      </c>
      <c r="C86" s="18"/>
      <c r="D86" s="18"/>
      <c r="E86" s="18"/>
      <c r="F86" s="18"/>
      <c r="G86" s="18"/>
      <c r="H86" s="18"/>
      <c r="I86" s="18"/>
      <c r="J86" s="229"/>
      <c r="K86" s="18"/>
      <c r="L86" s="34" t="s">
        <v>151</v>
      </c>
      <c r="M86" s="110"/>
      <c r="N86" s="110" t="n">
        <v>0</v>
      </c>
      <c r="O86" s="110"/>
      <c r="P86" s="110" t="n">
        <v>0</v>
      </c>
      <c r="Q86" s="110"/>
      <c r="R86" s="110" t="n">
        <f aca="false">+N86+P86</f>
        <v>0</v>
      </c>
      <c r="S86" s="110"/>
      <c r="T86" s="110" t="n">
        <v>0</v>
      </c>
      <c r="U86" s="110"/>
      <c r="V86" s="110" t="n">
        <v>0</v>
      </c>
      <c r="X86" s="110" t="n">
        <v>0</v>
      </c>
      <c r="Z86" s="110" t="n">
        <v>0</v>
      </c>
      <c r="AB86" s="110" t="n">
        <v>0</v>
      </c>
      <c r="AD86" s="110" t="n">
        <v>0</v>
      </c>
      <c r="AF86" s="110" t="n">
        <v>0</v>
      </c>
      <c r="AH86" s="110" t="n">
        <v>0</v>
      </c>
      <c r="AJ86" s="110" t="n">
        <v>0</v>
      </c>
      <c r="AN86" s="110" t="n">
        <v>0</v>
      </c>
      <c r="AP86" s="110" t="n">
        <v>0</v>
      </c>
      <c r="AR86" s="110" t="n">
        <v>0</v>
      </c>
      <c r="AT86" s="110" t="n">
        <v>0</v>
      </c>
      <c r="AV86" s="110" t="n">
        <v>0</v>
      </c>
      <c r="AX86" s="110" t="n">
        <v>0</v>
      </c>
      <c r="AZ86" s="110" t="n">
        <v>0</v>
      </c>
      <c r="BB86" s="110" t="n">
        <v>0</v>
      </c>
      <c r="BD86" s="110" t="n">
        <v>0</v>
      </c>
      <c r="BF86" s="110" t="n">
        <v>0</v>
      </c>
      <c r="BH86" s="110" t="n">
        <v>0</v>
      </c>
      <c r="BJ86" s="110" t="n">
        <v>0</v>
      </c>
      <c r="BL86" s="110" t="n">
        <v>0</v>
      </c>
      <c r="BM86" s="110"/>
      <c r="BN86" s="110" t="n">
        <f aca="false">SUM(T86:BM86)</f>
        <v>0</v>
      </c>
      <c r="BO86" s="110"/>
      <c r="BP86" s="110" t="n">
        <v>0</v>
      </c>
      <c r="BQ86" s="110"/>
      <c r="BR86" s="110" t="n">
        <f aca="false">+R86-BN86+BP86</f>
        <v>0</v>
      </c>
      <c r="BT86" s="110" t="n">
        <f aca="false">+BN86+BR86</f>
        <v>0</v>
      </c>
      <c r="BV86" s="110" t="n">
        <f aca="false">+R86-BT86</f>
        <v>0</v>
      </c>
      <c r="BW86" s="110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6"/>
      <c r="EV86" s="196"/>
      <c r="EW86" s="196"/>
      <c r="EX86" s="196"/>
      <c r="EY86" s="196"/>
      <c r="EZ86" s="196"/>
      <c r="FA86" s="196"/>
      <c r="FB86" s="196"/>
      <c r="FC86" s="196"/>
      <c r="FD86" s="196"/>
      <c r="FE86" s="196"/>
      <c r="FF86" s="196"/>
      <c r="FG86" s="196"/>
      <c r="FH86" s="196"/>
      <c r="FI86" s="196"/>
      <c r="FJ86" s="196"/>
      <c r="FK86" s="196"/>
      <c r="FL86" s="196"/>
      <c r="FM86" s="196"/>
      <c r="FN86" s="196"/>
      <c r="FO86" s="196"/>
      <c r="FP86" s="196"/>
      <c r="FQ86" s="196"/>
      <c r="FR86" s="196"/>
      <c r="FS86" s="196"/>
      <c r="FT86" s="196"/>
      <c r="FU86" s="196"/>
      <c r="FV86" s="196"/>
      <c r="FW86" s="196"/>
      <c r="FX86" s="196"/>
      <c r="FY86" s="196"/>
      <c r="FZ86" s="196"/>
      <c r="GA86" s="196"/>
      <c r="GB86" s="196"/>
      <c r="GC86" s="196"/>
      <c r="GD86" s="196"/>
      <c r="GE86" s="196"/>
      <c r="GF86" s="196"/>
      <c r="GG86" s="196"/>
      <c r="GH86" s="196"/>
      <c r="GI86" s="196"/>
      <c r="GJ86" s="196"/>
      <c r="GK86" s="196"/>
      <c r="GL86" s="196"/>
      <c r="GM86" s="196"/>
      <c r="GN86" s="196"/>
      <c r="GO86" s="196"/>
      <c r="GP86" s="196"/>
      <c r="GQ86" s="196"/>
      <c r="GR86" s="196"/>
      <c r="GS86" s="196"/>
      <c r="GT86" s="196"/>
      <c r="GU86" s="196"/>
      <c r="GV86" s="196"/>
      <c r="GW86" s="196"/>
      <c r="GX86" s="196"/>
      <c r="GY86" s="196"/>
      <c r="GZ86" s="196"/>
      <c r="HA86" s="196"/>
      <c r="HB86" s="196"/>
      <c r="HC86" s="196"/>
      <c r="HD86" s="196"/>
      <c r="HE86" s="196"/>
      <c r="HF86" s="196"/>
      <c r="HG86" s="196"/>
      <c r="HH86" s="196"/>
      <c r="HI86" s="196"/>
      <c r="HJ86" s="196"/>
      <c r="HK86" s="196"/>
      <c r="HL86" s="196"/>
      <c r="HM86" s="196"/>
      <c r="HN86" s="196"/>
      <c r="HO86" s="196"/>
      <c r="HP86" s="196"/>
      <c r="HQ86" s="196"/>
      <c r="HR86" s="196"/>
      <c r="HS86" s="196"/>
      <c r="HT86" s="196"/>
      <c r="HU86" s="196"/>
      <c r="HV86" s="196"/>
      <c r="HW86" s="196"/>
      <c r="HX86" s="196"/>
      <c r="HY86" s="196"/>
      <c r="HZ86" s="196"/>
      <c r="IA86" s="196"/>
      <c r="IB86" s="196"/>
      <c r="IC86" s="196"/>
      <c r="ID86" s="196"/>
      <c r="IE86" s="196"/>
      <c r="IF86" s="196"/>
      <c r="IG86" s="196"/>
      <c r="IH86" s="196"/>
      <c r="II86" s="196"/>
      <c r="IJ86" s="196"/>
      <c r="IK86" s="196"/>
      <c r="IL86" s="196"/>
      <c r="IM86" s="196"/>
      <c r="IN86" s="196"/>
      <c r="IO86" s="196"/>
      <c r="IP86" s="196"/>
      <c r="IQ86" s="196"/>
      <c r="IR86" s="196"/>
      <c r="IS86" s="196"/>
      <c r="IT86" s="196"/>
      <c r="IU86" s="196"/>
      <c r="IV86" s="196"/>
      <c r="IW86" s="196"/>
    </row>
    <row r="87" customFormat="false" ht="12.75" hidden="true" customHeight="false" outlineLevel="0" collapsed="false">
      <c r="A87" s="225"/>
      <c r="B87" s="161" t="s">
        <v>128</v>
      </c>
      <c r="C87" s="0"/>
      <c r="D87" s="0"/>
      <c r="E87" s="0"/>
      <c r="F87" s="0"/>
      <c r="G87" s="0"/>
      <c r="H87" s="0"/>
      <c r="I87" s="0"/>
      <c r="J87" s="4" t="s">
        <v>141</v>
      </c>
      <c r="K87" s="0"/>
      <c r="L87" s="34" t="s">
        <v>151</v>
      </c>
      <c r="M87" s="110"/>
      <c r="N87" s="110" t="n">
        <v>0</v>
      </c>
      <c r="O87" s="110"/>
      <c r="P87" s="110" t="n">
        <v>0</v>
      </c>
      <c r="Q87" s="110"/>
      <c r="R87" s="110" t="n">
        <f aca="false">+N87+P87</f>
        <v>0</v>
      </c>
      <c r="S87" s="110"/>
      <c r="T87" s="110" t="n">
        <v>0</v>
      </c>
      <c r="U87" s="110"/>
      <c r="V87" s="110" t="n">
        <v>0</v>
      </c>
      <c r="X87" s="110" t="n">
        <v>0</v>
      </c>
      <c r="Z87" s="110" t="n">
        <v>0</v>
      </c>
      <c r="AB87" s="110" t="n">
        <v>0</v>
      </c>
      <c r="AD87" s="110" t="n">
        <v>0</v>
      </c>
      <c r="AF87" s="110" t="n">
        <v>0</v>
      </c>
      <c r="AH87" s="110" t="n">
        <v>0</v>
      </c>
      <c r="AJ87" s="110" t="n">
        <v>0</v>
      </c>
      <c r="AN87" s="110" t="n">
        <v>0</v>
      </c>
      <c r="AP87" s="110" t="n">
        <v>0</v>
      </c>
      <c r="AR87" s="110" t="n">
        <v>0</v>
      </c>
      <c r="AT87" s="110" t="n">
        <v>0</v>
      </c>
      <c r="AV87" s="110" t="n">
        <v>0</v>
      </c>
      <c r="AX87" s="110" t="n">
        <v>0</v>
      </c>
      <c r="AZ87" s="110" t="n">
        <v>0</v>
      </c>
      <c r="BB87" s="110" t="n">
        <v>0</v>
      </c>
      <c r="BD87" s="110" t="n">
        <v>0</v>
      </c>
      <c r="BF87" s="110" t="n">
        <v>0</v>
      </c>
      <c r="BH87" s="110" t="n">
        <v>0</v>
      </c>
      <c r="BJ87" s="110" t="n">
        <v>0</v>
      </c>
      <c r="BL87" s="110" t="n">
        <v>0</v>
      </c>
      <c r="BM87" s="110"/>
      <c r="BN87" s="110" t="n">
        <f aca="false">SUM(T87:BM87)</f>
        <v>0</v>
      </c>
      <c r="BO87" s="110"/>
      <c r="BP87" s="110" t="n">
        <v>0</v>
      </c>
      <c r="BQ87" s="110"/>
      <c r="BR87" s="110" t="n">
        <f aca="false">IF(+R87-BN87+BP87&gt;0,R87-BN87+BP87,0)</f>
        <v>0</v>
      </c>
      <c r="BT87" s="110" t="n">
        <f aca="false">+BN87+BR87</f>
        <v>0</v>
      </c>
      <c r="BV87" s="110" t="n">
        <f aca="false">+R87-BT87</f>
        <v>0</v>
      </c>
      <c r="BW87" s="110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4"/>
      <c r="DZ87" s="194"/>
      <c r="EA87" s="194"/>
      <c r="EB87" s="194"/>
      <c r="EC87" s="194"/>
      <c r="ED87" s="194"/>
      <c r="EE87" s="194"/>
      <c r="EF87" s="194"/>
      <c r="EG87" s="194"/>
      <c r="EH87" s="194"/>
      <c r="EI87" s="194"/>
      <c r="EJ87" s="194"/>
      <c r="EK87" s="194"/>
      <c r="EL87" s="194"/>
      <c r="EM87" s="194"/>
      <c r="EN87" s="194"/>
      <c r="EO87" s="194"/>
      <c r="EP87" s="194"/>
      <c r="EQ87" s="194"/>
      <c r="ER87" s="194"/>
      <c r="ES87" s="194"/>
      <c r="ET87" s="194"/>
      <c r="EU87" s="194"/>
      <c r="EV87" s="194"/>
      <c r="EW87" s="194"/>
      <c r="EX87" s="194"/>
      <c r="EY87" s="194"/>
      <c r="EZ87" s="194"/>
      <c r="FA87" s="194"/>
      <c r="FB87" s="194"/>
      <c r="FC87" s="194"/>
      <c r="FD87" s="194"/>
      <c r="FE87" s="194"/>
      <c r="FF87" s="194"/>
      <c r="FG87" s="194"/>
      <c r="FH87" s="194"/>
      <c r="FI87" s="194"/>
      <c r="FJ87" s="194"/>
      <c r="FK87" s="194"/>
      <c r="FL87" s="194"/>
      <c r="FM87" s="194"/>
      <c r="FN87" s="194"/>
      <c r="FO87" s="194"/>
      <c r="FP87" s="194"/>
      <c r="FQ87" s="194"/>
      <c r="FR87" s="194"/>
      <c r="FS87" s="194"/>
      <c r="FT87" s="194"/>
      <c r="FU87" s="194"/>
      <c r="FV87" s="194"/>
      <c r="FW87" s="194"/>
      <c r="FX87" s="194"/>
      <c r="FY87" s="194"/>
      <c r="FZ87" s="194"/>
      <c r="GA87" s="194"/>
      <c r="GB87" s="194"/>
      <c r="GC87" s="194"/>
      <c r="GD87" s="194"/>
      <c r="GE87" s="194"/>
      <c r="GF87" s="194"/>
      <c r="GG87" s="194"/>
      <c r="GH87" s="194"/>
      <c r="GI87" s="194"/>
      <c r="GJ87" s="194"/>
      <c r="GK87" s="194"/>
      <c r="GL87" s="194"/>
      <c r="GM87" s="194"/>
      <c r="GN87" s="194"/>
      <c r="GO87" s="194"/>
      <c r="GP87" s="194"/>
      <c r="GQ87" s="194"/>
      <c r="GR87" s="194"/>
      <c r="GS87" s="194"/>
      <c r="GT87" s="194"/>
      <c r="GU87" s="194"/>
      <c r="GV87" s="194"/>
      <c r="GW87" s="194"/>
      <c r="GX87" s="194"/>
      <c r="GY87" s="194"/>
      <c r="GZ87" s="194"/>
      <c r="HA87" s="194"/>
      <c r="HB87" s="194"/>
      <c r="HC87" s="194"/>
      <c r="HD87" s="194"/>
      <c r="HE87" s="194"/>
      <c r="HF87" s="194"/>
      <c r="HG87" s="194"/>
      <c r="HH87" s="194"/>
      <c r="HI87" s="194"/>
      <c r="HJ87" s="194"/>
      <c r="HK87" s="194"/>
      <c r="HL87" s="194"/>
      <c r="HM87" s="194"/>
      <c r="HN87" s="194"/>
      <c r="HO87" s="194"/>
      <c r="HP87" s="194"/>
      <c r="HQ87" s="194"/>
      <c r="HR87" s="194"/>
      <c r="HS87" s="194"/>
      <c r="HT87" s="194"/>
      <c r="HU87" s="194"/>
      <c r="HV87" s="194"/>
      <c r="HW87" s="194"/>
      <c r="HX87" s="194"/>
      <c r="HY87" s="194"/>
      <c r="HZ87" s="194"/>
      <c r="IA87" s="194"/>
      <c r="IB87" s="194"/>
      <c r="IC87" s="194"/>
      <c r="ID87" s="194"/>
      <c r="IE87" s="194"/>
      <c r="IF87" s="194"/>
      <c r="IG87" s="194"/>
      <c r="IH87" s="194"/>
      <c r="II87" s="194"/>
      <c r="IJ87" s="194"/>
      <c r="IK87" s="194"/>
      <c r="IL87" s="194"/>
      <c r="IM87" s="194"/>
      <c r="IN87" s="194"/>
      <c r="IO87" s="194"/>
      <c r="IP87" s="194"/>
      <c r="IQ87" s="194"/>
      <c r="IR87" s="194"/>
      <c r="IS87" s="194"/>
      <c r="IT87" s="194"/>
      <c r="IU87" s="194"/>
      <c r="IV87" s="194"/>
      <c r="IW87" s="194"/>
    </row>
    <row r="88" customFormat="false" ht="12.75" hidden="true" customHeight="false" outlineLevel="0" collapsed="false">
      <c r="A88" s="225"/>
      <c r="B88" s="161"/>
      <c r="C88" s="0"/>
      <c r="D88" s="0"/>
      <c r="E88" s="0"/>
      <c r="F88" s="0"/>
      <c r="G88" s="0"/>
      <c r="H88" s="0"/>
      <c r="I88" s="0"/>
      <c r="J88" s="4"/>
      <c r="K88" s="0"/>
      <c r="L88" s="34"/>
      <c r="M88" s="110"/>
      <c r="O88" s="110"/>
      <c r="Q88" s="110"/>
      <c r="S88" s="110"/>
      <c r="T88" s="110"/>
      <c r="U88" s="110"/>
      <c r="V88" s="110"/>
      <c r="X88" s="110"/>
      <c r="Z88" s="110"/>
      <c r="AB88" s="110"/>
      <c r="AD88" s="110"/>
      <c r="BL88" s="110"/>
      <c r="BM88" s="110"/>
      <c r="BO88" s="110"/>
      <c r="BP88" s="110"/>
      <c r="BQ88" s="110"/>
      <c r="BW88" s="110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4"/>
      <c r="DS88" s="194"/>
      <c r="DT88" s="194"/>
      <c r="DU88" s="194"/>
      <c r="DV88" s="194"/>
      <c r="DW88" s="194"/>
      <c r="DX88" s="194"/>
      <c r="DY88" s="194"/>
      <c r="DZ88" s="194"/>
      <c r="EA88" s="194"/>
      <c r="EB88" s="194"/>
      <c r="EC88" s="194"/>
      <c r="ED88" s="194"/>
      <c r="EE88" s="194"/>
      <c r="EF88" s="194"/>
      <c r="EG88" s="194"/>
      <c r="EH88" s="194"/>
      <c r="EI88" s="194"/>
      <c r="EJ88" s="194"/>
      <c r="EK88" s="194"/>
      <c r="EL88" s="194"/>
      <c r="EM88" s="194"/>
      <c r="EN88" s="194"/>
      <c r="EO88" s="194"/>
      <c r="EP88" s="194"/>
      <c r="EQ88" s="194"/>
      <c r="ER88" s="194"/>
      <c r="ES88" s="194"/>
      <c r="ET88" s="194"/>
      <c r="EU88" s="194"/>
      <c r="EV88" s="194"/>
      <c r="EW88" s="194"/>
      <c r="EX88" s="194"/>
      <c r="EY88" s="194"/>
      <c r="EZ88" s="194"/>
      <c r="FA88" s="194"/>
      <c r="FB88" s="194"/>
      <c r="FC88" s="194"/>
      <c r="FD88" s="194"/>
      <c r="FE88" s="194"/>
      <c r="FF88" s="194"/>
      <c r="FG88" s="194"/>
      <c r="FH88" s="194"/>
      <c r="FI88" s="194"/>
      <c r="FJ88" s="194"/>
      <c r="FK88" s="194"/>
      <c r="FL88" s="194"/>
      <c r="FM88" s="194"/>
      <c r="FN88" s="194"/>
      <c r="FO88" s="194"/>
      <c r="FP88" s="194"/>
      <c r="FQ88" s="194"/>
      <c r="FR88" s="194"/>
      <c r="FS88" s="194"/>
      <c r="FT88" s="194"/>
      <c r="FU88" s="194"/>
      <c r="FV88" s="194"/>
      <c r="FW88" s="194"/>
      <c r="FX88" s="194"/>
      <c r="FY88" s="194"/>
      <c r="FZ88" s="194"/>
      <c r="GA88" s="194"/>
      <c r="GB88" s="194"/>
      <c r="GC88" s="194"/>
      <c r="GD88" s="194"/>
      <c r="GE88" s="194"/>
      <c r="GF88" s="194"/>
      <c r="GG88" s="194"/>
      <c r="GH88" s="194"/>
      <c r="GI88" s="194"/>
      <c r="GJ88" s="194"/>
      <c r="GK88" s="194"/>
      <c r="GL88" s="194"/>
      <c r="GM88" s="194"/>
      <c r="GN88" s="194"/>
      <c r="GO88" s="194"/>
      <c r="GP88" s="194"/>
      <c r="GQ88" s="194"/>
      <c r="GR88" s="194"/>
      <c r="GS88" s="194"/>
      <c r="GT88" s="194"/>
      <c r="GU88" s="194"/>
      <c r="GV88" s="194"/>
      <c r="GW88" s="194"/>
      <c r="GX88" s="194"/>
      <c r="GY88" s="194"/>
      <c r="GZ88" s="194"/>
      <c r="HA88" s="194"/>
      <c r="HB88" s="194"/>
      <c r="HC88" s="194"/>
      <c r="HD88" s="194"/>
      <c r="HE88" s="194"/>
      <c r="HF88" s="194"/>
      <c r="HG88" s="194"/>
      <c r="HH88" s="194"/>
      <c r="HI88" s="194"/>
      <c r="HJ88" s="194"/>
      <c r="HK88" s="194"/>
      <c r="HL88" s="194"/>
      <c r="HM88" s="194"/>
      <c r="HN88" s="194"/>
      <c r="HO88" s="194"/>
      <c r="HP88" s="194"/>
      <c r="HQ88" s="194"/>
      <c r="HR88" s="194"/>
      <c r="HS88" s="194"/>
      <c r="HT88" s="194"/>
      <c r="HU88" s="194"/>
      <c r="HV88" s="194"/>
      <c r="HW88" s="194"/>
      <c r="HX88" s="194"/>
      <c r="HY88" s="194"/>
      <c r="HZ88" s="194"/>
      <c r="IA88" s="194"/>
      <c r="IB88" s="194"/>
      <c r="IC88" s="194"/>
      <c r="ID88" s="194"/>
      <c r="IE88" s="194"/>
      <c r="IF88" s="194"/>
      <c r="IG88" s="194"/>
      <c r="IH88" s="194"/>
      <c r="II88" s="194"/>
      <c r="IJ88" s="194"/>
      <c r="IK88" s="194"/>
      <c r="IL88" s="194"/>
      <c r="IM88" s="194"/>
      <c r="IN88" s="194"/>
      <c r="IO88" s="194"/>
      <c r="IP88" s="194"/>
      <c r="IQ88" s="194"/>
      <c r="IR88" s="194"/>
      <c r="IS88" s="194"/>
      <c r="IT88" s="194"/>
      <c r="IU88" s="194"/>
      <c r="IV88" s="194"/>
      <c r="IW88" s="194"/>
    </row>
    <row r="89" customFormat="false" ht="12.75" hidden="true" customHeight="false" outlineLevel="0" collapsed="false">
      <c r="A89" s="234"/>
      <c r="B89" s="177" t="s">
        <v>242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198" t="n">
        <f aca="false">SUM(N83:N88)</f>
        <v>0</v>
      </c>
      <c r="O89" s="24"/>
      <c r="P89" s="198" t="n">
        <f aca="false">SUM(P83:P88)</f>
        <v>0</v>
      </c>
      <c r="Q89" s="24"/>
      <c r="R89" s="198" t="n">
        <f aca="false">SUM(R83:R88)</f>
        <v>0</v>
      </c>
      <c r="S89" s="24"/>
      <c r="T89" s="198" t="n">
        <f aca="false">SUM(T83:T88)</f>
        <v>0</v>
      </c>
      <c r="U89" s="24"/>
      <c r="V89" s="198" t="n">
        <f aca="false">SUM(V83:V88)</f>
        <v>0</v>
      </c>
      <c r="W89" s="24"/>
      <c r="X89" s="198" t="n">
        <f aca="false">SUM(X83:X88)</f>
        <v>0</v>
      </c>
      <c r="Y89" s="24"/>
      <c r="Z89" s="198" t="n">
        <f aca="false">SUM(Z83:Z88)</f>
        <v>0</v>
      </c>
      <c r="AA89" s="24"/>
      <c r="AB89" s="198" t="n">
        <f aca="false">SUM(AB83:AB88)</f>
        <v>0</v>
      </c>
      <c r="AC89" s="24"/>
      <c r="AD89" s="198" t="n">
        <f aca="false">SUM(AD83:AD88)</f>
        <v>0</v>
      </c>
      <c r="AE89" s="24"/>
      <c r="AF89" s="198" t="n">
        <f aca="false">SUM(AF83:AF88)</f>
        <v>0</v>
      </c>
      <c r="AG89" s="24"/>
      <c r="AH89" s="198" t="n">
        <f aca="false">SUM(AH83:AH88)</f>
        <v>0</v>
      </c>
      <c r="AI89" s="24"/>
      <c r="AJ89" s="198" t="n">
        <f aca="false">SUM(AJ83:AJ88)</f>
        <v>0</v>
      </c>
      <c r="AK89" s="24"/>
      <c r="AL89" s="198" t="n">
        <f aca="false">SUM(AL83:AL88)</f>
        <v>0</v>
      </c>
      <c r="AM89" s="198"/>
      <c r="AN89" s="198" t="n">
        <f aca="false">SUM(AN83:AN88)</f>
        <v>0</v>
      </c>
      <c r="AO89" s="24"/>
      <c r="AP89" s="198" t="n">
        <f aca="false">SUM(AP83:AP88)</f>
        <v>0</v>
      </c>
      <c r="AQ89" s="24"/>
      <c r="AR89" s="198" t="n">
        <f aca="false">SUM(AR83:AR88)</f>
        <v>0</v>
      </c>
      <c r="AS89" s="24"/>
      <c r="AT89" s="198" t="n">
        <f aca="false">SUM(AT83:AT88)</f>
        <v>0</v>
      </c>
      <c r="AU89" s="24"/>
      <c r="AV89" s="198" t="n">
        <f aca="false">SUM(AV83:AV88)</f>
        <v>0</v>
      </c>
      <c r="AW89" s="24"/>
      <c r="AX89" s="198" t="n">
        <f aca="false">SUM(AX83:AX88)</f>
        <v>0</v>
      </c>
      <c r="AY89" s="24"/>
      <c r="AZ89" s="198" t="n">
        <f aca="false">SUM(AZ83:AZ88)</f>
        <v>0</v>
      </c>
      <c r="BA89" s="24"/>
      <c r="BB89" s="198" t="n">
        <f aca="false">SUM(BB83:BB88)</f>
        <v>0</v>
      </c>
      <c r="BC89" s="24"/>
      <c r="BD89" s="198" t="n">
        <f aca="false">SUM(BD83:BD88)</f>
        <v>0</v>
      </c>
      <c r="BE89" s="24"/>
      <c r="BF89" s="198" t="n">
        <f aca="false">SUM(BF83:BF88)</f>
        <v>0</v>
      </c>
      <c r="BG89" s="24"/>
      <c r="BH89" s="198" t="n">
        <f aca="false">SUM(BH83:BH88)</f>
        <v>0</v>
      </c>
      <c r="BI89" s="24"/>
      <c r="BJ89" s="198" t="n">
        <f aca="false">SUM(BJ83:BJ88)</f>
        <v>0</v>
      </c>
      <c r="BK89" s="24"/>
      <c r="BL89" s="198" t="n">
        <f aca="false">SUM(BL83:BL88)</f>
        <v>0</v>
      </c>
      <c r="BM89" s="24"/>
      <c r="BN89" s="198" t="n">
        <f aca="false">SUM(BN83:BN88)</f>
        <v>0</v>
      </c>
      <c r="BO89" s="24"/>
      <c r="BP89" s="198" t="n">
        <f aca="false">SUM(BP83:BP88)</f>
        <v>0</v>
      </c>
      <c r="BQ89" s="24"/>
      <c r="BR89" s="198" t="n">
        <f aca="false">SUM(BR83:BR88)</f>
        <v>0</v>
      </c>
      <c r="BS89" s="24"/>
      <c r="BT89" s="198" t="n">
        <f aca="false">SUM(BT83:BT88)</f>
        <v>0</v>
      </c>
      <c r="BU89" s="24"/>
      <c r="BV89" s="198" t="n">
        <f aca="false">SUM(BV83:BV88)</f>
        <v>0</v>
      </c>
      <c r="BW89" s="24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2.75" hidden="true" customHeight="false" outlineLevel="0" collapsed="false">
      <c r="A90" s="225"/>
      <c r="B90" s="161"/>
      <c r="C90" s="0"/>
      <c r="D90" s="0"/>
      <c r="E90" s="0"/>
      <c r="F90" s="0"/>
      <c r="G90" s="0"/>
      <c r="H90" s="0"/>
      <c r="I90" s="0"/>
      <c r="J90" s="4"/>
      <c r="K90" s="0"/>
      <c r="L90" s="34"/>
      <c r="M90" s="110"/>
      <c r="O90" s="110"/>
      <c r="Q90" s="110"/>
      <c r="S90" s="110"/>
      <c r="T90" s="110"/>
      <c r="U90" s="110"/>
      <c r="V90" s="110"/>
      <c r="X90" s="110"/>
      <c r="Z90" s="110"/>
      <c r="AB90" s="110"/>
      <c r="AD90" s="110"/>
      <c r="BL90" s="110"/>
      <c r="BM90" s="110"/>
      <c r="BO90" s="110"/>
      <c r="BP90" s="110"/>
      <c r="BQ90" s="110"/>
      <c r="BW90" s="110"/>
      <c r="BX90" s="194"/>
      <c r="BY90" s="194"/>
      <c r="BZ90" s="194"/>
      <c r="CA90" s="194"/>
      <c r="CB90" s="194"/>
      <c r="CC90" s="194"/>
      <c r="CD90" s="194"/>
      <c r="CE90" s="194"/>
      <c r="CF90" s="194"/>
      <c r="CG90" s="194"/>
      <c r="CH90" s="194"/>
      <c r="CI90" s="194"/>
      <c r="CJ90" s="194"/>
      <c r="CK90" s="194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  <c r="DT90" s="194"/>
      <c r="DU90" s="194"/>
      <c r="DV90" s="194"/>
      <c r="DW90" s="194"/>
      <c r="DX90" s="194"/>
      <c r="DY90" s="194"/>
      <c r="DZ90" s="194"/>
      <c r="EA90" s="194"/>
      <c r="EB90" s="194"/>
      <c r="EC90" s="194"/>
      <c r="ED90" s="194"/>
      <c r="EE90" s="194"/>
      <c r="EF90" s="194"/>
      <c r="EG90" s="194"/>
      <c r="EH90" s="194"/>
      <c r="EI90" s="194"/>
      <c r="EJ90" s="194"/>
      <c r="EK90" s="194"/>
      <c r="EL90" s="194"/>
      <c r="EM90" s="194"/>
      <c r="EN90" s="194"/>
      <c r="EO90" s="194"/>
      <c r="EP90" s="194"/>
      <c r="EQ90" s="194"/>
      <c r="ER90" s="194"/>
      <c r="ES90" s="194"/>
      <c r="ET90" s="194"/>
      <c r="EU90" s="194"/>
      <c r="EV90" s="194"/>
      <c r="EW90" s="194"/>
      <c r="EX90" s="194"/>
      <c r="EY90" s="194"/>
      <c r="EZ90" s="194"/>
      <c r="FA90" s="194"/>
      <c r="FB90" s="194"/>
      <c r="FC90" s="194"/>
      <c r="FD90" s="194"/>
      <c r="FE90" s="194"/>
      <c r="FF90" s="194"/>
      <c r="FG90" s="194"/>
      <c r="FH90" s="194"/>
      <c r="FI90" s="194"/>
      <c r="FJ90" s="194"/>
      <c r="FK90" s="194"/>
      <c r="FL90" s="194"/>
      <c r="FM90" s="194"/>
      <c r="FN90" s="194"/>
      <c r="FO90" s="194"/>
      <c r="FP90" s="194"/>
      <c r="FQ90" s="194"/>
      <c r="FR90" s="194"/>
      <c r="FS90" s="194"/>
      <c r="FT90" s="194"/>
      <c r="FU90" s="194"/>
      <c r="FV90" s="194"/>
      <c r="FW90" s="194"/>
      <c r="FX90" s="194"/>
      <c r="FY90" s="194"/>
      <c r="FZ90" s="194"/>
      <c r="GA90" s="194"/>
      <c r="GB90" s="194"/>
      <c r="GC90" s="194"/>
      <c r="GD90" s="194"/>
      <c r="GE90" s="194"/>
      <c r="GF90" s="194"/>
      <c r="GG90" s="194"/>
      <c r="GH90" s="194"/>
      <c r="GI90" s="194"/>
      <c r="GJ90" s="194"/>
      <c r="GK90" s="194"/>
      <c r="GL90" s="194"/>
      <c r="GM90" s="194"/>
      <c r="GN90" s="194"/>
      <c r="GO90" s="194"/>
      <c r="GP90" s="194"/>
      <c r="GQ90" s="194"/>
      <c r="GR90" s="194"/>
      <c r="GS90" s="194"/>
      <c r="GT90" s="194"/>
      <c r="GU90" s="194"/>
      <c r="GV90" s="194"/>
      <c r="GW90" s="194"/>
      <c r="GX90" s="194"/>
      <c r="GY90" s="194"/>
      <c r="GZ90" s="194"/>
      <c r="HA90" s="194"/>
      <c r="HB90" s="194"/>
      <c r="HC90" s="194"/>
      <c r="HD90" s="194"/>
      <c r="HE90" s="194"/>
      <c r="HF90" s="194"/>
      <c r="HG90" s="194"/>
      <c r="HH90" s="194"/>
      <c r="HI90" s="194"/>
      <c r="HJ90" s="194"/>
      <c r="HK90" s="194"/>
      <c r="HL90" s="194"/>
      <c r="HM90" s="194"/>
      <c r="HN90" s="194"/>
      <c r="HO90" s="194"/>
      <c r="HP90" s="194"/>
      <c r="HQ90" s="194"/>
      <c r="HR90" s="194"/>
      <c r="HS90" s="194"/>
      <c r="HT90" s="194"/>
      <c r="HU90" s="194"/>
      <c r="HV90" s="194"/>
      <c r="HW90" s="194"/>
      <c r="HX90" s="194"/>
      <c r="HY90" s="194"/>
      <c r="HZ90" s="194"/>
      <c r="IA90" s="194"/>
      <c r="IB90" s="194"/>
      <c r="IC90" s="194"/>
      <c r="ID90" s="194"/>
      <c r="IE90" s="194"/>
      <c r="IF90" s="194"/>
      <c r="IG90" s="194"/>
      <c r="IH90" s="194"/>
      <c r="II90" s="194"/>
      <c r="IJ90" s="194"/>
      <c r="IK90" s="194"/>
      <c r="IL90" s="194"/>
      <c r="IM90" s="194"/>
      <c r="IN90" s="194"/>
      <c r="IO90" s="194"/>
      <c r="IP90" s="194"/>
      <c r="IQ90" s="194"/>
      <c r="IR90" s="194"/>
      <c r="IS90" s="194"/>
      <c r="IT90" s="194"/>
      <c r="IU90" s="194"/>
      <c r="IV90" s="194"/>
      <c r="IW90" s="194"/>
    </row>
    <row r="91" customFormat="false" ht="12.75" hidden="true" customHeight="false" outlineLevel="0" collapsed="false">
      <c r="A91" s="233" t="s">
        <v>344</v>
      </c>
      <c r="B91" s="161"/>
      <c r="C91" s="0"/>
      <c r="D91" s="0"/>
      <c r="E91" s="0"/>
      <c r="F91" s="0"/>
      <c r="G91" s="0"/>
      <c r="H91" s="0"/>
      <c r="I91" s="0"/>
      <c r="J91" s="4"/>
      <c r="K91" s="0"/>
      <c r="L91" s="34"/>
      <c r="M91" s="110"/>
      <c r="O91" s="110"/>
      <c r="Q91" s="110"/>
      <c r="S91" s="110"/>
      <c r="T91" s="110"/>
      <c r="U91" s="110"/>
      <c r="V91" s="110"/>
      <c r="X91" s="110"/>
      <c r="Z91" s="110"/>
      <c r="AB91" s="110"/>
      <c r="AD91" s="110"/>
      <c r="BL91" s="110"/>
      <c r="BM91" s="110"/>
      <c r="BO91" s="110"/>
      <c r="BP91" s="110"/>
      <c r="BQ91" s="110"/>
      <c r="BW91" s="110"/>
      <c r="BX91" s="194"/>
      <c r="BY91" s="194"/>
      <c r="BZ91" s="194"/>
      <c r="CA91" s="194"/>
      <c r="CB91" s="194"/>
      <c r="CC91" s="194"/>
      <c r="CD91" s="194"/>
      <c r="CE91" s="194"/>
      <c r="CF91" s="194"/>
      <c r="CG91" s="194"/>
      <c r="CH91" s="194"/>
      <c r="CI91" s="194"/>
      <c r="CJ91" s="194"/>
      <c r="CK91" s="194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  <c r="IE91" s="194"/>
      <c r="IF91" s="194"/>
      <c r="IG91" s="194"/>
      <c r="IH91" s="194"/>
      <c r="II91" s="194"/>
      <c r="IJ91" s="194"/>
      <c r="IK91" s="194"/>
      <c r="IL91" s="194"/>
      <c r="IM91" s="194"/>
      <c r="IN91" s="194"/>
      <c r="IO91" s="194"/>
      <c r="IP91" s="194"/>
      <c r="IQ91" s="194"/>
      <c r="IR91" s="194"/>
      <c r="IS91" s="194"/>
      <c r="IT91" s="194"/>
      <c r="IU91" s="194"/>
      <c r="IV91" s="194"/>
      <c r="IW91" s="194"/>
    </row>
    <row r="92" customFormat="false" ht="12.75" hidden="true" customHeight="false" outlineLevel="0" collapsed="false">
      <c r="A92" s="233"/>
      <c r="B92" s="161" t="s">
        <v>345</v>
      </c>
      <c r="C92" s="0"/>
      <c r="D92" s="0"/>
      <c r="E92" s="0"/>
      <c r="F92" s="0"/>
      <c r="G92" s="0"/>
      <c r="H92" s="0"/>
      <c r="I92" s="0"/>
      <c r="J92" s="4"/>
      <c r="K92" s="0"/>
      <c r="L92" s="34" t="s">
        <v>151</v>
      </c>
      <c r="M92" s="110"/>
      <c r="N92" s="110" t="n">
        <v>0</v>
      </c>
      <c r="O92" s="110"/>
      <c r="P92" s="110" t="n">
        <v>0</v>
      </c>
      <c r="Q92" s="110"/>
      <c r="R92" s="110" t="n">
        <f aca="false">+N92+P92</f>
        <v>0</v>
      </c>
      <c r="S92" s="110"/>
      <c r="T92" s="110" t="n">
        <v>0</v>
      </c>
      <c r="U92" s="110"/>
      <c r="V92" s="110" t="n">
        <v>0</v>
      </c>
      <c r="X92" s="110" t="n">
        <v>0</v>
      </c>
      <c r="Z92" s="110" t="n">
        <v>0</v>
      </c>
      <c r="AB92" s="110" t="n">
        <v>0</v>
      </c>
      <c r="AD92" s="110" t="n">
        <v>0</v>
      </c>
      <c r="AF92" s="110" t="n">
        <v>0</v>
      </c>
      <c r="AH92" s="110" t="n">
        <v>0</v>
      </c>
      <c r="AJ92" s="110" t="n">
        <v>0</v>
      </c>
      <c r="AN92" s="110" t="n">
        <v>0</v>
      </c>
      <c r="AP92" s="110" t="n">
        <v>0</v>
      </c>
      <c r="AR92" s="110" t="n">
        <v>0</v>
      </c>
      <c r="AT92" s="110" t="n">
        <v>0</v>
      </c>
      <c r="AV92" s="110" t="n">
        <v>0</v>
      </c>
      <c r="AX92" s="110" t="n">
        <v>0</v>
      </c>
      <c r="AZ92" s="110" t="n">
        <v>0</v>
      </c>
      <c r="BB92" s="110" t="n">
        <v>0</v>
      </c>
      <c r="BD92" s="110" t="n">
        <v>0</v>
      </c>
      <c r="BF92" s="110" t="n">
        <v>0</v>
      </c>
      <c r="BH92" s="110" t="n">
        <v>0</v>
      </c>
      <c r="BJ92" s="110" t="n">
        <v>0</v>
      </c>
      <c r="BL92" s="110" t="n">
        <v>0</v>
      </c>
      <c r="BM92" s="110"/>
      <c r="BN92" s="110" t="n">
        <f aca="false">SUM(T92:BM92)</f>
        <v>0</v>
      </c>
      <c r="BO92" s="110"/>
      <c r="BP92" s="110" t="n">
        <v>0</v>
      </c>
      <c r="BQ92" s="110"/>
      <c r="BR92" s="110" t="n">
        <f aca="false">+R92-BN92+BP92</f>
        <v>0</v>
      </c>
      <c r="BT92" s="110" t="n">
        <f aca="false">+BN92+BR92</f>
        <v>0</v>
      </c>
      <c r="BV92" s="110" t="n">
        <f aca="false">+R92-BT92</f>
        <v>0</v>
      </c>
      <c r="BW92" s="110"/>
      <c r="BX92" s="194"/>
      <c r="BY92" s="194"/>
      <c r="BZ92" s="194"/>
      <c r="CA92" s="194"/>
      <c r="CB92" s="194"/>
      <c r="CC92" s="194"/>
      <c r="CD92" s="194"/>
      <c r="CE92" s="194"/>
      <c r="CF92" s="194"/>
      <c r="CG92" s="194"/>
      <c r="CH92" s="194"/>
      <c r="CI92" s="194"/>
      <c r="CJ92" s="194"/>
      <c r="CK92" s="194"/>
      <c r="CL92" s="194"/>
      <c r="CM92" s="194"/>
      <c r="CN92" s="194"/>
      <c r="CO92" s="194"/>
      <c r="CP92" s="194"/>
      <c r="CQ92" s="194"/>
      <c r="CR92" s="194"/>
      <c r="CS92" s="194"/>
      <c r="CT92" s="194"/>
      <c r="CU92" s="194"/>
      <c r="CV92" s="194"/>
      <c r="CW92" s="194"/>
      <c r="CX92" s="194"/>
      <c r="CY92" s="194"/>
      <c r="CZ92" s="194"/>
      <c r="DA92" s="194"/>
      <c r="DB92" s="194"/>
      <c r="DC92" s="194"/>
      <c r="DD92" s="194"/>
      <c r="DE92" s="194"/>
      <c r="DF92" s="194"/>
      <c r="DG92" s="194"/>
      <c r="DH92" s="194"/>
      <c r="DI92" s="194"/>
      <c r="DJ92" s="194"/>
      <c r="DK92" s="194"/>
      <c r="DL92" s="194"/>
      <c r="DM92" s="194"/>
      <c r="DN92" s="194"/>
      <c r="DO92" s="194"/>
      <c r="DP92" s="194"/>
      <c r="DQ92" s="194"/>
      <c r="DR92" s="194"/>
      <c r="DS92" s="194"/>
      <c r="DT92" s="194"/>
      <c r="DU92" s="194"/>
      <c r="DV92" s="194"/>
      <c r="DW92" s="194"/>
      <c r="DX92" s="194"/>
      <c r="DY92" s="194"/>
      <c r="DZ92" s="194"/>
      <c r="EA92" s="194"/>
      <c r="EB92" s="194"/>
      <c r="EC92" s="194"/>
      <c r="ED92" s="194"/>
      <c r="EE92" s="194"/>
      <c r="EF92" s="194"/>
      <c r="EG92" s="194"/>
      <c r="EH92" s="194"/>
      <c r="EI92" s="194"/>
      <c r="EJ92" s="194"/>
      <c r="EK92" s="194"/>
      <c r="EL92" s="194"/>
      <c r="EM92" s="194"/>
      <c r="EN92" s="194"/>
      <c r="EO92" s="194"/>
      <c r="EP92" s="194"/>
      <c r="EQ92" s="194"/>
      <c r="ER92" s="194"/>
      <c r="ES92" s="194"/>
      <c r="ET92" s="194"/>
      <c r="EU92" s="194"/>
      <c r="EV92" s="194"/>
      <c r="EW92" s="194"/>
      <c r="EX92" s="194"/>
      <c r="EY92" s="194"/>
      <c r="EZ92" s="194"/>
      <c r="FA92" s="194"/>
      <c r="FB92" s="194"/>
      <c r="FC92" s="194"/>
      <c r="FD92" s="194"/>
      <c r="FE92" s="194"/>
      <c r="FF92" s="194"/>
      <c r="FG92" s="194"/>
      <c r="FH92" s="194"/>
      <c r="FI92" s="194"/>
      <c r="FJ92" s="194"/>
      <c r="FK92" s="194"/>
      <c r="FL92" s="194"/>
      <c r="FM92" s="194"/>
      <c r="FN92" s="194"/>
      <c r="FO92" s="194"/>
      <c r="FP92" s="194"/>
      <c r="FQ92" s="194"/>
      <c r="FR92" s="194"/>
      <c r="FS92" s="194"/>
      <c r="FT92" s="194"/>
      <c r="FU92" s="194"/>
      <c r="FV92" s="194"/>
      <c r="FW92" s="194"/>
      <c r="FX92" s="194"/>
      <c r="FY92" s="194"/>
      <c r="FZ92" s="194"/>
      <c r="GA92" s="194"/>
      <c r="GB92" s="194"/>
      <c r="GC92" s="194"/>
      <c r="GD92" s="194"/>
      <c r="GE92" s="194"/>
      <c r="GF92" s="194"/>
      <c r="GG92" s="194"/>
      <c r="GH92" s="194"/>
      <c r="GI92" s="194"/>
      <c r="GJ92" s="194"/>
      <c r="GK92" s="194"/>
      <c r="GL92" s="194"/>
      <c r="GM92" s="194"/>
      <c r="GN92" s="194"/>
      <c r="GO92" s="194"/>
      <c r="GP92" s="194"/>
      <c r="GQ92" s="194"/>
      <c r="GR92" s="194"/>
      <c r="GS92" s="194"/>
      <c r="GT92" s="194"/>
      <c r="GU92" s="194"/>
      <c r="GV92" s="194"/>
      <c r="GW92" s="194"/>
      <c r="GX92" s="194"/>
      <c r="GY92" s="194"/>
      <c r="GZ92" s="194"/>
      <c r="HA92" s="194"/>
      <c r="HB92" s="194"/>
      <c r="HC92" s="194"/>
      <c r="HD92" s="194"/>
      <c r="HE92" s="194"/>
      <c r="HF92" s="194"/>
      <c r="HG92" s="194"/>
      <c r="HH92" s="194"/>
      <c r="HI92" s="194"/>
      <c r="HJ92" s="194"/>
      <c r="HK92" s="194"/>
      <c r="HL92" s="194"/>
      <c r="HM92" s="194"/>
      <c r="HN92" s="194"/>
      <c r="HO92" s="194"/>
      <c r="HP92" s="194"/>
      <c r="HQ92" s="194"/>
      <c r="HR92" s="194"/>
      <c r="HS92" s="194"/>
      <c r="HT92" s="194"/>
      <c r="HU92" s="194"/>
      <c r="HV92" s="194"/>
      <c r="HW92" s="194"/>
      <c r="HX92" s="194"/>
      <c r="HY92" s="194"/>
      <c r="HZ92" s="194"/>
      <c r="IA92" s="194"/>
      <c r="IB92" s="194"/>
      <c r="IC92" s="194"/>
      <c r="ID92" s="194"/>
      <c r="IE92" s="194"/>
      <c r="IF92" s="194"/>
      <c r="IG92" s="194"/>
      <c r="IH92" s="194"/>
      <c r="II92" s="194"/>
      <c r="IJ92" s="194"/>
      <c r="IK92" s="194"/>
      <c r="IL92" s="194"/>
      <c r="IM92" s="194"/>
      <c r="IN92" s="194"/>
      <c r="IO92" s="194"/>
      <c r="IP92" s="194"/>
      <c r="IQ92" s="194"/>
      <c r="IR92" s="194"/>
      <c r="IS92" s="194"/>
      <c r="IT92" s="194"/>
      <c r="IU92" s="194"/>
      <c r="IV92" s="194"/>
      <c r="IW92" s="194"/>
    </row>
    <row r="93" customFormat="false" ht="12.75" hidden="true" customHeight="false" outlineLevel="0" collapsed="false">
      <c r="A93" s="233"/>
      <c r="B93" s="161" t="s">
        <v>346</v>
      </c>
      <c r="C93" s="0"/>
      <c r="D93" s="0"/>
      <c r="E93" s="0"/>
      <c r="F93" s="0"/>
      <c r="G93" s="0"/>
      <c r="H93" s="0"/>
      <c r="I93" s="0"/>
      <c r="J93" s="4"/>
      <c r="K93" s="0"/>
      <c r="L93" s="34" t="s">
        <v>151</v>
      </c>
      <c r="M93" s="110"/>
      <c r="N93" s="110" t="n">
        <v>0</v>
      </c>
      <c r="O93" s="110"/>
      <c r="P93" s="110" t="n">
        <v>0</v>
      </c>
      <c r="Q93" s="110"/>
      <c r="R93" s="110" t="n">
        <f aca="false">+N93+P93</f>
        <v>0</v>
      </c>
      <c r="S93" s="110"/>
      <c r="T93" s="110" t="n">
        <v>0</v>
      </c>
      <c r="U93" s="110"/>
      <c r="V93" s="110" t="n">
        <v>0</v>
      </c>
      <c r="X93" s="110" t="n">
        <v>0</v>
      </c>
      <c r="Z93" s="110" t="n">
        <v>0</v>
      </c>
      <c r="AB93" s="110" t="n">
        <v>0</v>
      </c>
      <c r="AD93" s="110" t="n">
        <v>0</v>
      </c>
      <c r="AF93" s="110" t="n">
        <v>0</v>
      </c>
      <c r="AH93" s="110" t="n">
        <v>0</v>
      </c>
      <c r="AJ93" s="110" t="n">
        <v>0</v>
      </c>
      <c r="AN93" s="110" t="n">
        <v>0</v>
      </c>
      <c r="AP93" s="110" t="n">
        <v>0</v>
      </c>
      <c r="AR93" s="110" t="n">
        <v>0</v>
      </c>
      <c r="AT93" s="110" t="n">
        <v>0</v>
      </c>
      <c r="AV93" s="110" t="n">
        <v>0</v>
      </c>
      <c r="AX93" s="110" t="n">
        <v>0</v>
      </c>
      <c r="AZ93" s="110" t="n">
        <v>0</v>
      </c>
      <c r="BB93" s="110" t="n">
        <v>0</v>
      </c>
      <c r="BD93" s="110" t="n">
        <v>0</v>
      </c>
      <c r="BF93" s="110" t="n">
        <v>0</v>
      </c>
      <c r="BH93" s="110" t="n">
        <v>0</v>
      </c>
      <c r="BJ93" s="110" t="n">
        <v>0</v>
      </c>
      <c r="BL93" s="110" t="n">
        <v>0</v>
      </c>
      <c r="BM93" s="110"/>
      <c r="BN93" s="110" t="n">
        <f aca="false">SUM(T93:BM93)</f>
        <v>0</v>
      </c>
      <c r="BO93" s="110"/>
      <c r="BP93" s="110" t="n">
        <v>0</v>
      </c>
      <c r="BQ93" s="110"/>
      <c r="BR93" s="110" t="n">
        <f aca="false">+R93-BN93+BP93</f>
        <v>0</v>
      </c>
      <c r="BT93" s="110" t="n">
        <f aca="false">+BN93+BR93</f>
        <v>0</v>
      </c>
      <c r="BV93" s="110" t="n">
        <f aca="false">+R93-BT93</f>
        <v>0</v>
      </c>
      <c r="BW93" s="110"/>
      <c r="BX93" s="194"/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  <c r="DB93" s="194"/>
      <c r="DC93" s="194"/>
      <c r="DD93" s="194"/>
      <c r="DE93" s="194"/>
      <c r="DF93" s="194"/>
      <c r="DG93" s="194"/>
      <c r="DH93" s="194"/>
      <c r="DI93" s="194"/>
      <c r="DJ93" s="194"/>
      <c r="DK93" s="194"/>
      <c r="DL93" s="194"/>
      <c r="DM93" s="194"/>
      <c r="DN93" s="194"/>
      <c r="DO93" s="194"/>
      <c r="DP93" s="194"/>
      <c r="DQ93" s="194"/>
      <c r="DR93" s="194"/>
      <c r="DS93" s="194"/>
      <c r="DT93" s="194"/>
      <c r="DU93" s="194"/>
      <c r="DV93" s="194"/>
      <c r="DW93" s="194"/>
      <c r="DX93" s="194"/>
      <c r="DY93" s="194"/>
      <c r="DZ93" s="194"/>
      <c r="EA93" s="194"/>
      <c r="EB93" s="194"/>
      <c r="EC93" s="194"/>
      <c r="ED93" s="194"/>
      <c r="EE93" s="194"/>
      <c r="EF93" s="194"/>
      <c r="EG93" s="194"/>
      <c r="EH93" s="194"/>
      <c r="EI93" s="194"/>
      <c r="EJ93" s="194"/>
      <c r="EK93" s="194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94"/>
      <c r="EZ93" s="194"/>
      <c r="FA93" s="194"/>
      <c r="FB93" s="194"/>
      <c r="FC93" s="194"/>
      <c r="FD93" s="194"/>
      <c r="FE93" s="194"/>
      <c r="FF93" s="194"/>
      <c r="FG93" s="194"/>
      <c r="FH93" s="194"/>
      <c r="FI93" s="194"/>
      <c r="FJ93" s="194"/>
      <c r="FK93" s="194"/>
      <c r="FL93" s="194"/>
      <c r="FM93" s="194"/>
      <c r="FN93" s="194"/>
      <c r="FO93" s="194"/>
      <c r="FP93" s="194"/>
      <c r="FQ93" s="194"/>
      <c r="FR93" s="194"/>
      <c r="FS93" s="194"/>
      <c r="FT93" s="194"/>
      <c r="FU93" s="194"/>
      <c r="FV93" s="194"/>
      <c r="FW93" s="194"/>
      <c r="FX93" s="194"/>
      <c r="FY93" s="194"/>
      <c r="FZ93" s="194"/>
      <c r="GA93" s="194"/>
      <c r="GB93" s="194"/>
      <c r="GC93" s="194"/>
      <c r="GD93" s="194"/>
      <c r="GE93" s="194"/>
      <c r="GF93" s="194"/>
      <c r="GG93" s="194"/>
      <c r="GH93" s="194"/>
      <c r="GI93" s="194"/>
      <c r="GJ93" s="194"/>
      <c r="GK93" s="194"/>
      <c r="GL93" s="194"/>
      <c r="GM93" s="194"/>
      <c r="GN93" s="194"/>
      <c r="GO93" s="194"/>
      <c r="GP93" s="194"/>
      <c r="GQ93" s="194"/>
      <c r="GR93" s="194"/>
      <c r="GS93" s="194"/>
      <c r="GT93" s="194"/>
      <c r="GU93" s="194"/>
      <c r="GV93" s="194"/>
      <c r="GW93" s="194"/>
      <c r="GX93" s="194"/>
      <c r="GY93" s="194"/>
      <c r="GZ93" s="194"/>
      <c r="HA93" s="194"/>
      <c r="HB93" s="194"/>
      <c r="HC93" s="194"/>
      <c r="HD93" s="194"/>
      <c r="HE93" s="194"/>
      <c r="HF93" s="194"/>
      <c r="HG93" s="194"/>
      <c r="HH93" s="194"/>
      <c r="HI93" s="194"/>
      <c r="HJ93" s="194"/>
      <c r="HK93" s="194"/>
      <c r="HL93" s="194"/>
      <c r="HM93" s="194"/>
      <c r="HN93" s="194"/>
      <c r="HO93" s="194"/>
      <c r="HP93" s="194"/>
      <c r="HQ93" s="194"/>
      <c r="HR93" s="194"/>
      <c r="HS93" s="194"/>
      <c r="HT93" s="194"/>
      <c r="HU93" s="194"/>
      <c r="HV93" s="194"/>
      <c r="HW93" s="194"/>
      <c r="HX93" s="194"/>
      <c r="HY93" s="194"/>
      <c r="HZ93" s="194"/>
      <c r="IA93" s="194"/>
      <c r="IB93" s="194"/>
      <c r="IC93" s="194"/>
      <c r="ID93" s="194"/>
      <c r="IE93" s="194"/>
      <c r="IF93" s="194"/>
      <c r="IG93" s="194"/>
      <c r="IH93" s="194"/>
      <c r="II93" s="194"/>
      <c r="IJ93" s="194"/>
      <c r="IK93" s="194"/>
      <c r="IL93" s="194"/>
      <c r="IM93" s="194"/>
      <c r="IN93" s="194"/>
      <c r="IO93" s="194"/>
      <c r="IP93" s="194"/>
      <c r="IQ93" s="194"/>
      <c r="IR93" s="194"/>
      <c r="IS93" s="194"/>
      <c r="IT93" s="194"/>
      <c r="IU93" s="194"/>
      <c r="IV93" s="194"/>
      <c r="IW93" s="194"/>
    </row>
    <row r="94" customFormat="false" ht="12.75" hidden="true" customHeight="false" outlineLevel="0" collapsed="false">
      <c r="A94" s="233"/>
      <c r="B94" s="161" t="s">
        <v>347</v>
      </c>
      <c r="C94" s="0"/>
      <c r="D94" s="0"/>
      <c r="E94" s="0"/>
      <c r="F94" s="0"/>
      <c r="G94" s="0"/>
      <c r="H94" s="0"/>
      <c r="I94" s="0"/>
      <c r="J94" s="4"/>
      <c r="K94" s="0"/>
      <c r="L94" s="34" t="s">
        <v>151</v>
      </c>
      <c r="M94" s="110"/>
      <c r="N94" s="110" t="n">
        <v>0</v>
      </c>
      <c r="O94" s="110"/>
      <c r="P94" s="110" t="n">
        <v>0</v>
      </c>
      <c r="Q94" s="110"/>
      <c r="R94" s="110" t="n">
        <f aca="false">+N94+P94</f>
        <v>0</v>
      </c>
      <c r="S94" s="110"/>
      <c r="T94" s="110" t="n">
        <v>0</v>
      </c>
      <c r="U94" s="110"/>
      <c r="V94" s="110" t="n">
        <v>0</v>
      </c>
      <c r="X94" s="110" t="n">
        <v>0</v>
      </c>
      <c r="Z94" s="110" t="n">
        <v>0</v>
      </c>
      <c r="AB94" s="110" t="n">
        <v>0</v>
      </c>
      <c r="AD94" s="110" t="n">
        <v>0</v>
      </c>
      <c r="AF94" s="110" t="n">
        <v>0</v>
      </c>
      <c r="AH94" s="110" t="n">
        <v>0</v>
      </c>
      <c r="AJ94" s="110" t="n">
        <v>0</v>
      </c>
      <c r="AN94" s="110" t="n">
        <v>0</v>
      </c>
      <c r="AP94" s="110" t="n">
        <v>0</v>
      </c>
      <c r="AR94" s="110" t="n">
        <v>0</v>
      </c>
      <c r="AT94" s="110" t="n">
        <v>0</v>
      </c>
      <c r="AV94" s="110" t="n">
        <v>0</v>
      </c>
      <c r="AX94" s="110" t="n">
        <v>0</v>
      </c>
      <c r="AZ94" s="110" t="n">
        <v>0</v>
      </c>
      <c r="BB94" s="110" t="n">
        <v>0</v>
      </c>
      <c r="BD94" s="110" t="n">
        <v>0</v>
      </c>
      <c r="BF94" s="110" t="n">
        <v>0</v>
      </c>
      <c r="BH94" s="110" t="n">
        <v>0</v>
      </c>
      <c r="BJ94" s="110" t="n">
        <v>0</v>
      </c>
      <c r="BL94" s="110" t="n">
        <v>0</v>
      </c>
      <c r="BM94" s="110"/>
      <c r="BN94" s="110" t="n">
        <f aca="false">SUM(T94:BM94)</f>
        <v>0</v>
      </c>
      <c r="BO94" s="110"/>
      <c r="BP94" s="110" t="n">
        <v>0</v>
      </c>
      <c r="BQ94" s="110"/>
      <c r="BR94" s="110" t="n">
        <f aca="false">+R94-BN94+BP94</f>
        <v>0</v>
      </c>
      <c r="BT94" s="110" t="n">
        <f aca="false">+BN94+BR94</f>
        <v>0</v>
      </c>
      <c r="BV94" s="110" t="n">
        <f aca="false">+R94-BT94</f>
        <v>0</v>
      </c>
      <c r="BW94" s="110"/>
      <c r="BX94" s="194"/>
      <c r="BY94" s="194"/>
      <c r="BZ94" s="194"/>
      <c r="CA94" s="194"/>
      <c r="CB94" s="194"/>
      <c r="CC94" s="194"/>
      <c r="CD94" s="194"/>
      <c r="CE94" s="194"/>
      <c r="CF94" s="194"/>
      <c r="CG94" s="194"/>
      <c r="CH94" s="194"/>
      <c r="CI94" s="194"/>
      <c r="CJ94" s="194"/>
      <c r="CK94" s="194"/>
      <c r="CL94" s="194"/>
      <c r="CM94" s="194"/>
      <c r="CN94" s="194"/>
      <c r="CO94" s="194"/>
      <c r="CP94" s="194"/>
      <c r="CQ94" s="194"/>
      <c r="CR94" s="194"/>
      <c r="CS94" s="194"/>
      <c r="CT94" s="194"/>
      <c r="CU94" s="194"/>
      <c r="CV94" s="194"/>
      <c r="CW94" s="194"/>
      <c r="CX94" s="194"/>
      <c r="CY94" s="194"/>
      <c r="CZ94" s="194"/>
      <c r="DA94" s="194"/>
      <c r="DB94" s="194"/>
      <c r="DC94" s="194"/>
      <c r="DD94" s="194"/>
      <c r="DE94" s="194"/>
      <c r="DF94" s="194"/>
      <c r="DG94" s="194"/>
      <c r="DH94" s="194"/>
      <c r="DI94" s="194"/>
      <c r="DJ94" s="194"/>
      <c r="DK94" s="194"/>
      <c r="DL94" s="194"/>
      <c r="DM94" s="194"/>
      <c r="DN94" s="194"/>
      <c r="DO94" s="194"/>
      <c r="DP94" s="194"/>
      <c r="DQ94" s="194"/>
      <c r="DR94" s="194"/>
      <c r="DS94" s="194"/>
      <c r="DT94" s="194"/>
      <c r="DU94" s="194"/>
      <c r="DV94" s="194"/>
      <c r="DW94" s="194"/>
      <c r="DX94" s="194"/>
      <c r="DY94" s="194"/>
      <c r="DZ94" s="194"/>
      <c r="EA94" s="194"/>
      <c r="EB94" s="194"/>
      <c r="EC94" s="194"/>
      <c r="ED94" s="194"/>
      <c r="EE94" s="194"/>
      <c r="EF94" s="194"/>
      <c r="EG94" s="194"/>
      <c r="EH94" s="194"/>
      <c r="EI94" s="194"/>
      <c r="EJ94" s="194"/>
      <c r="EK94" s="194"/>
      <c r="EL94" s="194"/>
      <c r="EM94" s="194"/>
      <c r="EN94" s="194"/>
      <c r="EO94" s="194"/>
      <c r="EP94" s="194"/>
      <c r="EQ94" s="194"/>
      <c r="ER94" s="194"/>
      <c r="ES94" s="194"/>
      <c r="ET94" s="194"/>
      <c r="EU94" s="194"/>
      <c r="EV94" s="194"/>
      <c r="EW94" s="194"/>
      <c r="EX94" s="194"/>
      <c r="EY94" s="194"/>
      <c r="EZ94" s="194"/>
      <c r="FA94" s="194"/>
      <c r="FB94" s="194"/>
      <c r="FC94" s="194"/>
      <c r="FD94" s="194"/>
      <c r="FE94" s="194"/>
      <c r="FF94" s="194"/>
      <c r="FG94" s="194"/>
      <c r="FH94" s="194"/>
      <c r="FI94" s="194"/>
      <c r="FJ94" s="194"/>
      <c r="FK94" s="194"/>
      <c r="FL94" s="194"/>
      <c r="FM94" s="194"/>
      <c r="FN94" s="194"/>
      <c r="FO94" s="194"/>
      <c r="FP94" s="194"/>
      <c r="FQ94" s="194"/>
      <c r="FR94" s="194"/>
      <c r="FS94" s="194"/>
      <c r="FT94" s="194"/>
      <c r="FU94" s="194"/>
      <c r="FV94" s="194"/>
      <c r="FW94" s="194"/>
      <c r="FX94" s="194"/>
      <c r="FY94" s="194"/>
      <c r="FZ94" s="194"/>
      <c r="GA94" s="194"/>
      <c r="GB94" s="194"/>
      <c r="GC94" s="194"/>
      <c r="GD94" s="194"/>
      <c r="GE94" s="194"/>
      <c r="GF94" s="194"/>
      <c r="GG94" s="194"/>
      <c r="GH94" s="194"/>
      <c r="GI94" s="194"/>
      <c r="GJ94" s="194"/>
      <c r="GK94" s="194"/>
      <c r="GL94" s="194"/>
      <c r="GM94" s="194"/>
      <c r="GN94" s="194"/>
      <c r="GO94" s="194"/>
      <c r="GP94" s="194"/>
      <c r="GQ94" s="194"/>
      <c r="GR94" s="194"/>
      <c r="GS94" s="194"/>
      <c r="GT94" s="194"/>
      <c r="GU94" s="194"/>
      <c r="GV94" s="194"/>
      <c r="GW94" s="194"/>
      <c r="GX94" s="194"/>
      <c r="GY94" s="194"/>
      <c r="GZ94" s="194"/>
      <c r="HA94" s="194"/>
      <c r="HB94" s="194"/>
      <c r="HC94" s="194"/>
      <c r="HD94" s="194"/>
      <c r="HE94" s="194"/>
      <c r="HF94" s="194"/>
      <c r="HG94" s="194"/>
      <c r="HH94" s="194"/>
      <c r="HI94" s="194"/>
      <c r="HJ94" s="194"/>
      <c r="HK94" s="194"/>
      <c r="HL94" s="194"/>
      <c r="HM94" s="194"/>
      <c r="HN94" s="194"/>
      <c r="HO94" s="194"/>
      <c r="HP94" s="194"/>
      <c r="HQ94" s="194"/>
      <c r="HR94" s="194"/>
      <c r="HS94" s="194"/>
      <c r="HT94" s="194"/>
      <c r="HU94" s="194"/>
      <c r="HV94" s="194"/>
      <c r="HW94" s="194"/>
      <c r="HX94" s="194"/>
      <c r="HY94" s="194"/>
      <c r="HZ94" s="194"/>
      <c r="IA94" s="194"/>
      <c r="IB94" s="194"/>
      <c r="IC94" s="194"/>
      <c r="ID94" s="194"/>
      <c r="IE94" s="194"/>
      <c r="IF94" s="194"/>
      <c r="IG94" s="194"/>
      <c r="IH94" s="194"/>
      <c r="II94" s="194"/>
      <c r="IJ94" s="194"/>
      <c r="IK94" s="194"/>
      <c r="IL94" s="194"/>
      <c r="IM94" s="194"/>
      <c r="IN94" s="194"/>
      <c r="IO94" s="194"/>
      <c r="IP94" s="194"/>
      <c r="IQ94" s="194"/>
      <c r="IR94" s="194"/>
      <c r="IS94" s="194"/>
      <c r="IT94" s="194"/>
      <c r="IU94" s="194"/>
      <c r="IV94" s="194"/>
      <c r="IW94" s="194"/>
    </row>
    <row r="95" customFormat="false" ht="12.75" hidden="true" customHeight="false" outlineLevel="0" collapsed="false">
      <c r="A95" s="233"/>
      <c r="B95" s="161" t="s">
        <v>348</v>
      </c>
      <c r="C95" s="0"/>
      <c r="D95" s="0"/>
      <c r="E95" s="0"/>
      <c r="F95" s="0"/>
      <c r="G95" s="0"/>
      <c r="H95" s="0"/>
      <c r="I95" s="0"/>
      <c r="J95" s="4"/>
      <c r="K95" s="0"/>
      <c r="L95" s="34" t="s">
        <v>151</v>
      </c>
      <c r="M95" s="110"/>
      <c r="N95" s="110" t="n">
        <v>0</v>
      </c>
      <c r="O95" s="110"/>
      <c r="P95" s="110" t="n">
        <v>0</v>
      </c>
      <c r="Q95" s="110"/>
      <c r="R95" s="110" t="n">
        <f aca="false">+N95+P95</f>
        <v>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v>0</v>
      </c>
      <c r="AJ95" s="110" t="n">
        <v>0</v>
      </c>
      <c r="AN95" s="110" t="n">
        <v>0</v>
      </c>
      <c r="AP95" s="110" t="n">
        <v>0</v>
      </c>
      <c r="AR95" s="110" t="n">
        <v>0</v>
      </c>
      <c r="AT95" s="110" t="n">
        <v>0</v>
      </c>
      <c r="AV95" s="110" t="n">
        <v>0</v>
      </c>
      <c r="AX95" s="110" t="n">
        <v>0</v>
      </c>
      <c r="AZ95" s="110" t="n">
        <v>0</v>
      </c>
      <c r="BB95" s="110" t="n">
        <v>0</v>
      </c>
      <c r="BD95" s="110" t="n">
        <v>0</v>
      </c>
      <c r="BF95" s="110" t="n">
        <v>0</v>
      </c>
      <c r="BH95" s="110" t="n">
        <v>0</v>
      </c>
      <c r="BJ95" s="110" t="n">
        <v>0</v>
      </c>
      <c r="BL95" s="110" t="n">
        <v>0</v>
      </c>
      <c r="BM95" s="110"/>
      <c r="BN95" s="110" t="n">
        <f aca="false">SUM(T95:BM95)</f>
        <v>0</v>
      </c>
      <c r="BO95" s="110"/>
      <c r="BP95" s="110" t="n">
        <v>0</v>
      </c>
      <c r="BQ95" s="110"/>
      <c r="BR95" s="110" t="n">
        <f aca="false">+R95-BN95+BP95</f>
        <v>0</v>
      </c>
      <c r="BT95" s="110" t="n">
        <f aca="false">+BN95+BR95</f>
        <v>0</v>
      </c>
      <c r="BV95" s="110" t="n">
        <f aca="false">+R95-BT95</f>
        <v>0</v>
      </c>
      <c r="BW95" s="110"/>
      <c r="BX95" s="194"/>
      <c r="BY95" s="194"/>
      <c r="BZ95" s="194"/>
      <c r="CA95" s="194"/>
      <c r="CB95" s="194"/>
      <c r="CC95" s="194"/>
      <c r="CD95" s="194"/>
      <c r="CE95" s="194"/>
      <c r="CF95" s="194"/>
      <c r="CG95" s="194"/>
      <c r="CH95" s="194"/>
      <c r="CI95" s="194"/>
      <c r="CJ95" s="194"/>
      <c r="CK95" s="194"/>
      <c r="CL95" s="194"/>
      <c r="CM95" s="194"/>
      <c r="CN95" s="194"/>
      <c r="CO95" s="194"/>
      <c r="CP95" s="194"/>
      <c r="CQ95" s="194"/>
      <c r="CR95" s="194"/>
      <c r="CS95" s="194"/>
      <c r="CT95" s="194"/>
      <c r="CU95" s="194"/>
      <c r="CV95" s="194"/>
      <c r="CW95" s="194"/>
      <c r="CX95" s="194"/>
      <c r="CY95" s="194"/>
      <c r="CZ95" s="194"/>
      <c r="DA95" s="194"/>
      <c r="DB95" s="194"/>
      <c r="DC95" s="194"/>
      <c r="DD95" s="194"/>
      <c r="DE95" s="194"/>
      <c r="DF95" s="194"/>
      <c r="DG95" s="194"/>
      <c r="DH95" s="194"/>
      <c r="DI95" s="194"/>
      <c r="DJ95" s="194"/>
      <c r="DK95" s="194"/>
      <c r="DL95" s="194"/>
      <c r="DM95" s="194"/>
      <c r="DN95" s="194"/>
      <c r="DO95" s="194"/>
      <c r="DP95" s="194"/>
      <c r="DQ95" s="194"/>
      <c r="DR95" s="194"/>
      <c r="DS95" s="194"/>
      <c r="DT95" s="194"/>
      <c r="DU95" s="194"/>
      <c r="DV95" s="194"/>
      <c r="DW95" s="194"/>
      <c r="DX95" s="194"/>
      <c r="DY95" s="194"/>
      <c r="DZ95" s="194"/>
      <c r="EA95" s="194"/>
      <c r="EB95" s="194"/>
      <c r="EC95" s="194"/>
      <c r="ED95" s="194"/>
      <c r="EE95" s="194"/>
      <c r="EF95" s="194"/>
      <c r="EG95" s="194"/>
      <c r="EH95" s="194"/>
      <c r="EI95" s="194"/>
      <c r="EJ95" s="194"/>
      <c r="EK95" s="194"/>
      <c r="EL95" s="194"/>
      <c r="EM95" s="194"/>
      <c r="EN95" s="194"/>
      <c r="EO95" s="194"/>
      <c r="EP95" s="194"/>
      <c r="EQ95" s="194"/>
      <c r="ER95" s="194"/>
      <c r="ES95" s="194"/>
      <c r="ET95" s="194"/>
      <c r="EU95" s="194"/>
      <c r="EV95" s="194"/>
      <c r="EW95" s="194"/>
      <c r="EX95" s="194"/>
      <c r="EY95" s="194"/>
      <c r="EZ95" s="194"/>
      <c r="FA95" s="194"/>
      <c r="FB95" s="194"/>
      <c r="FC95" s="194"/>
      <c r="FD95" s="194"/>
      <c r="FE95" s="194"/>
      <c r="FF95" s="194"/>
      <c r="FG95" s="194"/>
      <c r="FH95" s="194"/>
      <c r="FI95" s="194"/>
      <c r="FJ95" s="194"/>
      <c r="FK95" s="194"/>
      <c r="FL95" s="194"/>
      <c r="FM95" s="194"/>
      <c r="FN95" s="194"/>
      <c r="FO95" s="194"/>
      <c r="FP95" s="194"/>
      <c r="FQ95" s="194"/>
      <c r="FR95" s="194"/>
      <c r="FS95" s="194"/>
      <c r="FT95" s="194"/>
      <c r="FU95" s="194"/>
      <c r="FV95" s="194"/>
      <c r="FW95" s="194"/>
      <c r="FX95" s="194"/>
      <c r="FY95" s="194"/>
      <c r="FZ95" s="194"/>
      <c r="GA95" s="194"/>
      <c r="GB95" s="194"/>
      <c r="GC95" s="194"/>
      <c r="GD95" s="194"/>
      <c r="GE95" s="194"/>
      <c r="GF95" s="194"/>
      <c r="GG95" s="194"/>
      <c r="GH95" s="194"/>
      <c r="GI95" s="194"/>
      <c r="GJ95" s="194"/>
      <c r="GK95" s="194"/>
      <c r="GL95" s="194"/>
      <c r="GM95" s="194"/>
      <c r="GN95" s="194"/>
      <c r="GO95" s="194"/>
      <c r="GP95" s="194"/>
      <c r="GQ95" s="194"/>
      <c r="GR95" s="194"/>
      <c r="GS95" s="194"/>
      <c r="GT95" s="194"/>
      <c r="GU95" s="194"/>
      <c r="GV95" s="194"/>
      <c r="GW95" s="194"/>
      <c r="GX95" s="194"/>
      <c r="GY95" s="194"/>
      <c r="GZ95" s="194"/>
      <c r="HA95" s="194"/>
      <c r="HB95" s="194"/>
      <c r="HC95" s="194"/>
      <c r="HD95" s="194"/>
      <c r="HE95" s="194"/>
      <c r="HF95" s="194"/>
      <c r="HG95" s="194"/>
      <c r="HH95" s="194"/>
      <c r="HI95" s="194"/>
      <c r="HJ95" s="194"/>
      <c r="HK95" s="194"/>
      <c r="HL95" s="194"/>
      <c r="HM95" s="194"/>
      <c r="HN95" s="194"/>
      <c r="HO95" s="194"/>
      <c r="HP95" s="194"/>
      <c r="HQ95" s="194"/>
      <c r="HR95" s="194"/>
      <c r="HS95" s="194"/>
      <c r="HT95" s="194"/>
      <c r="HU95" s="194"/>
      <c r="HV95" s="194"/>
      <c r="HW95" s="194"/>
      <c r="HX95" s="194"/>
      <c r="HY95" s="194"/>
      <c r="HZ95" s="194"/>
      <c r="IA95" s="194"/>
      <c r="IB95" s="194"/>
      <c r="IC95" s="194"/>
      <c r="ID95" s="194"/>
      <c r="IE95" s="194"/>
      <c r="IF95" s="194"/>
      <c r="IG95" s="194"/>
      <c r="IH95" s="194"/>
      <c r="II95" s="194"/>
      <c r="IJ95" s="194"/>
      <c r="IK95" s="194"/>
      <c r="IL95" s="194"/>
      <c r="IM95" s="194"/>
      <c r="IN95" s="194"/>
      <c r="IO95" s="194"/>
      <c r="IP95" s="194"/>
      <c r="IQ95" s="194"/>
      <c r="IR95" s="194"/>
      <c r="IS95" s="194"/>
      <c r="IT95" s="194"/>
      <c r="IU95" s="194"/>
      <c r="IV95" s="194"/>
      <c r="IW95" s="194"/>
    </row>
    <row r="96" customFormat="false" ht="12.75" hidden="true" customHeight="false" outlineLevel="0" collapsed="false">
      <c r="A96" s="233"/>
      <c r="B96" s="161" t="s">
        <v>349</v>
      </c>
      <c r="C96" s="0"/>
      <c r="D96" s="0"/>
      <c r="E96" s="0"/>
      <c r="F96" s="0"/>
      <c r="G96" s="0"/>
      <c r="H96" s="0"/>
      <c r="I96" s="0"/>
      <c r="J96" s="4"/>
      <c r="K96" s="0"/>
      <c r="L96" s="34" t="s">
        <v>151</v>
      </c>
      <c r="M96" s="110"/>
      <c r="N96" s="110" t="n">
        <v>0</v>
      </c>
      <c r="O96" s="110"/>
      <c r="P96" s="110" t="n">
        <v>0</v>
      </c>
      <c r="Q96" s="110"/>
      <c r="R96" s="110" t="n">
        <f aca="false">+N96+P96</f>
        <v>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v>0</v>
      </c>
      <c r="AJ96" s="110" t="n">
        <v>0</v>
      </c>
      <c r="AN96" s="110" t="n">
        <v>0</v>
      </c>
      <c r="AP96" s="110" t="n">
        <v>0</v>
      </c>
      <c r="AR96" s="110" t="n">
        <v>0</v>
      </c>
      <c r="AT96" s="110" t="n">
        <v>0</v>
      </c>
      <c r="AV96" s="110" t="n">
        <v>0</v>
      </c>
      <c r="AX96" s="110" t="n">
        <v>0</v>
      </c>
      <c r="AZ96" s="110" t="n">
        <v>0</v>
      </c>
      <c r="BB96" s="110" t="n">
        <v>0</v>
      </c>
      <c r="BD96" s="110" t="n">
        <v>0</v>
      </c>
      <c r="BF96" s="110" t="n">
        <v>0</v>
      </c>
      <c r="BH96" s="110" t="n">
        <v>0</v>
      </c>
      <c r="BJ96" s="110" t="n">
        <v>0</v>
      </c>
      <c r="BL96" s="110" t="n">
        <v>0</v>
      </c>
      <c r="BM96" s="110"/>
      <c r="BN96" s="110" t="n">
        <f aca="false">SUM(T96:BM96)</f>
        <v>0</v>
      </c>
      <c r="BO96" s="110"/>
      <c r="BP96" s="110" t="n">
        <v>0</v>
      </c>
      <c r="BQ96" s="110"/>
      <c r="BR96" s="110" t="n">
        <f aca="false">+R96-BN96+BP96</f>
        <v>0</v>
      </c>
      <c r="BT96" s="110" t="n">
        <f aca="false">+BN96+BR96</f>
        <v>0</v>
      </c>
      <c r="BV96" s="110" t="n">
        <f aca="false">+R96-BT96</f>
        <v>0</v>
      </c>
      <c r="BW96" s="110"/>
      <c r="BX96" s="194"/>
      <c r="BY96" s="194"/>
      <c r="BZ96" s="194"/>
      <c r="CA96" s="194"/>
      <c r="CB96" s="194"/>
      <c r="CC96" s="194"/>
      <c r="CD96" s="194"/>
      <c r="CE96" s="194"/>
      <c r="CF96" s="194"/>
      <c r="CG96" s="194"/>
      <c r="CH96" s="194"/>
      <c r="CI96" s="194"/>
      <c r="CJ96" s="194"/>
      <c r="CK96" s="194"/>
      <c r="CL96" s="194"/>
      <c r="CM96" s="194"/>
      <c r="CN96" s="194"/>
      <c r="CO96" s="194"/>
      <c r="CP96" s="194"/>
      <c r="CQ96" s="194"/>
      <c r="CR96" s="194"/>
      <c r="CS96" s="194"/>
      <c r="CT96" s="194"/>
      <c r="CU96" s="194"/>
      <c r="CV96" s="194"/>
      <c r="CW96" s="194"/>
      <c r="CX96" s="194"/>
      <c r="CY96" s="194"/>
      <c r="CZ96" s="194"/>
      <c r="DA96" s="194"/>
      <c r="DB96" s="194"/>
      <c r="DC96" s="194"/>
      <c r="DD96" s="194"/>
      <c r="DE96" s="194"/>
      <c r="DF96" s="194"/>
      <c r="DG96" s="194"/>
      <c r="DH96" s="194"/>
      <c r="DI96" s="194"/>
      <c r="DJ96" s="194"/>
      <c r="DK96" s="194"/>
      <c r="DL96" s="194"/>
      <c r="DM96" s="194"/>
      <c r="DN96" s="194"/>
      <c r="DO96" s="194"/>
      <c r="DP96" s="194"/>
      <c r="DQ96" s="194"/>
      <c r="DR96" s="194"/>
      <c r="DS96" s="194"/>
      <c r="DT96" s="194"/>
      <c r="DU96" s="194"/>
      <c r="DV96" s="194"/>
      <c r="DW96" s="194"/>
      <c r="DX96" s="194"/>
      <c r="DY96" s="194"/>
      <c r="DZ96" s="194"/>
      <c r="EA96" s="194"/>
      <c r="EB96" s="194"/>
      <c r="EC96" s="194"/>
      <c r="ED96" s="194"/>
      <c r="EE96" s="194"/>
      <c r="EF96" s="194"/>
      <c r="EG96" s="194"/>
      <c r="EH96" s="194"/>
      <c r="EI96" s="194"/>
      <c r="EJ96" s="194"/>
      <c r="EK96" s="194"/>
      <c r="EL96" s="194"/>
      <c r="EM96" s="194"/>
      <c r="EN96" s="194"/>
      <c r="EO96" s="194"/>
      <c r="EP96" s="194"/>
      <c r="EQ96" s="194"/>
      <c r="ER96" s="194"/>
      <c r="ES96" s="194"/>
      <c r="ET96" s="194"/>
      <c r="EU96" s="194"/>
      <c r="EV96" s="194"/>
      <c r="EW96" s="194"/>
      <c r="EX96" s="194"/>
      <c r="EY96" s="194"/>
      <c r="EZ96" s="194"/>
      <c r="FA96" s="194"/>
      <c r="FB96" s="194"/>
      <c r="FC96" s="194"/>
      <c r="FD96" s="194"/>
      <c r="FE96" s="194"/>
      <c r="FF96" s="194"/>
      <c r="FG96" s="194"/>
      <c r="FH96" s="194"/>
      <c r="FI96" s="194"/>
      <c r="FJ96" s="194"/>
      <c r="FK96" s="194"/>
      <c r="FL96" s="194"/>
      <c r="FM96" s="194"/>
      <c r="FN96" s="194"/>
      <c r="FO96" s="194"/>
      <c r="FP96" s="194"/>
      <c r="FQ96" s="194"/>
      <c r="FR96" s="194"/>
      <c r="FS96" s="194"/>
      <c r="FT96" s="194"/>
      <c r="FU96" s="194"/>
      <c r="FV96" s="194"/>
      <c r="FW96" s="194"/>
      <c r="FX96" s="194"/>
      <c r="FY96" s="194"/>
      <c r="FZ96" s="194"/>
      <c r="GA96" s="194"/>
      <c r="GB96" s="194"/>
      <c r="GC96" s="194"/>
      <c r="GD96" s="194"/>
      <c r="GE96" s="194"/>
      <c r="GF96" s="194"/>
      <c r="GG96" s="194"/>
      <c r="GH96" s="194"/>
      <c r="GI96" s="194"/>
      <c r="GJ96" s="194"/>
      <c r="GK96" s="194"/>
      <c r="GL96" s="194"/>
      <c r="GM96" s="194"/>
      <c r="GN96" s="194"/>
      <c r="GO96" s="194"/>
      <c r="GP96" s="194"/>
      <c r="GQ96" s="194"/>
      <c r="GR96" s="194"/>
      <c r="GS96" s="194"/>
      <c r="GT96" s="194"/>
      <c r="GU96" s="194"/>
      <c r="GV96" s="194"/>
      <c r="GW96" s="194"/>
      <c r="GX96" s="194"/>
      <c r="GY96" s="194"/>
      <c r="GZ96" s="194"/>
      <c r="HA96" s="194"/>
      <c r="HB96" s="194"/>
      <c r="HC96" s="194"/>
      <c r="HD96" s="194"/>
      <c r="HE96" s="194"/>
      <c r="HF96" s="194"/>
      <c r="HG96" s="194"/>
      <c r="HH96" s="194"/>
      <c r="HI96" s="194"/>
      <c r="HJ96" s="194"/>
      <c r="HK96" s="194"/>
      <c r="HL96" s="194"/>
      <c r="HM96" s="194"/>
      <c r="HN96" s="194"/>
      <c r="HO96" s="194"/>
      <c r="HP96" s="194"/>
      <c r="HQ96" s="194"/>
      <c r="HR96" s="194"/>
      <c r="HS96" s="194"/>
      <c r="HT96" s="194"/>
      <c r="HU96" s="194"/>
      <c r="HV96" s="194"/>
      <c r="HW96" s="194"/>
      <c r="HX96" s="194"/>
      <c r="HY96" s="194"/>
      <c r="HZ96" s="194"/>
      <c r="IA96" s="194"/>
      <c r="IB96" s="194"/>
      <c r="IC96" s="194"/>
      <c r="ID96" s="194"/>
      <c r="IE96" s="194"/>
      <c r="IF96" s="194"/>
      <c r="IG96" s="194"/>
      <c r="IH96" s="194"/>
      <c r="II96" s="194"/>
      <c r="IJ96" s="194"/>
      <c r="IK96" s="194"/>
      <c r="IL96" s="194"/>
      <c r="IM96" s="194"/>
      <c r="IN96" s="194"/>
      <c r="IO96" s="194"/>
      <c r="IP96" s="194"/>
      <c r="IQ96" s="194"/>
      <c r="IR96" s="194"/>
      <c r="IS96" s="194"/>
      <c r="IT96" s="194"/>
      <c r="IU96" s="194"/>
      <c r="IV96" s="194"/>
      <c r="IW96" s="194"/>
    </row>
    <row r="97" customFormat="false" ht="12.75" hidden="true" customHeight="false" outlineLevel="0" collapsed="false">
      <c r="A97" s="233"/>
      <c r="B97" s="161" t="s">
        <v>350</v>
      </c>
      <c r="C97" s="0"/>
      <c r="D97" s="0"/>
      <c r="E97" s="0"/>
      <c r="F97" s="0"/>
      <c r="G97" s="0"/>
      <c r="H97" s="0"/>
      <c r="I97" s="0"/>
      <c r="J97" s="4"/>
      <c r="K97" s="0"/>
      <c r="L97" s="34" t="s">
        <v>151</v>
      </c>
      <c r="M97" s="110"/>
      <c r="N97" s="110" t="n">
        <v>0</v>
      </c>
      <c r="O97" s="110"/>
      <c r="P97" s="110" t="n">
        <v>0</v>
      </c>
      <c r="Q97" s="110"/>
      <c r="R97" s="110" t="n">
        <f aca="false">+N97+P97</f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J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L97" s="110" t="n">
        <v>0</v>
      </c>
      <c r="BM97" s="110"/>
      <c r="BN97" s="110" t="n">
        <f aca="false">SUM(T97:BM97)</f>
        <v>0</v>
      </c>
      <c r="BO97" s="110"/>
      <c r="BP97" s="110" t="n">
        <v>0</v>
      </c>
      <c r="BQ97" s="110"/>
      <c r="BR97" s="110" t="n">
        <f aca="false">+R97-BN97+BP97</f>
        <v>0</v>
      </c>
      <c r="BT97" s="110" t="n">
        <f aca="false">+BN97+BR97</f>
        <v>0</v>
      </c>
      <c r="BV97" s="110" t="n">
        <f aca="false">+R97-BT97</f>
        <v>0</v>
      </c>
      <c r="BW97" s="110"/>
      <c r="BX97" s="194"/>
      <c r="BY97" s="194"/>
      <c r="BZ97" s="194"/>
      <c r="CA97" s="194"/>
      <c r="CB97" s="194"/>
      <c r="CC97" s="194"/>
      <c r="CD97" s="194"/>
      <c r="CE97" s="194"/>
      <c r="CF97" s="194"/>
      <c r="CG97" s="194"/>
      <c r="CH97" s="194"/>
      <c r="CI97" s="194"/>
      <c r="CJ97" s="194"/>
      <c r="CK97" s="194"/>
      <c r="CL97" s="194"/>
      <c r="CM97" s="194"/>
      <c r="CN97" s="194"/>
      <c r="CO97" s="194"/>
      <c r="CP97" s="194"/>
      <c r="CQ97" s="194"/>
      <c r="CR97" s="194"/>
      <c r="CS97" s="194"/>
      <c r="CT97" s="194"/>
      <c r="CU97" s="194"/>
      <c r="CV97" s="194"/>
      <c r="CW97" s="194"/>
      <c r="CX97" s="194"/>
      <c r="CY97" s="194"/>
      <c r="CZ97" s="194"/>
      <c r="DA97" s="194"/>
      <c r="DB97" s="194"/>
      <c r="DC97" s="194"/>
      <c r="DD97" s="194"/>
      <c r="DE97" s="194"/>
      <c r="DF97" s="194"/>
      <c r="DG97" s="194"/>
      <c r="DH97" s="194"/>
      <c r="DI97" s="194"/>
      <c r="DJ97" s="194"/>
      <c r="DK97" s="194"/>
      <c r="DL97" s="194"/>
      <c r="DM97" s="194"/>
      <c r="DN97" s="194"/>
      <c r="DO97" s="194"/>
      <c r="DP97" s="194"/>
      <c r="DQ97" s="194"/>
      <c r="DR97" s="194"/>
      <c r="DS97" s="194"/>
      <c r="DT97" s="194"/>
      <c r="DU97" s="194"/>
      <c r="DV97" s="194"/>
      <c r="DW97" s="194"/>
      <c r="DX97" s="194"/>
      <c r="DY97" s="194"/>
      <c r="DZ97" s="194"/>
      <c r="EA97" s="194"/>
      <c r="EB97" s="194"/>
      <c r="EC97" s="194"/>
      <c r="ED97" s="194"/>
      <c r="EE97" s="194"/>
      <c r="EF97" s="194"/>
      <c r="EG97" s="194"/>
      <c r="EH97" s="194"/>
      <c r="EI97" s="194"/>
      <c r="EJ97" s="194"/>
      <c r="EK97" s="194"/>
      <c r="EL97" s="194"/>
      <c r="EM97" s="194"/>
      <c r="EN97" s="194"/>
      <c r="EO97" s="194"/>
      <c r="EP97" s="194"/>
      <c r="EQ97" s="194"/>
      <c r="ER97" s="194"/>
      <c r="ES97" s="194"/>
      <c r="ET97" s="194"/>
      <c r="EU97" s="194"/>
      <c r="EV97" s="194"/>
      <c r="EW97" s="194"/>
      <c r="EX97" s="194"/>
      <c r="EY97" s="194"/>
      <c r="EZ97" s="194"/>
      <c r="FA97" s="194"/>
      <c r="FB97" s="194"/>
      <c r="FC97" s="194"/>
      <c r="FD97" s="194"/>
      <c r="FE97" s="194"/>
      <c r="FF97" s="194"/>
      <c r="FG97" s="194"/>
      <c r="FH97" s="194"/>
      <c r="FI97" s="194"/>
      <c r="FJ97" s="194"/>
      <c r="FK97" s="194"/>
      <c r="FL97" s="194"/>
      <c r="FM97" s="194"/>
      <c r="FN97" s="194"/>
      <c r="FO97" s="194"/>
      <c r="FP97" s="194"/>
      <c r="FQ97" s="194"/>
      <c r="FR97" s="194"/>
      <c r="FS97" s="194"/>
      <c r="FT97" s="194"/>
      <c r="FU97" s="194"/>
      <c r="FV97" s="194"/>
      <c r="FW97" s="194"/>
      <c r="FX97" s="194"/>
      <c r="FY97" s="194"/>
      <c r="FZ97" s="194"/>
      <c r="GA97" s="194"/>
      <c r="GB97" s="194"/>
      <c r="GC97" s="194"/>
      <c r="GD97" s="194"/>
      <c r="GE97" s="194"/>
      <c r="GF97" s="194"/>
      <c r="GG97" s="194"/>
      <c r="GH97" s="194"/>
      <c r="GI97" s="194"/>
      <c r="GJ97" s="194"/>
      <c r="GK97" s="194"/>
      <c r="GL97" s="194"/>
      <c r="GM97" s="194"/>
      <c r="GN97" s="194"/>
      <c r="GO97" s="194"/>
      <c r="GP97" s="194"/>
      <c r="GQ97" s="194"/>
      <c r="GR97" s="194"/>
      <c r="GS97" s="194"/>
      <c r="GT97" s="194"/>
      <c r="GU97" s="194"/>
      <c r="GV97" s="194"/>
      <c r="GW97" s="194"/>
      <c r="GX97" s="194"/>
      <c r="GY97" s="194"/>
      <c r="GZ97" s="194"/>
      <c r="HA97" s="194"/>
      <c r="HB97" s="194"/>
      <c r="HC97" s="194"/>
      <c r="HD97" s="194"/>
      <c r="HE97" s="194"/>
      <c r="HF97" s="194"/>
      <c r="HG97" s="194"/>
      <c r="HH97" s="194"/>
      <c r="HI97" s="194"/>
      <c r="HJ97" s="194"/>
      <c r="HK97" s="194"/>
      <c r="HL97" s="194"/>
      <c r="HM97" s="194"/>
      <c r="HN97" s="194"/>
      <c r="HO97" s="194"/>
      <c r="HP97" s="194"/>
      <c r="HQ97" s="194"/>
      <c r="HR97" s="194"/>
      <c r="HS97" s="194"/>
      <c r="HT97" s="194"/>
      <c r="HU97" s="194"/>
      <c r="HV97" s="194"/>
      <c r="HW97" s="194"/>
      <c r="HX97" s="194"/>
      <c r="HY97" s="194"/>
      <c r="HZ97" s="194"/>
      <c r="IA97" s="194"/>
      <c r="IB97" s="194"/>
      <c r="IC97" s="194"/>
      <c r="ID97" s="194"/>
      <c r="IE97" s="194"/>
      <c r="IF97" s="194"/>
      <c r="IG97" s="194"/>
      <c r="IH97" s="194"/>
      <c r="II97" s="194"/>
      <c r="IJ97" s="194"/>
      <c r="IK97" s="194"/>
      <c r="IL97" s="194"/>
      <c r="IM97" s="194"/>
      <c r="IN97" s="194"/>
      <c r="IO97" s="194"/>
      <c r="IP97" s="194"/>
      <c r="IQ97" s="194"/>
      <c r="IR97" s="194"/>
      <c r="IS97" s="194"/>
      <c r="IT97" s="194"/>
      <c r="IU97" s="194"/>
      <c r="IV97" s="194"/>
      <c r="IW97" s="194"/>
    </row>
    <row r="98" customFormat="false" ht="12.75" hidden="true" customHeight="false" outlineLevel="0" collapsed="false">
      <c r="A98" s="233"/>
      <c r="B98" s="161" t="s">
        <v>351</v>
      </c>
      <c r="C98" s="0"/>
      <c r="D98" s="0"/>
      <c r="E98" s="0"/>
      <c r="F98" s="0"/>
      <c r="G98" s="0"/>
      <c r="H98" s="0"/>
      <c r="I98" s="0"/>
      <c r="J98" s="4"/>
      <c r="K98" s="0"/>
      <c r="L98" s="34" t="s">
        <v>151</v>
      </c>
      <c r="M98" s="110"/>
      <c r="N98" s="110" t="n">
        <v>0</v>
      </c>
      <c r="O98" s="110"/>
      <c r="P98" s="110" t="n">
        <v>0</v>
      </c>
      <c r="Q98" s="110"/>
      <c r="R98" s="110" t="n">
        <f aca="false">+N98+P98</f>
        <v>0</v>
      </c>
      <c r="S98" s="110"/>
      <c r="T98" s="110" t="n">
        <v>0</v>
      </c>
      <c r="U98" s="110"/>
      <c r="V98" s="110" t="n">
        <v>0</v>
      </c>
      <c r="X98" s="110" t="n">
        <v>0</v>
      </c>
      <c r="Z98" s="110" t="n">
        <v>0</v>
      </c>
      <c r="AB98" s="110" t="n">
        <v>0</v>
      </c>
      <c r="AD98" s="110" t="n">
        <v>0</v>
      </c>
      <c r="AF98" s="110" t="n">
        <v>0</v>
      </c>
      <c r="AH98" s="110" t="n">
        <v>0</v>
      </c>
      <c r="AJ98" s="110" t="n">
        <v>0</v>
      </c>
      <c r="AN98" s="110" t="n">
        <v>0</v>
      </c>
      <c r="AP98" s="110" t="n">
        <v>0</v>
      </c>
      <c r="AR98" s="110" t="n">
        <v>0</v>
      </c>
      <c r="AT98" s="110" t="n">
        <v>0</v>
      </c>
      <c r="AV98" s="110" t="n">
        <v>0</v>
      </c>
      <c r="AX98" s="110" t="n">
        <v>0</v>
      </c>
      <c r="AZ98" s="110" t="n">
        <v>0</v>
      </c>
      <c r="BB98" s="110" t="n">
        <v>0</v>
      </c>
      <c r="BD98" s="110" t="n">
        <v>0</v>
      </c>
      <c r="BF98" s="110" t="n">
        <v>0</v>
      </c>
      <c r="BH98" s="110" t="n">
        <v>0</v>
      </c>
      <c r="BJ98" s="110" t="n">
        <v>0</v>
      </c>
      <c r="BL98" s="110" t="n">
        <v>0</v>
      </c>
      <c r="BM98" s="110"/>
      <c r="BN98" s="110" t="n">
        <f aca="false">SUM(T98:BM98)</f>
        <v>0</v>
      </c>
      <c r="BO98" s="110"/>
      <c r="BP98" s="110" t="n">
        <v>0</v>
      </c>
      <c r="BQ98" s="110"/>
      <c r="BR98" s="110" t="n">
        <f aca="false">+R98-BN98+BP98</f>
        <v>0</v>
      </c>
      <c r="BT98" s="110" t="n">
        <f aca="false">+BN98+BR98</f>
        <v>0</v>
      </c>
      <c r="BV98" s="110" t="n">
        <f aca="false">+R98-BT98</f>
        <v>0</v>
      </c>
      <c r="BW98" s="110"/>
      <c r="BX98" s="194"/>
      <c r="BY98" s="194"/>
      <c r="BZ98" s="194"/>
      <c r="CA98" s="194"/>
      <c r="CB98" s="194"/>
      <c r="CC98" s="194"/>
      <c r="CD98" s="194"/>
      <c r="CE98" s="194"/>
      <c r="CF98" s="194"/>
      <c r="CG98" s="194"/>
      <c r="CH98" s="194"/>
      <c r="CI98" s="194"/>
      <c r="CJ98" s="194"/>
      <c r="CK98" s="194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  <c r="FK98" s="194"/>
      <c r="FL98" s="194"/>
      <c r="FM98" s="194"/>
      <c r="FN98" s="194"/>
      <c r="FO98" s="194"/>
      <c r="FP98" s="194"/>
      <c r="FQ98" s="194"/>
      <c r="FR98" s="194"/>
      <c r="FS98" s="194"/>
      <c r="FT98" s="194"/>
      <c r="FU98" s="194"/>
      <c r="FV98" s="194"/>
      <c r="FW98" s="194"/>
      <c r="FX98" s="194"/>
      <c r="FY98" s="194"/>
      <c r="FZ98" s="194"/>
      <c r="GA98" s="194"/>
      <c r="GB98" s="194"/>
      <c r="GC98" s="194"/>
      <c r="GD98" s="194"/>
      <c r="GE98" s="194"/>
      <c r="GF98" s="194"/>
      <c r="GG98" s="194"/>
      <c r="GH98" s="194"/>
      <c r="GI98" s="194"/>
      <c r="GJ98" s="194"/>
      <c r="GK98" s="194"/>
      <c r="GL98" s="194"/>
      <c r="GM98" s="194"/>
      <c r="GN98" s="194"/>
      <c r="GO98" s="194"/>
      <c r="GP98" s="194"/>
      <c r="GQ98" s="194"/>
      <c r="GR98" s="194"/>
      <c r="GS98" s="194"/>
      <c r="GT98" s="194"/>
      <c r="GU98" s="194"/>
      <c r="GV98" s="194"/>
      <c r="GW98" s="194"/>
      <c r="GX98" s="194"/>
      <c r="GY98" s="194"/>
      <c r="GZ98" s="194"/>
      <c r="HA98" s="194"/>
      <c r="HB98" s="194"/>
      <c r="HC98" s="194"/>
      <c r="HD98" s="194"/>
      <c r="HE98" s="194"/>
      <c r="HF98" s="194"/>
      <c r="HG98" s="194"/>
      <c r="HH98" s="194"/>
      <c r="HI98" s="194"/>
      <c r="HJ98" s="194"/>
      <c r="HK98" s="194"/>
      <c r="HL98" s="194"/>
      <c r="HM98" s="194"/>
      <c r="HN98" s="194"/>
      <c r="HO98" s="194"/>
      <c r="HP98" s="194"/>
      <c r="HQ98" s="194"/>
      <c r="HR98" s="194"/>
      <c r="HS98" s="194"/>
      <c r="HT98" s="194"/>
      <c r="HU98" s="194"/>
      <c r="HV98" s="194"/>
      <c r="HW98" s="194"/>
      <c r="HX98" s="194"/>
      <c r="HY98" s="194"/>
      <c r="HZ98" s="194"/>
      <c r="IA98" s="194"/>
      <c r="IB98" s="194"/>
      <c r="IC98" s="194"/>
      <c r="ID98" s="194"/>
      <c r="IE98" s="194"/>
      <c r="IF98" s="194"/>
      <c r="IG98" s="194"/>
      <c r="IH98" s="194"/>
      <c r="II98" s="194"/>
      <c r="IJ98" s="194"/>
      <c r="IK98" s="194"/>
      <c r="IL98" s="194"/>
      <c r="IM98" s="194"/>
      <c r="IN98" s="194"/>
      <c r="IO98" s="194"/>
      <c r="IP98" s="194"/>
      <c r="IQ98" s="194"/>
      <c r="IR98" s="194"/>
      <c r="IS98" s="194"/>
      <c r="IT98" s="194"/>
      <c r="IU98" s="194"/>
      <c r="IV98" s="194"/>
      <c r="IW98" s="194"/>
    </row>
    <row r="99" customFormat="false" ht="12.75" hidden="true" customHeight="false" outlineLevel="0" collapsed="false">
      <c r="A99" s="233"/>
      <c r="B99" s="161" t="s">
        <v>352</v>
      </c>
      <c r="C99" s="0"/>
      <c r="D99" s="0"/>
      <c r="E99" s="0"/>
      <c r="F99" s="0"/>
      <c r="G99" s="0"/>
      <c r="H99" s="0"/>
      <c r="I99" s="0"/>
      <c r="J99" s="4"/>
      <c r="K99" s="0"/>
      <c r="L99" s="34" t="s">
        <v>151</v>
      </c>
      <c r="M99" s="110"/>
      <c r="N99" s="110" t="n">
        <v>0</v>
      </c>
      <c r="O99" s="110"/>
      <c r="P99" s="110" t="n">
        <v>0</v>
      </c>
      <c r="Q99" s="110"/>
      <c r="R99" s="110" t="n">
        <f aca="false">+N99+P99</f>
        <v>0</v>
      </c>
      <c r="S99" s="110"/>
      <c r="T99" s="110" t="n">
        <v>0</v>
      </c>
      <c r="U99" s="110"/>
      <c r="V99" s="110" t="n">
        <v>0</v>
      </c>
      <c r="X99" s="110" t="n">
        <v>0</v>
      </c>
      <c r="Z99" s="110" t="n">
        <v>0</v>
      </c>
      <c r="AB99" s="110" t="n">
        <v>0</v>
      </c>
      <c r="AD99" s="110" t="n">
        <v>0</v>
      </c>
      <c r="AF99" s="110" t="n">
        <v>0</v>
      </c>
      <c r="AH99" s="110" t="n">
        <v>0</v>
      </c>
      <c r="AJ99" s="110" t="n">
        <v>0</v>
      </c>
      <c r="AN99" s="110" t="n">
        <v>0</v>
      </c>
      <c r="AP99" s="110" t="n">
        <v>0</v>
      </c>
      <c r="AR99" s="110" t="n">
        <v>0</v>
      </c>
      <c r="AT99" s="110" t="n">
        <v>0</v>
      </c>
      <c r="AV99" s="110" t="n">
        <v>0</v>
      </c>
      <c r="AX99" s="110" t="n">
        <v>0</v>
      </c>
      <c r="AZ99" s="110" t="n">
        <v>0</v>
      </c>
      <c r="BB99" s="110" t="n">
        <v>0</v>
      </c>
      <c r="BD99" s="110" t="n">
        <v>0</v>
      </c>
      <c r="BF99" s="110" t="n">
        <v>0</v>
      </c>
      <c r="BH99" s="110" t="n">
        <v>0</v>
      </c>
      <c r="BJ99" s="110" t="n">
        <v>0</v>
      </c>
      <c r="BL99" s="110" t="n">
        <v>0</v>
      </c>
      <c r="BM99" s="110"/>
      <c r="BN99" s="110" t="n">
        <f aca="false">SUM(T99:BM99)</f>
        <v>0</v>
      </c>
      <c r="BO99" s="110"/>
      <c r="BP99" s="110" t="n">
        <v>0</v>
      </c>
      <c r="BQ99" s="110"/>
      <c r="BR99" s="110" t="n">
        <f aca="false">+R99-BN99+BP99</f>
        <v>0</v>
      </c>
      <c r="BT99" s="110" t="n">
        <f aca="false">+BN99+BR99</f>
        <v>0</v>
      </c>
      <c r="BV99" s="110" t="n">
        <f aca="false">+R99-BT99</f>
        <v>0</v>
      </c>
      <c r="BW99" s="110"/>
      <c r="BX99" s="194"/>
      <c r="BY99" s="194"/>
      <c r="BZ99" s="194"/>
      <c r="CA99" s="194"/>
      <c r="CB99" s="194"/>
      <c r="CC99" s="194"/>
      <c r="CD99" s="194"/>
      <c r="CE99" s="194"/>
      <c r="CF99" s="194"/>
      <c r="CG99" s="194"/>
      <c r="CH99" s="194"/>
      <c r="CI99" s="194"/>
      <c r="CJ99" s="194"/>
      <c r="CK99" s="194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  <c r="IW99" s="194"/>
    </row>
    <row r="100" customFormat="false" ht="12.75" hidden="true" customHeight="false" outlineLevel="0" collapsed="false">
      <c r="A100" s="233"/>
      <c r="B100" s="161" t="s">
        <v>353</v>
      </c>
      <c r="C100" s="0"/>
      <c r="D100" s="0"/>
      <c r="E100" s="0"/>
      <c r="F100" s="0"/>
      <c r="G100" s="0"/>
      <c r="H100" s="0"/>
      <c r="I100" s="0"/>
      <c r="J100" s="4"/>
      <c r="K100" s="0"/>
      <c r="L100" s="34" t="s">
        <v>151</v>
      </c>
      <c r="M100" s="110"/>
      <c r="N100" s="110" t="n">
        <v>0</v>
      </c>
      <c r="O100" s="110"/>
      <c r="P100" s="110" t="n">
        <v>0</v>
      </c>
      <c r="Q100" s="110"/>
      <c r="R100" s="110" t="n">
        <f aca="false">+N100+P100</f>
        <v>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N100" s="110" t="n">
        <v>0</v>
      </c>
      <c r="AP100" s="110" t="n">
        <v>0</v>
      </c>
      <c r="AR100" s="110" t="n">
        <v>0</v>
      </c>
      <c r="AT100" s="110" t="n">
        <v>0</v>
      </c>
      <c r="AV100" s="110" t="n">
        <v>0</v>
      </c>
      <c r="AX100" s="110" t="n">
        <v>0</v>
      </c>
      <c r="AZ100" s="110" t="n">
        <v>0</v>
      </c>
      <c r="BB100" s="110" t="n">
        <v>0</v>
      </c>
      <c r="BD100" s="110" t="n">
        <v>0</v>
      </c>
      <c r="BF100" s="110" t="n">
        <v>0</v>
      </c>
      <c r="BH100" s="110" t="n">
        <v>0</v>
      </c>
      <c r="BJ100" s="110" t="n">
        <v>0</v>
      </c>
      <c r="BL100" s="110" t="n">
        <v>0</v>
      </c>
      <c r="BM100" s="110"/>
      <c r="BN100" s="110" t="n">
        <f aca="false">SUM(T100:BM100)</f>
        <v>0</v>
      </c>
      <c r="BO100" s="110"/>
      <c r="BP100" s="110" t="n">
        <v>0</v>
      </c>
      <c r="BQ100" s="110"/>
      <c r="BR100" s="110" t="n">
        <f aca="false">+R100-BN100+BP100</f>
        <v>0</v>
      </c>
      <c r="BT100" s="110" t="n">
        <f aca="false">+BN100+BR100</f>
        <v>0</v>
      </c>
      <c r="BV100" s="110" t="n">
        <f aca="false">+R100-BT100</f>
        <v>0</v>
      </c>
      <c r="BW100" s="110"/>
      <c r="BX100" s="194"/>
      <c r="BY100" s="194"/>
      <c r="BZ100" s="194"/>
      <c r="CA100" s="194"/>
      <c r="CB100" s="194"/>
      <c r="CC100" s="194"/>
      <c r="CD100" s="194"/>
      <c r="CE100" s="194"/>
      <c r="CF100" s="194"/>
      <c r="CG100" s="194"/>
      <c r="CH100" s="194"/>
      <c r="CI100" s="194"/>
      <c r="CJ100" s="194"/>
      <c r="CK100" s="194"/>
      <c r="CL100" s="194"/>
      <c r="CM100" s="194"/>
      <c r="CN100" s="194"/>
      <c r="CO100" s="194"/>
      <c r="CP100" s="194"/>
      <c r="CQ100" s="194"/>
      <c r="CR100" s="194"/>
      <c r="CS100" s="194"/>
      <c r="CT100" s="194"/>
      <c r="CU100" s="194"/>
      <c r="CV100" s="194"/>
      <c r="CW100" s="194"/>
      <c r="CX100" s="194"/>
      <c r="CY100" s="194"/>
      <c r="CZ100" s="194"/>
      <c r="DA100" s="194"/>
      <c r="DB100" s="194"/>
      <c r="DC100" s="194"/>
      <c r="DD100" s="194"/>
      <c r="DE100" s="194"/>
      <c r="DF100" s="194"/>
      <c r="DG100" s="194"/>
      <c r="DH100" s="194"/>
      <c r="DI100" s="194"/>
      <c r="DJ100" s="194"/>
      <c r="DK100" s="194"/>
      <c r="DL100" s="194"/>
      <c r="DM100" s="194"/>
      <c r="DN100" s="194"/>
      <c r="DO100" s="194"/>
      <c r="DP100" s="194"/>
      <c r="DQ100" s="194"/>
      <c r="DR100" s="194"/>
      <c r="DS100" s="194"/>
      <c r="DT100" s="194"/>
      <c r="DU100" s="194"/>
      <c r="DV100" s="194"/>
      <c r="DW100" s="194"/>
      <c r="DX100" s="194"/>
      <c r="DY100" s="194"/>
      <c r="DZ100" s="194"/>
      <c r="EA100" s="194"/>
      <c r="EB100" s="194"/>
      <c r="EC100" s="194"/>
      <c r="ED100" s="194"/>
      <c r="EE100" s="194"/>
      <c r="EF100" s="194"/>
      <c r="EG100" s="194"/>
      <c r="EH100" s="194"/>
      <c r="EI100" s="194"/>
      <c r="EJ100" s="194"/>
      <c r="EK100" s="194"/>
      <c r="EL100" s="194"/>
      <c r="EM100" s="194"/>
      <c r="EN100" s="194"/>
      <c r="EO100" s="194"/>
      <c r="EP100" s="194"/>
      <c r="EQ100" s="194"/>
      <c r="ER100" s="194"/>
      <c r="ES100" s="194"/>
      <c r="ET100" s="194"/>
      <c r="EU100" s="194"/>
      <c r="EV100" s="194"/>
      <c r="EW100" s="194"/>
      <c r="EX100" s="194"/>
      <c r="EY100" s="194"/>
      <c r="EZ100" s="194"/>
      <c r="FA100" s="194"/>
      <c r="FB100" s="194"/>
      <c r="FC100" s="194"/>
      <c r="FD100" s="194"/>
      <c r="FE100" s="194"/>
      <c r="FF100" s="194"/>
      <c r="FG100" s="194"/>
      <c r="FH100" s="194"/>
      <c r="FI100" s="194"/>
      <c r="FJ100" s="194"/>
      <c r="FK100" s="194"/>
      <c r="FL100" s="194"/>
      <c r="FM100" s="194"/>
      <c r="FN100" s="194"/>
      <c r="FO100" s="194"/>
      <c r="FP100" s="194"/>
      <c r="FQ100" s="194"/>
      <c r="FR100" s="194"/>
      <c r="FS100" s="194"/>
      <c r="FT100" s="194"/>
      <c r="FU100" s="194"/>
      <c r="FV100" s="194"/>
      <c r="FW100" s="194"/>
      <c r="FX100" s="194"/>
      <c r="FY100" s="194"/>
      <c r="FZ100" s="194"/>
      <c r="GA100" s="194"/>
      <c r="GB100" s="194"/>
      <c r="GC100" s="194"/>
      <c r="GD100" s="194"/>
      <c r="GE100" s="194"/>
      <c r="GF100" s="194"/>
      <c r="GG100" s="194"/>
      <c r="GH100" s="194"/>
      <c r="GI100" s="194"/>
      <c r="GJ100" s="194"/>
      <c r="GK100" s="194"/>
      <c r="GL100" s="194"/>
      <c r="GM100" s="194"/>
      <c r="GN100" s="194"/>
      <c r="GO100" s="194"/>
      <c r="GP100" s="194"/>
      <c r="GQ100" s="194"/>
      <c r="GR100" s="194"/>
      <c r="GS100" s="194"/>
      <c r="GT100" s="194"/>
      <c r="GU100" s="194"/>
      <c r="GV100" s="194"/>
      <c r="GW100" s="194"/>
      <c r="GX100" s="194"/>
      <c r="GY100" s="194"/>
      <c r="GZ100" s="194"/>
      <c r="HA100" s="194"/>
      <c r="HB100" s="194"/>
      <c r="HC100" s="194"/>
      <c r="HD100" s="194"/>
      <c r="HE100" s="194"/>
      <c r="HF100" s="194"/>
      <c r="HG100" s="194"/>
      <c r="HH100" s="194"/>
      <c r="HI100" s="194"/>
      <c r="HJ100" s="194"/>
      <c r="HK100" s="194"/>
      <c r="HL100" s="194"/>
      <c r="HM100" s="194"/>
      <c r="HN100" s="194"/>
      <c r="HO100" s="194"/>
      <c r="HP100" s="194"/>
      <c r="HQ100" s="194"/>
      <c r="HR100" s="194"/>
      <c r="HS100" s="194"/>
      <c r="HT100" s="194"/>
      <c r="HU100" s="194"/>
      <c r="HV100" s="194"/>
      <c r="HW100" s="194"/>
      <c r="HX100" s="194"/>
      <c r="HY100" s="194"/>
      <c r="HZ100" s="194"/>
      <c r="IA100" s="194"/>
      <c r="IB100" s="194"/>
      <c r="IC100" s="194"/>
      <c r="ID100" s="194"/>
      <c r="IE100" s="194"/>
      <c r="IF100" s="194"/>
      <c r="IG100" s="194"/>
      <c r="IH100" s="194"/>
      <c r="II100" s="194"/>
      <c r="IJ100" s="194"/>
      <c r="IK100" s="194"/>
      <c r="IL100" s="194"/>
      <c r="IM100" s="194"/>
      <c r="IN100" s="194"/>
      <c r="IO100" s="194"/>
      <c r="IP100" s="194"/>
      <c r="IQ100" s="194"/>
      <c r="IR100" s="194"/>
      <c r="IS100" s="194"/>
      <c r="IT100" s="194"/>
      <c r="IU100" s="194"/>
      <c r="IV100" s="194"/>
      <c r="IW100" s="194"/>
    </row>
    <row r="101" customFormat="false" ht="12.75" hidden="true" customHeight="false" outlineLevel="0" collapsed="false">
      <c r="A101" s="233"/>
      <c r="B101" s="161" t="s">
        <v>354</v>
      </c>
      <c r="C101" s="0"/>
      <c r="D101" s="0"/>
      <c r="E101" s="0"/>
      <c r="F101" s="0"/>
      <c r="G101" s="0"/>
      <c r="H101" s="0"/>
      <c r="I101" s="0"/>
      <c r="J101" s="4"/>
      <c r="K101" s="0"/>
      <c r="L101" s="34" t="s">
        <v>151</v>
      </c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BL101" s="110"/>
      <c r="BM101" s="110"/>
      <c r="BO101" s="110"/>
      <c r="BP101" s="110"/>
      <c r="BQ101" s="110"/>
      <c r="BT101" s="110" t="n">
        <f aca="false">+BN101+BR101</f>
        <v>0</v>
      </c>
      <c r="BV101" s="110" t="n">
        <f aca="false">+R101-BT101</f>
        <v>0</v>
      </c>
      <c r="BW101" s="110"/>
      <c r="BX101" s="194"/>
      <c r="BY101" s="194"/>
      <c r="BZ101" s="194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  <c r="DB101" s="194"/>
      <c r="DC101" s="194"/>
      <c r="DD101" s="194"/>
      <c r="DE101" s="194"/>
      <c r="DF101" s="194"/>
      <c r="DG101" s="194"/>
      <c r="DH101" s="194"/>
      <c r="DI101" s="194"/>
      <c r="DJ101" s="194"/>
      <c r="DK101" s="194"/>
      <c r="DL101" s="194"/>
      <c r="DM101" s="194"/>
      <c r="DN101" s="194"/>
      <c r="DO101" s="194"/>
      <c r="DP101" s="194"/>
      <c r="DQ101" s="194"/>
      <c r="DR101" s="194"/>
      <c r="DS101" s="194"/>
      <c r="DT101" s="194"/>
      <c r="DU101" s="194"/>
      <c r="DV101" s="194"/>
      <c r="DW101" s="194"/>
      <c r="DX101" s="194"/>
      <c r="DY101" s="194"/>
      <c r="DZ101" s="194"/>
      <c r="EA101" s="194"/>
      <c r="EB101" s="194"/>
      <c r="EC101" s="194"/>
      <c r="ED101" s="194"/>
      <c r="EE101" s="194"/>
      <c r="EF101" s="194"/>
      <c r="EG101" s="194"/>
      <c r="EH101" s="194"/>
      <c r="EI101" s="194"/>
      <c r="EJ101" s="194"/>
      <c r="EK101" s="194"/>
      <c r="EL101" s="194"/>
      <c r="EM101" s="194"/>
      <c r="EN101" s="194"/>
      <c r="EO101" s="194"/>
      <c r="EP101" s="194"/>
      <c r="EQ101" s="194"/>
      <c r="ER101" s="194"/>
      <c r="ES101" s="194"/>
      <c r="ET101" s="194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4"/>
      <c r="FE101" s="194"/>
      <c r="FF101" s="194"/>
      <c r="FG101" s="194"/>
      <c r="FH101" s="194"/>
      <c r="FI101" s="194"/>
      <c r="FJ101" s="194"/>
      <c r="FK101" s="194"/>
      <c r="FL101" s="194"/>
      <c r="FM101" s="194"/>
      <c r="FN101" s="194"/>
      <c r="FO101" s="194"/>
      <c r="FP101" s="194"/>
      <c r="FQ101" s="194"/>
      <c r="FR101" s="194"/>
      <c r="FS101" s="194"/>
      <c r="FT101" s="194"/>
      <c r="FU101" s="194"/>
      <c r="FV101" s="194"/>
      <c r="FW101" s="194"/>
      <c r="FX101" s="194"/>
      <c r="FY101" s="194"/>
      <c r="FZ101" s="194"/>
      <c r="GA101" s="194"/>
      <c r="GB101" s="194"/>
      <c r="GC101" s="194"/>
      <c r="GD101" s="194"/>
      <c r="GE101" s="194"/>
      <c r="GF101" s="194"/>
      <c r="GG101" s="194"/>
      <c r="GH101" s="194"/>
      <c r="GI101" s="194"/>
      <c r="GJ101" s="194"/>
      <c r="GK101" s="194"/>
      <c r="GL101" s="194"/>
      <c r="GM101" s="194"/>
      <c r="GN101" s="194"/>
      <c r="GO101" s="194"/>
      <c r="GP101" s="194"/>
      <c r="GQ101" s="194"/>
      <c r="GR101" s="194"/>
      <c r="GS101" s="194"/>
      <c r="GT101" s="194"/>
      <c r="GU101" s="194"/>
      <c r="GV101" s="194"/>
      <c r="GW101" s="194"/>
      <c r="GX101" s="194"/>
      <c r="GY101" s="194"/>
      <c r="GZ101" s="194"/>
      <c r="HA101" s="194"/>
      <c r="HB101" s="194"/>
      <c r="HC101" s="194"/>
      <c r="HD101" s="194"/>
      <c r="HE101" s="194"/>
      <c r="HF101" s="194"/>
      <c r="HG101" s="194"/>
      <c r="HH101" s="194"/>
      <c r="HI101" s="194"/>
      <c r="HJ101" s="194"/>
      <c r="HK101" s="194"/>
      <c r="HL101" s="194"/>
      <c r="HM101" s="194"/>
      <c r="HN101" s="194"/>
      <c r="HO101" s="194"/>
      <c r="HP101" s="194"/>
      <c r="HQ101" s="194"/>
      <c r="HR101" s="194"/>
      <c r="HS101" s="194"/>
      <c r="HT101" s="194"/>
      <c r="HU101" s="194"/>
      <c r="HV101" s="194"/>
      <c r="HW101" s="194"/>
      <c r="HX101" s="194"/>
      <c r="HY101" s="194"/>
      <c r="HZ101" s="194"/>
      <c r="IA101" s="194"/>
      <c r="IB101" s="194"/>
      <c r="IC101" s="194"/>
      <c r="ID101" s="194"/>
      <c r="IE101" s="194"/>
      <c r="IF101" s="194"/>
      <c r="IG101" s="194"/>
      <c r="IH101" s="194"/>
      <c r="II101" s="194"/>
      <c r="IJ101" s="194"/>
      <c r="IK101" s="194"/>
      <c r="IL101" s="194"/>
      <c r="IM101" s="194"/>
      <c r="IN101" s="194"/>
      <c r="IO101" s="194"/>
      <c r="IP101" s="194"/>
      <c r="IQ101" s="194"/>
      <c r="IR101" s="194"/>
      <c r="IS101" s="194"/>
      <c r="IT101" s="194"/>
      <c r="IU101" s="194"/>
      <c r="IV101" s="194"/>
      <c r="IW101" s="194"/>
    </row>
    <row r="102" customFormat="false" ht="12.75" hidden="true" customHeight="false" outlineLevel="0" collapsed="false">
      <c r="A102" s="233"/>
      <c r="B102" s="235" t="s">
        <v>355</v>
      </c>
      <c r="C102" s="0"/>
      <c r="D102" s="0"/>
      <c r="E102" s="0"/>
      <c r="F102" s="0"/>
      <c r="G102" s="0"/>
      <c r="H102" s="0"/>
      <c r="I102" s="0"/>
      <c r="J102" s="4"/>
      <c r="K102" s="0"/>
      <c r="L102" s="34" t="s">
        <v>151</v>
      </c>
      <c r="M102" s="110"/>
      <c r="N102" s="110" t="n">
        <v>0</v>
      </c>
      <c r="O102" s="110"/>
      <c r="P102" s="110" t="n">
        <v>0</v>
      </c>
      <c r="Q102" s="110"/>
      <c r="R102" s="110" t="n">
        <f aca="false">+N102+P102</f>
        <v>0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0</v>
      </c>
      <c r="AH102" s="110" t="n">
        <v>0</v>
      </c>
      <c r="AJ102" s="110" t="n">
        <v>0</v>
      </c>
      <c r="AN102" s="110" t="n">
        <v>0</v>
      </c>
      <c r="AP102" s="110" t="n">
        <v>0</v>
      </c>
      <c r="AR102" s="110" t="n">
        <v>0</v>
      </c>
      <c r="AT102" s="110" t="n">
        <v>0</v>
      </c>
      <c r="AV102" s="110" t="n">
        <v>0</v>
      </c>
      <c r="AX102" s="110" t="n">
        <v>0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0</v>
      </c>
      <c r="BL102" s="110" t="n">
        <v>0</v>
      </c>
      <c r="BM102" s="110"/>
      <c r="BN102" s="110" t="n">
        <f aca="false">SUM(T102:BM102)</f>
        <v>0</v>
      </c>
      <c r="BO102" s="110"/>
      <c r="BP102" s="110" t="n">
        <v>0</v>
      </c>
      <c r="BQ102" s="110"/>
      <c r="BR102" s="110" t="n">
        <f aca="false">+R102-BN102+BP102</f>
        <v>0</v>
      </c>
      <c r="BT102" s="110" t="n">
        <f aca="false">+BN102+BR102</f>
        <v>0</v>
      </c>
      <c r="BV102" s="110" t="n">
        <f aca="false">+R102-BT102</f>
        <v>0</v>
      </c>
      <c r="BW102" s="110"/>
      <c r="BX102" s="194"/>
      <c r="BY102" s="194"/>
      <c r="BZ102" s="194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  <c r="DB102" s="194"/>
      <c r="DC102" s="194"/>
      <c r="DD102" s="194"/>
      <c r="DE102" s="194"/>
      <c r="DF102" s="194"/>
      <c r="DG102" s="194"/>
      <c r="DH102" s="194"/>
      <c r="DI102" s="194"/>
      <c r="DJ102" s="194"/>
      <c r="DK102" s="194"/>
      <c r="DL102" s="194"/>
      <c r="DM102" s="194"/>
      <c r="DN102" s="194"/>
      <c r="DO102" s="194"/>
      <c r="DP102" s="194"/>
      <c r="DQ102" s="194"/>
      <c r="DR102" s="194"/>
      <c r="DS102" s="194"/>
      <c r="DT102" s="194"/>
      <c r="DU102" s="194"/>
      <c r="DV102" s="194"/>
      <c r="DW102" s="194"/>
      <c r="DX102" s="194"/>
      <c r="DY102" s="194"/>
      <c r="DZ102" s="194"/>
      <c r="EA102" s="194"/>
      <c r="EB102" s="194"/>
      <c r="EC102" s="194"/>
      <c r="ED102" s="194"/>
      <c r="EE102" s="194"/>
      <c r="EF102" s="194"/>
      <c r="EG102" s="194"/>
      <c r="EH102" s="194"/>
      <c r="EI102" s="194"/>
      <c r="EJ102" s="194"/>
      <c r="EK102" s="194"/>
      <c r="EL102" s="194"/>
      <c r="EM102" s="194"/>
      <c r="EN102" s="194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194"/>
      <c r="GD102" s="194"/>
      <c r="GE102" s="194"/>
      <c r="GF102" s="194"/>
      <c r="GG102" s="194"/>
      <c r="GH102" s="194"/>
      <c r="GI102" s="194"/>
      <c r="GJ102" s="194"/>
      <c r="GK102" s="194"/>
      <c r="GL102" s="194"/>
      <c r="GM102" s="194"/>
      <c r="GN102" s="194"/>
      <c r="GO102" s="194"/>
      <c r="GP102" s="194"/>
      <c r="GQ102" s="194"/>
      <c r="GR102" s="194"/>
      <c r="GS102" s="194"/>
      <c r="GT102" s="194"/>
      <c r="GU102" s="194"/>
      <c r="GV102" s="194"/>
      <c r="GW102" s="194"/>
      <c r="GX102" s="194"/>
      <c r="GY102" s="194"/>
      <c r="GZ102" s="194"/>
      <c r="HA102" s="194"/>
      <c r="HB102" s="194"/>
      <c r="HC102" s="194"/>
      <c r="HD102" s="194"/>
      <c r="HE102" s="194"/>
      <c r="HF102" s="194"/>
      <c r="HG102" s="194"/>
      <c r="HH102" s="194"/>
      <c r="HI102" s="194"/>
      <c r="HJ102" s="194"/>
      <c r="HK102" s="194"/>
      <c r="HL102" s="194"/>
      <c r="HM102" s="194"/>
      <c r="HN102" s="194"/>
      <c r="HO102" s="194"/>
      <c r="HP102" s="194"/>
      <c r="HQ102" s="194"/>
      <c r="HR102" s="194"/>
      <c r="HS102" s="194"/>
      <c r="HT102" s="194"/>
      <c r="HU102" s="194"/>
      <c r="HV102" s="194"/>
      <c r="HW102" s="194"/>
      <c r="HX102" s="194"/>
      <c r="HY102" s="194"/>
      <c r="HZ102" s="194"/>
      <c r="IA102" s="194"/>
      <c r="IB102" s="194"/>
      <c r="IC102" s="194"/>
      <c r="ID102" s="194"/>
      <c r="IE102" s="194"/>
      <c r="IF102" s="194"/>
      <c r="IG102" s="194"/>
      <c r="IH102" s="194"/>
      <c r="II102" s="194"/>
      <c r="IJ102" s="194"/>
      <c r="IK102" s="194"/>
      <c r="IL102" s="194"/>
      <c r="IM102" s="194"/>
      <c r="IN102" s="194"/>
      <c r="IO102" s="194"/>
      <c r="IP102" s="194"/>
      <c r="IQ102" s="194"/>
      <c r="IR102" s="194"/>
      <c r="IS102" s="194"/>
      <c r="IT102" s="194"/>
      <c r="IU102" s="194"/>
      <c r="IV102" s="194"/>
      <c r="IW102" s="194"/>
    </row>
    <row r="103" customFormat="false" ht="12.75" hidden="true" customHeight="false" outlineLevel="0" collapsed="false">
      <c r="A103" s="233"/>
      <c r="B103" s="235" t="s">
        <v>356</v>
      </c>
      <c r="C103" s="0"/>
      <c r="D103" s="0"/>
      <c r="E103" s="0"/>
      <c r="F103" s="0"/>
      <c r="G103" s="0"/>
      <c r="H103" s="0"/>
      <c r="I103" s="0"/>
      <c r="J103" s="4"/>
      <c r="K103" s="0"/>
      <c r="L103" s="34" t="s">
        <v>151</v>
      </c>
      <c r="M103" s="110"/>
      <c r="N103" s="110" t="n">
        <v>0</v>
      </c>
      <c r="O103" s="110"/>
      <c r="P103" s="110" t="n">
        <v>0</v>
      </c>
      <c r="Q103" s="110"/>
      <c r="R103" s="110" t="n">
        <f aca="false">+N103+P103</f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J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L103" s="110" t="n">
        <v>0</v>
      </c>
      <c r="BM103" s="110"/>
      <c r="BN103" s="110" t="n">
        <f aca="false">SUM(T103:BM103)</f>
        <v>0</v>
      </c>
      <c r="BO103" s="110"/>
      <c r="BP103" s="110" t="n">
        <v>0</v>
      </c>
      <c r="BQ103" s="110"/>
      <c r="BR103" s="110" t="n">
        <f aca="false">+R103-BN103+BP103</f>
        <v>0</v>
      </c>
      <c r="BT103" s="110" t="n">
        <f aca="false">+BN103+BR103</f>
        <v>0</v>
      </c>
      <c r="BV103" s="110" t="n">
        <f aca="false">+R103-BT103</f>
        <v>0</v>
      </c>
      <c r="BW103" s="110"/>
      <c r="BX103" s="194"/>
      <c r="BY103" s="194"/>
      <c r="BZ103" s="194"/>
      <c r="CA103" s="194"/>
      <c r="CB103" s="194"/>
      <c r="CC103" s="194"/>
      <c r="CD103" s="194"/>
      <c r="CE103" s="194"/>
      <c r="CF103" s="194"/>
      <c r="CG103" s="194"/>
      <c r="CH103" s="194"/>
      <c r="CI103" s="194"/>
      <c r="CJ103" s="194"/>
      <c r="CK103" s="194"/>
      <c r="CL103" s="194"/>
      <c r="CM103" s="194"/>
      <c r="CN103" s="194"/>
      <c r="CO103" s="194"/>
      <c r="CP103" s="194"/>
      <c r="CQ103" s="194"/>
      <c r="CR103" s="194"/>
      <c r="CS103" s="194"/>
      <c r="CT103" s="194"/>
      <c r="CU103" s="194"/>
      <c r="CV103" s="194"/>
      <c r="CW103" s="194"/>
      <c r="CX103" s="194"/>
      <c r="CY103" s="194"/>
      <c r="CZ103" s="194"/>
      <c r="DA103" s="194"/>
      <c r="DB103" s="194"/>
      <c r="DC103" s="194"/>
      <c r="DD103" s="194"/>
      <c r="DE103" s="194"/>
      <c r="DF103" s="194"/>
      <c r="DG103" s="194"/>
      <c r="DH103" s="194"/>
      <c r="DI103" s="194"/>
      <c r="DJ103" s="194"/>
      <c r="DK103" s="194"/>
      <c r="DL103" s="194"/>
      <c r="DM103" s="194"/>
      <c r="DN103" s="194"/>
      <c r="DO103" s="194"/>
      <c r="DP103" s="194"/>
      <c r="DQ103" s="194"/>
      <c r="DR103" s="194"/>
      <c r="DS103" s="194"/>
      <c r="DT103" s="194"/>
      <c r="DU103" s="194"/>
      <c r="DV103" s="194"/>
      <c r="DW103" s="194"/>
      <c r="DX103" s="194"/>
      <c r="DY103" s="194"/>
      <c r="DZ103" s="194"/>
      <c r="EA103" s="194"/>
      <c r="EB103" s="194"/>
      <c r="EC103" s="194"/>
      <c r="ED103" s="194"/>
      <c r="EE103" s="194"/>
      <c r="EF103" s="194"/>
      <c r="EG103" s="194"/>
      <c r="EH103" s="194"/>
      <c r="EI103" s="194"/>
      <c r="EJ103" s="194"/>
      <c r="EK103" s="194"/>
      <c r="EL103" s="194"/>
      <c r="EM103" s="194"/>
      <c r="EN103" s="194"/>
      <c r="EO103" s="194"/>
      <c r="EP103" s="194"/>
      <c r="EQ103" s="194"/>
      <c r="ER103" s="194"/>
      <c r="ES103" s="194"/>
      <c r="ET103" s="194"/>
      <c r="EU103" s="194"/>
      <c r="EV103" s="194"/>
      <c r="EW103" s="194"/>
      <c r="EX103" s="194"/>
      <c r="EY103" s="194"/>
      <c r="EZ103" s="194"/>
      <c r="FA103" s="194"/>
      <c r="FB103" s="194"/>
      <c r="FC103" s="194"/>
      <c r="FD103" s="194"/>
      <c r="FE103" s="194"/>
      <c r="FF103" s="194"/>
      <c r="FG103" s="194"/>
      <c r="FH103" s="194"/>
      <c r="FI103" s="194"/>
      <c r="FJ103" s="194"/>
      <c r="FK103" s="194"/>
      <c r="FL103" s="194"/>
      <c r="FM103" s="194"/>
      <c r="FN103" s="194"/>
      <c r="FO103" s="194"/>
      <c r="FP103" s="194"/>
      <c r="FQ103" s="194"/>
      <c r="FR103" s="194"/>
      <c r="FS103" s="194"/>
      <c r="FT103" s="194"/>
      <c r="FU103" s="194"/>
      <c r="FV103" s="194"/>
      <c r="FW103" s="194"/>
      <c r="FX103" s="194"/>
      <c r="FY103" s="194"/>
      <c r="FZ103" s="194"/>
      <c r="GA103" s="194"/>
      <c r="GB103" s="194"/>
      <c r="GC103" s="194"/>
      <c r="GD103" s="194"/>
      <c r="GE103" s="194"/>
      <c r="GF103" s="194"/>
      <c r="GG103" s="194"/>
      <c r="GH103" s="194"/>
      <c r="GI103" s="194"/>
      <c r="GJ103" s="194"/>
      <c r="GK103" s="194"/>
      <c r="GL103" s="194"/>
      <c r="GM103" s="194"/>
      <c r="GN103" s="194"/>
      <c r="GO103" s="194"/>
      <c r="GP103" s="194"/>
      <c r="GQ103" s="194"/>
      <c r="GR103" s="194"/>
      <c r="GS103" s="194"/>
      <c r="GT103" s="194"/>
      <c r="GU103" s="194"/>
      <c r="GV103" s="194"/>
      <c r="GW103" s="194"/>
      <c r="GX103" s="194"/>
      <c r="GY103" s="194"/>
      <c r="GZ103" s="194"/>
      <c r="HA103" s="194"/>
      <c r="HB103" s="194"/>
      <c r="HC103" s="194"/>
      <c r="HD103" s="194"/>
      <c r="HE103" s="194"/>
      <c r="HF103" s="194"/>
      <c r="HG103" s="194"/>
      <c r="HH103" s="194"/>
      <c r="HI103" s="194"/>
      <c r="HJ103" s="194"/>
      <c r="HK103" s="194"/>
      <c r="HL103" s="194"/>
      <c r="HM103" s="194"/>
      <c r="HN103" s="194"/>
      <c r="HO103" s="194"/>
      <c r="HP103" s="194"/>
      <c r="HQ103" s="194"/>
      <c r="HR103" s="194"/>
      <c r="HS103" s="194"/>
      <c r="HT103" s="194"/>
      <c r="HU103" s="194"/>
      <c r="HV103" s="194"/>
      <c r="HW103" s="194"/>
      <c r="HX103" s="194"/>
      <c r="HY103" s="194"/>
      <c r="HZ103" s="194"/>
      <c r="IA103" s="194"/>
      <c r="IB103" s="194"/>
      <c r="IC103" s="194"/>
      <c r="ID103" s="194"/>
      <c r="IE103" s="194"/>
      <c r="IF103" s="194"/>
      <c r="IG103" s="194"/>
      <c r="IH103" s="194"/>
      <c r="II103" s="194"/>
      <c r="IJ103" s="194"/>
      <c r="IK103" s="194"/>
      <c r="IL103" s="194"/>
      <c r="IM103" s="194"/>
      <c r="IN103" s="194"/>
      <c r="IO103" s="194"/>
      <c r="IP103" s="194"/>
      <c r="IQ103" s="194"/>
      <c r="IR103" s="194"/>
      <c r="IS103" s="194"/>
      <c r="IT103" s="194"/>
      <c r="IU103" s="194"/>
      <c r="IV103" s="194"/>
      <c r="IW103" s="194"/>
    </row>
    <row r="104" customFormat="false" ht="12.75" hidden="true" customHeight="false" outlineLevel="0" collapsed="false">
      <c r="A104" s="233"/>
      <c r="B104" s="235" t="s">
        <v>357</v>
      </c>
      <c r="C104" s="0"/>
      <c r="D104" s="0"/>
      <c r="E104" s="0"/>
      <c r="F104" s="0"/>
      <c r="G104" s="0"/>
      <c r="H104" s="0"/>
      <c r="I104" s="0"/>
      <c r="J104" s="4"/>
      <c r="K104" s="0"/>
      <c r="L104" s="34" t="s">
        <v>151</v>
      </c>
      <c r="M104" s="110"/>
      <c r="N104" s="110" t="n">
        <v>0</v>
      </c>
      <c r="O104" s="110"/>
      <c r="P104" s="110" t="n">
        <v>0</v>
      </c>
      <c r="Q104" s="110"/>
      <c r="R104" s="110" t="n">
        <f aca="false">+N104+P104</f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J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L104" s="110" t="n">
        <v>0</v>
      </c>
      <c r="BM104" s="110"/>
      <c r="BN104" s="110" t="n">
        <f aca="false">SUM(T104:BM104)</f>
        <v>0</v>
      </c>
      <c r="BO104" s="110"/>
      <c r="BP104" s="110" t="n">
        <v>0</v>
      </c>
      <c r="BQ104" s="110"/>
      <c r="BR104" s="110" t="n">
        <f aca="false">+R104-BN104+BP104</f>
        <v>0</v>
      </c>
      <c r="BT104" s="110" t="n">
        <f aca="false">+BN104+BR104</f>
        <v>0</v>
      </c>
      <c r="BV104" s="110" t="n">
        <f aca="false">+R104-BT104</f>
        <v>0</v>
      </c>
      <c r="BW104" s="110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true" customHeight="false" outlineLevel="0" collapsed="false">
      <c r="A105" s="233"/>
      <c r="B105" s="161" t="s">
        <v>358</v>
      </c>
      <c r="C105" s="0"/>
      <c r="D105" s="0"/>
      <c r="E105" s="0"/>
      <c r="F105" s="0"/>
      <c r="G105" s="0"/>
      <c r="H105" s="0"/>
      <c r="I105" s="0"/>
      <c r="J105" s="4"/>
      <c r="K105" s="0"/>
      <c r="L105" s="34" t="s">
        <v>151</v>
      </c>
      <c r="M105" s="110"/>
      <c r="O105" s="110"/>
      <c r="Q105" s="110"/>
      <c r="S105" s="110"/>
      <c r="T105" s="110"/>
      <c r="U105" s="110"/>
      <c r="V105" s="110"/>
      <c r="X105" s="110"/>
      <c r="Z105" s="110"/>
      <c r="AB105" s="110"/>
      <c r="AD105" s="110"/>
      <c r="BL105" s="110"/>
      <c r="BM105" s="110"/>
      <c r="BO105" s="110"/>
      <c r="BP105" s="110"/>
      <c r="BQ105" s="110"/>
      <c r="BT105" s="110" t="n">
        <f aca="false">+BN105+BR105</f>
        <v>0</v>
      </c>
      <c r="BV105" s="110" t="n">
        <f aca="false">+R105-BT105</f>
        <v>0</v>
      </c>
      <c r="BW105" s="110"/>
      <c r="BX105" s="194"/>
      <c r="BY105" s="194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  <c r="DB105" s="194"/>
      <c r="DC105" s="194"/>
      <c r="DD105" s="194"/>
      <c r="DE105" s="194"/>
      <c r="DF105" s="194"/>
      <c r="DG105" s="194"/>
      <c r="DH105" s="194"/>
      <c r="DI105" s="194"/>
      <c r="DJ105" s="194"/>
      <c r="DK105" s="194"/>
      <c r="DL105" s="194"/>
      <c r="DM105" s="194"/>
      <c r="DN105" s="194"/>
      <c r="DO105" s="194"/>
      <c r="DP105" s="194"/>
      <c r="DQ105" s="194"/>
      <c r="DR105" s="194"/>
      <c r="DS105" s="194"/>
      <c r="DT105" s="194"/>
      <c r="DU105" s="194"/>
      <c r="DV105" s="194"/>
      <c r="DW105" s="194"/>
      <c r="DX105" s="194"/>
      <c r="DY105" s="194"/>
      <c r="DZ105" s="194"/>
      <c r="EA105" s="194"/>
      <c r="EB105" s="194"/>
      <c r="EC105" s="194"/>
      <c r="ED105" s="194"/>
      <c r="EE105" s="194"/>
      <c r="EF105" s="194"/>
      <c r="EG105" s="194"/>
      <c r="EH105" s="194"/>
      <c r="EI105" s="194"/>
      <c r="EJ105" s="194"/>
      <c r="EK105" s="194"/>
      <c r="EL105" s="194"/>
      <c r="EM105" s="194"/>
      <c r="EN105" s="194"/>
      <c r="EO105" s="194"/>
      <c r="EP105" s="194"/>
      <c r="EQ105" s="194"/>
      <c r="ER105" s="194"/>
      <c r="ES105" s="194"/>
      <c r="ET105" s="194"/>
      <c r="EU105" s="194"/>
      <c r="EV105" s="194"/>
      <c r="EW105" s="194"/>
      <c r="EX105" s="194"/>
      <c r="EY105" s="194"/>
      <c r="EZ105" s="194"/>
      <c r="FA105" s="194"/>
      <c r="FB105" s="194"/>
      <c r="FC105" s="194"/>
      <c r="FD105" s="194"/>
      <c r="FE105" s="194"/>
      <c r="FF105" s="194"/>
      <c r="FG105" s="194"/>
      <c r="FH105" s="194"/>
      <c r="FI105" s="194"/>
      <c r="FJ105" s="194"/>
      <c r="FK105" s="194"/>
      <c r="FL105" s="194"/>
      <c r="FM105" s="194"/>
      <c r="FN105" s="194"/>
      <c r="FO105" s="194"/>
      <c r="FP105" s="194"/>
      <c r="FQ105" s="194"/>
      <c r="FR105" s="194"/>
      <c r="FS105" s="194"/>
      <c r="FT105" s="194"/>
      <c r="FU105" s="194"/>
      <c r="FV105" s="194"/>
      <c r="FW105" s="194"/>
      <c r="FX105" s="194"/>
      <c r="FY105" s="194"/>
      <c r="FZ105" s="194"/>
      <c r="GA105" s="194"/>
      <c r="GB105" s="194"/>
      <c r="GC105" s="194"/>
      <c r="GD105" s="194"/>
      <c r="GE105" s="194"/>
      <c r="GF105" s="194"/>
      <c r="GG105" s="194"/>
      <c r="GH105" s="194"/>
      <c r="GI105" s="194"/>
      <c r="GJ105" s="194"/>
      <c r="GK105" s="194"/>
      <c r="GL105" s="194"/>
      <c r="GM105" s="194"/>
      <c r="GN105" s="194"/>
      <c r="GO105" s="194"/>
      <c r="GP105" s="194"/>
      <c r="GQ105" s="194"/>
      <c r="GR105" s="194"/>
      <c r="GS105" s="194"/>
      <c r="GT105" s="194"/>
      <c r="GU105" s="194"/>
      <c r="GV105" s="194"/>
      <c r="GW105" s="194"/>
      <c r="GX105" s="194"/>
      <c r="GY105" s="194"/>
      <c r="GZ105" s="194"/>
      <c r="HA105" s="194"/>
      <c r="HB105" s="194"/>
      <c r="HC105" s="194"/>
      <c r="HD105" s="194"/>
      <c r="HE105" s="194"/>
      <c r="HF105" s="194"/>
      <c r="HG105" s="194"/>
      <c r="HH105" s="194"/>
      <c r="HI105" s="194"/>
      <c r="HJ105" s="194"/>
      <c r="HK105" s="194"/>
      <c r="HL105" s="194"/>
      <c r="HM105" s="194"/>
      <c r="HN105" s="194"/>
      <c r="HO105" s="194"/>
      <c r="HP105" s="194"/>
      <c r="HQ105" s="194"/>
      <c r="HR105" s="194"/>
      <c r="HS105" s="194"/>
      <c r="HT105" s="194"/>
      <c r="HU105" s="194"/>
      <c r="HV105" s="194"/>
      <c r="HW105" s="194"/>
      <c r="HX105" s="194"/>
      <c r="HY105" s="194"/>
      <c r="HZ105" s="194"/>
      <c r="IA105" s="194"/>
      <c r="IB105" s="194"/>
      <c r="IC105" s="194"/>
      <c r="ID105" s="194"/>
      <c r="IE105" s="194"/>
      <c r="IF105" s="194"/>
      <c r="IG105" s="194"/>
      <c r="IH105" s="194"/>
      <c r="II105" s="194"/>
      <c r="IJ105" s="194"/>
      <c r="IK105" s="194"/>
      <c r="IL105" s="194"/>
      <c r="IM105" s="194"/>
      <c r="IN105" s="194"/>
      <c r="IO105" s="194"/>
      <c r="IP105" s="194"/>
      <c r="IQ105" s="194"/>
      <c r="IR105" s="194"/>
      <c r="IS105" s="194"/>
      <c r="IT105" s="194"/>
      <c r="IU105" s="194"/>
      <c r="IV105" s="194"/>
      <c r="IW105" s="194"/>
    </row>
    <row r="106" customFormat="false" ht="12.75" hidden="true" customHeight="false" outlineLevel="0" collapsed="false">
      <c r="A106" s="233"/>
      <c r="B106" s="235" t="s">
        <v>355</v>
      </c>
      <c r="C106" s="0"/>
      <c r="D106" s="0"/>
      <c r="E106" s="0"/>
      <c r="F106" s="0"/>
      <c r="G106" s="0"/>
      <c r="H106" s="0"/>
      <c r="I106" s="0"/>
      <c r="J106" s="4"/>
      <c r="K106" s="0"/>
      <c r="L106" s="34" t="s">
        <v>151</v>
      </c>
      <c r="M106" s="110"/>
      <c r="N106" s="110" t="n">
        <v>0</v>
      </c>
      <c r="O106" s="110"/>
      <c r="P106" s="110" t="n">
        <v>0</v>
      </c>
      <c r="Q106" s="110"/>
      <c r="R106" s="110" t="n">
        <f aca="false">+N106+P106</f>
        <v>0</v>
      </c>
      <c r="S106" s="110"/>
      <c r="T106" s="110" t="n">
        <v>0</v>
      </c>
      <c r="U106" s="110"/>
      <c r="V106" s="110" t="n">
        <v>0</v>
      </c>
      <c r="X106" s="110" t="n">
        <v>0</v>
      </c>
      <c r="Z106" s="110" t="n">
        <v>0</v>
      </c>
      <c r="AB106" s="110" t="n">
        <v>0</v>
      </c>
      <c r="AD106" s="110" t="n">
        <v>0</v>
      </c>
      <c r="AF106" s="110" t="n">
        <v>0</v>
      </c>
      <c r="AH106" s="110" t="n">
        <v>0</v>
      </c>
      <c r="AJ106" s="110" t="n">
        <v>0</v>
      </c>
      <c r="AN106" s="110" t="n">
        <v>0</v>
      </c>
      <c r="AP106" s="110" t="n">
        <v>0</v>
      </c>
      <c r="AR106" s="110" t="n">
        <v>0</v>
      </c>
      <c r="AT106" s="110" t="n">
        <v>0</v>
      </c>
      <c r="AV106" s="110" t="n">
        <v>0</v>
      </c>
      <c r="AX106" s="110" t="n">
        <v>0</v>
      </c>
      <c r="AZ106" s="110" t="n">
        <v>0</v>
      </c>
      <c r="BB106" s="110" t="n">
        <v>0</v>
      </c>
      <c r="BD106" s="110" t="n">
        <v>0</v>
      </c>
      <c r="BF106" s="110" t="n">
        <v>0</v>
      </c>
      <c r="BH106" s="110" t="n">
        <v>0</v>
      </c>
      <c r="BJ106" s="110" t="n">
        <v>0</v>
      </c>
      <c r="BL106" s="110" t="n">
        <v>0</v>
      </c>
      <c r="BM106" s="110"/>
      <c r="BN106" s="110" t="n">
        <f aca="false">SUM(T106:BM106)</f>
        <v>0</v>
      </c>
      <c r="BO106" s="110"/>
      <c r="BP106" s="110" t="n">
        <v>0</v>
      </c>
      <c r="BQ106" s="110"/>
      <c r="BR106" s="110" t="n">
        <f aca="false">+R106-BN106+BP106</f>
        <v>0</v>
      </c>
      <c r="BT106" s="110" t="n">
        <f aca="false">+BN106+BR106</f>
        <v>0</v>
      </c>
      <c r="BV106" s="110" t="n">
        <f aca="false">+R106-BT106</f>
        <v>0</v>
      </c>
      <c r="BW106" s="110"/>
      <c r="BX106" s="194"/>
      <c r="BY106" s="194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true" customHeight="false" outlineLevel="0" collapsed="false">
      <c r="A107" s="233"/>
      <c r="B107" s="235" t="s">
        <v>356</v>
      </c>
      <c r="C107" s="0"/>
      <c r="D107" s="0"/>
      <c r="E107" s="0"/>
      <c r="F107" s="0"/>
      <c r="G107" s="0"/>
      <c r="H107" s="0"/>
      <c r="I107" s="0"/>
      <c r="J107" s="4"/>
      <c r="K107" s="0"/>
      <c r="L107" s="34" t="s">
        <v>151</v>
      </c>
      <c r="M107" s="110"/>
      <c r="N107" s="110" t="n">
        <v>0</v>
      </c>
      <c r="O107" s="110"/>
      <c r="P107" s="110" t="n">
        <v>0</v>
      </c>
      <c r="Q107" s="110"/>
      <c r="R107" s="110" t="n">
        <f aca="false">+N107+P107</f>
        <v>0</v>
      </c>
      <c r="S107" s="110"/>
      <c r="T107" s="110" t="n">
        <v>0</v>
      </c>
      <c r="U107" s="110"/>
      <c r="V107" s="110" t="n">
        <v>0</v>
      </c>
      <c r="X107" s="110" t="n">
        <v>0</v>
      </c>
      <c r="Z107" s="110" t="n">
        <v>0</v>
      </c>
      <c r="AB107" s="110" t="n">
        <v>0</v>
      </c>
      <c r="AD107" s="110" t="n">
        <v>0</v>
      </c>
      <c r="AF107" s="110" t="n">
        <v>0</v>
      </c>
      <c r="AH107" s="110" t="n">
        <v>0</v>
      </c>
      <c r="AJ107" s="110" t="n">
        <v>0</v>
      </c>
      <c r="AN107" s="110" t="n">
        <v>0</v>
      </c>
      <c r="AP107" s="110" t="n">
        <v>0</v>
      </c>
      <c r="AR107" s="110" t="n">
        <v>0</v>
      </c>
      <c r="AT107" s="110" t="n">
        <v>0</v>
      </c>
      <c r="AV107" s="110" t="n">
        <v>0</v>
      </c>
      <c r="AX107" s="110" t="n">
        <v>0</v>
      </c>
      <c r="AZ107" s="110" t="n">
        <v>0</v>
      </c>
      <c r="BB107" s="110" t="n">
        <v>0</v>
      </c>
      <c r="BD107" s="110" t="n">
        <v>0</v>
      </c>
      <c r="BF107" s="110" t="n">
        <v>0</v>
      </c>
      <c r="BH107" s="110" t="n">
        <v>0</v>
      </c>
      <c r="BJ107" s="110" t="n">
        <v>0</v>
      </c>
      <c r="BL107" s="110" t="n">
        <v>0</v>
      </c>
      <c r="BM107" s="110"/>
      <c r="BN107" s="110" t="n">
        <f aca="false">SUM(T107:BM107)</f>
        <v>0</v>
      </c>
      <c r="BO107" s="110"/>
      <c r="BP107" s="110" t="n">
        <v>0</v>
      </c>
      <c r="BQ107" s="110"/>
      <c r="BR107" s="110" t="n">
        <f aca="false">+R107-BN107+BP107</f>
        <v>0</v>
      </c>
      <c r="BT107" s="110" t="n">
        <f aca="false">+BN107+BR107</f>
        <v>0</v>
      </c>
      <c r="BV107" s="110" t="n">
        <f aca="false">+R107-BT107</f>
        <v>0</v>
      </c>
      <c r="BW107" s="110"/>
      <c r="BX107" s="194"/>
      <c r="BY107" s="194"/>
      <c r="BZ107" s="194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true" customHeight="false" outlineLevel="0" collapsed="false">
      <c r="A108" s="233"/>
      <c r="B108" s="235" t="s">
        <v>357</v>
      </c>
      <c r="C108" s="0"/>
      <c r="D108" s="0"/>
      <c r="E108" s="0"/>
      <c r="F108" s="0"/>
      <c r="G108" s="0"/>
      <c r="H108" s="0"/>
      <c r="I108" s="0"/>
      <c r="J108" s="4"/>
      <c r="K108" s="0"/>
      <c r="L108" s="34" t="s">
        <v>151</v>
      </c>
      <c r="M108" s="110"/>
      <c r="N108" s="110" t="n">
        <v>0</v>
      </c>
      <c r="O108" s="110"/>
      <c r="P108" s="110" t="n">
        <v>0</v>
      </c>
      <c r="Q108" s="110"/>
      <c r="R108" s="110" t="n">
        <f aca="false">+N108+P108</f>
        <v>0</v>
      </c>
      <c r="S108" s="110"/>
      <c r="T108" s="110" t="n">
        <v>0</v>
      </c>
      <c r="U108" s="110"/>
      <c r="V108" s="110" t="n">
        <v>0</v>
      </c>
      <c r="X108" s="110" t="n">
        <v>0</v>
      </c>
      <c r="Z108" s="110" t="n">
        <v>0</v>
      </c>
      <c r="AB108" s="110" t="n">
        <v>0</v>
      </c>
      <c r="AD108" s="110" t="n">
        <v>0</v>
      </c>
      <c r="AF108" s="110" t="n">
        <v>0</v>
      </c>
      <c r="AH108" s="110" t="n">
        <v>0</v>
      </c>
      <c r="AJ108" s="110" t="n">
        <v>0</v>
      </c>
      <c r="AN108" s="110" t="n">
        <v>0</v>
      </c>
      <c r="AP108" s="110" t="n">
        <v>0</v>
      </c>
      <c r="AR108" s="110" t="n">
        <v>0</v>
      </c>
      <c r="AT108" s="110" t="n">
        <v>0</v>
      </c>
      <c r="AV108" s="110" t="n">
        <v>0</v>
      </c>
      <c r="AX108" s="110" t="n">
        <v>0</v>
      </c>
      <c r="AZ108" s="110" t="n">
        <v>0</v>
      </c>
      <c r="BB108" s="110" t="n">
        <v>0</v>
      </c>
      <c r="BD108" s="110" t="n">
        <v>0</v>
      </c>
      <c r="BF108" s="110" t="n">
        <v>0</v>
      </c>
      <c r="BH108" s="110" t="n">
        <v>0</v>
      </c>
      <c r="BJ108" s="110" t="n">
        <v>0</v>
      </c>
      <c r="BL108" s="110" t="n">
        <v>0</v>
      </c>
      <c r="BM108" s="110"/>
      <c r="BN108" s="110" t="n">
        <f aca="false">SUM(T108:BM108)</f>
        <v>0</v>
      </c>
      <c r="BO108" s="110"/>
      <c r="BP108" s="110" t="n">
        <v>0</v>
      </c>
      <c r="BQ108" s="110"/>
      <c r="BR108" s="110" t="n">
        <f aca="false">+R108-BN108+BP108</f>
        <v>0</v>
      </c>
      <c r="BT108" s="110" t="n">
        <f aca="false">+BN108+BR108</f>
        <v>0</v>
      </c>
      <c r="BV108" s="110" t="n">
        <f aca="false">+R108-BT108</f>
        <v>0</v>
      </c>
      <c r="BW108" s="110"/>
      <c r="BX108" s="194"/>
      <c r="BY108" s="194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4"/>
      <c r="DW108" s="194"/>
      <c r="DX108" s="194"/>
      <c r="DY108" s="194"/>
      <c r="DZ108" s="194"/>
      <c r="EA108" s="194"/>
      <c r="EB108" s="194"/>
      <c r="EC108" s="194"/>
      <c r="ED108" s="194"/>
      <c r="EE108" s="194"/>
      <c r="EF108" s="194"/>
      <c r="EG108" s="194"/>
      <c r="EH108" s="194"/>
      <c r="EI108" s="194"/>
      <c r="EJ108" s="194"/>
      <c r="EK108" s="194"/>
      <c r="EL108" s="194"/>
      <c r="EM108" s="194"/>
      <c r="EN108" s="194"/>
      <c r="EO108" s="194"/>
      <c r="EP108" s="194"/>
      <c r="EQ108" s="194"/>
      <c r="ER108" s="194"/>
      <c r="ES108" s="194"/>
      <c r="ET108" s="194"/>
      <c r="EU108" s="194"/>
      <c r="EV108" s="194"/>
      <c r="EW108" s="194"/>
      <c r="EX108" s="194"/>
      <c r="EY108" s="194"/>
      <c r="EZ108" s="194"/>
      <c r="FA108" s="194"/>
      <c r="FB108" s="194"/>
      <c r="FC108" s="194"/>
      <c r="FD108" s="194"/>
      <c r="FE108" s="194"/>
      <c r="FF108" s="194"/>
      <c r="FG108" s="194"/>
      <c r="FH108" s="194"/>
      <c r="FI108" s="194"/>
      <c r="FJ108" s="194"/>
      <c r="FK108" s="194"/>
      <c r="FL108" s="194"/>
      <c r="FM108" s="194"/>
      <c r="FN108" s="194"/>
      <c r="FO108" s="194"/>
      <c r="FP108" s="194"/>
      <c r="FQ108" s="194"/>
      <c r="FR108" s="194"/>
      <c r="FS108" s="194"/>
      <c r="FT108" s="194"/>
      <c r="FU108" s="194"/>
      <c r="FV108" s="194"/>
      <c r="FW108" s="194"/>
      <c r="FX108" s="194"/>
      <c r="FY108" s="194"/>
      <c r="FZ108" s="194"/>
      <c r="GA108" s="194"/>
      <c r="GB108" s="194"/>
      <c r="GC108" s="194"/>
      <c r="GD108" s="194"/>
      <c r="GE108" s="194"/>
      <c r="GF108" s="194"/>
      <c r="GG108" s="194"/>
      <c r="GH108" s="194"/>
      <c r="GI108" s="194"/>
      <c r="GJ108" s="194"/>
      <c r="GK108" s="194"/>
      <c r="GL108" s="194"/>
      <c r="GM108" s="194"/>
      <c r="GN108" s="194"/>
      <c r="GO108" s="194"/>
      <c r="GP108" s="194"/>
      <c r="GQ108" s="194"/>
      <c r="GR108" s="194"/>
      <c r="GS108" s="194"/>
      <c r="GT108" s="194"/>
      <c r="GU108" s="194"/>
      <c r="GV108" s="194"/>
      <c r="GW108" s="194"/>
      <c r="GX108" s="194"/>
      <c r="GY108" s="194"/>
      <c r="GZ108" s="194"/>
      <c r="HA108" s="194"/>
      <c r="HB108" s="194"/>
      <c r="HC108" s="194"/>
      <c r="HD108" s="194"/>
      <c r="HE108" s="194"/>
      <c r="HF108" s="194"/>
      <c r="HG108" s="194"/>
      <c r="HH108" s="194"/>
      <c r="HI108" s="194"/>
      <c r="HJ108" s="194"/>
      <c r="HK108" s="194"/>
      <c r="HL108" s="194"/>
      <c r="HM108" s="194"/>
      <c r="HN108" s="194"/>
      <c r="HO108" s="194"/>
      <c r="HP108" s="194"/>
      <c r="HQ108" s="194"/>
      <c r="HR108" s="194"/>
      <c r="HS108" s="194"/>
      <c r="HT108" s="194"/>
      <c r="HU108" s="194"/>
      <c r="HV108" s="194"/>
      <c r="HW108" s="194"/>
      <c r="HX108" s="194"/>
      <c r="HY108" s="194"/>
      <c r="HZ108" s="194"/>
      <c r="IA108" s="194"/>
      <c r="IB108" s="194"/>
      <c r="IC108" s="194"/>
      <c r="ID108" s="194"/>
      <c r="IE108" s="194"/>
      <c r="IF108" s="194"/>
      <c r="IG108" s="194"/>
      <c r="IH108" s="194"/>
      <c r="II108" s="194"/>
      <c r="IJ108" s="194"/>
      <c r="IK108" s="194"/>
      <c r="IL108" s="194"/>
      <c r="IM108" s="194"/>
      <c r="IN108" s="194"/>
      <c r="IO108" s="194"/>
      <c r="IP108" s="194"/>
      <c r="IQ108" s="194"/>
      <c r="IR108" s="194"/>
      <c r="IS108" s="194"/>
      <c r="IT108" s="194"/>
      <c r="IU108" s="194"/>
      <c r="IV108" s="194"/>
      <c r="IW108" s="194"/>
    </row>
    <row r="109" customFormat="false" ht="12.75" hidden="true" customHeight="false" outlineLevel="0" collapsed="false">
      <c r="A109" s="233"/>
      <c r="B109" s="161" t="s">
        <v>192</v>
      </c>
      <c r="C109" s="0"/>
      <c r="D109" s="0"/>
      <c r="E109" s="0"/>
      <c r="F109" s="0"/>
      <c r="G109" s="0"/>
      <c r="H109" s="0"/>
      <c r="I109" s="0"/>
      <c r="J109" s="4"/>
      <c r="K109" s="0"/>
      <c r="L109" s="34" t="s">
        <v>151</v>
      </c>
      <c r="M109" s="110"/>
      <c r="N109" s="110" t="n">
        <v>0</v>
      </c>
      <c r="O109" s="110"/>
      <c r="P109" s="110" t="n">
        <v>0</v>
      </c>
      <c r="Q109" s="110"/>
      <c r="R109" s="110" t="n">
        <f aca="false">+N109+P109</f>
        <v>0</v>
      </c>
      <c r="S109" s="110"/>
      <c r="T109" s="110" t="n">
        <v>0</v>
      </c>
      <c r="U109" s="110"/>
      <c r="V109" s="110" t="n">
        <v>0</v>
      </c>
      <c r="X109" s="110" t="n">
        <v>0</v>
      </c>
      <c r="Z109" s="110" t="n">
        <v>0</v>
      </c>
      <c r="AB109" s="110" t="n">
        <v>0</v>
      </c>
      <c r="AD109" s="110" t="n">
        <v>0</v>
      </c>
      <c r="AF109" s="110" t="n">
        <v>0</v>
      </c>
      <c r="AH109" s="110" t="n">
        <v>0</v>
      </c>
      <c r="AJ109" s="110" t="n">
        <v>0</v>
      </c>
      <c r="AN109" s="110" t="n">
        <v>0</v>
      </c>
      <c r="AP109" s="110" t="n">
        <v>0</v>
      </c>
      <c r="AR109" s="110" t="n">
        <v>0</v>
      </c>
      <c r="AT109" s="110" t="n">
        <v>0</v>
      </c>
      <c r="AV109" s="110" t="n">
        <v>0</v>
      </c>
      <c r="AX109" s="110" t="n">
        <v>0</v>
      </c>
      <c r="AZ109" s="110" t="n">
        <v>0</v>
      </c>
      <c r="BB109" s="110" t="n">
        <v>0</v>
      </c>
      <c r="BD109" s="110" t="n">
        <v>0</v>
      </c>
      <c r="BF109" s="110" t="n">
        <v>0</v>
      </c>
      <c r="BH109" s="110" t="n">
        <v>0</v>
      </c>
      <c r="BJ109" s="110" t="n">
        <v>0</v>
      </c>
      <c r="BL109" s="110" t="n">
        <v>0</v>
      </c>
      <c r="BM109" s="110"/>
      <c r="BN109" s="110" t="n">
        <f aca="false">SUM(T109:BM109)</f>
        <v>0</v>
      </c>
      <c r="BO109" s="110"/>
      <c r="BP109" s="110" t="n">
        <v>0</v>
      </c>
      <c r="BQ109" s="110"/>
      <c r="BR109" s="110" t="n">
        <f aca="false">+R109-BN109+BP109</f>
        <v>0</v>
      </c>
      <c r="BT109" s="110" t="n">
        <f aca="false">+BN109+BR109</f>
        <v>0</v>
      </c>
      <c r="BV109" s="110" t="n">
        <f aca="false">+R109-BT109</f>
        <v>0</v>
      </c>
      <c r="BW109" s="110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true" customHeight="false" outlineLevel="0" collapsed="false">
      <c r="A110" s="233"/>
      <c r="B110" s="161" t="s">
        <v>359</v>
      </c>
      <c r="C110" s="0"/>
      <c r="D110" s="0"/>
      <c r="E110" s="0"/>
      <c r="F110" s="0"/>
      <c r="G110" s="0"/>
      <c r="H110" s="0"/>
      <c r="I110" s="0"/>
      <c r="J110" s="4"/>
      <c r="K110" s="0"/>
      <c r="L110" s="34" t="s">
        <v>151</v>
      </c>
      <c r="M110" s="110"/>
      <c r="N110" s="110" t="n">
        <v>0</v>
      </c>
      <c r="O110" s="110"/>
      <c r="P110" s="110" t="n">
        <v>0</v>
      </c>
      <c r="Q110" s="110"/>
      <c r="R110" s="110" t="n">
        <f aca="false">+N110+P110</f>
        <v>0</v>
      </c>
      <c r="S110" s="110"/>
      <c r="T110" s="110" t="n">
        <v>0</v>
      </c>
      <c r="U110" s="110"/>
      <c r="V110" s="110" t="n">
        <v>0</v>
      </c>
      <c r="X110" s="110" t="n">
        <v>0</v>
      </c>
      <c r="Z110" s="110" t="n">
        <v>0</v>
      </c>
      <c r="AB110" s="110" t="n">
        <v>0</v>
      </c>
      <c r="AD110" s="110" t="n">
        <v>0</v>
      </c>
      <c r="AF110" s="110" t="n">
        <v>0</v>
      </c>
      <c r="AH110" s="110" t="n">
        <v>0</v>
      </c>
      <c r="AJ110" s="110" t="n">
        <v>0</v>
      </c>
      <c r="AN110" s="110" t="n">
        <v>0</v>
      </c>
      <c r="AP110" s="110" t="n">
        <v>0</v>
      </c>
      <c r="AR110" s="110" t="n">
        <v>0</v>
      </c>
      <c r="AT110" s="110" t="n">
        <v>0</v>
      </c>
      <c r="AV110" s="110" t="n">
        <v>0</v>
      </c>
      <c r="AX110" s="110" t="n">
        <v>0</v>
      </c>
      <c r="AZ110" s="110" t="n">
        <v>0</v>
      </c>
      <c r="BB110" s="110" t="n">
        <v>0</v>
      </c>
      <c r="BD110" s="110" t="n">
        <v>0</v>
      </c>
      <c r="BF110" s="110" t="n">
        <v>0</v>
      </c>
      <c r="BH110" s="110" t="n">
        <v>0</v>
      </c>
      <c r="BJ110" s="110" t="n">
        <v>0</v>
      </c>
      <c r="BL110" s="110" t="n">
        <v>0</v>
      </c>
      <c r="BM110" s="110"/>
      <c r="BN110" s="110" t="n">
        <f aca="false">SUM(T110:BM110)</f>
        <v>0</v>
      </c>
      <c r="BO110" s="110"/>
      <c r="BP110" s="110" t="n">
        <v>0</v>
      </c>
      <c r="BQ110" s="110"/>
      <c r="BR110" s="110" t="n">
        <f aca="false">+R110-BN110+BP110</f>
        <v>0</v>
      </c>
      <c r="BT110" s="110" t="n">
        <f aca="false">+BN110+BR110</f>
        <v>0</v>
      </c>
      <c r="BV110" s="110" t="n">
        <f aca="false">+R110-BT110</f>
        <v>0</v>
      </c>
      <c r="BW110" s="110"/>
      <c r="BX110" s="194"/>
      <c r="BY110" s="194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true" customHeight="false" outlineLevel="0" collapsed="false">
      <c r="A111" s="233"/>
      <c r="B111" s="161" t="s">
        <v>360</v>
      </c>
      <c r="C111" s="0"/>
      <c r="D111" s="0"/>
      <c r="E111" s="0"/>
      <c r="F111" s="0"/>
      <c r="G111" s="0"/>
      <c r="H111" s="0"/>
      <c r="I111" s="0"/>
      <c r="J111" s="4"/>
      <c r="K111" s="0"/>
      <c r="L111" s="34" t="s">
        <v>151</v>
      </c>
      <c r="M111" s="110"/>
      <c r="N111" s="110" t="n">
        <v>0</v>
      </c>
      <c r="O111" s="110"/>
      <c r="P111" s="110" t="n">
        <v>0</v>
      </c>
      <c r="Q111" s="110"/>
      <c r="R111" s="110" t="n">
        <f aca="false">+N111+P111</f>
        <v>0</v>
      </c>
      <c r="S111" s="110"/>
      <c r="T111" s="110" t="n">
        <v>0</v>
      </c>
      <c r="U111" s="110"/>
      <c r="V111" s="110" t="n">
        <v>0</v>
      </c>
      <c r="X111" s="110" t="n">
        <v>0</v>
      </c>
      <c r="Z111" s="110" t="n">
        <v>0</v>
      </c>
      <c r="AB111" s="110" t="n">
        <v>0</v>
      </c>
      <c r="AD111" s="110" t="n">
        <v>0</v>
      </c>
      <c r="AF111" s="110" t="n">
        <v>0</v>
      </c>
      <c r="AH111" s="110" t="n">
        <v>0</v>
      </c>
      <c r="AJ111" s="110" t="n">
        <v>0</v>
      </c>
      <c r="AN111" s="110" t="n">
        <v>0</v>
      </c>
      <c r="AP111" s="110" t="n">
        <v>0</v>
      </c>
      <c r="AR111" s="110" t="n">
        <v>0</v>
      </c>
      <c r="AT111" s="110" t="n">
        <v>0</v>
      </c>
      <c r="AV111" s="110" t="n">
        <v>0</v>
      </c>
      <c r="AX111" s="110" t="n">
        <v>0</v>
      </c>
      <c r="AZ111" s="110" t="n">
        <v>0</v>
      </c>
      <c r="BB111" s="110" t="n">
        <v>0</v>
      </c>
      <c r="BD111" s="110" t="n">
        <v>0</v>
      </c>
      <c r="BF111" s="110" t="n">
        <v>0</v>
      </c>
      <c r="BH111" s="110" t="n">
        <v>0</v>
      </c>
      <c r="BJ111" s="110" t="n">
        <v>0</v>
      </c>
      <c r="BL111" s="110" t="n">
        <v>0</v>
      </c>
      <c r="BM111" s="110"/>
      <c r="BN111" s="110" t="n">
        <f aca="false">SUM(T111:BM111)</f>
        <v>0</v>
      </c>
      <c r="BO111" s="110"/>
      <c r="BP111" s="110" t="n">
        <v>0</v>
      </c>
      <c r="BQ111" s="110"/>
      <c r="BR111" s="110" t="n">
        <f aca="false">+R111-BN111+BP111</f>
        <v>0</v>
      </c>
      <c r="BT111" s="110" t="n">
        <f aca="false">+BN111+BR111</f>
        <v>0</v>
      </c>
      <c r="BV111" s="110" t="n">
        <f aca="false">+R111-BT111</f>
        <v>0</v>
      </c>
      <c r="BW111" s="110"/>
      <c r="BX111" s="194"/>
      <c r="BY111" s="194"/>
      <c r="BZ111" s="194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true" customHeight="false" outlineLevel="0" collapsed="false">
      <c r="A112" s="233"/>
      <c r="B112" s="161" t="s">
        <v>361</v>
      </c>
      <c r="C112" s="0"/>
      <c r="D112" s="0"/>
      <c r="E112" s="0"/>
      <c r="F112" s="0"/>
      <c r="G112" s="0"/>
      <c r="H112" s="0"/>
      <c r="I112" s="0"/>
      <c r="J112" s="4"/>
      <c r="K112" s="0"/>
      <c r="L112" s="34" t="s">
        <v>151</v>
      </c>
      <c r="M112" s="110"/>
      <c r="N112" s="110" t="n">
        <v>0</v>
      </c>
      <c r="O112" s="110"/>
      <c r="P112" s="110" t="n">
        <v>0</v>
      </c>
      <c r="Q112" s="110"/>
      <c r="R112" s="110" t="n">
        <f aca="false">+N112+P112</f>
        <v>0</v>
      </c>
      <c r="S112" s="110"/>
      <c r="T112" s="110" t="n">
        <v>0</v>
      </c>
      <c r="U112" s="110"/>
      <c r="V112" s="110" t="n">
        <v>0</v>
      </c>
      <c r="X112" s="110" t="n">
        <v>0</v>
      </c>
      <c r="Z112" s="110" t="n">
        <v>0</v>
      </c>
      <c r="AB112" s="110" t="n">
        <v>0</v>
      </c>
      <c r="AD112" s="110" t="n">
        <v>0</v>
      </c>
      <c r="AF112" s="110" t="n">
        <v>0</v>
      </c>
      <c r="AH112" s="110" t="n">
        <v>0</v>
      </c>
      <c r="AJ112" s="110" t="n">
        <v>0</v>
      </c>
      <c r="AN112" s="110" t="n">
        <v>0</v>
      </c>
      <c r="AP112" s="110" t="n">
        <v>0</v>
      </c>
      <c r="AR112" s="110" t="n">
        <v>0</v>
      </c>
      <c r="AT112" s="110" t="n">
        <v>0</v>
      </c>
      <c r="AV112" s="110" t="n">
        <v>0</v>
      </c>
      <c r="AX112" s="110" t="n">
        <v>0</v>
      </c>
      <c r="AZ112" s="110" t="n">
        <v>0</v>
      </c>
      <c r="BB112" s="110" t="n">
        <v>0</v>
      </c>
      <c r="BD112" s="110" t="n">
        <v>0</v>
      </c>
      <c r="BF112" s="110" t="n">
        <v>0</v>
      </c>
      <c r="BH112" s="110" t="n">
        <v>0</v>
      </c>
      <c r="BJ112" s="110" t="n">
        <v>0</v>
      </c>
      <c r="BL112" s="110" t="n">
        <v>0</v>
      </c>
      <c r="BM112" s="110"/>
      <c r="BN112" s="110" t="n">
        <f aca="false">SUM(T112:BM112)</f>
        <v>0</v>
      </c>
      <c r="BO112" s="110"/>
      <c r="BP112" s="110" t="n">
        <v>0</v>
      </c>
      <c r="BQ112" s="110"/>
      <c r="BR112" s="110" t="n">
        <f aca="false">+R112-BN112+BP112</f>
        <v>0</v>
      </c>
      <c r="BT112" s="110" t="n">
        <f aca="false">+BN112+BR112</f>
        <v>0</v>
      </c>
      <c r="BV112" s="110" t="n">
        <f aca="false">+R112-BT112</f>
        <v>0</v>
      </c>
      <c r="BW112" s="110"/>
      <c r="BX112" s="194"/>
      <c r="BY112" s="194"/>
      <c r="BZ112" s="194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4"/>
      <c r="DW112" s="194"/>
      <c r="DX112" s="194"/>
      <c r="DY112" s="194"/>
      <c r="DZ112" s="194"/>
      <c r="EA112" s="194"/>
      <c r="EB112" s="194"/>
      <c r="EC112" s="194"/>
      <c r="ED112" s="194"/>
      <c r="EE112" s="194"/>
      <c r="EF112" s="194"/>
      <c r="EG112" s="194"/>
      <c r="EH112" s="194"/>
      <c r="EI112" s="194"/>
      <c r="EJ112" s="194"/>
      <c r="EK112" s="194"/>
      <c r="EL112" s="194"/>
      <c r="EM112" s="194"/>
      <c r="EN112" s="194"/>
      <c r="EO112" s="194"/>
      <c r="EP112" s="194"/>
      <c r="EQ112" s="194"/>
      <c r="ER112" s="194"/>
      <c r="ES112" s="194"/>
      <c r="ET112" s="194"/>
      <c r="EU112" s="194"/>
      <c r="EV112" s="194"/>
      <c r="EW112" s="194"/>
      <c r="EX112" s="194"/>
      <c r="EY112" s="194"/>
      <c r="EZ112" s="194"/>
      <c r="FA112" s="194"/>
      <c r="FB112" s="194"/>
      <c r="FC112" s="194"/>
      <c r="FD112" s="194"/>
      <c r="FE112" s="194"/>
      <c r="FF112" s="194"/>
      <c r="FG112" s="194"/>
      <c r="FH112" s="194"/>
      <c r="FI112" s="194"/>
      <c r="FJ112" s="194"/>
      <c r="FK112" s="194"/>
      <c r="FL112" s="194"/>
      <c r="FM112" s="194"/>
      <c r="FN112" s="194"/>
      <c r="FO112" s="194"/>
      <c r="FP112" s="194"/>
      <c r="FQ112" s="194"/>
      <c r="FR112" s="194"/>
      <c r="FS112" s="194"/>
      <c r="FT112" s="194"/>
      <c r="FU112" s="194"/>
      <c r="FV112" s="194"/>
      <c r="FW112" s="194"/>
      <c r="FX112" s="194"/>
      <c r="FY112" s="194"/>
      <c r="FZ112" s="194"/>
      <c r="GA112" s="194"/>
      <c r="GB112" s="194"/>
      <c r="GC112" s="194"/>
      <c r="GD112" s="194"/>
      <c r="GE112" s="194"/>
      <c r="GF112" s="194"/>
      <c r="GG112" s="194"/>
      <c r="GH112" s="194"/>
      <c r="GI112" s="194"/>
      <c r="GJ112" s="194"/>
      <c r="GK112" s="194"/>
      <c r="GL112" s="194"/>
      <c r="GM112" s="194"/>
      <c r="GN112" s="194"/>
      <c r="GO112" s="194"/>
      <c r="GP112" s="194"/>
      <c r="GQ112" s="194"/>
      <c r="GR112" s="194"/>
      <c r="GS112" s="194"/>
      <c r="GT112" s="194"/>
      <c r="GU112" s="194"/>
      <c r="GV112" s="194"/>
      <c r="GW112" s="194"/>
      <c r="GX112" s="194"/>
      <c r="GY112" s="194"/>
      <c r="GZ112" s="194"/>
      <c r="HA112" s="194"/>
      <c r="HB112" s="194"/>
      <c r="HC112" s="194"/>
      <c r="HD112" s="194"/>
      <c r="HE112" s="194"/>
      <c r="HF112" s="194"/>
      <c r="HG112" s="194"/>
      <c r="HH112" s="194"/>
      <c r="HI112" s="194"/>
      <c r="HJ112" s="194"/>
      <c r="HK112" s="194"/>
      <c r="HL112" s="194"/>
      <c r="HM112" s="194"/>
      <c r="HN112" s="194"/>
      <c r="HO112" s="194"/>
      <c r="HP112" s="194"/>
      <c r="HQ112" s="194"/>
      <c r="HR112" s="194"/>
      <c r="HS112" s="194"/>
      <c r="HT112" s="194"/>
      <c r="HU112" s="194"/>
      <c r="HV112" s="194"/>
      <c r="HW112" s="194"/>
      <c r="HX112" s="194"/>
      <c r="HY112" s="194"/>
      <c r="HZ112" s="194"/>
      <c r="IA112" s="194"/>
      <c r="IB112" s="194"/>
      <c r="IC112" s="194"/>
      <c r="ID112" s="194"/>
      <c r="IE112" s="194"/>
      <c r="IF112" s="194"/>
      <c r="IG112" s="194"/>
      <c r="IH112" s="194"/>
      <c r="II112" s="194"/>
      <c r="IJ112" s="194"/>
      <c r="IK112" s="194"/>
      <c r="IL112" s="194"/>
      <c r="IM112" s="194"/>
      <c r="IN112" s="194"/>
      <c r="IO112" s="194"/>
      <c r="IP112" s="194"/>
      <c r="IQ112" s="194"/>
      <c r="IR112" s="194"/>
      <c r="IS112" s="194"/>
      <c r="IT112" s="194"/>
      <c r="IU112" s="194"/>
      <c r="IV112" s="194"/>
      <c r="IW112" s="194"/>
    </row>
    <row r="113" customFormat="false" ht="12.75" hidden="true" customHeight="false" outlineLevel="0" collapsed="false">
      <c r="A113" s="233"/>
      <c r="B113" s="161" t="s">
        <v>362</v>
      </c>
      <c r="C113" s="0"/>
      <c r="D113" s="0"/>
      <c r="E113" s="0"/>
      <c r="F113" s="0"/>
      <c r="G113" s="0"/>
      <c r="H113" s="0"/>
      <c r="I113" s="0"/>
      <c r="J113" s="4"/>
      <c r="K113" s="0"/>
      <c r="L113" s="34" t="s">
        <v>151</v>
      </c>
      <c r="M113" s="110"/>
      <c r="N113" s="110" t="n">
        <v>0</v>
      </c>
      <c r="O113" s="110"/>
      <c r="P113" s="110" t="n">
        <v>0</v>
      </c>
      <c r="Q113" s="110"/>
      <c r="R113" s="110" t="n">
        <f aca="false">+N113+P113</f>
        <v>0</v>
      </c>
      <c r="S113" s="110"/>
      <c r="T113" s="110" t="n">
        <v>0</v>
      </c>
      <c r="U113" s="110"/>
      <c r="V113" s="110" t="n">
        <v>0</v>
      </c>
      <c r="X113" s="110" t="n">
        <v>0</v>
      </c>
      <c r="Z113" s="110" t="n">
        <v>0</v>
      </c>
      <c r="AB113" s="110" t="n">
        <v>0</v>
      </c>
      <c r="AD113" s="110" t="n">
        <v>0</v>
      </c>
      <c r="AF113" s="110" t="n">
        <v>0</v>
      </c>
      <c r="AH113" s="110" t="n">
        <v>0</v>
      </c>
      <c r="AJ113" s="110" t="n">
        <v>0</v>
      </c>
      <c r="AN113" s="110" t="n">
        <v>0</v>
      </c>
      <c r="AP113" s="110" t="n">
        <v>0</v>
      </c>
      <c r="AR113" s="110" t="n">
        <v>0</v>
      </c>
      <c r="AT113" s="110" t="n">
        <v>0</v>
      </c>
      <c r="AV113" s="110" t="n">
        <v>0</v>
      </c>
      <c r="AX113" s="110" t="n">
        <v>0</v>
      </c>
      <c r="AZ113" s="110" t="n">
        <v>0</v>
      </c>
      <c r="BB113" s="110" t="n">
        <v>0</v>
      </c>
      <c r="BD113" s="110" t="n">
        <v>0</v>
      </c>
      <c r="BF113" s="110" t="n">
        <v>0</v>
      </c>
      <c r="BH113" s="110" t="n">
        <v>0</v>
      </c>
      <c r="BJ113" s="110" t="n">
        <v>0</v>
      </c>
      <c r="BL113" s="110" t="n">
        <v>0</v>
      </c>
      <c r="BM113" s="110"/>
      <c r="BN113" s="110" t="n">
        <f aca="false">SUM(T113:BM113)</f>
        <v>0</v>
      </c>
      <c r="BO113" s="110"/>
      <c r="BP113" s="110" t="n">
        <v>0</v>
      </c>
      <c r="BQ113" s="110"/>
      <c r="BR113" s="110" t="n">
        <f aca="false">+R113-BN113+BP113</f>
        <v>0</v>
      </c>
      <c r="BT113" s="110" t="n">
        <f aca="false">+BN113+BR113</f>
        <v>0</v>
      </c>
      <c r="BV113" s="110" t="n">
        <f aca="false">+R113-BT113</f>
        <v>0</v>
      </c>
      <c r="BW113" s="110"/>
      <c r="BX113" s="194"/>
      <c r="BY113" s="194"/>
      <c r="BZ113" s="194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4"/>
      <c r="DW113" s="194"/>
      <c r="DX113" s="194"/>
      <c r="DY113" s="194"/>
      <c r="DZ113" s="194"/>
      <c r="EA113" s="194"/>
      <c r="EB113" s="194"/>
      <c r="EC113" s="194"/>
      <c r="ED113" s="194"/>
      <c r="EE113" s="194"/>
      <c r="EF113" s="194"/>
      <c r="EG113" s="194"/>
      <c r="EH113" s="194"/>
      <c r="EI113" s="194"/>
      <c r="EJ113" s="194"/>
      <c r="EK113" s="194"/>
      <c r="EL113" s="194"/>
      <c r="EM113" s="194"/>
      <c r="EN113" s="194"/>
      <c r="EO113" s="194"/>
      <c r="EP113" s="194"/>
      <c r="EQ113" s="194"/>
      <c r="ER113" s="194"/>
      <c r="ES113" s="194"/>
      <c r="ET113" s="194"/>
      <c r="EU113" s="194"/>
      <c r="EV113" s="194"/>
      <c r="EW113" s="194"/>
      <c r="EX113" s="194"/>
      <c r="EY113" s="194"/>
      <c r="EZ113" s="194"/>
      <c r="FA113" s="194"/>
      <c r="FB113" s="194"/>
      <c r="FC113" s="194"/>
      <c r="FD113" s="194"/>
      <c r="FE113" s="194"/>
      <c r="FF113" s="194"/>
      <c r="FG113" s="194"/>
      <c r="FH113" s="194"/>
      <c r="FI113" s="194"/>
      <c r="FJ113" s="194"/>
      <c r="FK113" s="194"/>
      <c r="FL113" s="194"/>
      <c r="FM113" s="194"/>
      <c r="FN113" s="194"/>
      <c r="FO113" s="194"/>
      <c r="FP113" s="194"/>
      <c r="FQ113" s="194"/>
      <c r="FR113" s="194"/>
      <c r="FS113" s="194"/>
      <c r="FT113" s="194"/>
      <c r="FU113" s="194"/>
      <c r="FV113" s="194"/>
      <c r="FW113" s="194"/>
      <c r="FX113" s="194"/>
      <c r="FY113" s="194"/>
      <c r="FZ113" s="194"/>
      <c r="GA113" s="194"/>
      <c r="GB113" s="194"/>
      <c r="GC113" s="194"/>
      <c r="GD113" s="194"/>
      <c r="GE113" s="194"/>
      <c r="GF113" s="194"/>
      <c r="GG113" s="194"/>
      <c r="GH113" s="194"/>
      <c r="GI113" s="194"/>
      <c r="GJ113" s="194"/>
      <c r="GK113" s="194"/>
      <c r="GL113" s="194"/>
      <c r="GM113" s="194"/>
      <c r="GN113" s="194"/>
      <c r="GO113" s="194"/>
      <c r="GP113" s="194"/>
      <c r="GQ113" s="194"/>
      <c r="GR113" s="194"/>
      <c r="GS113" s="194"/>
      <c r="GT113" s="194"/>
      <c r="GU113" s="194"/>
      <c r="GV113" s="194"/>
      <c r="GW113" s="194"/>
      <c r="GX113" s="194"/>
      <c r="GY113" s="194"/>
      <c r="GZ113" s="194"/>
      <c r="HA113" s="194"/>
      <c r="HB113" s="194"/>
      <c r="HC113" s="194"/>
      <c r="HD113" s="194"/>
      <c r="HE113" s="194"/>
      <c r="HF113" s="194"/>
      <c r="HG113" s="194"/>
      <c r="HH113" s="194"/>
      <c r="HI113" s="194"/>
      <c r="HJ113" s="194"/>
      <c r="HK113" s="194"/>
      <c r="HL113" s="194"/>
      <c r="HM113" s="194"/>
      <c r="HN113" s="194"/>
      <c r="HO113" s="194"/>
      <c r="HP113" s="194"/>
      <c r="HQ113" s="194"/>
      <c r="HR113" s="194"/>
      <c r="HS113" s="194"/>
      <c r="HT113" s="194"/>
      <c r="HU113" s="194"/>
      <c r="HV113" s="194"/>
      <c r="HW113" s="194"/>
      <c r="HX113" s="194"/>
      <c r="HY113" s="194"/>
      <c r="HZ113" s="194"/>
      <c r="IA113" s="194"/>
      <c r="IB113" s="194"/>
      <c r="IC113" s="194"/>
      <c r="ID113" s="194"/>
      <c r="IE113" s="194"/>
      <c r="IF113" s="194"/>
      <c r="IG113" s="194"/>
      <c r="IH113" s="194"/>
      <c r="II113" s="194"/>
      <c r="IJ113" s="194"/>
      <c r="IK113" s="194"/>
      <c r="IL113" s="194"/>
      <c r="IM113" s="194"/>
      <c r="IN113" s="194"/>
      <c r="IO113" s="194"/>
      <c r="IP113" s="194"/>
      <c r="IQ113" s="194"/>
      <c r="IR113" s="194"/>
      <c r="IS113" s="194"/>
      <c r="IT113" s="194"/>
      <c r="IU113" s="194"/>
      <c r="IV113" s="194"/>
      <c r="IW113" s="194"/>
    </row>
    <row r="114" customFormat="false" ht="12.75" hidden="true" customHeight="false" outlineLevel="0" collapsed="false">
      <c r="A114" s="225"/>
      <c r="B114" s="161" t="s">
        <v>222</v>
      </c>
      <c r="C114" s="0"/>
      <c r="D114" s="0"/>
      <c r="E114" s="0"/>
      <c r="F114" s="0"/>
      <c r="G114" s="0"/>
      <c r="H114" s="0"/>
      <c r="I114" s="0"/>
      <c r="J114" s="4"/>
      <c r="K114" s="0"/>
      <c r="L114" s="34" t="s">
        <v>151</v>
      </c>
      <c r="M114" s="110"/>
      <c r="N114" s="110" t="n">
        <v>0</v>
      </c>
      <c r="O114" s="110"/>
      <c r="P114" s="110" t="n">
        <v>0</v>
      </c>
      <c r="Q114" s="110"/>
      <c r="R114" s="110" t="n">
        <f aca="false">+N114+P114</f>
        <v>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J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0</v>
      </c>
      <c r="AX114" s="110" t="n">
        <v>0</v>
      </c>
      <c r="AZ114" s="110" t="n">
        <v>0</v>
      </c>
      <c r="BB114" s="110" t="n">
        <v>0</v>
      </c>
      <c r="BD114" s="110" t="n">
        <v>0</v>
      </c>
      <c r="BF114" s="110" t="n">
        <v>0</v>
      </c>
      <c r="BH114" s="110" t="n">
        <v>0</v>
      </c>
      <c r="BJ114" s="110" t="n">
        <v>0</v>
      </c>
      <c r="BL114" s="110" t="n">
        <v>0</v>
      </c>
      <c r="BM114" s="110"/>
      <c r="BN114" s="110" t="n">
        <f aca="false">SUM(T114:BM114)</f>
        <v>0</v>
      </c>
      <c r="BO114" s="110"/>
      <c r="BP114" s="110" t="n">
        <v>0</v>
      </c>
      <c r="BQ114" s="110"/>
      <c r="BR114" s="110" t="n">
        <f aca="false">+R114-BN114+BP114</f>
        <v>0</v>
      </c>
      <c r="BT114" s="110" t="n">
        <f aca="false">+BN114+BR114</f>
        <v>0</v>
      </c>
      <c r="BV114" s="110" t="n">
        <f aca="false">+R114-BT114</f>
        <v>0</v>
      </c>
      <c r="BW114" s="110"/>
      <c r="BX114" s="194"/>
      <c r="BY114" s="194"/>
      <c r="BZ114" s="194"/>
      <c r="CA114" s="194"/>
      <c r="CB114" s="194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4"/>
      <c r="DW114" s="194"/>
      <c r="DX114" s="194"/>
      <c r="DY114" s="194"/>
      <c r="DZ114" s="194"/>
      <c r="EA114" s="194"/>
      <c r="EB114" s="194"/>
      <c r="EC114" s="194"/>
      <c r="ED114" s="194"/>
      <c r="EE114" s="194"/>
      <c r="EF114" s="194"/>
      <c r="EG114" s="194"/>
      <c r="EH114" s="194"/>
      <c r="EI114" s="194"/>
      <c r="EJ114" s="194"/>
      <c r="EK114" s="194"/>
      <c r="EL114" s="194"/>
      <c r="EM114" s="194"/>
      <c r="EN114" s="194"/>
      <c r="EO114" s="194"/>
      <c r="EP114" s="194"/>
      <c r="EQ114" s="194"/>
      <c r="ER114" s="194"/>
      <c r="ES114" s="194"/>
      <c r="ET114" s="194"/>
      <c r="EU114" s="194"/>
      <c r="EV114" s="194"/>
      <c r="EW114" s="194"/>
      <c r="EX114" s="194"/>
      <c r="EY114" s="194"/>
      <c r="EZ114" s="194"/>
      <c r="FA114" s="194"/>
      <c r="FB114" s="194"/>
      <c r="FC114" s="194"/>
      <c r="FD114" s="194"/>
      <c r="FE114" s="194"/>
      <c r="FF114" s="194"/>
      <c r="FG114" s="194"/>
      <c r="FH114" s="194"/>
      <c r="FI114" s="194"/>
      <c r="FJ114" s="194"/>
      <c r="FK114" s="194"/>
      <c r="FL114" s="194"/>
      <c r="FM114" s="194"/>
      <c r="FN114" s="194"/>
      <c r="FO114" s="194"/>
      <c r="FP114" s="194"/>
      <c r="FQ114" s="194"/>
      <c r="FR114" s="194"/>
      <c r="FS114" s="194"/>
      <c r="FT114" s="194"/>
      <c r="FU114" s="194"/>
      <c r="FV114" s="194"/>
      <c r="FW114" s="194"/>
      <c r="FX114" s="194"/>
      <c r="FY114" s="194"/>
      <c r="FZ114" s="194"/>
      <c r="GA114" s="194"/>
      <c r="GB114" s="194"/>
      <c r="GC114" s="194"/>
      <c r="GD114" s="194"/>
      <c r="GE114" s="194"/>
      <c r="GF114" s="194"/>
      <c r="GG114" s="194"/>
      <c r="GH114" s="194"/>
      <c r="GI114" s="194"/>
      <c r="GJ114" s="194"/>
      <c r="GK114" s="194"/>
      <c r="GL114" s="194"/>
      <c r="GM114" s="194"/>
      <c r="GN114" s="194"/>
      <c r="GO114" s="194"/>
      <c r="GP114" s="194"/>
      <c r="GQ114" s="194"/>
      <c r="GR114" s="194"/>
      <c r="GS114" s="194"/>
      <c r="GT114" s="194"/>
      <c r="GU114" s="194"/>
      <c r="GV114" s="194"/>
      <c r="GW114" s="194"/>
      <c r="GX114" s="194"/>
      <c r="GY114" s="194"/>
      <c r="GZ114" s="194"/>
      <c r="HA114" s="194"/>
      <c r="HB114" s="194"/>
      <c r="HC114" s="194"/>
      <c r="HD114" s="194"/>
      <c r="HE114" s="194"/>
      <c r="HF114" s="194"/>
      <c r="HG114" s="194"/>
      <c r="HH114" s="194"/>
      <c r="HI114" s="194"/>
      <c r="HJ114" s="194"/>
      <c r="HK114" s="194"/>
      <c r="HL114" s="194"/>
      <c r="HM114" s="194"/>
      <c r="HN114" s="194"/>
      <c r="HO114" s="194"/>
      <c r="HP114" s="194"/>
      <c r="HQ114" s="194"/>
      <c r="HR114" s="194"/>
      <c r="HS114" s="194"/>
      <c r="HT114" s="194"/>
      <c r="HU114" s="194"/>
      <c r="HV114" s="194"/>
      <c r="HW114" s="194"/>
      <c r="HX114" s="194"/>
      <c r="HY114" s="194"/>
      <c r="HZ114" s="194"/>
      <c r="IA114" s="194"/>
      <c r="IB114" s="194"/>
      <c r="IC114" s="194"/>
      <c r="ID114" s="194"/>
      <c r="IE114" s="194"/>
      <c r="IF114" s="194"/>
      <c r="IG114" s="194"/>
      <c r="IH114" s="194"/>
      <c r="II114" s="194"/>
      <c r="IJ114" s="194"/>
      <c r="IK114" s="194"/>
      <c r="IL114" s="194"/>
      <c r="IM114" s="194"/>
      <c r="IN114" s="194"/>
      <c r="IO114" s="194"/>
      <c r="IP114" s="194"/>
      <c r="IQ114" s="194"/>
      <c r="IR114" s="194"/>
      <c r="IS114" s="194"/>
      <c r="IT114" s="194"/>
      <c r="IU114" s="194"/>
      <c r="IV114" s="194"/>
      <c r="IW114" s="194"/>
    </row>
    <row r="115" customFormat="false" ht="12.75" hidden="true" customHeight="false" outlineLevel="0" collapsed="false">
      <c r="A115" s="164"/>
      <c r="B115" s="161" t="s">
        <v>128</v>
      </c>
      <c r="C115" s="18"/>
      <c r="D115" s="18"/>
      <c r="E115" s="18"/>
      <c r="F115" s="18"/>
      <c r="G115" s="18"/>
      <c r="H115" s="18"/>
      <c r="I115" s="18"/>
      <c r="J115" s="229"/>
      <c r="K115" s="18"/>
      <c r="L115" s="34" t="s">
        <v>151</v>
      </c>
      <c r="M115" s="110"/>
      <c r="N115" s="110" t="n">
        <v>0</v>
      </c>
      <c r="O115" s="110"/>
      <c r="P115" s="110" t="n">
        <v>0</v>
      </c>
      <c r="Q115" s="110"/>
      <c r="R115" s="110" t="n">
        <f aca="false">+N115+P115</f>
        <v>0</v>
      </c>
      <c r="S115" s="110"/>
      <c r="T115" s="110" t="n">
        <v>0</v>
      </c>
      <c r="U115" s="110"/>
      <c r="V115" s="110" t="n">
        <v>0</v>
      </c>
      <c r="X115" s="110" t="n">
        <v>0</v>
      </c>
      <c r="Z115" s="110" t="n">
        <v>0</v>
      </c>
      <c r="AB115" s="110" t="n">
        <v>0</v>
      </c>
      <c r="AD115" s="110" t="n">
        <v>0</v>
      </c>
      <c r="AF115" s="110" t="n">
        <v>0</v>
      </c>
      <c r="AH115" s="110" t="n">
        <v>0</v>
      </c>
      <c r="AJ115" s="110" t="n">
        <v>0</v>
      </c>
      <c r="AN115" s="110" t="n">
        <v>0</v>
      </c>
      <c r="AP115" s="110" t="n">
        <v>0</v>
      </c>
      <c r="AR115" s="110" t="n">
        <v>0</v>
      </c>
      <c r="AT115" s="110" t="n">
        <v>0</v>
      </c>
      <c r="AV115" s="110" t="n">
        <v>0</v>
      </c>
      <c r="AX115" s="110" t="n">
        <v>0</v>
      </c>
      <c r="AZ115" s="110" t="n">
        <v>0</v>
      </c>
      <c r="BB115" s="110" t="n">
        <v>0</v>
      </c>
      <c r="BD115" s="110" t="n">
        <v>0</v>
      </c>
      <c r="BF115" s="110" t="n">
        <v>0</v>
      </c>
      <c r="BH115" s="110" t="n">
        <v>0</v>
      </c>
      <c r="BJ115" s="110" t="n">
        <v>0</v>
      </c>
      <c r="BL115" s="110" t="n">
        <v>0</v>
      </c>
      <c r="BM115" s="110"/>
      <c r="BN115" s="110" t="n">
        <f aca="false">SUM(T115:BM115)</f>
        <v>0</v>
      </c>
      <c r="BO115" s="110"/>
      <c r="BP115" s="110" t="n">
        <v>0</v>
      </c>
      <c r="BQ115" s="110"/>
      <c r="BR115" s="110" t="n">
        <f aca="false">+R115-BN115+BP115</f>
        <v>0</v>
      </c>
      <c r="BT115" s="110" t="n">
        <f aca="false">+BN115+BR115</f>
        <v>0</v>
      </c>
      <c r="BV115" s="110" t="n">
        <f aca="false">+R115-BT115</f>
        <v>0</v>
      </c>
      <c r="BW115" s="110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  <c r="EE115" s="118"/>
      <c r="EF115" s="118"/>
      <c r="EG115" s="118"/>
      <c r="EH115" s="118"/>
      <c r="EI115" s="118"/>
      <c r="EJ115" s="118"/>
      <c r="EK115" s="118"/>
      <c r="EL115" s="118"/>
      <c r="EM115" s="118"/>
      <c r="EN115" s="118"/>
      <c r="EO115" s="118"/>
      <c r="EP115" s="118"/>
      <c r="EQ115" s="118"/>
      <c r="ER115" s="118"/>
      <c r="ES115" s="118"/>
      <c r="ET115" s="118"/>
      <c r="EU115" s="118"/>
      <c r="EV115" s="118"/>
      <c r="EW115" s="118"/>
      <c r="EX115" s="118"/>
      <c r="EY115" s="118"/>
      <c r="EZ115" s="118"/>
      <c r="FA115" s="118"/>
      <c r="FB115" s="118"/>
      <c r="FC115" s="118"/>
      <c r="FD115" s="118"/>
      <c r="FE115" s="118"/>
      <c r="FF115" s="118"/>
      <c r="FG115" s="118"/>
      <c r="FH115" s="118"/>
      <c r="FI115" s="118"/>
      <c r="FJ115" s="118"/>
      <c r="FK115" s="118"/>
      <c r="FL115" s="118"/>
      <c r="FM115" s="118"/>
      <c r="FN115" s="118"/>
      <c r="FO115" s="118"/>
      <c r="FP115" s="118"/>
      <c r="FQ115" s="118"/>
      <c r="FR115" s="118"/>
      <c r="FS115" s="118"/>
      <c r="FT115" s="118"/>
      <c r="FU115" s="118"/>
      <c r="FV115" s="118"/>
      <c r="FW115" s="118"/>
      <c r="FX115" s="118"/>
      <c r="FY115" s="118"/>
      <c r="FZ115" s="118"/>
      <c r="GA115" s="118"/>
      <c r="GB115" s="118"/>
      <c r="GC115" s="118"/>
      <c r="GD115" s="118"/>
      <c r="GE115" s="118"/>
      <c r="GF115" s="118"/>
      <c r="GG115" s="118"/>
      <c r="GH115" s="118"/>
      <c r="GI115" s="118"/>
      <c r="GJ115" s="118"/>
      <c r="GK115" s="118"/>
      <c r="GL115" s="118"/>
      <c r="GM115" s="118"/>
      <c r="GN115" s="118"/>
      <c r="GO115" s="118"/>
      <c r="GP115" s="118"/>
      <c r="GQ115" s="118"/>
      <c r="GR115" s="118"/>
      <c r="GS115" s="118"/>
      <c r="GT115" s="118"/>
      <c r="GU115" s="118"/>
      <c r="GV115" s="118"/>
      <c r="GW115" s="118"/>
      <c r="GX115" s="118"/>
      <c r="GY115" s="118"/>
      <c r="GZ115" s="118"/>
      <c r="HA115" s="118"/>
      <c r="HB115" s="118"/>
      <c r="HC115" s="118"/>
      <c r="HD115" s="118"/>
      <c r="HE115" s="118"/>
      <c r="HF115" s="118"/>
      <c r="HG115" s="118"/>
      <c r="HH115" s="118"/>
      <c r="HI115" s="118"/>
      <c r="HJ115" s="118"/>
      <c r="HK115" s="118"/>
      <c r="HL115" s="118"/>
      <c r="HM115" s="118"/>
      <c r="HN115" s="118"/>
      <c r="HO115" s="118"/>
      <c r="HP115" s="118"/>
      <c r="HQ115" s="118"/>
      <c r="HR115" s="118"/>
      <c r="HS115" s="118"/>
      <c r="HT115" s="118"/>
      <c r="HU115" s="118"/>
      <c r="HV115" s="118"/>
      <c r="HW115" s="118"/>
      <c r="HX115" s="118"/>
      <c r="HY115" s="118"/>
      <c r="HZ115" s="118"/>
      <c r="IA115" s="118"/>
      <c r="IB115" s="118"/>
      <c r="IC115" s="118"/>
      <c r="ID115" s="118"/>
      <c r="IE115" s="118"/>
      <c r="IF115" s="118"/>
      <c r="IG115" s="118"/>
      <c r="IH115" s="118"/>
      <c r="II115" s="118"/>
      <c r="IJ115" s="118"/>
      <c r="IK115" s="118"/>
      <c r="IL115" s="118"/>
      <c r="IM115" s="118"/>
      <c r="IN115" s="118"/>
      <c r="IO115" s="118"/>
      <c r="IP115" s="118"/>
      <c r="IQ115" s="118"/>
      <c r="IR115" s="118"/>
      <c r="IS115" s="118"/>
      <c r="IT115" s="118"/>
      <c r="IU115" s="118"/>
      <c r="IV115" s="118"/>
      <c r="IW115" s="118"/>
    </row>
    <row r="116" customFormat="false" ht="12.75" hidden="true" customHeight="false" outlineLevel="0" collapsed="false">
      <c r="A116" s="225"/>
      <c r="B116" s="161"/>
      <c r="C116" s="0"/>
      <c r="D116" s="0"/>
      <c r="E116" s="0"/>
      <c r="F116" s="0"/>
      <c r="G116" s="0"/>
      <c r="H116" s="0"/>
      <c r="I116" s="0"/>
      <c r="J116" s="4"/>
      <c r="K116" s="0"/>
      <c r="L116" s="34"/>
      <c r="M116" s="110"/>
      <c r="O116" s="110"/>
      <c r="Q116" s="110"/>
      <c r="S116" s="110"/>
      <c r="T116" s="110"/>
      <c r="U116" s="110"/>
      <c r="V116" s="110"/>
      <c r="X116" s="110"/>
      <c r="Z116" s="110"/>
      <c r="AB116" s="110"/>
      <c r="AD116" s="110"/>
      <c r="BL116" s="110"/>
      <c r="BM116" s="110"/>
      <c r="BO116" s="110"/>
      <c r="BP116" s="110"/>
      <c r="BQ116" s="110"/>
      <c r="BW116" s="110"/>
    </row>
    <row r="117" customFormat="false" ht="12.75" hidden="true" customHeight="false" outlineLevel="0" collapsed="false">
      <c r="A117" s="231"/>
      <c r="B117" s="177" t="s">
        <v>363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198" t="n">
        <f aca="false">SUM(N92:N116)</f>
        <v>0</v>
      </c>
      <c r="O117" s="24"/>
      <c r="P117" s="198" t="n">
        <f aca="false">SUM(P92:P116)</f>
        <v>0</v>
      </c>
      <c r="Q117" s="24"/>
      <c r="R117" s="198" t="n">
        <f aca="false">SUM(R92:R116)</f>
        <v>0</v>
      </c>
      <c r="S117" s="24"/>
      <c r="T117" s="198" t="n">
        <f aca="false">SUM(T92:T116)</f>
        <v>0</v>
      </c>
      <c r="U117" s="24"/>
      <c r="V117" s="198" t="n">
        <f aca="false">SUM(V92:V116)</f>
        <v>0</v>
      </c>
      <c r="W117" s="24"/>
      <c r="X117" s="198" t="n">
        <f aca="false">SUM(X92:X116)</f>
        <v>0</v>
      </c>
      <c r="Y117" s="24"/>
      <c r="Z117" s="198" t="n">
        <f aca="false">SUM(Z92:Z116)</f>
        <v>0</v>
      </c>
      <c r="AA117" s="24"/>
      <c r="AB117" s="198" t="n">
        <f aca="false">SUM(AB92:AB116)</f>
        <v>0</v>
      </c>
      <c r="AC117" s="24"/>
      <c r="AD117" s="198" t="n">
        <f aca="false">SUM(AD92:AD116)</f>
        <v>0</v>
      </c>
      <c r="AE117" s="24"/>
      <c r="AF117" s="198" t="n">
        <f aca="false">SUM(AF92:AF116)</f>
        <v>0</v>
      </c>
      <c r="AG117" s="24"/>
      <c r="AH117" s="198" t="n">
        <f aca="false">SUM(AH92:AH116)</f>
        <v>0</v>
      </c>
      <c r="AI117" s="24"/>
      <c r="AJ117" s="198" t="n">
        <f aca="false">SUM(AJ92:AJ116)</f>
        <v>0</v>
      </c>
      <c r="AK117" s="24"/>
      <c r="AL117" s="198"/>
      <c r="AM117" s="24"/>
      <c r="AN117" s="198" t="n">
        <f aca="false">SUM(AN92:AN116)</f>
        <v>0</v>
      </c>
      <c r="AO117" s="24"/>
      <c r="AP117" s="198" t="n">
        <f aca="false">SUM(AP92:AP116)</f>
        <v>0</v>
      </c>
      <c r="AQ117" s="24"/>
      <c r="AR117" s="198" t="n">
        <f aca="false">SUM(AR92:AR116)</f>
        <v>0</v>
      </c>
      <c r="AS117" s="24"/>
      <c r="AT117" s="198" t="n">
        <f aca="false">SUM(AT92:AT116)</f>
        <v>0</v>
      </c>
      <c r="AU117" s="24"/>
      <c r="AV117" s="198" t="n">
        <f aca="false">SUM(AV92:AV116)</f>
        <v>0</v>
      </c>
      <c r="AW117" s="24"/>
      <c r="AX117" s="198" t="n">
        <f aca="false">SUM(AX92:AX116)</f>
        <v>0</v>
      </c>
      <c r="AY117" s="24"/>
      <c r="AZ117" s="198" t="n">
        <f aca="false">SUM(AZ92:AZ116)</f>
        <v>0</v>
      </c>
      <c r="BA117" s="24"/>
      <c r="BB117" s="198" t="n">
        <f aca="false">SUM(BB92:BB116)</f>
        <v>0</v>
      </c>
      <c r="BC117" s="24"/>
      <c r="BD117" s="198" t="n">
        <f aca="false">SUM(BD92:BD116)</f>
        <v>0</v>
      </c>
      <c r="BE117" s="24"/>
      <c r="BF117" s="198" t="n">
        <f aca="false">SUM(BF92:BF116)</f>
        <v>0</v>
      </c>
      <c r="BG117" s="24"/>
      <c r="BH117" s="198" t="n">
        <f aca="false">SUM(BH92:BH116)</f>
        <v>0</v>
      </c>
      <c r="BI117" s="24"/>
      <c r="BJ117" s="198" t="n">
        <f aca="false">SUM(BJ92:BJ116)</f>
        <v>0</v>
      </c>
      <c r="BK117" s="24"/>
      <c r="BL117" s="198" t="n">
        <f aca="false">SUM(BL92:BL116)</f>
        <v>0</v>
      </c>
      <c r="BM117" s="24"/>
      <c r="BN117" s="198" t="n">
        <f aca="false">SUM(BN92:BN116)</f>
        <v>0</v>
      </c>
      <c r="BO117" s="24"/>
      <c r="BP117" s="198" t="n">
        <f aca="false">SUM(BP92:BP116)</f>
        <v>0</v>
      </c>
      <c r="BQ117" s="24"/>
      <c r="BR117" s="198" t="n">
        <f aca="false">SUM(BR92:BR116)</f>
        <v>0</v>
      </c>
      <c r="BS117" s="24"/>
      <c r="BT117" s="198" t="n">
        <f aca="false">SUM(BT92:BT116)</f>
        <v>0</v>
      </c>
      <c r="BU117" s="24"/>
      <c r="BV117" s="198" t="n">
        <f aca="false">SUM(BV92:BV116)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36" t="s">
        <v>243</v>
      </c>
      <c r="B118" s="200"/>
      <c r="C118" s="186"/>
      <c r="D118" s="186"/>
      <c r="E118" s="186"/>
      <c r="F118" s="186"/>
      <c r="G118" s="186"/>
      <c r="H118" s="186"/>
      <c r="I118" s="186"/>
      <c r="J118" s="187"/>
      <c r="K118" s="186"/>
      <c r="L118" s="188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6"/>
      <c r="BY118" s="186"/>
      <c r="BZ118" s="186"/>
      <c r="CA118" s="186"/>
      <c r="CB118" s="186"/>
      <c r="CC118" s="186"/>
      <c r="CD118" s="186"/>
      <c r="CE118" s="186"/>
      <c r="CF118" s="186"/>
      <c r="CG118" s="186"/>
      <c r="CH118" s="186"/>
      <c r="CI118" s="186"/>
      <c r="CJ118" s="186"/>
      <c r="CK118" s="186"/>
      <c r="CL118" s="186"/>
      <c r="CM118" s="186"/>
      <c r="CN118" s="186"/>
      <c r="CO118" s="186"/>
      <c r="CP118" s="186"/>
      <c r="CQ118" s="186"/>
      <c r="CR118" s="186"/>
      <c r="CS118" s="186"/>
      <c r="CT118" s="186"/>
      <c r="CU118" s="186"/>
      <c r="CV118" s="186"/>
      <c r="CW118" s="186"/>
      <c r="CX118" s="186"/>
      <c r="CY118" s="186"/>
      <c r="CZ118" s="186"/>
      <c r="DA118" s="186"/>
      <c r="DB118" s="186"/>
      <c r="DC118" s="186"/>
      <c r="DD118" s="186"/>
      <c r="DE118" s="186"/>
      <c r="DF118" s="186"/>
      <c r="DG118" s="186"/>
      <c r="DH118" s="186"/>
      <c r="DI118" s="186"/>
      <c r="DJ118" s="186"/>
      <c r="DK118" s="186"/>
      <c r="DL118" s="186"/>
      <c r="DM118" s="186"/>
      <c r="DN118" s="186"/>
      <c r="DO118" s="186"/>
      <c r="DP118" s="186"/>
      <c r="DQ118" s="186"/>
      <c r="DR118" s="186"/>
      <c r="DS118" s="186"/>
      <c r="DT118" s="186"/>
      <c r="DU118" s="186"/>
      <c r="DV118" s="186"/>
      <c r="DW118" s="186"/>
      <c r="DX118" s="186"/>
      <c r="DY118" s="186"/>
      <c r="DZ118" s="186"/>
      <c r="EA118" s="186"/>
      <c r="EB118" s="186"/>
      <c r="EC118" s="186"/>
      <c r="ED118" s="186"/>
      <c r="EE118" s="186"/>
      <c r="EF118" s="186"/>
      <c r="EG118" s="186"/>
      <c r="EH118" s="186"/>
      <c r="EI118" s="186"/>
      <c r="EJ118" s="186"/>
      <c r="EK118" s="186"/>
      <c r="EL118" s="186"/>
      <c r="EM118" s="186"/>
      <c r="EN118" s="186"/>
      <c r="EO118" s="186"/>
      <c r="EP118" s="186"/>
      <c r="EQ118" s="186"/>
      <c r="ER118" s="186"/>
      <c r="ES118" s="186"/>
      <c r="ET118" s="186"/>
      <c r="EU118" s="186"/>
      <c r="EV118" s="186"/>
      <c r="EW118" s="186"/>
      <c r="EX118" s="186"/>
      <c r="EY118" s="186"/>
      <c r="EZ118" s="186"/>
      <c r="FA118" s="186"/>
      <c r="FB118" s="186"/>
      <c r="FC118" s="186"/>
      <c r="FD118" s="186"/>
      <c r="FE118" s="186"/>
      <c r="FF118" s="186"/>
      <c r="FG118" s="186"/>
      <c r="FH118" s="186"/>
      <c r="FI118" s="186"/>
      <c r="FJ118" s="186"/>
      <c r="FK118" s="186"/>
      <c r="FL118" s="186"/>
      <c r="FM118" s="186"/>
      <c r="FN118" s="186"/>
      <c r="FO118" s="186"/>
      <c r="FP118" s="186"/>
      <c r="FQ118" s="186"/>
      <c r="FR118" s="186"/>
      <c r="FS118" s="186"/>
      <c r="FT118" s="186"/>
      <c r="FU118" s="186"/>
      <c r="FV118" s="186"/>
      <c r="FW118" s="186"/>
      <c r="FX118" s="186"/>
      <c r="FY118" s="186"/>
      <c r="FZ118" s="186"/>
      <c r="GA118" s="186"/>
      <c r="GB118" s="186"/>
      <c r="GC118" s="186"/>
      <c r="GD118" s="186"/>
      <c r="GE118" s="186"/>
      <c r="GF118" s="186"/>
      <c r="GG118" s="186"/>
      <c r="GH118" s="186"/>
      <c r="GI118" s="186"/>
      <c r="GJ118" s="186"/>
      <c r="GK118" s="186"/>
      <c r="GL118" s="186"/>
      <c r="GM118" s="186"/>
      <c r="GN118" s="186"/>
      <c r="GO118" s="186"/>
      <c r="GP118" s="186"/>
      <c r="GQ118" s="186"/>
      <c r="GR118" s="186"/>
      <c r="GS118" s="186"/>
      <c r="GT118" s="186"/>
      <c r="GU118" s="186"/>
      <c r="GV118" s="186"/>
      <c r="GW118" s="186"/>
      <c r="GX118" s="186"/>
      <c r="GY118" s="186"/>
      <c r="GZ118" s="186"/>
      <c r="HA118" s="186"/>
      <c r="HB118" s="186"/>
      <c r="HC118" s="186"/>
      <c r="HD118" s="186"/>
      <c r="HE118" s="186"/>
      <c r="HF118" s="186"/>
      <c r="HG118" s="186"/>
      <c r="HH118" s="186"/>
      <c r="HI118" s="186"/>
      <c r="HJ118" s="186"/>
      <c r="HK118" s="186"/>
      <c r="HL118" s="186"/>
      <c r="HM118" s="186"/>
      <c r="HN118" s="186"/>
      <c r="HO118" s="186"/>
      <c r="HP118" s="186"/>
      <c r="HQ118" s="186"/>
      <c r="HR118" s="186"/>
      <c r="HS118" s="186"/>
      <c r="HT118" s="186"/>
      <c r="HU118" s="186"/>
      <c r="HV118" s="186"/>
      <c r="HW118" s="186"/>
      <c r="HX118" s="186"/>
      <c r="HY118" s="186"/>
      <c r="HZ118" s="186"/>
      <c r="IA118" s="186"/>
      <c r="IB118" s="186"/>
      <c r="IC118" s="186"/>
      <c r="ID118" s="186"/>
      <c r="IE118" s="186"/>
      <c r="IF118" s="186"/>
      <c r="IG118" s="186"/>
      <c r="IH118" s="186"/>
      <c r="II118" s="186"/>
      <c r="IJ118" s="186"/>
      <c r="IK118" s="186"/>
      <c r="IL118" s="186"/>
      <c r="IM118" s="186"/>
      <c r="IN118" s="186"/>
      <c r="IO118" s="186"/>
      <c r="IP118" s="186"/>
      <c r="IQ118" s="186"/>
      <c r="IR118" s="186"/>
      <c r="IS118" s="186"/>
      <c r="IT118" s="186"/>
      <c r="IU118" s="186"/>
      <c r="IV118" s="186"/>
      <c r="IW118" s="186"/>
    </row>
    <row r="119" customFormat="false" ht="12.75" hidden="true" customHeight="false" outlineLevel="0" collapsed="false">
      <c r="A119" s="233" t="s">
        <v>184</v>
      </c>
      <c r="B119" s="161"/>
      <c r="C119" s="0"/>
      <c r="D119" s="0"/>
      <c r="E119" s="0"/>
      <c r="F119" s="0"/>
      <c r="G119" s="0"/>
      <c r="H119" s="0"/>
      <c r="I119" s="0"/>
      <c r="J119" s="4"/>
      <c r="K119" s="0"/>
      <c r="L119" s="34"/>
      <c r="M119" s="110"/>
      <c r="O119" s="110"/>
      <c r="Q119" s="110"/>
      <c r="S119" s="110"/>
      <c r="T119" s="110"/>
      <c r="U119" s="110"/>
      <c r="V119" s="110"/>
      <c r="X119" s="110"/>
      <c r="Z119" s="110"/>
      <c r="AB119" s="110"/>
      <c r="AD119" s="110"/>
      <c r="BL119" s="110"/>
      <c r="BM119" s="110"/>
      <c r="BO119" s="110"/>
      <c r="BP119" s="110"/>
      <c r="BQ119" s="110"/>
      <c r="BW119" s="110"/>
      <c r="BX119" s="194"/>
      <c r="BY119" s="194"/>
      <c r="BZ119" s="194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  <c r="IW119" s="194"/>
    </row>
    <row r="120" customFormat="false" ht="12.75" hidden="true" customHeight="false" outlineLevel="0" collapsed="false">
      <c r="A120" s="233"/>
      <c r="B120" s="161" t="s">
        <v>364</v>
      </c>
      <c r="C120" s="0"/>
      <c r="D120" s="0"/>
      <c r="E120" s="0"/>
      <c r="F120" s="0"/>
      <c r="G120" s="0"/>
      <c r="H120" s="0"/>
      <c r="I120" s="0"/>
      <c r="J120" s="4"/>
      <c r="K120" s="0"/>
      <c r="L120" s="34" t="s">
        <v>151</v>
      </c>
      <c r="M120" s="110"/>
      <c r="N120" s="110" t="n">
        <v>0</v>
      </c>
      <c r="O120" s="110"/>
      <c r="P120" s="110" t="n">
        <v>0</v>
      </c>
      <c r="Q120" s="110"/>
      <c r="R120" s="110" t="n">
        <f aca="false">+N120+P120</f>
        <v>0</v>
      </c>
      <c r="S120" s="110"/>
      <c r="T120" s="110" t="n">
        <v>0</v>
      </c>
      <c r="U120" s="110"/>
      <c r="V120" s="110" t="n">
        <v>0</v>
      </c>
      <c r="X120" s="110" t="n">
        <v>0</v>
      </c>
      <c r="Z120" s="110" t="n">
        <v>0</v>
      </c>
      <c r="AB120" s="110" t="n">
        <v>0</v>
      </c>
      <c r="AD120" s="110" t="n">
        <v>0</v>
      </c>
      <c r="AF120" s="110" t="n">
        <v>0</v>
      </c>
      <c r="AH120" s="110" t="n">
        <v>0</v>
      </c>
      <c r="AJ120" s="110" t="n">
        <v>0</v>
      </c>
      <c r="AN120" s="110" t="n">
        <v>0</v>
      </c>
      <c r="AP120" s="110" t="n">
        <v>0</v>
      </c>
      <c r="AR120" s="110" t="n">
        <v>0</v>
      </c>
      <c r="AT120" s="110" t="n">
        <v>0</v>
      </c>
      <c r="AV120" s="110" t="n">
        <v>0</v>
      </c>
      <c r="AX120" s="110" t="n">
        <v>0</v>
      </c>
      <c r="AZ120" s="110" t="n">
        <v>0</v>
      </c>
      <c r="BB120" s="110" t="n">
        <v>0</v>
      </c>
      <c r="BD120" s="110" t="n">
        <v>0</v>
      </c>
      <c r="BF120" s="110" t="n">
        <v>0</v>
      </c>
      <c r="BH120" s="110" t="n">
        <v>0</v>
      </c>
      <c r="BJ120" s="110" t="n">
        <v>0</v>
      </c>
      <c r="BL120" s="110" t="n">
        <v>0</v>
      </c>
      <c r="BM120" s="110"/>
      <c r="BN120" s="110" t="n">
        <f aca="false">SUM(T120:BM120)</f>
        <v>0</v>
      </c>
      <c r="BO120" s="110"/>
      <c r="BP120" s="110" t="n">
        <v>0</v>
      </c>
      <c r="BQ120" s="110"/>
      <c r="BR120" s="110" t="n">
        <f aca="false">+R120-BN120+BP120</f>
        <v>0</v>
      </c>
      <c r="BT120" s="110" t="n">
        <f aca="false">+BN120+BR120</f>
        <v>0</v>
      </c>
      <c r="BV120" s="110" t="n">
        <f aca="false">+R120-BT120</f>
        <v>0</v>
      </c>
      <c r="BW120" s="110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  <c r="IW120" s="194"/>
    </row>
    <row r="121" customFormat="false" ht="12.75" hidden="true" customHeight="false" outlineLevel="0" collapsed="false">
      <c r="A121" s="233"/>
      <c r="B121" s="161" t="s">
        <v>365</v>
      </c>
      <c r="C121" s="0"/>
      <c r="D121" s="0"/>
      <c r="E121" s="0"/>
      <c r="F121" s="0"/>
      <c r="G121" s="0"/>
      <c r="H121" s="0"/>
      <c r="I121" s="0"/>
      <c r="J121" s="4"/>
      <c r="K121" s="0"/>
      <c r="L121" s="34" t="s">
        <v>151</v>
      </c>
      <c r="M121" s="110"/>
      <c r="N121" s="110" t="n">
        <v>0</v>
      </c>
      <c r="O121" s="110"/>
      <c r="P121" s="110" t="n">
        <v>0</v>
      </c>
      <c r="Q121" s="110"/>
      <c r="R121" s="110" t="n">
        <f aca="false">+N121+P121</f>
        <v>0</v>
      </c>
      <c r="S121" s="110"/>
      <c r="T121" s="110" t="n">
        <v>0</v>
      </c>
      <c r="U121" s="110"/>
      <c r="V121" s="110" t="n">
        <v>0</v>
      </c>
      <c r="X121" s="110" t="n">
        <v>0</v>
      </c>
      <c r="Z121" s="110" t="n">
        <v>0</v>
      </c>
      <c r="AB121" s="110" t="n">
        <v>0</v>
      </c>
      <c r="AD121" s="110" t="n">
        <v>0</v>
      </c>
      <c r="AF121" s="110" t="n">
        <v>0</v>
      </c>
      <c r="AH121" s="110" t="n">
        <v>0</v>
      </c>
      <c r="AJ121" s="110" t="n">
        <v>0</v>
      </c>
      <c r="AN121" s="110" t="n">
        <v>0</v>
      </c>
      <c r="AP121" s="110" t="n">
        <v>0</v>
      </c>
      <c r="AR121" s="110" t="n">
        <v>0</v>
      </c>
      <c r="AT121" s="110" t="n">
        <v>0</v>
      </c>
      <c r="AV121" s="110" t="n">
        <v>0</v>
      </c>
      <c r="AX121" s="110" t="n">
        <v>0</v>
      </c>
      <c r="AZ121" s="110" t="n">
        <v>0</v>
      </c>
      <c r="BB121" s="110" t="n">
        <v>0</v>
      </c>
      <c r="BD121" s="110" t="n">
        <v>0</v>
      </c>
      <c r="BF121" s="110" t="n">
        <v>0</v>
      </c>
      <c r="BH121" s="110" t="n">
        <v>0</v>
      </c>
      <c r="BJ121" s="110" t="n">
        <v>0</v>
      </c>
      <c r="BL121" s="110" t="n">
        <v>0</v>
      </c>
      <c r="BM121" s="110"/>
      <c r="BN121" s="110" t="n">
        <f aca="false">SUM(T121:BM121)</f>
        <v>0</v>
      </c>
      <c r="BO121" s="110"/>
      <c r="BP121" s="110" t="n">
        <v>0</v>
      </c>
      <c r="BQ121" s="110"/>
      <c r="BR121" s="110" t="n">
        <f aca="false">+R121-BN121+BP121</f>
        <v>0</v>
      </c>
      <c r="BT121" s="110" t="n">
        <f aca="false">+BN121+BR121</f>
        <v>0</v>
      </c>
      <c r="BV121" s="110" t="n">
        <f aca="false">+R121-BT121</f>
        <v>0</v>
      </c>
      <c r="BW121" s="110"/>
      <c r="BX121" s="194"/>
      <c r="BY121" s="194"/>
      <c r="BZ121" s="194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4"/>
      <c r="DW121" s="194"/>
      <c r="DX121" s="194"/>
      <c r="DY121" s="194"/>
      <c r="DZ121" s="194"/>
      <c r="EA121" s="194"/>
      <c r="EB121" s="194"/>
      <c r="EC121" s="194"/>
      <c r="ED121" s="194"/>
      <c r="EE121" s="194"/>
      <c r="EF121" s="194"/>
      <c r="EG121" s="194"/>
      <c r="EH121" s="194"/>
      <c r="EI121" s="194"/>
      <c r="EJ121" s="194"/>
      <c r="EK121" s="194"/>
      <c r="EL121" s="194"/>
      <c r="EM121" s="194"/>
      <c r="EN121" s="194"/>
      <c r="EO121" s="194"/>
      <c r="EP121" s="194"/>
      <c r="EQ121" s="194"/>
      <c r="ER121" s="194"/>
      <c r="ES121" s="194"/>
      <c r="ET121" s="194"/>
      <c r="EU121" s="194"/>
      <c r="EV121" s="194"/>
      <c r="EW121" s="194"/>
      <c r="EX121" s="194"/>
      <c r="EY121" s="194"/>
      <c r="EZ121" s="194"/>
      <c r="FA121" s="194"/>
      <c r="FB121" s="194"/>
      <c r="FC121" s="194"/>
      <c r="FD121" s="194"/>
      <c r="FE121" s="194"/>
      <c r="FF121" s="194"/>
      <c r="FG121" s="194"/>
      <c r="FH121" s="194"/>
      <c r="FI121" s="194"/>
      <c r="FJ121" s="194"/>
      <c r="FK121" s="194"/>
      <c r="FL121" s="194"/>
      <c r="FM121" s="194"/>
      <c r="FN121" s="194"/>
      <c r="FO121" s="194"/>
      <c r="FP121" s="194"/>
      <c r="FQ121" s="194"/>
      <c r="FR121" s="194"/>
      <c r="FS121" s="194"/>
      <c r="FT121" s="194"/>
      <c r="FU121" s="194"/>
      <c r="FV121" s="194"/>
      <c r="FW121" s="194"/>
      <c r="FX121" s="194"/>
      <c r="FY121" s="194"/>
      <c r="FZ121" s="194"/>
      <c r="GA121" s="194"/>
      <c r="GB121" s="194"/>
      <c r="GC121" s="194"/>
      <c r="GD121" s="194"/>
      <c r="GE121" s="194"/>
      <c r="GF121" s="194"/>
      <c r="GG121" s="194"/>
      <c r="GH121" s="194"/>
      <c r="GI121" s="194"/>
      <c r="GJ121" s="194"/>
      <c r="GK121" s="194"/>
      <c r="GL121" s="194"/>
      <c r="GM121" s="194"/>
      <c r="GN121" s="194"/>
      <c r="GO121" s="194"/>
      <c r="GP121" s="194"/>
      <c r="GQ121" s="194"/>
      <c r="GR121" s="194"/>
      <c r="GS121" s="194"/>
      <c r="GT121" s="194"/>
      <c r="GU121" s="194"/>
      <c r="GV121" s="194"/>
      <c r="GW121" s="194"/>
      <c r="GX121" s="194"/>
      <c r="GY121" s="194"/>
      <c r="GZ121" s="194"/>
      <c r="HA121" s="194"/>
      <c r="HB121" s="194"/>
      <c r="HC121" s="194"/>
      <c r="HD121" s="194"/>
      <c r="HE121" s="194"/>
      <c r="HF121" s="194"/>
      <c r="HG121" s="194"/>
      <c r="HH121" s="194"/>
      <c r="HI121" s="194"/>
      <c r="HJ121" s="194"/>
      <c r="HK121" s="194"/>
      <c r="HL121" s="194"/>
      <c r="HM121" s="194"/>
      <c r="HN121" s="194"/>
      <c r="HO121" s="194"/>
      <c r="HP121" s="194"/>
      <c r="HQ121" s="194"/>
      <c r="HR121" s="194"/>
      <c r="HS121" s="194"/>
      <c r="HT121" s="194"/>
      <c r="HU121" s="194"/>
      <c r="HV121" s="194"/>
      <c r="HW121" s="194"/>
      <c r="HX121" s="194"/>
      <c r="HY121" s="194"/>
      <c r="HZ121" s="194"/>
      <c r="IA121" s="194"/>
      <c r="IB121" s="194"/>
      <c r="IC121" s="194"/>
      <c r="ID121" s="194"/>
      <c r="IE121" s="194"/>
      <c r="IF121" s="194"/>
      <c r="IG121" s="194"/>
      <c r="IH121" s="194"/>
      <c r="II121" s="194"/>
      <c r="IJ121" s="194"/>
      <c r="IK121" s="194"/>
      <c r="IL121" s="194"/>
      <c r="IM121" s="194"/>
      <c r="IN121" s="194"/>
      <c r="IO121" s="194"/>
      <c r="IP121" s="194"/>
      <c r="IQ121" s="194"/>
      <c r="IR121" s="194"/>
      <c r="IS121" s="194"/>
      <c r="IT121" s="194"/>
      <c r="IU121" s="194"/>
      <c r="IV121" s="194"/>
      <c r="IW121" s="194"/>
    </row>
    <row r="122" customFormat="false" ht="12.75" hidden="true" customHeight="false" outlineLevel="0" collapsed="false">
      <c r="A122" s="233"/>
      <c r="B122" s="161" t="s">
        <v>366</v>
      </c>
      <c r="C122" s="0"/>
      <c r="D122" s="0"/>
      <c r="E122" s="0"/>
      <c r="F122" s="0"/>
      <c r="G122" s="0"/>
      <c r="H122" s="0"/>
      <c r="I122" s="0"/>
      <c r="J122" s="4"/>
      <c r="K122" s="0"/>
      <c r="L122" s="34" t="s">
        <v>151</v>
      </c>
      <c r="M122" s="110"/>
      <c r="N122" s="110" t="n">
        <v>0</v>
      </c>
      <c r="O122" s="110"/>
      <c r="P122" s="110" t="n">
        <v>0</v>
      </c>
      <c r="Q122" s="110"/>
      <c r="R122" s="110" t="n">
        <f aca="false">+N122+P122</f>
        <v>0</v>
      </c>
      <c r="S122" s="110"/>
      <c r="T122" s="110" t="n">
        <v>0</v>
      </c>
      <c r="U122" s="110"/>
      <c r="V122" s="110" t="n">
        <v>0</v>
      </c>
      <c r="X122" s="110" t="n">
        <v>0</v>
      </c>
      <c r="Z122" s="110" t="n">
        <v>0</v>
      </c>
      <c r="AB122" s="110" t="n">
        <v>0</v>
      </c>
      <c r="AD122" s="110" t="n">
        <v>0</v>
      </c>
      <c r="AF122" s="110" t="n">
        <v>0</v>
      </c>
      <c r="AH122" s="110" t="n">
        <v>0</v>
      </c>
      <c r="AJ122" s="110" t="n">
        <v>0</v>
      </c>
      <c r="AN122" s="110" t="n">
        <v>0</v>
      </c>
      <c r="AP122" s="110" t="n">
        <v>0</v>
      </c>
      <c r="AR122" s="110" t="n">
        <v>0</v>
      </c>
      <c r="AT122" s="110" t="n">
        <v>0</v>
      </c>
      <c r="AV122" s="110" t="n">
        <v>0</v>
      </c>
      <c r="AX122" s="110" t="n">
        <v>0</v>
      </c>
      <c r="AZ122" s="110" t="n">
        <v>0</v>
      </c>
      <c r="BB122" s="110" t="n">
        <v>0</v>
      </c>
      <c r="BD122" s="110" t="n">
        <v>0</v>
      </c>
      <c r="BF122" s="110" t="n">
        <v>0</v>
      </c>
      <c r="BH122" s="110" t="n">
        <v>0</v>
      </c>
      <c r="BJ122" s="110" t="n">
        <v>0</v>
      </c>
      <c r="BL122" s="110" t="n">
        <v>0</v>
      </c>
      <c r="BM122" s="110"/>
      <c r="BN122" s="110" t="n">
        <f aca="false">SUM(T122:BM122)</f>
        <v>0</v>
      </c>
      <c r="BO122" s="110"/>
      <c r="BP122" s="110" t="n">
        <v>0</v>
      </c>
      <c r="BQ122" s="110"/>
      <c r="BR122" s="110" t="n">
        <f aca="false">+R122-BN122+BP122</f>
        <v>0</v>
      </c>
      <c r="BT122" s="110" t="n">
        <f aca="false">+BN122+BR122</f>
        <v>0</v>
      </c>
      <c r="BV122" s="110" t="n">
        <f aca="false">+R122-BT122</f>
        <v>0</v>
      </c>
      <c r="BW122" s="110"/>
      <c r="BX122" s="194"/>
      <c r="BY122" s="194"/>
      <c r="BZ122" s="194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  <c r="IW122" s="194"/>
    </row>
    <row r="123" customFormat="false" ht="12.75" hidden="true" customHeight="false" outlineLevel="0" collapsed="false">
      <c r="A123" s="233"/>
      <c r="B123" s="161" t="s">
        <v>367</v>
      </c>
      <c r="C123" s="0"/>
      <c r="D123" s="0"/>
      <c r="E123" s="0"/>
      <c r="F123" s="0"/>
      <c r="G123" s="0"/>
      <c r="H123" s="0"/>
      <c r="I123" s="0"/>
      <c r="J123" s="4"/>
      <c r="K123" s="0"/>
      <c r="L123" s="34" t="s">
        <v>151</v>
      </c>
      <c r="M123" s="110"/>
      <c r="N123" s="110" t="n">
        <v>0</v>
      </c>
      <c r="O123" s="110"/>
      <c r="P123" s="110" t="n">
        <v>0</v>
      </c>
      <c r="Q123" s="110"/>
      <c r="R123" s="110" t="n">
        <f aca="false">+N123+P123</f>
        <v>0</v>
      </c>
      <c r="S123" s="110"/>
      <c r="T123" s="110" t="n">
        <v>0</v>
      </c>
      <c r="U123" s="110"/>
      <c r="V123" s="110" t="n">
        <v>0</v>
      </c>
      <c r="X123" s="110" t="n">
        <v>0</v>
      </c>
      <c r="Z123" s="110" t="n">
        <v>0</v>
      </c>
      <c r="AB123" s="110" t="n">
        <v>0</v>
      </c>
      <c r="AD123" s="110" t="n">
        <v>0</v>
      </c>
      <c r="AF123" s="110" t="n">
        <v>0</v>
      </c>
      <c r="AH123" s="110" t="n">
        <v>0</v>
      </c>
      <c r="AJ123" s="110" t="n">
        <v>0</v>
      </c>
      <c r="AN123" s="110" t="n">
        <v>0</v>
      </c>
      <c r="AP123" s="110" t="n">
        <v>0</v>
      </c>
      <c r="AR123" s="110" t="n">
        <v>0</v>
      </c>
      <c r="AT123" s="110" t="n">
        <v>0</v>
      </c>
      <c r="AV123" s="110" t="n">
        <v>0</v>
      </c>
      <c r="AX123" s="110" t="n">
        <v>0</v>
      </c>
      <c r="AZ123" s="110" t="n">
        <v>0</v>
      </c>
      <c r="BB123" s="110" t="n">
        <v>0</v>
      </c>
      <c r="BD123" s="110" t="n">
        <v>0</v>
      </c>
      <c r="BF123" s="110" t="n">
        <v>0</v>
      </c>
      <c r="BH123" s="110" t="n">
        <v>0</v>
      </c>
      <c r="BJ123" s="110" t="n">
        <v>0</v>
      </c>
      <c r="BL123" s="110" t="n">
        <v>0</v>
      </c>
      <c r="BM123" s="110"/>
      <c r="BN123" s="110" t="n">
        <f aca="false">SUM(T123:BM123)</f>
        <v>0</v>
      </c>
      <c r="BO123" s="110"/>
      <c r="BP123" s="110" t="n">
        <v>0</v>
      </c>
      <c r="BQ123" s="110"/>
      <c r="BR123" s="110" t="n">
        <f aca="false">+R123-BN123+BP123</f>
        <v>0</v>
      </c>
      <c r="BT123" s="110" t="n">
        <f aca="false">+BN123+BR123</f>
        <v>0</v>
      </c>
      <c r="BV123" s="110" t="n">
        <f aca="false">+R123-BT123</f>
        <v>0</v>
      </c>
      <c r="BW123" s="110"/>
      <c r="BX123" s="194"/>
      <c r="BY123" s="194"/>
      <c r="BZ123" s="194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4"/>
      <c r="DW123" s="194"/>
      <c r="DX123" s="194"/>
      <c r="DY123" s="194"/>
      <c r="DZ123" s="194"/>
      <c r="EA123" s="194"/>
      <c r="EB123" s="194"/>
      <c r="EC123" s="194"/>
      <c r="ED123" s="194"/>
      <c r="EE123" s="194"/>
      <c r="EF123" s="194"/>
      <c r="EG123" s="194"/>
      <c r="EH123" s="194"/>
      <c r="EI123" s="194"/>
      <c r="EJ123" s="194"/>
      <c r="EK123" s="194"/>
      <c r="EL123" s="194"/>
      <c r="EM123" s="194"/>
      <c r="EN123" s="194"/>
      <c r="EO123" s="194"/>
      <c r="EP123" s="194"/>
      <c r="EQ123" s="194"/>
      <c r="ER123" s="194"/>
      <c r="ES123" s="194"/>
      <c r="ET123" s="194"/>
      <c r="EU123" s="194"/>
      <c r="EV123" s="194"/>
      <c r="EW123" s="194"/>
      <c r="EX123" s="194"/>
      <c r="EY123" s="194"/>
      <c r="EZ123" s="194"/>
      <c r="FA123" s="194"/>
      <c r="FB123" s="194"/>
      <c r="FC123" s="194"/>
      <c r="FD123" s="194"/>
      <c r="FE123" s="194"/>
      <c r="FF123" s="194"/>
      <c r="FG123" s="194"/>
      <c r="FH123" s="194"/>
      <c r="FI123" s="194"/>
      <c r="FJ123" s="194"/>
      <c r="FK123" s="194"/>
      <c r="FL123" s="194"/>
      <c r="FM123" s="194"/>
      <c r="FN123" s="194"/>
      <c r="FO123" s="194"/>
      <c r="FP123" s="194"/>
      <c r="FQ123" s="194"/>
      <c r="FR123" s="194"/>
      <c r="FS123" s="194"/>
      <c r="FT123" s="194"/>
      <c r="FU123" s="194"/>
      <c r="FV123" s="194"/>
      <c r="FW123" s="194"/>
      <c r="FX123" s="194"/>
      <c r="FY123" s="194"/>
      <c r="FZ123" s="194"/>
      <c r="GA123" s="194"/>
      <c r="GB123" s="194"/>
      <c r="GC123" s="194"/>
      <c r="GD123" s="194"/>
      <c r="GE123" s="194"/>
      <c r="GF123" s="194"/>
      <c r="GG123" s="194"/>
      <c r="GH123" s="194"/>
      <c r="GI123" s="194"/>
      <c r="GJ123" s="194"/>
      <c r="GK123" s="194"/>
      <c r="GL123" s="194"/>
      <c r="GM123" s="194"/>
      <c r="GN123" s="194"/>
      <c r="GO123" s="194"/>
      <c r="GP123" s="194"/>
      <c r="GQ123" s="194"/>
      <c r="GR123" s="194"/>
      <c r="GS123" s="194"/>
      <c r="GT123" s="194"/>
      <c r="GU123" s="194"/>
      <c r="GV123" s="194"/>
      <c r="GW123" s="194"/>
      <c r="GX123" s="194"/>
      <c r="GY123" s="194"/>
      <c r="GZ123" s="194"/>
      <c r="HA123" s="194"/>
      <c r="HB123" s="194"/>
      <c r="HC123" s="194"/>
      <c r="HD123" s="194"/>
      <c r="HE123" s="194"/>
      <c r="HF123" s="194"/>
      <c r="HG123" s="194"/>
      <c r="HH123" s="194"/>
      <c r="HI123" s="194"/>
      <c r="HJ123" s="194"/>
      <c r="HK123" s="194"/>
      <c r="HL123" s="194"/>
      <c r="HM123" s="194"/>
      <c r="HN123" s="194"/>
      <c r="HO123" s="194"/>
      <c r="HP123" s="194"/>
      <c r="HQ123" s="194"/>
      <c r="HR123" s="194"/>
      <c r="HS123" s="194"/>
      <c r="HT123" s="194"/>
      <c r="HU123" s="194"/>
      <c r="HV123" s="194"/>
      <c r="HW123" s="194"/>
      <c r="HX123" s="194"/>
      <c r="HY123" s="194"/>
      <c r="HZ123" s="194"/>
      <c r="IA123" s="194"/>
      <c r="IB123" s="194"/>
      <c r="IC123" s="194"/>
      <c r="ID123" s="194"/>
      <c r="IE123" s="194"/>
      <c r="IF123" s="194"/>
      <c r="IG123" s="194"/>
      <c r="IH123" s="194"/>
      <c r="II123" s="194"/>
      <c r="IJ123" s="194"/>
      <c r="IK123" s="194"/>
      <c r="IL123" s="194"/>
      <c r="IM123" s="194"/>
      <c r="IN123" s="194"/>
      <c r="IO123" s="194"/>
      <c r="IP123" s="194"/>
      <c r="IQ123" s="194"/>
      <c r="IR123" s="194"/>
      <c r="IS123" s="194"/>
      <c r="IT123" s="194"/>
      <c r="IU123" s="194"/>
      <c r="IV123" s="194"/>
      <c r="IW123" s="194"/>
    </row>
    <row r="124" customFormat="false" ht="12.75" hidden="true" customHeight="false" outlineLevel="0" collapsed="false">
      <c r="A124" s="233"/>
      <c r="B124" s="161" t="s">
        <v>368</v>
      </c>
      <c r="C124" s="0"/>
      <c r="D124" s="0"/>
      <c r="E124" s="0"/>
      <c r="F124" s="0"/>
      <c r="G124" s="0"/>
      <c r="H124" s="0"/>
      <c r="I124" s="0"/>
      <c r="J124" s="4"/>
      <c r="K124" s="0"/>
      <c r="L124" s="34" t="s">
        <v>151</v>
      </c>
      <c r="M124" s="110"/>
      <c r="N124" s="110" t="n">
        <v>0</v>
      </c>
      <c r="O124" s="110"/>
      <c r="P124" s="110" t="n">
        <v>0</v>
      </c>
      <c r="Q124" s="110"/>
      <c r="R124" s="110" t="n">
        <f aca="false">+N124+P124</f>
        <v>0</v>
      </c>
      <c r="S124" s="110"/>
      <c r="T124" s="110" t="n">
        <v>0</v>
      </c>
      <c r="U124" s="110"/>
      <c r="V124" s="110" t="n">
        <v>0</v>
      </c>
      <c r="X124" s="110" t="n">
        <v>0</v>
      </c>
      <c r="Z124" s="110" t="n">
        <v>0</v>
      </c>
      <c r="AB124" s="110" t="n">
        <v>0</v>
      </c>
      <c r="AD124" s="110" t="n">
        <v>0</v>
      </c>
      <c r="AF124" s="110" t="n">
        <v>0</v>
      </c>
      <c r="AH124" s="110" t="n">
        <v>0</v>
      </c>
      <c r="AJ124" s="110" t="n">
        <v>0</v>
      </c>
      <c r="AN124" s="110" t="n">
        <v>0</v>
      </c>
      <c r="AP124" s="110" t="n">
        <v>0</v>
      </c>
      <c r="AR124" s="110" t="n">
        <v>0</v>
      </c>
      <c r="AT124" s="110" t="n">
        <v>0</v>
      </c>
      <c r="AV124" s="110" t="n">
        <v>0</v>
      </c>
      <c r="AX124" s="110" t="n">
        <v>0</v>
      </c>
      <c r="AZ124" s="110" t="n">
        <v>0</v>
      </c>
      <c r="BB124" s="110" t="n">
        <v>0</v>
      </c>
      <c r="BD124" s="110" t="n">
        <v>0</v>
      </c>
      <c r="BF124" s="110" t="n">
        <v>0</v>
      </c>
      <c r="BH124" s="110" t="n">
        <v>0</v>
      </c>
      <c r="BJ124" s="110" t="n">
        <v>0</v>
      </c>
      <c r="BL124" s="110" t="n">
        <v>0</v>
      </c>
      <c r="BM124" s="110"/>
      <c r="BN124" s="110" t="n">
        <f aca="false">SUM(T124:BM124)</f>
        <v>0</v>
      </c>
      <c r="BO124" s="110"/>
      <c r="BP124" s="110" t="n">
        <v>0</v>
      </c>
      <c r="BQ124" s="110"/>
      <c r="BR124" s="110" t="n">
        <f aca="false">+R124-BN124+BP124</f>
        <v>0</v>
      </c>
      <c r="BT124" s="110" t="n">
        <f aca="false">+BN124+BR124</f>
        <v>0</v>
      </c>
      <c r="BV124" s="110" t="n">
        <f aca="false">+R124-BT124</f>
        <v>0</v>
      </c>
      <c r="BW124" s="110"/>
      <c r="BX124" s="194"/>
      <c r="BY124" s="194"/>
      <c r="BZ124" s="194"/>
      <c r="CA124" s="194"/>
      <c r="CB124" s="194"/>
      <c r="CC124" s="194"/>
      <c r="CD124" s="194"/>
      <c r="CE124" s="194"/>
      <c r="CF124" s="194"/>
      <c r="CG124" s="194"/>
      <c r="CH124" s="194"/>
      <c r="CI124" s="194"/>
      <c r="CJ124" s="194"/>
      <c r="CK124" s="194"/>
      <c r="CL124" s="194"/>
      <c r="CM124" s="194"/>
      <c r="CN124" s="194"/>
      <c r="CO124" s="194"/>
      <c r="CP124" s="194"/>
      <c r="CQ124" s="194"/>
      <c r="CR124" s="194"/>
      <c r="CS124" s="194"/>
      <c r="CT124" s="194"/>
      <c r="CU124" s="194"/>
      <c r="CV124" s="194"/>
      <c r="CW124" s="194"/>
      <c r="CX124" s="194"/>
      <c r="CY124" s="194"/>
      <c r="CZ124" s="194"/>
      <c r="DA124" s="194"/>
      <c r="DB124" s="194"/>
      <c r="DC124" s="194"/>
      <c r="DD124" s="194"/>
      <c r="DE124" s="194"/>
      <c r="DF124" s="194"/>
      <c r="DG124" s="194"/>
      <c r="DH124" s="194"/>
      <c r="DI124" s="194"/>
      <c r="DJ124" s="194"/>
      <c r="DK124" s="194"/>
      <c r="DL124" s="194"/>
      <c r="DM124" s="194"/>
      <c r="DN124" s="194"/>
      <c r="DO124" s="194"/>
      <c r="DP124" s="194"/>
      <c r="DQ124" s="194"/>
      <c r="DR124" s="194"/>
      <c r="DS124" s="194"/>
      <c r="DT124" s="194"/>
      <c r="DU124" s="194"/>
      <c r="DV124" s="194"/>
      <c r="DW124" s="194"/>
      <c r="DX124" s="194"/>
      <c r="DY124" s="194"/>
      <c r="DZ124" s="194"/>
      <c r="EA124" s="194"/>
      <c r="EB124" s="194"/>
      <c r="EC124" s="194"/>
      <c r="ED124" s="194"/>
      <c r="EE124" s="194"/>
      <c r="EF124" s="194"/>
      <c r="EG124" s="194"/>
      <c r="EH124" s="194"/>
      <c r="EI124" s="194"/>
      <c r="EJ124" s="194"/>
      <c r="EK124" s="194"/>
      <c r="EL124" s="194"/>
      <c r="EM124" s="194"/>
      <c r="EN124" s="194"/>
      <c r="EO124" s="194"/>
      <c r="EP124" s="194"/>
      <c r="EQ124" s="194"/>
      <c r="ER124" s="194"/>
      <c r="ES124" s="194"/>
      <c r="ET124" s="194"/>
      <c r="EU124" s="194"/>
      <c r="EV124" s="194"/>
      <c r="EW124" s="194"/>
      <c r="EX124" s="194"/>
      <c r="EY124" s="194"/>
      <c r="EZ124" s="194"/>
      <c r="FA124" s="194"/>
      <c r="FB124" s="194"/>
      <c r="FC124" s="194"/>
      <c r="FD124" s="194"/>
      <c r="FE124" s="194"/>
      <c r="FF124" s="194"/>
      <c r="FG124" s="194"/>
      <c r="FH124" s="194"/>
      <c r="FI124" s="194"/>
      <c r="FJ124" s="194"/>
      <c r="FK124" s="194"/>
      <c r="FL124" s="194"/>
      <c r="FM124" s="194"/>
      <c r="FN124" s="194"/>
      <c r="FO124" s="194"/>
      <c r="FP124" s="194"/>
      <c r="FQ124" s="194"/>
      <c r="FR124" s="194"/>
      <c r="FS124" s="194"/>
      <c r="FT124" s="194"/>
      <c r="FU124" s="194"/>
      <c r="FV124" s="194"/>
      <c r="FW124" s="194"/>
      <c r="FX124" s="194"/>
      <c r="FY124" s="194"/>
      <c r="FZ124" s="194"/>
      <c r="GA124" s="194"/>
      <c r="GB124" s="194"/>
      <c r="GC124" s="194"/>
      <c r="GD124" s="194"/>
      <c r="GE124" s="194"/>
      <c r="GF124" s="194"/>
      <c r="GG124" s="194"/>
      <c r="GH124" s="194"/>
      <c r="GI124" s="194"/>
      <c r="GJ124" s="194"/>
      <c r="GK124" s="194"/>
      <c r="GL124" s="194"/>
      <c r="GM124" s="194"/>
      <c r="GN124" s="194"/>
      <c r="GO124" s="194"/>
      <c r="GP124" s="194"/>
      <c r="GQ124" s="194"/>
      <c r="GR124" s="194"/>
      <c r="GS124" s="194"/>
      <c r="GT124" s="194"/>
      <c r="GU124" s="194"/>
      <c r="GV124" s="194"/>
      <c r="GW124" s="194"/>
      <c r="GX124" s="194"/>
      <c r="GY124" s="194"/>
      <c r="GZ124" s="194"/>
      <c r="HA124" s="194"/>
      <c r="HB124" s="194"/>
      <c r="HC124" s="194"/>
      <c r="HD124" s="194"/>
      <c r="HE124" s="194"/>
      <c r="HF124" s="194"/>
      <c r="HG124" s="194"/>
      <c r="HH124" s="194"/>
      <c r="HI124" s="194"/>
      <c r="HJ124" s="194"/>
      <c r="HK124" s="194"/>
      <c r="HL124" s="194"/>
      <c r="HM124" s="194"/>
      <c r="HN124" s="194"/>
      <c r="HO124" s="194"/>
      <c r="HP124" s="194"/>
      <c r="HQ124" s="194"/>
      <c r="HR124" s="194"/>
      <c r="HS124" s="194"/>
      <c r="HT124" s="194"/>
      <c r="HU124" s="194"/>
      <c r="HV124" s="194"/>
      <c r="HW124" s="194"/>
      <c r="HX124" s="194"/>
      <c r="HY124" s="194"/>
      <c r="HZ124" s="194"/>
      <c r="IA124" s="194"/>
      <c r="IB124" s="194"/>
      <c r="IC124" s="194"/>
      <c r="ID124" s="194"/>
      <c r="IE124" s="194"/>
      <c r="IF124" s="194"/>
      <c r="IG124" s="194"/>
      <c r="IH124" s="194"/>
      <c r="II124" s="194"/>
      <c r="IJ124" s="194"/>
      <c r="IK124" s="194"/>
      <c r="IL124" s="194"/>
      <c r="IM124" s="194"/>
      <c r="IN124" s="194"/>
      <c r="IO124" s="194"/>
      <c r="IP124" s="194"/>
      <c r="IQ124" s="194"/>
      <c r="IR124" s="194"/>
      <c r="IS124" s="194"/>
      <c r="IT124" s="194"/>
      <c r="IU124" s="194"/>
      <c r="IV124" s="194"/>
      <c r="IW124" s="194"/>
    </row>
    <row r="125" customFormat="false" ht="12.75" hidden="true" customHeight="false" outlineLevel="0" collapsed="false">
      <c r="A125" s="233"/>
      <c r="B125" s="161" t="s">
        <v>369</v>
      </c>
      <c r="C125" s="0"/>
      <c r="D125" s="0"/>
      <c r="E125" s="0"/>
      <c r="F125" s="0"/>
      <c r="G125" s="0"/>
      <c r="H125" s="0"/>
      <c r="I125" s="0"/>
      <c r="J125" s="4"/>
      <c r="K125" s="0"/>
      <c r="L125" s="34" t="s">
        <v>151</v>
      </c>
      <c r="M125" s="110"/>
      <c r="N125" s="110" t="n">
        <v>0</v>
      </c>
      <c r="O125" s="110"/>
      <c r="P125" s="110" t="n">
        <v>0</v>
      </c>
      <c r="Q125" s="110"/>
      <c r="R125" s="110" t="n">
        <f aca="false">+N125+P125</f>
        <v>0</v>
      </c>
      <c r="S125" s="110"/>
      <c r="T125" s="110" t="n">
        <v>0</v>
      </c>
      <c r="U125" s="110"/>
      <c r="V125" s="110" t="n">
        <v>0</v>
      </c>
      <c r="X125" s="110" t="n">
        <v>0</v>
      </c>
      <c r="Z125" s="110" t="n">
        <v>0</v>
      </c>
      <c r="AB125" s="110" t="n">
        <v>0</v>
      </c>
      <c r="AD125" s="110" t="n">
        <v>0</v>
      </c>
      <c r="AF125" s="110" t="n">
        <v>0</v>
      </c>
      <c r="AH125" s="110" t="n">
        <v>0</v>
      </c>
      <c r="AJ125" s="110" t="n">
        <v>0</v>
      </c>
      <c r="AN125" s="110" t="n">
        <v>0</v>
      </c>
      <c r="AP125" s="110" t="n">
        <v>0</v>
      </c>
      <c r="AR125" s="110" t="n">
        <v>0</v>
      </c>
      <c r="AT125" s="110" t="n">
        <v>0</v>
      </c>
      <c r="AV125" s="110" t="n">
        <v>0</v>
      </c>
      <c r="AX125" s="110" t="n">
        <v>0</v>
      </c>
      <c r="AZ125" s="110" t="n">
        <v>0</v>
      </c>
      <c r="BB125" s="110" t="n">
        <v>0</v>
      </c>
      <c r="BD125" s="110" t="n">
        <v>0</v>
      </c>
      <c r="BF125" s="110" t="n">
        <v>0</v>
      </c>
      <c r="BH125" s="110" t="n">
        <v>0</v>
      </c>
      <c r="BJ125" s="110" t="n">
        <v>0</v>
      </c>
      <c r="BL125" s="110" t="n">
        <v>0</v>
      </c>
      <c r="BM125" s="110"/>
      <c r="BN125" s="110" t="n">
        <f aca="false">SUM(T125:BM125)</f>
        <v>0</v>
      </c>
      <c r="BO125" s="110"/>
      <c r="BP125" s="110" t="n">
        <v>0</v>
      </c>
      <c r="BQ125" s="110"/>
      <c r="BR125" s="110" t="n">
        <f aca="false">+R125-BN125+BP125</f>
        <v>0</v>
      </c>
      <c r="BT125" s="110" t="n">
        <f aca="false">+BN125+BR125</f>
        <v>0</v>
      </c>
      <c r="BV125" s="110" t="n">
        <f aca="false">+R125-BT125</f>
        <v>0</v>
      </c>
      <c r="BW125" s="110"/>
      <c r="BX125" s="194"/>
      <c r="BY125" s="194"/>
      <c r="BZ125" s="194"/>
      <c r="CA125" s="194"/>
      <c r="CB125" s="194"/>
      <c r="CC125" s="194"/>
      <c r="CD125" s="194"/>
      <c r="CE125" s="194"/>
      <c r="CF125" s="194"/>
      <c r="CG125" s="194"/>
      <c r="CH125" s="194"/>
      <c r="CI125" s="194"/>
      <c r="CJ125" s="194"/>
      <c r="CK125" s="194"/>
      <c r="CL125" s="194"/>
      <c r="CM125" s="194"/>
      <c r="CN125" s="194"/>
      <c r="CO125" s="194"/>
      <c r="CP125" s="194"/>
      <c r="CQ125" s="194"/>
      <c r="CR125" s="194"/>
      <c r="CS125" s="194"/>
      <c r="CT125" s="194"/>
      <c r="CU125" s="194"/>
      <c r="CV125" s="194"/>
      <c r="CW125" s="194"/>
      <c r="CX125" s="194"/>
      <c r="CY125" s="194"/>
      <c r="CZ125" s="194"/>
      <c r="DA125" s="194"/>
      <c r="DB125" s="194"/>
      <c r="DC125" s="194"/>
      <c r="DD125" s="194"/>
      <c r="DE125" s="194"/>
      <c r="DF125" s="194"/>
      <c r="DG125" s="194"/>
      <c r="DH125" s="194"/>
      <c r="DI125" s="194"/>
      <c r="DJ125" s="194"/>
      <c r="DK125" s="194"/>
      <c r="DL125" s="194"/>
      <c r="DM125" s="194"/>
      <c r="DN125" s="194"/>
      <c r="DO125" s="194"/>
      <c r="DP125" s="194"/>
      <c r="DQ125" s="194"/>
      <c r="DR125" s="194"/>
      <c r="DS125" s="194"/>
      <c r="DT125" s="194"/>
      <c r="DU125" s="194"/>
      <c r="DV125" s="194"/>
      <c r="DW125" s="194"/>
      <c r="DX125" s="194"/>
      <c r="DY125" s="194"/>
      <c r="DZ125" s="194"/>
      <c r="EA125" s="194"/>
      <c r="EB125" s="194"/>
      <c r="EC125" s="194"/>
      <c r="ED125" s="194"/>
      <c r="EE125" s="194"/>
      <c r="EF125" s="194"/>
      <c r="EG125" s="194"/>
      <c r="EH125" s="194"/>
      <c r="EI125" s="194"/>
      <c r="EJ125" s="194"/>
      <c r="EK125" s="194"/>
      <c r="EL125" s="194"/>
      <c r="EM125" s="194"/>
      <c r="EN125" s="194"/>
      <c r="EO125" s="194"/>
      <c r="EP125" s="194"/>
      <c r="EQ125" s="194"/>
      <c r="ER125" s="194"/>
      <c r="ES125" s="194"/>
      <c r="ET125" s="194"/>
      <c r="EU125" s="194"/>
      <c r="EV125" s="194"/>
      <c r="EW125" s="194"/>
      <c r="EX125" s="194"/>
      <c r="EY125" s="194"/>
      <c r="EZ125" s="194"/>
      <c r="FA125" s="194"/>
      <c r="FB125" s="194"/>
      <c r="FC125" s="194"/>
      <c r="FD125" s="194"/>
      <c r="FE125" s="194"/>
      <c r="FF125" s="194"/>
      <c r="FG125" s="194"/>
      <c r="FH125" s="194"/>
      <c r="FI125" s="194"/>
      <c r="FJ125" s="194"/>
      <c r="FK125" s="194"/>
      <c r="FL125" s="194"/>
      <c r="FM125" s="194"/>
      <c r="FN125" s="194"/>
      <c r="FO125" s="194"/>
      <c r="FP125" s="194"/>
      <c r="FQ125" s="194"/>
      <c r="FR125" s="194"/>
      <c r="FS125" s="194"/>
      <c r="FT125" s="194"/>
      <c r="FU125" s="194"/>
      <c r="FV125" s="194"/>
      <c r="FW125" s="194"/>
      <c r="FX125" s="194"/>
      <c r="FY125" s="194"/>
      <c r="FZ125" s="194"/>
      <c r="GA125" s="194"/>
      <c r="GB125" s="194"/>
      <c r="GC125" s="194"/>
      <c r="GD125" s="194"/>
      <c r="GE125" s="194"/>
      <c r="GF125" s="194"/>
      <c r="GG125" s="194"/>
      <c r="GH125" s="194"/>
      <c r="GI125" s="194"/>
      <c r="GJ125" s="194"/>
      <c r="GK125" s="194"/>
      <c r="GL125" s="194"/>
      <c r="GM125" s="194"/>
      <c r="GN125" s="194"/>
      <c r="GO125" s="194"/>
      <c r="GP125" s="194"/>
      <c r="GQ125" s="194"/>
      <c r="GR125" s="194"/>
      <c r="GS125" s="194"/>
      <c r="GT125" s="194"/>
      <c r="GU125" s="194"/>
      <c r="GV125" s="194"/>
      <c r="GW125" s="194"/>
      <c r="GX125" s="194"/>
      <c r="GY125" s="194"/>
      <c r="GZ125" s="194"/>
      <c r="HA125" s="194"/>
      <c r="HB125" s="194"/>
      <c r="HC125" s="194"/>
      <c r="HD125" s="194"/>
      <c r="HE125" s="194"/>
      <c r="HF125" s="194"/>
      <c r="HG125" s="194"/>
      <c r="HH125" s="194"/>
      <c r="HI125" s="194"/>
      <c r="HJ125" s="194"/>
      <c r="HK125" s="194"/>
      <c r="HL125" s="194"/>
      <c r="HM125" s="194"/>
      <c r="HN125" s="194"/>
      <c r="HO125" s="194"/>
      <c r="HP125" s="194"/>
      <c r="HQ125" s="194"/>
      <c r="HR125" s="194"/>
      <c r="HS125" s="194"/>
      <c r="HT125" s="194"/>
      <c r="HU125" s="194"/>
      <c r="HV125" s="194"/>
      <c r="HW125" s="194"/>
      <c r="HX125" s="194"/>
      <c r="HY125" s="194"/>
      <c r="HZ125" s="194"/>
      <c r="IA125" s="194"/>
      <c r="IB125" s="194"/>
      <c r="IC125" s="194"/>
      <c r="ID125" s="194"/>
      <c r="IE125" s="194"/>
      <c r="IF125" s="194"/>
      <c r="IG125" s="194"/>
      <c r="IH125" s="194"/>
      <c r="II125" s="194"/>
      <c r="IJ125" s="194"/>
      <c r="IK125" s="194"/>
      <c r="IL125" s="194"/>
      <c r="IM125" s="194"/>
      <c r="IN125" s="194"/>
      <c r="IO125" s="194"/>
      <c r="IP125" s="194"/>
      <c r="IQ125" s="194"/>
      <c r="IR125" s="194"/>
      <c r="IS125" s="194"/>
      <c r="IT125" s="194"/>
      <c r="IU125" s="194"/>
      <c r="IV125" s="194"/>
      <c r="IW125" s="194"/>
    </row>
    <row r="126" customFormat="false" ht="12.75" hidden="true" customHeight="false" outlineLevel="0" collapsed="false">
      <c r="A126" s="233"/>
      <c r="B126" s="161" t="s">
        <v>370</v>
      </c>
      <c r="C126" s="0"/>
      <c r="D126" s="0"/>
      <c r="E126" s="0"/>
      <c r="F126" s="0"/>
      <c r="G126" s="0"/>
      <c r="H126" s="0"/>
      <c r="I126" s="0"/>
      <c r="J126" s="4"/>
      <c r="K126" s="0"/>
      <c r="L126" s="34" t="s">
        <v>151</v>
      </c>
      <c r="M126" s="110"/>
      <c r="N126" s="110" t="n">
        <v>0</v>
      </c>
      <c r="O126" s="110"/>
      <c r="P126" s="110" t="n">
        <v>0</v>
      </c>
      <c r="Q126" s="110"/>
      <c r="R126" s="110" t="n">
        <f aca="false">+N126+P126</f>
        <v>0</v>
      </c>
      <c r="S126" s="110"/>
      <c r="T126" s="110" t="n">
        <v>0</v>
      </c>
      <c r="U126" s="110"/>
      <c r="V126" s="110" t="n">
        <v>0</v>
      </c>
      <c r="X126" s="110" t="n">
        <v>0</v>
      </c>
      <c r="Z126" s="110" t="n">
        <v>0</v>
      </c>
      <c r="AB126" s="110" t="n">
        <v>0</v>
      </c>
      <c r="AD126" s="110" t="n">
        <v>0</v>
      </c>
      <c r="AF126" s="110" t="n">
        <v>0</v>
      </c>
      <c r="AH126" s="110" t="n">
        <v>0</v>
      </c>
      <c r="AJ126" s="110" t="n">
        <v>0</v>
      </c>
      <c r="AN126" s="110" t="n">
        <v>0</v>
      </c>
      <c r="AP126" s="110" t="n">
        <v>0</v>
      </c>
      <c r="AR126" s="110" t="n">
        <v>0</v>
      </c>
      <c r="AT126" s="110" t="n">
        <v>0</v>
      </c>
      <c r="AV126" s="110" t="n">
        <v>0</v>
      </c>
      <c r="AX126" s="110" t="n">
        <v>0</v>
      </c>
      <c r="AZ126" s="110" t="n">
        <v>0</v>
      </c>
      <c r="BB126" s="110" t="n">
        <v>0</v>
      </c>
      <c r="BD126" s="110" t="n">
        <v>0</v>
      </c>
      <c r="BF126" s="110" t="n">
        <v>0</v>
      </c>
      <c r="BH126" s="110" t="n">
        <v>0</v>
      </c>
      <c r="BJ126" s="110" t="n">
        <v>0</v>
      </c>
      <c r="BL126" s="110" t="n">
        <v>0</v>
      </c>
      <c r="BM126" s="110"/>
      <c r="BN126" s="110" t="n">
        <f aca="false">SUM(T126:BM126)</f>
        <v>0</v>
      </c>
      <c r="BO126" s="110"/>
      <c r="BP126" s="110" t="n">
        <v>0</v>
      </c>
      <c r="BQ126" s="110"/>
      <c r="BR126" s="110" t="n">
        <f aca="false">+R126-BN126+BP126</f>
        <v>0</v>
      </c>
      <c r="BT126" s="110" t="n">
        <f aca="false">+BN126+BR126</f>
        <v>0</v>
      </c>
      <c r="BV126" s="110" t="n">
        <f aca="false">+R126-BT126</f>
        <v>0</v>
      </c>
      <c r="BW126" s="110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194"/>
      <c r="CN126" s="194"/>
      <c r="CO126" s="194"/>
      <c r="CP126" s="194"/>
      <c r="CQ126" s="194"/>
      <c r="CR126" s="194"/>
      <c r="CS126" s="194"/>
      <c r="CT126" s="194"/>
      <c r="CU126" s="194"/>
      <c r="CV126" s="194"/>
      <c r="CW126" s="194"/>
      <c r="CX126" s="194"/>
      <c r="CY126" s="194"/>
      <c r="CZ126" s="194"/>
      <c r="DA126" s="194"/>
      <c r="DB126" s="194"/>
      <c r="DC126" s="194"/>
      <c r="DD126" s="194"/>
      <c r="DE126" s="194"/>
      <c r="DF126" s="194"/>
      <c r="DG126" s="194"/>
      <c r="DH126" s="194"/>
      <c r="DI126" s="194"/>
      <c r="DJ126" s="194"/>
      <c r="DK126" s="194"/>
      <c r="DL126" s="194"/>
      <c r="DM126" s="194"/>
      <c r="DN126" s="194"/>
      <c r="DO126" s="194"/>
      <c r="DP126" s="194"/>
      <c r="DQ126" s="194"/>
      <c r="DR126" s="194"/>
      <c r="DS126" s="194"/>
      <c r="DT126" s="194"/>
      <c r="DU126" s="194"/>
      <c r="DV126" s="194"/>
      <c r="DW126" s="194"/>
      <c r="DX126" s="194"/>
      <c r="DY126" s="194"/>
      <c r="DZ126" s="194"/>
      <c r="EA126" s="194"/>
      <c r="EB126" s="194"/>
      <c r="EC126" s="194"/>
      <c r="ED126" s="194"/>
      <c r="EE126" s="194"/>
      <c r="EF126" s="194"/>
      <c r="EG126" s="194"/>
      <c r="EH126" s="194"/>
      <c r="EI126" s="194"/>
      <c r="EJ126" s="194"/>
      <c r="EK126" s="194"/>
      <c r="EL126" s="194"/>
      <c r="EM126" s="194"/>
      <c r="EN126" s="194"/>
      <c r="EO126" s="194"/>
      <c r="EP126" s="194"/>
      <c r="EQ126" s="194"/>
      <c r="ER126" s="194"/>
      <c r="ES126" s="194"/>
      <c r="ET126" s="194"/>
      <c r="EU126" s="194"/>
      <c r="EV126" s="194"/>
      <c r="EW126" s="194"/>
      <c r="EX126" s="194"/>
      <c r="EY126" s="194"/>
      <c r="EZ126" s="194"/>
      <c r="FA126" s="194"/>
      <c r="FB126" s="194"/>
      <c r="FC126" s="194"/>
      <c r="FD126" s="194"/>
      <c r="FE126" s="194"/>
      <c r="FF126" s="194"/>
      <c r="FG126" s="194"/>
      <c r="FH126" s="194"/>
      <c r="FI126" s="194"/>
      <c r="FJ126" s="194"/>
      <c r="FK126" s="194"/>
      <c r="FL126" s="194"/>
      <c r="FM126" s="194"/>
      <c r="FN126" s="194"/>
      <c r="FO126" s="194"/>
      <c r="FP126" s="194"/>
      <c r="FQ126" s="194"/>
      <c r="FR126" s="194"/>
      <c r="FS126" s="194"/>
      <c r="FT126" s="194"/>
      <c r="FU126" s="194"/>
      <c r="FV126" s="194"/>
      <c r="FW126" s="194"/>
      <c r="FX126" s="194"/>
      <c r="FY126" s="194"/>
      <c r="FZ126" s="194"/>
      <c r="GA126" s="194"/>
      <c r="GB126" s="194"/>
      <c r="GC126" s="194"/>
      <c r="GD126" s="194"/>
      <c r="GE126" s="194"/>
      <c r="GF126" s="194"/>
      <c r="GG126" s="194"/>
      <c r="GH126" s="194"/>
      <c r="GI126" s="194"/>
      <c r="GJ126" s="194"/>
      <c r="GK126" s="194"/>
      <c r="GL126" s="194"/>
      <c r="GM126" s="194"/>
      <c r="GN126" s="194"/>
      <c r="GO126" s="194"/>
      <c r="GP126" s="194"/>
      <c r="GQ126" s="194"/>
      <c r="GR126" s="194"/>
      <c r="GS126" s="194"/>
      <c r="GT126" s="194"/>
      <c r="GU126" s="194"/>
      <c r="GV126" s="194"/>
      <c r="GW126" s="194"/>
      <c r="GX126" s="194"/>
      <c r="GY126" s="194"/>
      <c r="GZ126" s="194"/>
      <c r="HA126" s="194"/>
      <c r="HB126" s="194"/>
      <c r="HC126" s="194"/>
      <c r="HD126" s="194"/>
      <c r="HE126" s="194"/>
      <c r="HF126" s="194"/>
      <c r="HG126" s="194"/>
      <c r="HH126" s="194"/>
      <c r="HI126" s="194"/>
      <c r="HJ126" s="194"/>
      <c r="HK126" s="194"/>
      <c r="HL126" s="194"/>
      <c r="HM126" s="194"/>
      <c r="HN126" s="194"/>
      <c r="HO126" s="194"/>
      <c r="HP126" s="194"/>
      <c r="HQ126" s="194"/>
      <c r="HR126" s="194"/>
      <c r="HS126" s="194"/>
      <c r="HT126" s="194"/>
      <c r="HU126" s="194"/>
      <c r="HV126" s="194"/>
      <c r="HW126" s="194"/>
      <c r="HX126" s="194"/>
      <c r="HY126" s="194"/>
      <c r="HZ126" s="194"/>
      <c r="IA126" s="194"/>
      <c r="IB126" s="194"/>
      <c r="IC126" s="194"/>
      <c r="ID126" s="194"/>
      <c r="IE126" s="194"/>
      <c r="IF126" s="194"/>
      <c r="IG126" s="194"/>
      <c r="IH126" s="194"/>
      <c r="II126" s="194"/>
      <c r="IJ126" s="194"/>
      <c r="IK126" s="194"/>
      <c r="IL126" s="194"/>
      <c r="IM126" s="194"/>
      <c r="IN126" s="194"/>
      <c r="IO126" s="194"/>
      <c r="IP126" s="194"/>
      <c r="IQ126" s="194"/>
      <c r="IR126" s="194"/>
      <c r="IS126" s="194"/>
      <c r="IT126" s="194"/>
      <c r="IU126" s="194"/>
      <c r="IV126" s="194"/>
      <c r="IW126" s="194"/>
    </row>
    <row r="127" customFormat="false" ht="12.75" hidden="true" customHeight="false" outlineLevel="0" collapsed="false">
      <c r="A127" s="233"/>
      <c r="B127" s="161" t="s">
        <v>371</v>
      </c>
      <c r="C127" s="0"/>
      <c r="D127" s="0"/>
      <c r="E127" s="0"/>
      <c r="F127" s="0"/>
      <c r="G127" s="0"/>
      <c r="H127" s="0"/>
      <c r="I127" s="0"/>
      <c r="J127" s="4"/>
      <c r="K127" s="0"/>
      <c r="L127" s="34" t="s">
        <v>151</v>
      </c>
      <c r="M127" s="110"/>
      <c r="N127" s="110" t="n">
        <v>0</v>
      </c>
      <c r="O127" s="110"/>
      <c r="P127" s="110" t="n">
        <v>0</v>
      </c>
      <c r="Q127" s="110"/>
      <c r="R127" s="110" t="n">
        <f aca="false">+N127+P127</f>
        <v>0</v>
      </c>
      <c r="S127" s="110"/>
      <c r="T127" s="110" t="n">
        <v>0</v>
      </c>
      <c r="U127" s="110"/>
      <c r="V127" s="110" t="n">
        <v>0</v>
      </c>
      <c r="X127" s="110" t="n">
        <v>0</v>
      </c>
      <c r="Z127" s="110" t="n">
        <v>0</v>
      </c>
      <c r="AB127" s="110" t="n">
        <v>0</v>
      </c>
      <c r="AD127" s="110" t="n">
        <v>0</v>
      </c>
      <c r="AF127" s="110" t="n">
        <v>0</v>
      </c>
      <c r="AH127" s="110" t="n">
        <v>0</v>
      </c>
      <c r="AJ127" s="110" t="n">
        <v>0</v>
      </c>
      <c r="AN127" s="110" t="n">
        <v>0</v>
      </c>
      <c r="AP127" s="110" t="n">
        <v>0</v>
      </c>
      <c r="AR127" s="110" t="n">
        <v>0</v>
      </c>
      <c r="AT127" s="110" t="n">
        <v>0</v>
      </c>
      <c r="AV127" s="110" t="n">
        <v>0</v>
      </c>
      <c r="AX127" s="110" t="n">
        <v>0</v>
      </c>
      <c r="AZ127" s="110" t="n">
        <v>0</v>
      </c>
      <c r="BB127" s="110" t="n">
        <v>0</v>
      </c>
      <c r="BD127" s="110" t="n">
        <v>0</v>
      </c>
      <c r="BF127" s="110" t="n">
        <v>0</v>
      </c>
      <c r="BH127" s="110" t="n">
        <v>0</v>
      </c>
      <c r="BJ127" s="110" t="n">
        <v>0</v>
      </c>
      <c r="BL127" s="110" t="n">
        <v>0</v>
      </c>
      <c r="BM127" s="110"/>
      <c r="BN127" s="110" t="n">
        <f aca="false">SUM(T127:BM127)</f>
        <v>0</v>
      </c>
      <c r="BO127" s="110"/>
      <c r="BP127" s="110" t="n">
        <v>0</v>
      </c>
      <c r="BQ127" s="110"/>
      <c r="BR127" s="110" t="n">
        <f aca="false">+R127-BN127+BP127</f>
        <v>0</v>
      </c>
      <c r="BT127" s="110" t="n">
        <f aca="false">+BN127+BR127</f>
        <v>0</v>
      </c>
      <c r="BV127" s="110" t="n">
        <f aca="false">+R127-BT127</f>
        <v>0</v>
      </c>
      <c r="BW127" s="110"/>
      <c r="BX127" s="194"/>
      <c r="BY127" s="194"/>
      <c r="BZ127" s="194"/>
      <c r="CA127" s="194"/>
      <c r="CB127" s="194"/>
      <c r="CC127" s="194"/>
      <c r="CD127" s="194"/>
      <c r="CE127" s="194"/>
      <c r="CF127" s="194"/>
      <c r="CG127" s="194"/>
      <c r="CH127" s="194"/>
      <c r="CI127" s="194"/>
      <c r="CJ127" s="194"/>
      <c r="CK127" s="194"/>
      <c r="CL127" s="194"/>
      <c r="CM127" s="194"/>
      <c r="CN127" s="194"/>
      <c r="CO127" s="194"/>
      <c r="CP127" s="194"/>
      <c r="CQ127" s="194"/>
      <c r="CR127" s="194"/>
      <c r="CS127" s="194"/>
      <c r="CT127" s="194"/>
      <c r="CU127" s="194"/>
      <c r="CV127" s="194"/>
      <c r="CW127" s="194"/>
      <c r="CX127" s="194"/>
      <c r="CY127" s="194"/>
      <c r="CZ127" s="194"/>
      <c r="DA127" s="194"/>
      <c r="DB127" s="194"/>
      <c r="DC127" s="194"/>
      <c r="DD127" s="194"/>
      <c r="DE127" s="194"/>
      <c r="DF127" s="194"/>
      <c r="DG127" s="194"/>
      <c r="DH127" s="194"/>
      <c r="DI127" s="194"/>
      <c r="DJ127" s="194"/>
      <c r="DK127" s="194"/>
      <c r="DL127" s="194"/>
      <c r="DM127" s="194"/>
      <c r="DN127" s="194"/>
      <c r="DO127" s="194"/>
      <c r="DP127" s="194"/>
      <c r="DQ127" s="194"/>
      <c r="DR127" s="194"/>
      <c r="DS127" s="194"/>
      <c r="DT127" s="194"/>
      <c r="DU127" s="194"/>
      <c r="DV127" s="194"/>
      <c r="DW127" s="194"/>
      <c r="DX127" s="194"/>
      <c r="DY127" s="194"/>
      <c r="DZ127" s="194"/>
      <c r="EA127" s="194"/>
      <c r="EB127" s="194"/>
      <c r="EC127" s="194"/>
      <c r="ED127" s="194"/>
      <c r="EE127" s="194"/>
      <c r="EF127" s="194"/>
      <c r="EG127" s="194"/>
      <c r="EH127" s="194"/>
      <c r="EI127" s="194"/>
      <c r="EJ127" s="194"/>
      <c r="EK127" s="194"/>
      <c r="EL127" s="194"/>
      <c r="EM127" s="194"/>
      <c r="EN127" s="194"/>
      <c r="EO127" s="194"/>
      <c r="EP127" s="194"/>
      <c r="EQ127" s="194"/>
      <c r="ER127" s="194"/>
      <c r="ES127" s="194"/>
      <c r="ET127" s="194"/>
      <c r="EU127" s="194"/>
      <c r="EV127" s="194"/>
      <c r="EW127" s="194"/>
      <c r="EX127" s="194"/>
      <c r="EY127" s="194"/>
      <c r="EZ127" s="194"/>
      <c r="FA127" s="194"/>
      <c r="FB127" s="194"/>
      <c r="FC127" s="194"/>
      <c r="FD127" s="194"/>
      <c r="FE127" s="194"/>
      <c r="FF127" s="194"/>
      <c r="FG127" s="194"/>
      <c r="FH127" s="194"/>
      <c r="FI127" s="194"/>
      <c r="FJ127" s="194"/>
      <c r="FK127" s="194"/>
      <c r="FL127" s="194"/>
      <c r="FM127" s="194"/>
      <c r="FN127" s="194"/>
      <c r="FO127" s="194"/>
      <c r="FP127" s="194"/>
      <c r="FQ127" s="194"/>
      <c r="FR127" s="194"/>
      <c r="FS127" s="194"/>
      <c r="FT127" s="194"/>
      <c r="FU127" s="194"/>
      <c r="FV127" s="194"/>
      <c r="FW127" s="194"/>
      <c r="FX127" s="194"/>
      <c r="FY127" s="194"/>
      <c r="FZ127" s="194"/>
      <c r="GA127" s="194"/>
      <c r="GB127" s="194"/>
      <c r="GC127" s="194"/>
      <c r="GD127" s="194"/>
      <c r="GE127" s="194"/>
      <c r="GF127" s="194"/>
      <c r="GG127" s="194"/>
      <c r="GH127" s="194"/>
      <c r="GI127" s="194"/>
      <c r="GJ127" s="194"/>
      <c r="GK127" s="194"/>
      <c r="GL127" s="194"/>
      <c r="GM127" s="194"/>
      <c r="GN127" s="194"/>
      <c r="GO127" s="194"/>
      <c r="GP127" s="194"/>
      <c r="GQ127" s="194"/>
      <c r="GR127" s="194"/>
      <c r="GS127" s="194"/>
      <c r="GT127" s="194"/>
      <c r="GU127" s="194"/>
      <c r="GV127" s="194"/>
      <c r="GW127" s="194"/>
      <c r="GX127" s="194"/>
      <c r="GY127" s="194"/>
      <c r="GZ127" s="194"/>
      <c r="HA127" s="194"/>
      <c r="HB127" s="194"/>
      <c r="HC127" s="194"/>
      <c r="HD127" s="194"/>
      <c r="HE127" s="194"/>
      <c r="HF127" s="194"/>
      <c r="HG127" s="194"/>
      <c r="HH127" s="194"/>
      <c r="HI127" s="194"/>
      <c r="HJ127" s="194"/>
      <c r="HK127" s="194"/>
      <c r="HL127" s="194"/>
      <c r="HM127" s="194"/>
      <c r="HN127" s="194"/>
      <c r="HO127" s="194"/>
      <c r="HP127" s="194"/>
      <c r="HQ127" s="194"/>
      <c r="HR127" s="194"/>
      <c r="HS127" s="194"/>
      <c r="HT127" s="194"/>
      <c r="HU127" s="194"/>
      <c r="HV127" s="194"/>
      <c r="HW127" s="194"/>
      <c r="HX127" s="194"/>
      <c r="HY127" s="194"/>
      <c r="HZ127" s="194"/>
      <c r="IA127" s="194"/>
      <c r="IB127" s="194"/>
      <c r="IC127" s="194"/>
      <c r="ID127" s="194"/>
      <c r="IE127" s="194"/>
      <c r="IF127" s="194"/>
      <c r="IG127" s="194"/>
      <c r="IH127" s="194"/>
      <c r="II127" s="194"/>
      <c r="IJ127" s="194"/>
      <c r="IK127" s="194"/>
      <c r="IL127" s="194"/>
      <c r="IM127" s="194"/>
      <c r="IN127" s="194"/>
      <c r="IO127" s="194"/>
      <c r="IP127" s="194"/>
      <c r="IQ127" s="194"/>
      <c r="IR127" s="194"/>
      <c r="IS127" s="194"/>
      <c r="IT127" s="194"/>
      <c r="IU127" s="194"/>
      <c r="IV127" s="194"/>
      <c r="IW127" s="194"/>
    </row>
    <row r="128" customFormat="false" ht="12.75" hidden="true" customHeight="false" outlineLevel="0" collapsed="false">
      <c r="A128" s="177"/>
      <c r="B128" s="161" t="s">
        <v>372</v>
      </c>
      <c r="C128" s="18"/>
      <c r="D128" s="18"/>
      <c r="E128" s="18"/>
      <c r="F128" s="18"/>
      <c r="G128" s="18"/>
      <c r="H128" s="18"/>
      <c r="I128" s="18"/>
      <c r="J128" s="229"/>
      <c r="K128" s="18"/>
      <c r="L128" s="34" t="s">
        <v>151</v>
      </c>
      <c r="M128" s="110"/>
      <c r="N128" s="110" t="n">
        <v>0</v>
      </c>
      <c r="O128" s="110"/>
      <c r="P128" s="110" t="n">
        <v>0</v>
      </c>
      <c r="Q128" s="110"/>
      <c r="R128" s="110" t="n">
        <f aca="false">+N128+P128</f>
        <v>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0</v>
      </c>
      <c r="AB128" s="110" t="n">
        <v>0</v>
      </c>
      <c r="AD128" s="110" t="n">
        <v>0</v>
      </c>
      <c r="AF128" s="110" t="n">
        <v>0</v>
      </c>
      <c r="AH128" s="110" t="n">
        <v>0</v>
      </c>
      <c r="AJ128" s="110" t="n">
        <v>0</v>
      </c>
      <c r="AN128" s="110" t="n">
        <v>0</v>
      </c>
      <c r="AP128" s="110" t="n">
        <v>0</v>
      </c>
      <c r="AR128" s="110" t="n">
        <v>0</v>
      </c>
      <c r="AT128" s="110" t="n">
        <v>0</v>
      </c>
      <c r="AV128" s="110" t="n">
        <v>0</v>
      </c>
      <c r="AX128" s="110" t="n">
        <v>0</v>
      </c>
      <c r="AZ128" s="110" t="n">
        <v>0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0</v>
      </c>
      <c r="BL128" s="110" t="n">
        <v>0</v>
      </c>
      <c r="BM128" s="110"/>
      <c r="BN128" s="110" t="n">
        <f aca="false">SUM(T128:BM128)</f>
        <v>0</v>
      </c>
      <c r="BO128" s="110"/>
      <c r="BP128" s="110" t="n">
        <v>0</v>
      </c>
      <c r="BQ128" s="110"/>
      <c r="BR128" s="110" t="n">
        <f aca="false">+R128-BN128+BP128</f>
        <v>0</v>
      </c>
      <c r="BT128" s="110" t="n">
        <f aca="false">+BN128+BR128</f>
        <v>0</v>
      </c>
      <c r="BV128" s="110" t="n">
        <f aca="false">+R128-BT128</f>
        <v>0</v>
      </c>
      <c r="BW128" s="110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  <c r="DJ128" s="196"/>
      <c r="DK128" s="196"/>
      <c r="DL128" s="196"/>
      <c r="DM128" s="196"/>
      <c r="DN128" s="196"/>
      <c r="DO128" s="196"/>
      <c r="DP128" s="196"/>
      <c r="DQ128" s="196"/>
      <c r="DR128" s="196"/>
      <c r="DS128" s="196"/>
      <c r="DT128" s="196"/>
      <c r="DU128" s="196"/>
      <c r="DV128" s="196"/>
      <c r="DW128" s="196"/>
      <c r="DX128" s="196"/>
      <c r="DY128" s="196"/>
      <c r="DZ128" s="196"/>
      <c r="EA128" s="196"/>
      <c r="EB128" s="196"/>
      <c r="EC128" s="196"/>
      <c r="ED128" s="196"/>
      <c r="EE128" s="196"/>
      <c r="EF128" s="196"/>
      <c r="EG128" s="196"/>
      <c r="EH128" s="196"/>
      <c r="EI128" s="196"/>
      <c r="EJ128" s="196"/>
      <c r="EK128" s="196"/>
      <c r="EL128" s="196"/>
      <c r="EM128" s="196"/>
      <c r="EN128" s="196"/>
      <c r="EO128" s="196"/>
      <c r="EP128" s="196"/>
      <c r="EQ128" s="196"/>
      <c r="ER128" s="196"/>
      <c r="ES128" s="196"/>
      <c r="ET128" s="196"/>
      <c r="EU128" s="196"/>
      <c r="EV128" s="196"/>
      <c r="EW128" s="196"/>
      <c r="EX128" s="196"/>
      <c r="EY128" s="196"/>
      <c r="EZ128" s="196"/>
      <c r="FA128" s="196"/>
      <c r="FB128" s="196"/>
      <c r="FC128" s="196"/>
      <c r="FD128" s="196"/>
      <c r="FE128" s="196"/>
      <c r="FF128" s="196"/>
      <c r="FG128" s="196"/>
      <c r="FH128" s="196"/>
      <c r="FI128" s="196"/>
      <c r="FJ128" s="196"/>
      <c r="FK128" s="196"/>
      <c r="FL128" s="196"/>
      <c r="FM128" s="196"/>
      <c r="FN128" s="196"/>
      <c r="FO128" s="196"/>
      <c r="FP128" s="196"/>
      <c r="FQ128" s="196"/>
      <c r="FR128" s="196"/>
      <c r="FS128" s="196"/>
      <c r="FT128" s="196"/>
      <c r="FU128" s="196"/>
      <c r="FV128" s="196"/>
      <c r="FW128" s="196"/>
      <c r="FX128" s="196"/>
      <c r="FY128" s="196"/>
      <c r="FZ128" s="196"/>
      <c r="GA128" s="196"/>
      <c r="GB128" s="196"/>
      <c r="GC128" s="196"/>
      <c r="GD128" s="196"/>
      <c r="GE128" s="196"/>
      <c r="GF128" s="196"/>
      <c r="GG128" s="196"/>
      <c r="GH128" s="196"/>
      <c r="GI128" s="196"/>
      <c r="GJ128" s="196"/>
      <c r="GK128" s="196"/>
      <c r="GL128" s="196"/>
      <c r="GM128" s="196"/>
      <c r="GN128" s="196"/>
      <c r="GO128" s="196"/>
      <c r="GP128" s="196"/>
      <c r="GQ128" s="196"/>
      <c r="GR128" s="196"/>
      <c r="GS128" s="196"/>
      <c r="GT128" s="196"/>
      <c r="GU128" s="196"/>
      <c r="GV128" s="196"/>
      <c r="GW128" s="196"/>
      <c r="GX128" s="196"/>
      <c r="GY128" s="196"/>
      <c r="GZ128" s="196"/>
      <c r="HA128" s="196"/>
      <c r="HB128" s="196"/>
      <c r="HC128" s="196"/>
      <c r="HD128" s="196"/>
      <c r="HE128" s="196"/>
      <c r="HF128" s="196"/>
      <c r="HG128" s="196"/>
      <c r="HH128" s="196"/>
      <c r="HI128" s="196"/>
      <c r="HJ128" s="196"/>
      <c r="HK128" s="196"/>
      <c r="HL128" s="196"/>
      <c r="HM128" s="196"/>
      <c r="HN128" s="196"/>
      <c r="HO128" s="196"/>
      <c r="HP128" s="196"/>
      <c r="HQ128" s="196"/>
      <c r="HR128" s="196"/>
      <c r="HS128" s="196"/>
      <c r="HT128" s="196"/>
      <c r="HU128" s="196"/>
      <c r="HV128" s="196"/>
      <c r="HW128" s="196"/>
      <c r="HX128" s="196"/>
      <c r="HY128" s="196"/>
      <c r="HZ128" s="196"/>
      <c r="IA128" s="196"/>
      <c r="IB128" s="196"/>
      <c r="IC128" s="196"/>
      <c r="ID128" s="196"/>
      <c r="IE128" s="196"/>
      <c r="IF128" s="196"/>
      <c r="IG128" s="196"/>
      <c r="IH128" s="196"/>
      <c r="II128" s="196"/>
      <c r="IJ128" s="196"/>
      <c r="IK128" s="196"/>
      <c r="IL128" s="196"/>
      <c r="IM128" s="196"/>
      <c r="IN128" s="196"/>
      <c r="IO128" s="196"/>
      <c r="IP128" s="196"/>
      <c r="IQ128" s="196"/>
      <c r="IR128" s="196"/>
      <c r="IS128" s="196"/>
      <c r="IT128" s="196"/>
      <c r="IU128" s="196"/>
      <c r="IV128" s="196"/>
      <c r="IW128" s="196"/>
    </row>
    <row r="129" customFormat="false" ht="12.75" hidden="true" customHeight="false" outlineLevel="0" collapsed="false">
      <c r="A129" s="177"/>
      <c r="B129" s="161" t="s">
        <v>128</v>
      </c>
      <c r="C129" s="18"/>
      <c r="D129" s="18"/>
      <c r="E129" s="18"/>
      <c r="F129" s="18"/>
      <c r="G129" s="18"/>
      <c r="H129" s="18"/>
      <c r="I129" s="18"/>
      <c r="J129" s="229"/>
      <c r="K129" s="18"/>
      <c r="L129" s="34" t="s">
        <v>151</v>
      </c>
      <c r="M129" s="110"/>
      <c r="N129" s="110" t="n">
        <v>0</v>
      </c>
      <c r="O129" s="110"/>
      <c r="P129" s="110" t="n">
        <v>0</v>
      </c>
      <c r="Q129" s="110"/>
      <c r="R129" s="110" t="n">
        <f aca="false">+N129+P129</f>
        <v>0</v>
      </c>
      <c r="S129" s="110"/>
      <c r="T129" s="110" t="n">
        <v>0</v>
      </c>
      <c r="U129" s="110"/>
      <c r="V129" s="110" t="n">
        <v>0</v>
      </c>
      <c r="X129" s="110" t="n">
        <v>0</v>
      </c>
      <c r="Z129" s="110" t="n">
        <v>0</v>
      </c>
      <c r="AB129" s="110" t="n">
        <v>0</v>
      </c>
      <c r="AD129" s="110" t="n">
        <v>0</v>
      </c>
      <c r="AF129" s="110" t="n">
        <v>0</v>
      </c>
      <c r="AH129" s="110" t="n">
        <v>0</v>
      </c>
      <c r="AJ129" s="110" t="n">
        <v>0</v>
      </c>
      <c r="AN129" s="110" t="n">
        <v>0</v>
      </c>
      <c r="AP129" s="110" t="n">
        <v>0</v>
      </c>
      <c r="AR129" s="110" t="n">
        <v>0</v>
      </c>
      <c r="AT129" s="110" t="n">
        <v>0</v>
      </c>
      <c r="AV129" s="110" t="n">
        <v>0</v>
      </c>
      <c r="AX129" s="110" t="n">
        <v>0</v>
      </c>
      <c r="AZ129" s="110" t="n">
        <v>0</v>
      </c>
      <c r="BB129" s="110" t="n">
        <v>0</v>
      </c>
      <c r="BD129" s="110" t="n">
        <v>0</v>
      </c>
      <c r="BF129" s="110" t="n">
        <v>0</v>
      </c>
      <c r="BH129" s="110" t="n">
        <v>0</v>
      </c>
      <c r="BJ129" s="110" t="n">
        <v>0</v>
      </c>
      <c r="BL129" s="110" t="n">
        <v>0</v>
      </c>
      <c r="BM129" s="110"/>
      <c r="BN129" s="110" t="n">
        <f aca="false">SUM(T129:BM129)</f>
        <v>0</v>
      </c>
      <c r="BO129" s="110"/>
      <c r="BP129" s="110" t="n">
        <v>0</v>
      </c>
      <c r="BQ129" s="110"/>
      <c r="BR129" s="110" t="n">
        <f aca="false">+R129-BN129+BP129</f>
        <v>0</v>
      </c>
      <c r="BT129" s="110" t="n">
        <f aca="false">+BN129+BR129</f>
        <v>0</v>
      </c>
      <c r="BV129" s="110" t="n">
        <f aca="false">+R129-BT129</f>
        <v>0</v>
      </c>
      <c r="BW129" s="110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  <c r="DJ129" s="196"/>
      <c r="DK129" s="196"/>
      <c r="DL129" s="196"/>
      <c r="DM129" s="196"/>
      <c r="DN129" s="196"/>
      <c r="DO129" s="196"/>
      <c r="DP129" s="196"/>
      <c r="DQ129" s="196"/>
      <c r="DR129" s="196"/>
      <c r="DS129" s="196"/>
      <c r="DT129" s="196"/>
      <c r="DU129" s="196"/>
      <c r="DV129" s="196"/>
      <c r="DW129" s="196"/>
      <c r="DX129" s="196"/>
      <c r="DY129" s="196"/>
      <c r="DZ129" s="196"/>
      <c r="EA129" s="196"/>
      <c r="EB129" s="196"/>
      <c r="EC129" s="196"/>
      <c r="ED129" s="196"/>
      <c r="EE129" s="196"/>
      <c r="EF129" s="196"/>
      <c r="EG129" s="196"/>
      <c r="EH129" s="196"/>
      <c r="EI129" s="196"/>
      <c r="EJ129" s="196"/>
      <c r="EK129" s="196"/>
      <c r="EL129" s="196"/>
      <c r="EM129" s="196"/>
      <c r="EN129" s="196"/>
      <c r="EO129" s="196"/>
      <c r="EP129" s="196"/>
      <c r="EQ129" s="196"/>
      <c r="ER129" s="196"/>
      <c r="ES129" s="196"/>
      <c r="ET129" s="196"/>
      <c r="EU129" s="196"/>
      <c r="EV129" s="196"/>
      <c r="EW129" s="196"/>
      <c r="EX129" s="196"/>
      <c r="EY129" s="196"/>
      <c r="EZ129" s="196"/>
      <c r="FA129" s="196"/>
      <c r="FB129" s="196"/>
      <c r="FC129" s="196"/>
      <c r="FD129" s="196"/>
      <c r="FE129" s="196"/>
      <c r="FF129" s="196"/>
      <c r="FG129" s="196"/>
      <c r="FH129" s="196"/>
      <c r="FI129" s="196"/>
      <c r="FJ129" s="196"/>
      <c r="FK129" s="196"/>
      <c r="FL129" s="196"/>
      <c r="FM129" s="196"/>
      <c r="FN129" s="196"/>
      <c r="FO129" s="196"/>
      <c r="FP129" s="196"/>
      <c r="FQ129" s="196"/>
      <c r="FR129" s="196"/>
      <c r="FS129" s="196"/>
      <c r="FT129" s="196"/>
      <c r="FU129" s="196"/>
      <c r="FV129" s="196"/>
      <c r="FW129" s="196"/>
      <c r="FX129" s="196"/>
      <c r="FY129" s="196"/>
      <c r="FZ129" s="196"/>
      <c r="GA129" s="196"/>
      <c r="GB129" s="196"/>
      <c r="GC129" s="196"/>
      <c r="GD129" s="196"/>
      <c r="GE129" s="196"/>
      <c r="GF129" s="196"/>
      <c r="GG129" s="196"/>
      <c r="GH129" s="196"/>
      <c r="GI129" s="196"/>
      <c r="GJ129" s="196"/>
      <c r="GK129" s="196"/>
      <c r="GL129" s="196"/>
      <c r="GM129" s="196"/>
      <c r="GN129" s="196"/>
      <c r="GO129" s="196"/>
      <c r="GP129" s="196"/>
      <c r="GQ129" s="196"/>
      <c r="GR129" s="196"/>
      <c r="GS129" s="196"/>
      <c r="GT129" s="196"/>
      <c r="GU129" s="196"/>
      <c r="GV129" s="196"/>
      <c r="GW129" s="196"/>
      <c r="GX129" s="196"/>
      <c r="GY129" s="196"/>
      <c r="GZ129" s="196"/>
      <c r="HA129" s="196"/>
      <c r="HB129" s="196"/>
      <c r="HC129" s="196"/>
      <c r="HD129" s="196"/>
      <c r="HE129" s="196"/>
      <c r="HF129" s="196"/>
      <c r="HG129" s="196"/>
      <c r="HH129" s="196"/>
      <c r="HI129" s="196"/>
      <c r="HJ129" s="196"/>
      <c r="HK129" s="196"/>
      <c r="HL129" s="196"/>
      <c r="HM129" s="196"/>
      <c r="HN129" s="196"/>
      <c r="HO129" s="196"/>
      <c r="HP129" s="196"/>
      <c r="HQ129" s="196"/>
      <c r="HR129" s="196"/>
      <c r="HS129" s="196"/>
      <c r="HT129" s="196"/>
      <c r="HU129" s="196"/>
      <c r="HV129" s="196"/>
      <c r="HW129" s="196"/>
      <c r="HX129" s="196"/>
      <c r="HY129" s="196"/>
      <c r="HZ129" s="196"/>
      <c r="IA129" s="196"/>
      <c r="IB129" s="196"/>
      <c r="IC129" s="196"/>
      <c r="ID129" s="196"/>
      <c r="IE129" s="196"/>
      <c r="IF129" s="196"/>
      <c r="IG129" s="196"/>
      <c r="IH129" s="196"/>
      <c r="II129" s="196"/>
      <c r="IJ129" s="196"/>
      <c r="IK129" s="196"/>
      <c r="IL129" s="196"/>
      <c r="IM129" s="196"/>
      <c r="IN129" s="196"/>
      <c r="IO129" s="196"/>
      <c r="IP129" s="196"/>
      <c r="IQ129" s="196"/>
      <c r="IR129" s="196"/>
      <c r="IS129" s="196"/>
      <c r="IT129" s="196"/>
      <c r="IU129" s="196"/>
      <c r="IV129" s="196"/>
      <c r="IW129" s="196"/>
    </row>
    <row r="130" customFormat="false" ht="12.75" hidden="true" customHeight="false" outlineLevel="0" collapsed="false">
      <c r="A130" s="177"/>
      <c r="B130" s="161"/>
      <c r="C130" s="18"/>
      <c r="D130" s="18"/>
      <c r="E130" s="18"/>
      <c r="F130" s="18"/>
      <c r="G130" s="18"/>
      <c r="H130" s="18"/>
      <c r="I130" s="18"/>
      <c r="J130" s="229"/>
      <c r="K130" s="18"/>
      <c r="L130" s="230"/>
      <c r="M130" s="110"/>
      <c r="O130" s="110"/>
      <c r="Q130" s="110"/>
      <c r="S130" s="110"/>
      <c r="T130" s="110"/>
      <c r="U130" s="110"/>
      <c r="V130" s="110"/>
      <c r="X130" s="110"/>
      <c r="Z130" s="110"/>
      <c r="AB130" s="110"/>
      <c r="AD130" s="110"/>
      <c r="BL130" s="110"/>
      <c r="BM130" s="110"/>
      <c r="BO130" s="110"/>
      <c r="BP130" s="110"/>
      <c r="BQ130" s="110"/>
      <c r="BW130" s="110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  <c r="DJ130" s="196"/>
      <c r="DK130" s="196"/>
      <c r="DL130" s="196"/>
      <c r="DM130" s="196"/>
      <c r="DN130" s="196"/>
      <c r="DO130" s="196"/>
      <c r="DP130" s="196"/>
      <c r="DQ130" s="196"/>
      <c r="DR130" s="196"/>
      <c r="DS130" s="196"/>
      <c r="DT130" s="196"/>
      <c r="DU130" s="196"/>
      <c r="DV130" s="196"/>
      <c r="DW130" s="196"/>
      <c r="DX130" s="196"/>
      <c r="DY130" s="196"/>
      <c r="DZ130" s="196"/>
      <c r="EA130" s="196"/>
      <c r="EB130" s="196"/>
      <c r="EC130" s="196"/>
      <c r="ED130" s="196"/>
      <c r="EE130" s="196"/>
      <c r="EF130" s="196"/>
      <c r="EG130" s="196"/>
      <c r="EH130" s="196"/>
      <c r="EI130" s="196"/>
      <c r="EJ130" s="196"/>
      <c r="EK130" s="196"/>
      <c r="EL130" s="196"/>
      <c r="EM130" s="196"/>
      <c r="EN130" s="196"/>
      <c r="EO130" s="196"/>
      <c r="EP130" s="196"/>
      <c r="EQ130" s="196"/>
      <c r="ER130" s="196"/>
      <c r="ES130" s="196"/>
      <c r="ET130" s="196"/>
      <c r="EU130" s="196"/>
      <c r="EV130" s="196"/>
      <c r="EW130" s="196"/>
      <c r="EX130" s="196"/>
      <c r="EY130" s="196"/>
      <c r="EZ130" s="196"/>
      <c r="FA130" s="196"/>
      <c r="FB130" s="196"/>
      <c r="FC130" s="196"/>
      <c r="FD130" s="196"/>
      <c r="FE130" s="196"/>
      <c r="FF130" s="196"/>
      <c r="FG130" s="196"/>
      <c r="FH130" s="196"/>
      <c r="FI130" s="196"/>
      <c r="FJ130" s="196"/>
      <c r="FK130" s="196"/>
      <c r="FL130" s="196"/>
      <c r="FM130" s="196"/>
      <c r="FN130" s="196"/>
      <c r="FO130" s="196"/>
      <c r="FP130" s="196"/>
      <c r="FQ130" s="196"/>
      <c r="FR130" s="196"/>
      <c r="FS130" s="196"/>
      <c r="FT130" s="196"/>
      <c r="FU130" s="196"/>
      <c r="FV130" s="196"/>
      <c r="FW130" s="196"/>
      <c r="FX130" s="196"/>
      <c r="FY130" s="196"/>
      <c r="FZ130" s="196"/>
      <c r="GA130" s="196"/>
      <c r="GB130" s="196"/>
      <c r="GC130" s="196"/>
      <c r="GD130" s="196"/>
      <c r="GE130" s="196"/>
      <c r="GF130" s="196"/>
      <c r="GG130" s="196"/>
      <c r="GH130" s="196"/>
      <c r="GI130" s="196"/>
      <c r="GJ130" s="196"/>
      <c r="GK130" s="196"/>
      <c r="GL130" s="196"/>
      <c r="GM130" s="196"/>
      <c r="GN130" s="196"/>
      <c r="GO130" s="196"/>
      <c r="GP130" s="196"/>
      <c r="GQ130" s="196"/>
      <c r="GR130" s="196"/>
      <c r="GS130" s="196"/>
      <c r="GT130" s="196"/>
      <c r="GU130" s="196"/>
      <c r="GV130" s="196"/>
      <c r="GW130" s="196"/>
      <c r="GX130" s="196"/>
      <c r="GY130" s="196"/>
      <c r="GZ130" s="196"/>
      <c r="HA130" s="196"/>
      <c r="HB130" s="196"/>
      <c r="HC130" s="196"/>
      <c r="HD130" s="196"/>
      <c r="HE130" s="196"/>
      <c r="HF130" s="196"/>
      <c r="HG130" s="196"/>
      <c r="HH130" s="196"/>
      <c r="HI130" s="196"/>
      <c r="HJ130" s="196"/>
      <c r="HK130" s="196"/>
      <c r="HL130" s="196"/>
      <c r="HM130" s="196"/>
      <c r="HN130" s="196"/>
      <c r="HO130" s="196"/>
      <c r="HP130" s="196"/>
      <c r="HQ130" s="196"/>
      <c r="HR130" s="196"/>
      <c r="HS130" s="196"/>
      <c r="HT130" s="196"/>
      <c r="HU130" s="196"/>
      <c r="HV130" s="196"/>
      <c r="HW130" s="196"/>
      <c r="HX130" s="196"/>
      <c r="HY130" s="196"/>
      <c r="HZ130" s="196"/>
      <c r="IA130" s="196"/>
      <c r="IB130" s="196"/>
      <c r="IC130" s="196"/>
      <c r="ID130" s="196"/>
      <c r="IE130" s="196"/>
      <c r="IF130" s="196"/>
      <c r="IG130" s="196"/>
      <c r="IH130" s="196"/>
      <c r="II130" s="196"/>
      <c r="IJ130" s="196"/>
      <c r="IK130" s="196"/>
      <c r="IL130" s="196"/>
      <c r="IM130" s="196"/>
      <c r="IN130" s="196"/>
      <c r="IO130" s="196"/>
      <c r="IP130" s="196"/>
      <c r="IQ130" s="196"/>
      <c r="IR130" s="196"/>
      <c r="IS130" s="196"/>
      <c r="IT130" s="196"/>
      <c r="IU130" s="196"/>
      <c r="IV130" s="196"/>
      <c r="IW130" s="196"/>
    </row>
    <row r="131" customFormat="false" ht="12.75" hidden="true" customHeight="false" outlineLevel="0" collapsed="false">
      <c r="A131" s="234"/>
      <c r="B131" s="177" t="s">
        <v>373</v>
      </c>
      <c r="C131" s="2"/>
      <c r="D131" s="2"/>
      <c r="E131" s="2"/>
      <c r="F131" s="2"/>
      <c r="G131" s="2"/>
      <c r="H131" s="2"/>
      <c r="I131" s="2"/>
      <c r="J131" s="3"/>
      <c r="K131" s="2"/>
      <c r="L131" s="179"/>
      <c r="M131" s="24"/>
      <c r="N131" s="198" t="n">
        <f aca="false">SUM(N120:N130)</f>
        <v>0</v>
      </c>
      <c r="O131" s="24"/>
      <c r="P131" s="198" t="n">
        <f aca="false">SUM(P120:P130)</f>
        <v>0</v>
      </c>
      <c r="Q131" s="24"/>
      <c r="R131" s="198" t="n">
        <f aca="false">SUM(R120:R130)</f>
        <v>0</v>
      </c>
      <c r="S131" s="24"/>
      <c r="T131" s="198" t="n">
        <f aca="false">SUM(T120:T130)</f>
        <v>0</v>
      </c>
      <c r="U131" s="24"/>
      <c r="V131" s="198" t="n">
        <f aca="false">SUM(V120:V130)</f>
        <v>0</v>
      </c>
      <c r="W131" s="24"/>
      <c r="X131" s="198" t="n">
        <f aca="false">SUM(X120:X130)</f>
        <v>0</v>
      </c>
      <c r="Y131" s="24"/>
      <c r="Z131" s="198" t="n">
        <f aca="false">SUM(Z120:Z130)</f>
        <v>0</v>
      </c>
      <c r="AA131" s="24"/>
      <c r="AB131" s="198" t="n">
        <f aca="false">SUM(AB120:AB130)</f>
        <v>0</v>
      </c>
      <c r="AC131" s="24"/>
      <c r="AD131" s="198" t="n">
        <f aca="false">SUM(AD120:AD130)</f>
        <v>0</v>
      </c>
      <c r="AE131" s="24"/>
      <c r="AF131" s="198" t="n">
        <f aca="false">SUM(AF120:AF130)</f>
        <v>0</v>
      </c>
      <c r="AG131" s="24"/>
      <c r="AH131" s="198" t="n">
        <f aca="false">SUM(AH120:AH130)</f>
        <v>0</v>
      </c>
      <c r="AI131" s="24"/>
      <c r="AJ131" s="198" t="n">
        <f aca="false">SUM(AJ120:AJ130)</f>
        <v>0</v>
      </c>
      <c r="AK131" s="24"/>
      <c r="AL131" s="198"/>
      <c r="AM131" s="24"/>
      <c r="AN131" s="198" t="n">
        <f aca="false">SUM(AN120:AN130)</f>
        <v>0</v>
      </c>
      <c r="AO131" s="24"/>
      <c r="AP131" s="198" t="n">
        <f aca="false">SUM(AP120:AP130)</f>
        <v>0</v>
      </c>
      <c r="AQ131" s="24"/>
      <c r="AR131" s="198" t="n">
        <f aca="false">SUM(AR120:AR130)</f>
        <v>0</v>
      </c>
      <c r="AS131" s="24"/>
      <c r="AT131" s="198" t="n">
        <f aca="false">SUM(AT120:AT130)</f>
        <v>0</v>
      </c>
      <c r="AU131" s="24"/>
      <c r="AV131" s="198" t="n">
        <f aca="false">SUM(AV120:AV130)</f>
        <v>0</v>
      </c>
      <c r="AW131" s="24"/>
      <c r="AX131" s="198" t="n">
        <f aca="false">SUM(AX120:AX130)</f>
        <v>0</v>
      </c>
      <c r="AY131" s="24"/>
      <c r="AZ131" s="198" t="n">
        <f aca="false">SUM(AZ120:AZ130)</f>
        <v>0</v>
      </c>
      <c r="BA131" s="24"/>
      <c r="BB131" s="198" t="n">
        <f aca="false">SUM(BB120:BB130)</f>
        <v>0</v>
      </c>
      <c r="BC131" s="24"/>
      <c r="BD131" s="198" t="n">
        <f aca="false">SUM(BD120:BD130)</f>
        <v>0</v>
      </c>
      <c r="BE131" s="24"/>
      <c r="BF131" s="198" t="n">
        <f aca="false">SUM(BF120:BF130)</f>
        <v>0</v>
      </c>
      <c r="BG131" s="24"/>
      <c r="BH131" s="198" t="n">
        <f aca="false">SUM(BH120:BH130)</f>
        <v>0</v>
      </c>
      <c r="BI131" s="24"/>
      <c r="BJ131" s="198" t="n">
        <f aca="false">SUM(BJ120:BJ130)</f>
        <v>0</v>
      </c>
      <c r="BK131" s="24"/>
      <c r="BL131" s="198" t="n">
        <f aca="false">SUM(BL120:BL130)</f>
        <v>0</v>
      </c>
      <c r="BM131" s="24"/>
      <c r="BN131" s="198" t="n">
        <f aca="false">SUM(BN120:BN130)</f>
        <v>0</v>
      </c>
      <c r="BO131" s="24"/>
      <c r="BP131" s="198" t="n">
        <f aca="false">SUM(BP120:BP130)</f>
        <v>0</v>
      </c>
      <c r="BQ131" s="24"/>
      <c r="BR131" s="198" t="n">
        <f aca="false">SUM(BR120:BR130)</f>
        <v>0</v>
      </c>
      <c r="BS131" s="24"/>
      <c r="BT131" s="198" t="n">
        <f aca="false">SUM(BT120:BT130)</f>
        <v>0</v>
      </c>
      <c r="BU131" s="24"/>
      <c r="BV131" s="198" t="n">
        <f aca="false">SUM(BV120:BV130)</f>
        <v>0</v>
      </c>
      <c r="BW131" s="24"/>
      <c r="BX131" s="199"/>
      <c r="BY131" s="199"/>
      <c r="BZ131" s="199"/>
      <c r="CA131" s="199"/>
      <c r="CB131" s="199"/>
      <c r="CC131" s="199"/>
      <c r="CD131" s="199"/>
      <c r="CE131" s="199"/>
      <c r="CF131" s="199"/>
      <c r="CG131" s="199"/>
      <c r="CH131" s="199"/>
      <c r="CI131" s="199"/>
      <c r="CJ131" s="199"/>
      <c r="CK131" s="199"/>
      <c r="CL131" s="199"/>
      <c r="CM131" s="199"/>
      <c r="CN131" s="199"/>
      <c r="CO131" s="199"/>
      <c r="CP131" s="199"/>
      <c r="CQ131" s="199"/>
      <c r="CR131" s="199"/>
      <c r="CS131" s="199"/>
      <c r="CT131" s="199"/>
      <c r="CU131" s="199"/>
      <c r="CV131" s="199"/>
      <c r="CW131" s="199"/>
      <c r="CX131" s="199"/>
      <c r="CY131" s="199"/>
      <c r="CZ131" s="199"/>
      <c r="DA131" s="199"/>
      <c r="DB131" s="199"/>
      <c r="DC131" s="199"/>
      <c r="DD131" s="199"/>
      <c r="DE131" s="199"/>
      <c r="DF131" s="199"/>
      <c r="DG131" s="199"/>
      <c r="DH131" s="199"/>
      <c r="DI131" s="199"/>
      <c r="DJ131" s="199"/>
      <c r="DK131" s="199"/>
      <c r="DL131" s="199"/>
      <c r="DM131" s="199"/>
      <c r="DN131" s="199"/>
      <c r="DO131" s="199"/>
      <c r="DP131" s="199"/>
      <c r="DQ131" s="199"/>
      <c r="DR131" s="199"/>
      <c r="DS131" s="199"/>
      <c r="DT131" s="199"/>
      <c r="DU131" s="199"/>
      <c r="DV131" s="199"/>
      <c r="DW131" s="199"/>
      <c r="DX131" s="199"/>
      <c r="DY131" s="199"/>
      <c r="DZ131" s="199"/>
      <c r="EA131" s="199"/>
      <c r="EB131" s="199"/>
      <c r="EC131" s="199"/>
      <c r="ED131" s="199"/>
      <c r="EE131" s="199"/>
      <c r="EF131" s="199"/>
      <c r="EG131" s="199"/>
      <c r="EH131" s="199"/>
      <c r="EI131" s="199"/>
      <c r="EJ131" s="199"/>
      <c r="EK131" s="199"/>
      <c r="EL131" s="199"/>
      <c r="EM131" s="199"/>
      <c r="EN131" s="199"/>
      <c r="EO131" s="199"/>
      <c r="EP131" s="199"/>
      <c r="EQ131" s="199"/>
      <c r="ER131" s="199"/>
      <c r="ES131" s="199"/>
      <c r="ET131" s="199"/>
      <c r="EU131" s="199"/>
      <c r="EV131" s="199"/>
      <c r="EW131" s="199"/>
      <c r="EX131" s="199"/>
      <c r="EY131" s="199"/>
      <c r="EZ131" s="199"/>
      <c r="FA131" s="199"/>
      <c r="FB131" s="199"/>
      <c r="FC131" s="199"/>
      <c r="FD131" s="199"/>
      <c r="FE131" s="199"/>
      <c r="FF131" s="199"/>
      <c r="FG131" s="199"/>
      <c r="FH131" s="199"/>
      <c r="FI131" s="199"/>
      <c r="FJ131" s="199"/>
      <c r="FK131" s="199"/>
      <c r="FL131" s="199"/>
      <c r="FM131" s="199"/>
      <c r="FN131" s="199"/>
      <c r="FO131" s="199"/>
      <c r="FP131" s="199"/>
      <c r="FQ131" s="199"/>
      <c r="FR131" s="199"/>
      <c r="FS131" s="199"/>
      <c r="FT131" s="199"/>
      <c r="FU131" s="199"/>
      <c r="FV131" s="199"/>
      <c r="FW131" s="199"/>
      <c r="FX131" s="199"/>
      <c r="FY131" s="199"/>
      <c r="FZ131" s="199"/>
      <c r="GA131" s="199"/>
      <c r="GB131" s="199"/>
      <c r="GC131" s="199"/>
      <c r="GD131" s="199"/>
      <c r="GE131" s="199"/>
      <c r="GF131" s="199"/>
      <c r="GG131" s="199"/>
      <c r="GH131" s="199"/>
      <c r="GI131" s="199"/>
      <c r="GJ131" s="199"/>
      <c r="GK131" s="199"/>
      <c r="GL131" s="199"/>
      <c r="GM131" s="199"/>
      <c r="GN131" s="199"/>
      <c r="GO131" s="199"/>
      <c r="GP131" s="199"/>
      <c r="GQ131" s="199"/>
      <c r="GR131" s="199"/>
      <c r="GS131" s="199"/>
      <c r="GT131" s="199"/>
      <c r="GU131" s="199"/>
      <c r="GV131" s="199"/>
      <c r="GW131" s="199"/>
      <c r="GX131" s="199"/>
      <c r="GY131" s="199"/>
      <c r="GZ131" s="199"/>
      <c r="HA131" s="199"/>
      <c r="HB131" s="199"/>
      <c r="HC131" s="199"/>
      <c r="HD131" s="199"/>
      <c r="HE131" s="199"/>
      <c r="HF131" s="199"/>
      <c r="HG131" s="199"/>
      <c r="HH131" s="199"/>
      <c r="HI131" s="199"/>
      <c r="HJ131" s="199"/>
      <c r="HK131" s="199"/>
      <c r="HL131" s="199"/>
      <c r="HM131" s="199"/>
      <c r="HN131" s="199"/>
      <c r="HO131" s="199"/>
      <c r="HP131" s="199"/>
      <c r="HQ131" s="199"/>
      <c r="HR131" s="199"/>
      <c r="HS131" s="199"/>
      <c r="HT131" s="199"/>
      <c r="HU131" s="199"/>
      <c r="HV131" s="199"/>
      <c r="HW131" s="199"/>
      <c r="HX131" s="199"/>
      <c r="HY131" s="199"/>
      <c r="HZ131" s="199"/>
      <c r="IA131" s="199"/>
      <c r="IB131" s="199"/>
      <c r="IC131" s="199"/>
      <c r="ID131" s="199"/>
      <c r="IE131" s="199"/>
      <c r="IF131" s="199"/>
      <c r="IG131" s="199"/>
      <c r="IH131" s="199"/>
      <c r="II131" s="199"/>
      <c r="IJ131" s="199"/>
      <c r="IK131" s="199"/>
      <c r="IL131" s="199"/>
      <c r="IM131" s="199"/>
      <c r="IN131" s="199"/>
      <c r="IO131" s="199"/>
      <c r="IP131" s="199"/>
      <c r="IQ131" s="199"/>
      <c r="IR131" s="199"/>
      <c r="IS131" s="199"/>
      <c r="IT131" s="199"/>
      <c r="IU131" s="199"/>
      <c r="IV131" s="199"/>
      <c r="IW131" s="199"/>
    </row>
    <row r="132" customFormat="false" ht="12.75" hidden="true" customHeight="false" outlineLevel="0" collapsed="false">
      <c r="A132" s="237"/>
      <c r="B132" s="164"/>
      <c r="C132" s="0"/>
      <c r="D132" s="0"/>
      <c r="E132" s="0"/>
      <c r="F132" s="0"/>
      <c r="G132" s="0"/>
      <c r="H132" s="0"/>
      <c r="I132" s="0"/>
      <c r="J132" s="4"/>
      <c r="K132" s="0"/>
      <c r="L132" s="34"/>
      <c r="M132" s="110"/>
      <c r="O132" s="110"/>
      <c r="Q132" s="110"/>
      <c r="S132" s="110"/>
      <c r="T132" s="110"/>
      <c r="U132" s="110"/>
      <c r="V132" s="110"/>
      <c r="X132" s="110"/>
      <c r="Z132" s="110"/>
      <c r="AB132" s="110"/>
      <c r="AD132" s="110"/>
      <c r="BL132" s="110"/>
      <c r="BM132" s="110"/>
      <c r="BO132" s="110"/>
      <c r="BP132" s="110"/>
      <c r="BQ132" s="110"/>
      <c r="BW132" s="110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94"/>
      <c r="EN132" s="194"/>
      <c r="EO132" s="194"/>
      <c r="EP132" s="194"/>
      <c r="EQ132" s="194"/>
      <c r="ER132" s="194"/>
      <c r="ES132" s="194"/>
      <c r="ET132" s="194"/>
      <c r="EU132" s="194"/>
      <c r="EV132" s="194"/>
      <c r="EW132" s="194"/>
      <c r="EX132" s="194"/>
      <c r="EY132" s="194"/>
      <c r="EZ132" s="194"/>
      <c r="FA132" s="194"/>
      <c r="FB132" s="194"/>
      <c r="FC132" s="194"/>
      <c r="FD132" s="194"/>
      <c r="FE132" s="194"/>
      <c r="FF132" s="194"/>
      <c r="FG132" s="194"/>
      <c r="FH132" s="194"/>
      <c r="FI132" s="194"/>
      <c r="FJ132" s="194"/>
      <c r="FK132" s="194"/>
      <c r="FL132" s="194"/>
      <c r="FM132" s="194"/>
      <c r="FN132" s="194"/>
      <c r="FO132" s="194"/>
      <c r="FP132" s="194"/>
      <c r="FQ132" s="194"/>
      <c r="FR132" s="194"/>
      <c r="FS132" s="194"/>
      <c r="FT132" s="194"/>
      <c r="FU132" s="194"/>
      <c r="FV132" s="194"/>
      <c r="FW132" s="194"/>
      <c r="FX132" s="194"/>
      <c r="FY132" s="194"/>
      <c r="FZ132" s="194"/>
      <c r="GA132" s="194"/>
      <c r="GB132" s="194"/>
      <c r="GC132" s="194"/>
      <c r="GD132" s="194"/>
      <c r="GE132" s="194"/>
      <c r="GF132" s="194"/>
      <c r="GG132" s="194"/>
      <c r="GH132" s="194"/>
      <c r="GI132" s="194"/>
      <c r="GJ132" s="194"/>
      <c r="GK132" s="194"/>
      <c r="GL132" s="194"/>
      <c r="GM132" s="194"/>
      <c r="GN132" s="194"/>
      <c r="GO132" s="194"/>
      <c r="GP132" s="194"/>
      <c r="GQ132" s="194"/>
      <c r="GR132" s="194"/>
      <c r="GS132" s="194"/>
      <c r="GT132" s="194"/>
      <c r="GU132" s="194"/>
      <c r="GV132" s="194"/>
      <c r="GW132" s="194"/>
      <c r="GX132" s="194"/>
      <c r="GY132" s="194"/>
      <c r="GZ132" s="194"/>
      <c r="HA132" s="194"/>
      <c r="HB132" s="194"/>
      <c r="HC132" s="194"/>
      <c r="HD132" s="194"/>
      <c r="HE132" s="194"/>
      <c r="HF132" s="194"/>
      <c r="HG132" s="194"/>
      <c r="HH132" s="194"/>
      <c r="HI132" s="194"/>
      <c r="HJ132" s="194"/>
      <c r="HK132" s="194"/>
      <c r="HL132" s="194"/>
      <c r="HM132" s="194"/>
      <c r="HN132" s="194"/>
      <c r="HO132" s="194"/>
      <c r="HP132" s="194"/>
      <c r="HQ132" s="194"/>
      <c r="HR132" s="194"/>
      <c r="HS132" s="194"/>
      <c r="HT132" s="194"/>
      <c r="HU132" s="194"/>
      <c r="HV132" s="194"/>
      <c r="HW132" s="194"/>
      <c r="HX132" s="194"/>
      <c r="HY132" s="194"/>
      <c r="HZ132" s="194"/>
      <c r="IA132" s="194"/>
      <c r="IB132" s="194"/>
      <c r="IC132" s="194"/>
      <c r="ID132" s="194"/>
      <c r="IE132" s="194"/>
      <c r="IF132" s="194"/>
      <c r="IG132" s="194"/>
      <c r="IH132" s="194"/>
      <c r="II132" s="194"/>
      <c r="IJ132" s="194"/>
      <c r="IK132" s="194"/>
      <c r="IL132" s="194"/>
      <c r="IM132" s="194"/>
      <c r="IN132" s="194"/>
      <c r="IO132" s="194"/>
      <c r="IP132" s="194"/>
      <c r="IQ132" s="194"/>
      <c r="IR132" s="194"/>
      <c r="IS132" s="194"/>
      <c r="IT132" s="194"/>
      <c r="IU132" s="194"/>
      <c r="IV132" s="194"/>
      <c r="IW132" s="194"/>
    </row>
    <row r="133" customFormat="false" ht="12.75" hidden="false" customHeight="false" outlineLevel="0" collapsed="false">
      <c r="A133" s="237"/>
      <c r="B133" s="164"/>
      <c r="C133" s="0"/>
      <c r="D133" s="0"/>
      <c r="E133" s="0"/>
      <c r="F133" s="0"/>
      <c r="G133" s="0"/>
      <c r="H133" s="0"/>
      <c r="I133" s="0"/>
      <c r="J133" s="4"/>
      <c r="K133" s="0"/>
      <c r="L133" s="34"/>
      <c r="M133" s="110"/>
      <c r="O133" s="110"/>
      <c r="Q133" s="110"/>
      <c r="S133" s="110"/>
      <c r="T133" s="110"/>
      <c r="U133" s="110"/>
      <c r="V133" s="110"/>
      <c r="X133" s="110"/>
      <c r="Z133" s="110"/>
      <c r="AB133" s="110"/>
      <c r="AD133" s="110"/>
      <c r="BL133" s="110"/>
      <c r="BM133" s="110"/>
      <c r="BO133" s="110"/>
      <c r="BP133" s="110"/>
      <c r="BQ133" s="110"/>
      <c r="BW133" s="110"/>
      <c r="BX133" s="194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  <c r="DB133" s="194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  <c r="DU133" s="194"/>
      <c r="DV133" s="194"/>
      <c r="DW133" s="194"/>
      <c r="DX133" s="194"/>
      <c r="DY133" s="194"/>
      <c r="DZ133" s="194"/>
      <c r="EA133" s="194"/>
      <c r="EB133" s="194"/>
      <c r="EC133" s="194"/>
      <c r="ED133" s="194"/>
      <c r="EE133" s="194"/>
      <c r="EF133" s="194"/>
      <c r="EG133" s="194"/>
      <c r="EH133" s="194"/>
      <c r="EI133" s="194"/>
      <c r="EJ133" s="194"/>
      <c r="EK133" s="194"/>
      <c r="EL133" s="194"/>
      <c r="EM133" s="194"/>
      <c r="EN133" s="194"/>
      <c r="EO133" s="194"/>
      <c r="EP133" s="194"/>
      <c r="EQ133" s="194"/>
      <c r="ER133" s="194"/>
      <c r="ES133" s="194"/>
      <c r="ET133" s="194"/>
      <c r="EU133" s="194"/>
      <c r="EV133" s="194"/>
      <c r="EW133" s="194"/>
      <c r="EX133" s="194"/>
      <c r="EY133" s="194"/>
      <c r="EZ133" s="194"/>
      <c r="FA133" s="194"/>
      <c r="FB133" s="194"/>
      <c r="FC133" s="194"/>
      <c r="FD133" s="194"/>
      <c r="FE133" s="194"/>
      <c r="FF133" s="194"/>
      <c r="FG133" s="194"/>
      <c r="FH133" s="194"/>
      <c r="FI133" s="194"/>
      <c r="FJ133" s="194"/>
      <c r="FK133" s="194"/>
      <c r="FL133" s="194"/>
      <c r="FM133" s="194"/>
      <c r="FN133" s="194"/>
      <c r="FO133" s="194"/>
      <c r="FP133" s="194"/>
      <c r="FQ133" s="194"/>
      <c r="FR133" s="194"/>
      <c r="FS133" s="194"/>
      <c r="FT133" s="194"/>
      <c r="FU133" s="194"/>
      <c r="FV133" s="194"/>
      <c r="FW133" s="194"/>
      <c r="FX133" s="194"/>
      <c r="FY133" s="194"/>
      <c r="FZ133" s="194"/>
      <c r="GA133" s="194"/>
      <c r="GB133" s="194"/>
      <c r="GC133" s="194"/>
      <c r="GD133" s="194"/>
      <c r="GE133" s="194"/>
      <c r="GF133" s="194"/>
      <c r="GG133" s="194"/>
      <c r="GH133" s="194"/>
      <c r="GI133" s="194"/>
      <c r="GJ133" s="194"/>
      <c r="GK133" s="194"/>
      <c r="GL133" s="194"/>
      <c r="GM133" s="194"/>
      <c r="GN133" s="194"/>
      <c r="GO133" s="194"/>
      <c r="GP133" s="194"/>
      <c r="GQ133" s="194"/>
      <c r="GR133" s="194"/>
      <c r="GS133" s="194"/>
      <c r="GT133" s="194"/>
      <c r="GU133" s="194"/>
      <c r="GV133" s="194"/>
      <c r="GW133" s="194"/>
      <c r="GX133" s="194"/>
      <c r="GY133" s="194"/>
      <c r="GZ133" s="194"/>
      <c r="HA133" s="194"/>
      <c r="HB133" s="194"/>
      <c r="HC133" s="194"/>
      <c r="HD133" s="194"/>
      <c r="HE133" s="194"/>
      <c r="HF133" s="194"/>
      <c r="HG133" s="194"/>
      <c r="HH133" s="194"/>
      <c r="HI133" s="194"/>
      <c r="HJ133" s="194"/>
      <c r="HK133" s="194"/>
      <c r="HL133" s="194"/>
      <c r="HM133" s="194"/>
      <c r="HN133" s="194"/>
      <c r="HO133" s="194"/>
      <c r="HP133" s="194"/>
      <c r="HQ133" s="194"/>
      <c r="HR133" s="194"/>
      <c r="HS133" s="194"/>
      <c r="HT133" s="194"/>
      <c r="HU133" s="194"/>
      <c r="HV133" s="194"/>
      <c r="HW133" s="194"/>
      <c r="HX133" s="194"/>
      <c r="HY133" s="194"/>
      <c r="HZ133" s="194"/>
      <c r="IA133" s="194"/>
      <c r="IB133" s="194"/>
      <c r="IC133" s="194"/>
      <c r="ID133" s="194"/>
      <c r="IE133" s="194"/>
      <c r="IF133" s="194"/>
      <c r="IG133" s="194"/>
      <c r="IH133" s="194"/>
      <c r="II133" s="194"/>
      <c r="IJ133" s="194"/>
      <c r="IK133" s="194"/>
      <c r="IL133" s="194"/>
      <c r="IM133" s="194"/>
      <c r="IN133" s="194"/>
      <c r="IO133" s="194"/>
      <c r="IP133" s="194"/>
      <c r="IQ133" s="194"/>
      <c r="IR133" s="194"/>
      <c r="IS133" s="194"/>
      <c r="IT133" s="194"/>
      <c r="IU133" s="194"/>
      <c r="IV133" s="194"/>
      <c r="IW133" s="194"/>
    </row>
    <row r="134" customFormat="false" ht="12.75" hidden="false" customHeight="false" outlineLevel="0" collapsed="false">
      <c r="A134" s="228" t="s">
        <v>244</v>
      </c>
      <c r="B134" s="160"/>
      <c r="C134" s="0"/>
      <c r="D134" s="0"/>
      <c r="E134" s="0"/>
      <c r="F134" s="0"/>
      <c r="G134" s="0"/>
      <c r="H134" s="0"/>
      <c r="I134" s="0"/>
      <c r="J134" s="4"/>
      <c r="K134" s="0"/>
      <c r="L134" s="34"/>
      <c r="M134" s="110"/>
      <c r="O134" s="110"/>
      <c r="Q134" s="110"/>
      <c r="S134" s="110"/>
      <c r="T134" s="110"/>
      <c r="U134" s="110"/>
      <c r="V134" s="110"/>
      <c r="X134" s="110"/>
      <c r="Z134" s="110"/>
      <c r="AB134" s="110"/>
      <c r="AD134" s="110"/>
      <c r="BL134" s="110"/>
      <c r="BM134" s="110"/>
      <c r="BO134" s="110"/>
      <c r="BP134" s="110"/>
      <c r="BQ134" s="110"/>
      <c r="BW134" s="110"/>
    </row>
    <row r="135" customFormat="false" ht="12.75" hidden="false" customHeight="false" outlineLevel="0" collapsed="false">
      <c r="A135" s="232"/>
      <c r="B135" s="161" t="s">
        <v>245</v>
      </c>
      <c r="E135" s="119"/>
      <c r="G135" s="119"/>
      <c r="I135" s="119"/>
      <c r="J135" s="120" t="s">
        <v>141</v>
      </c>
      <c r="L135" s="34" t="s">
        <v>151</v>
      </c>
      <c r="M135" s="110"/>
      <c r="N135" s="110" t="n">
        <v>0</v>
      </c>
      <c r="O135" s="110"/>
      <c r="P135" s="110" t="n">
        <v>0</v>
      </c>
      <c r="Q135" s="110"/>
      <c r="R135" s="110" t="n">
        <v>0</v>
      </c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v>0</v>
      </c>
      <c r="AB135" s="110" t="n">
        <v>0</v>
      </c>
      <c r="AD135" s="110" t="n">
        <v>0</v>
      </c>
      <c r="AF135" s="110" t="n">
        <v>0</v>
      </c>
      <c r="AH135" s="110" t="n">
        <v>0</v>
      </c>
      <c r="AJ135" s="110" t="n">
        <v>0</v>
      </c>
      <c r="AN135" s="110" t="n">
        <v>0</v>
      </c>
      <c r="AP135" s="110" t="n">
        <v>0</v>
      </c>
      <c r="AR135" s="110" t="n">
        <v>0</v>
      </c>
      <c r="AT135" s="110" t="n">
        <v>0</v>
      </c>
      <c r="AV135" s="110" t="n">
        <v>0</v>
      </c>
      <c r="AX135" s="110" t="n">
        <v>0</v>
      </c>
      <c r="AZ135" s="110" t="n">
        <v>0</v>
      </c>
      <c r="BB135" s="110" t="n">
        <v>0</v>
      </c>
      <c r="BD135" s="110" t="n">
        <v>0</v>
      </c>
      <c r="BF135" s="110" t="n">
        <v>0</v>
      </c>
      <c r="BH135" s="110" t="n">
        <v>0</v>
      </c>
      <c r="BJ135" s="110" t="n">
        <v>0</v>
      </c>
      <c r="BL135" s="110" t="n">
        <v>0</v>
      </c>
      <c r="BM135" s="110"/>
      <c r="BN135" s="110" t="n">
        <f aca="false">SUM(T135:BM135)</f>
        <v>0</v>
      </c>
      <c r="BO135" s="110"/>
      <c r="BP135" s="110" t="n">
        <v>0</v>
      </c>
      <c r="BQ135" s="110"/>
      <c r="BR135" s="110" t="n">
        <f aca="false">IF(+R135-BN135+BP135&gt;0,R135-BN135+BP135,0)</f>
        <v>0</v>
      </c>
      <c r="BT135" s="110" t="n">
        <f aca="false">+BN135+BR135</f>
        <v>0</v>
      </c>
      <c r="BV135" s="110" t="n">
        <f aca="false">+R135-BT135</f>
        <v>0</v>
      </c>
      <c r="BW135" s="110"/>
    </row>
    <row r="136" customFormat="false" ht="12.75" hidden="false" customHeight="false" outlineLevel="0" collapsed="false">
      <c r="A136" s="232"/>
      <c r="B136" s="161" t="s">
        <v>374</v>
      </c>
      <c r="E136" s="119"/>
      <c r="G136" s="119"/>
      <c r="I136" s="119"/>
      <c r="L136" s="34" t="s">
        <v>151</v>
      </c>
      <c r="M136" s="110"/>
      <c r="N136" s="110" t="n">
        <v>0</v>
      </c>
      <c r="O136" s="110"/>
      <c r="P136" s="110" t="n">
        <v>0</v>
      </c>
      <c r="Q136" s="110"/>
      <c r="R136" s="110" t="n">
        <f aca="false">+N136+P136</f>
        <v>0</v>
      </c>
      <c r="S136" s="110"/>
      <c r="T136" s="110" t="n">
        <v>0</v>
      </c>
      <c r="U136" s="110"/>
      <c r="V136" s="110" t="n">
        <v>0</v>
      </c>
      <c r="X136" s="110" t="n">
        <v>0</v>
      </c>
      <c r="Z136" s="110" t="n">
        <v>0</v>
      </c>
      <c r="AB136" s="110" t="n">
        <v>0</v>
      </c>
      <c r="AD136" s="110" t="n">
        <v>0</v>
      </c>
      <c r="AF136" s="110" t="n">
        <v>0</v>
      </c>
      <c r="AH136" s="110" t="n">
        <v>0</v>
      </c>
      <c r="AJ136" s="110" t="n">
        <v>0</v>
      </c>
      <c r="AN136" s="110" t="n">
        <v>0</v>
      </c>
      <c r="AP136" s="110" t="n">
        <v>0</v>
      </c>
      <c r="AR136" s="110" t="n">
        <v>0</v>
      </c>
      <c r="AT136" s="110" t="n">
        <v>0</v>
      </c>
      <c r="AV136" s="110" t="n">
        <v>0</v>
      </c>
      <c r="AX136" s="110" t="n">
        <v>0</v>
      </c>
      <c r="AZ136" s="110" t="n">
        <v>0</v>
      </c>
      <c r="BB136" s="110" t="n">
        <v>0</v>
      </c>
      <c r="BD136" s="110" t="n">
        <v>0</v>
      </c>
      <c r="BF136" s="110" t="n">
        <v>0</v>
      </c>
      <c r="BH136" s="110" t="n">
        <v>0</v>
      </c>
      <c r="BJ136" s="110" t="n">
        <v>0</v>
      </c>
      <c r="BL136" s="110" t="n">
        <v>0</v>
      </c>
      <c r="BM136" s="110"/>
      <c r="BN136" s="110" t="n">
        <f aca="false">SUM(T136:BM136)</f>
        <v>0</v>
      </c>
      <c r="BO136" s="110"/>
      <c r="BP136" s="110" t="n">
        <v>0</v>
      </c>
      <c r="BQ136" s="110"/>
      <c r="BR136" s="110" t="n">
        <f aca="false">+R136-BN136+BP136</f>
        <v>0</v>
      </c>
      <c r="BT136" s="110" t="n">
        <f aca="false">+BN136+BR136</f>
        <v>0</v>
      </c>
      <c r="BV136" s="110" t="n">
        <f aca="false">+R136-BT136</f>
        <v>0</v>
      </c>
      <c r="BW136" s="110"/>
    </row>
    <row r="137" customFormat="false" ht="12.75" hidden="true" customHeight="false" outlineLevel="0" collapsed="false">
      <c r="A137" s="232"/>
      <c r="B137" s="161" t="s">
        <v>128</v>
      </c>
      <c r="E137" s="119"/>
      <c r="G137" s="119"/>
      <c r="I137" s="119"/>
      <c r="L137" s="34" t="s">
        <v>151</v>
      </c>
      <c r="M137" s="110"/>
      <c r="N137" s="110" t="n">
        <v>0</v>
      </c>
      <c r="O137" s="110"/>
      <c r="P137" s="110" t="n">
        <v>0</v>
      </c>
      <c r="Q137" s="110"/>
      <c r="R137" s="110" t="n">
        <v>0</v>
      </c>
      <c r="S137" s="110"/>
      <c r="T137" s="110" t="n">
        <v>0</v>
      </c>
      <c r="U137" s="110"/>
      <c r="V137" s="110" t="n">
        <v>0</v>
      </c>
      <c r="X137" s="110" t="n">
        <v>0</v>
      </c>
      <c r="Z137" s="110" t="n">
        <v>0</v>
      </c>
      <c r="AB137" s="110" t="n">
        <v>0</v>
      </c>
      <c r="AD137" s="110" t="n">
        <v>0</v>
      </c>
      <c r="AF137" s="110" t="n">
        <v>0</v>
      </c>
      <c r="AH137" s="110" t="n">
        <v>0</v>
      </c>
      <c r="AJ137" s="110" t="n">
        <v>0</v>
      </c>
      <c r="AN137" s="110" t="n">
        <v>0</v>
      </c>
      <c r="AP137" s="110" t="n">
        <v>0</v>
      </c>
      <c r="AR137" s="110" t="n">
        <v>0</v>
      </c>
      <c r="AT137" s="110" t="n">
        <v>0</v>
      </c>
      <c r="AV137" s="110" t="n">
        <v>0</v>
      </c>
      <c r="AX137" s="110" t="n">
        <v>0</v>
      </c>
      <c r="AZ137" s="110" t="n">
        <v>0</v>
      </c>
      <c r="BB137" s="110" t="n">
        <v>0</v>
      </c>
      <c r="BD137" s="110" t="n">
        <v>0</v>
      </c>
      <c r="BF137" s="110" t="n">
        <v>0</v>
      </c>
      <c r="BH137" s="110" t="n">
        <v>0</v>
      </c>
      <c r="BJ137" s="110" t="n">
        <v>0</v>
      </c>
      <c r="BL137" s="110" t="n">
        <v>0</v>
      </c>
      <c r="BM137" s="110"/>
      <c r="BN137" s="110" t="n">
        <f aca="false">SUM(T137:BM137)</f>
        <v>0</v>
      </c>
      <c r="BO137" s="110"/>
      <c r="BP137" s="110" t="n">
        <v>0</v>
      </c>
      <c r="BQ137" s="110"/>
      <c r="BR137" s="110" t="n">
        <f aca="false">+R137-BN137+BP137</f>
        <v>0</v>
      </c>
      <c r="BT137" s="110" t="n">
        <f aca="false">+BN137+BR137</f>
        <v>0</v>
      </c>
      <c r="BV137" s="110" t="n">
        <f aca="false">+R137-BT137</f>
        <v>0</v>
      </c>
      <c r="BW137" s="110"/>
    </row>
    <row r="138" customFormat="false" ht="12.75" hidden="false" customHeight="false" outlineLevel="0" collapsed="false">
      <c r="A138" s="228"/>
      <c r="B138" s="160" t="s">
        <v>247</v>
      </c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198" t="n">
        <f aca="false">SUM(N135:N137)</f>
        <v>0</v>
      </c>
      <c r="O138" s="24"/>
      <c r="P138" s="198" t="n">
        <f aca="false">SUM(P135:P137)</f>
        <v>0</v>
      </c>
      <c r="Q138" s="24"/>
      <c r="R138" s="198" t="n">
        <f aca="false">SUM(R135:R137)</f>
        <v>0</v>
      </c>
      <c r="S138" s="24"/>
      <c r="T138" s="198" t="n">
        <f aca="false">SUM(T135:T137)</f>
        <v>0</v>
      </c>
      <c r="U138" s="24"/>
      <c r="V138" s="198" t="n">
        <f aca="false">SUM(V135:V137)</f>
        <v>0</v>
      </c>
      <c r="W138" s="24"/>
      <c r="X138" s="198" t="n">
        <f aca="false">SUM(X135:X137)</f>
        <v>0</v>
      </c>
      <c r="Y138" s="24"/>
      <c r="Z138" s="198" t="n">
        <f aca="false">SUM(Z135:Z137)</f>
        <v>0</v>
      </c>
      <c r="AA138" s="24"/>
      <c r="AB138" s="198" t="n">
        <f aca="false">SUM(AB135:AB137)</f>
        <v>0</v>
      </c>
      <c r="AC138" s="24"/>
      <c r="AD138" s="198" t="n">
        <f aca="false">SUM(AD135:AD137)</f>
        <v>0</v>
      </c>
      <c r="AE138" s="24"/>
      <c r="AF138" s="198" t="n">
        <f aca="false">SUM(AF135:AF137)</f>
        <v>0</v>
      </c>
      <c r="AG138" s="24"/>
      <c r="AH138" s="198" t="n">
        <f aca="false">SUM(AH135:AH137)</f>
        <v>0</v>
      </c>
      <c r="AI138" s="24"/>
      <c r="AJ138" s="198" t="n">
        <f aca="false">SUM(AJ135:AJ137)</f>
        <v>0</v>
      </c>
      <c r="AK138" s="24"/>
      <c r="AL138" s="198" t="n">
        <f aca="false">SUM(AL135:AL137)</f>
        <v>0</v>
      </c>
      <c r="AM138" s="198"/>
      <c r="AN138" s="198" t="n">
        <f aca="false">SUM(AN135:AN137)</f>
        <v>0</v>
      </c>
      <c r="AO138" s="24"/>
      <c r="AP138" s="198" t="n">
        <f aca="false">SUM(AP135:AP137)</f>
        <v>0</v>
      </c>
      <c r="AQ138" s="24"/>
      <c r="AR138" s="198" t="n">
        <f aca="false">SUM(AR135:AR137)</f>
        <v>0</v>
      </c>
      <c r="AS138" s="24"/>
      <c r="AT138" s="198" t="n">
        <f aca="false">SUM(AT135:AT137)</f>
        <v>0</v>
      </c>
      <c r="AU138" s="24"/>
      <c r="AV138" s="198" t="n">
        <f aca="false">SUM(AV135:AV137)</f>
        <v>0</v>
      </c>
      <c r="AW138" s="24"/>
      <c r="AX138" s="198" t="n">
        <f aca="false">SUM(AX135:AX137)</f>
        <v>0</v>
      </c>
      <c r="AY138" s="24"/>
      <c r="AZ138" s="198" t="n">
        <f aca="false">SUM(AZ135:AZ137)</f>
        <v>0</v>
      </c>
      <c r="BA138" s="24"/>
      <c r="BB138" s="198" t="n">
        <f aca="false">SUM(BB135:BB137)</f>
        <v>0</v>
      </c>
      <c r="BC138" s="24"/>
      <c r="BD138" s="198" t="n">
        <f aca="false">SUM(BD135:BD137)</f>
        <v>0</v>
      </c>
      <c r="BE138" s="24"/>
      <c r="BF138" s="198" t="n">
        <f aca="false">SUM(BF135:BF137)</f>
        <v>0</v>
      </c>
      <c r="BG138" s="24"/>
      <c r="BH138" s="198" t="n">
        <f aca="false">SUM(BH135:BH137)</f>
        <v>0</v>
      </c>
      <c r="BI138" s="24"/>
      <c r="BJ138" s="198" t="n">
        <f aca="false">SUM(BJ135:BJ137)</f>
        <v>0</v>
      </c>
      <c r="BK138" s="24"/>
      <c r="BL138" s="198" t="n">
        <f aca="false">SUM(BL135:BL137)</f>
        <v>0</v>
      </c>
      <c r="BM138" s="24"/>
      <c r="BN138" s="198" t="n">
        <f aca="false">SUM(BN135:BN137)</f>
        <v>0</v>
      </c>
      <c r="BO138" s="24"/>
      <c r="BP138" s="198" t="n">
        <f aca="false">SUM(BP135:BP137)</f>
        <v>0</v>
      </c>
      <c r="BQ138" s="24"/>
      <c r="BR138" s="198" t="n">
        <f aca="false">SUM(BR135:BR137)</f>
        <v>0</v>
      </c>
      <c r="BS138" s="24"/>
      <c r="BT138" s="198" t="n">
        <f aca="false">SUM(BT135:BT137)</f>
        <v>0</v>
      </c>
      <c r="BU138" s="24"/>
      <c r="BV138" s="198" t="n">
        <f aca="false">SUM(BV135:BV137)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228"/>
      <c r="B139" s="160"/>
      <c r="C139" s="2"/>
      <c r="D139" s="2"/>
      <c r="E139" s="2"/>
      <c r="F139" s="2"/>
      <c r="G139" s="2"/>
      <c r="H139" s="2"/>
      <c r="I139" s="2"/>
      <c r="J139" s="3"/>
      <c r="K139" s="2"/>
      <c r="L139" s="179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33" t="s">
        <v>375</v>
      </c>
      <c r="B140" s="160"/>
      <c r="C140" s="2"/>
      <c r="D140" s="2"/>
      <c r="E140" s="2"/>
      <c r="F140" s="2"/>
      <c r="G140" s="2"/>
      <c r="H140" s="2"/>
      <c r="I140" s="2"/>
      <c r="J140" s="3" t="s">
        <v>141</v>
      </c>
      <c r="K140" s="2"/>
      <c r="L140" s="179" t="s">
        <v>151</v>
      </c>
      <c r="M140" s="24"/>
      <c r="N140" s="24" t="n">
        <v>0</v>
      </c>
      <c r="O140" s="24"/>
      <c r="P140" s="24" t="n">
        <v>0</v>
      </c>
      <c r="Q140" s="24"/>
      <c r="R140" s="24" t="n">
        <v>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C140" s="24"/>
      <c r="BD140" s="24" t="n">
        <v>0</v>
      </c>
      <c r="BE140" s="24"/>
      <c r="BF140" s="24" t="n">
        <v>0</v>
      </c>
      <c r="BG140" s="24"/>
      <c r="BH140" s="24" t="n">
        <v>0</v>
      </c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10" t="n">
        <f aca="false">IF(+R140-BN140+BP140&gt;0,R140-BN140+BP140,0)</f>
        <v>0</v>
      </c>
      <c r="BS140" s="24"/>
      <c r="BT140" s="24" t="n">
        <f aca="false">+BN140+BR140</f>
        <v>0</v>
      </c>
      <c r="BU140" s="24"/>
      <c r="BV140" s="24" t="n">
        <f aca="false">+R140-BT140</f>
        <v>0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33"/>
      <c r="B141" s="160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 t="n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228" t="s">
        <v>248</v>
      </c>
      <c r="B142" s="174"/>
      <c r="C142" s="2"/>
      <c r="D142" s="2"/>
      <c r="E142" s="2"/>
      <c r="F142" s="2"/>
      <c r="G142" s="2"/>
      <c r="H142" s="2"/>
      <c r="I142" s="2"/>
      <c r="J142" s="3" t="s">
        <v>141</v>
      </c>
      <c r="K142" s="2"/>
      <c r="L142" s="34" t="s">
        <v>151</v>
      </c>
      <c r="M142" s="24"/>
      <c r="N142" s="24" t="n">
        <v>400000</v>
      </c>
      <c r="O142" s="24"/>
      <c r="P142" s="24" t="n">
        <v>100000</v>
      </c>
      <c r="Q142" s="24"/>
      <c r="R142" s="24" t="n">
        <v>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C142" s="24"/>
      <c r="BD142" s="24"/>
      <c r="BE142" s="24"/>
      <c r="BF142" s="24" t="n">
        <v>0</v>
      </c>
      <c r="BG142" s="24"/>
      <c r="BH142" s="24" t="n">
        <v>0</v>
      </c>
      <c r="BI142" s="24"/>
      <c r="BJ142" s="24" t="n">
        <v>0</v>
      </c>
      <c r="BK142" s="24"/>
      <c r="BL142" s="24" t="n">
        <v>0</v>
      </c>
      <c r="BM142" s="24"/>
      <c r="BN142" s="24" t="n">
        <f aca="false">SUM(T142:BM142)</f>
        <v>0</v>
      </c>
      <c r="BO142" s="24"/>
      <c r="BP142" s="24" t="n">
        <v>0</v>
      </c>
      <c r="BQ142" s="24"/>
      <c r="BR142" s="110" t="n">
        <f aca="false">IF(+R142-BN142+BP142&gt;0,R142-BN142+BP142,0)</f>
        <v>0</v>
      </c>
      <c r="BS142" s="24"/>
      <c r="BT142" s="24" t="n">
        <f aca="false">+BN142+BR142</f>
        <v>0</v>
      </c>
      <c r="BU142" s="24"/>
      <c r="BV142" s="24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28"/>
      <c r="B143" s="174"/>
      <c r="C143" s="2"/>
      <c r="D143" s="2"/>
      <c r="E143" s="2"/>
      <c r="F143" s="2"/>
      <c r="G143" s="2"/>
      <c r="H143" s="2"/>
      <c r="I143" s="2"/>
      <c r="J143" s="3"/>
      <c r="K143" s="2"/>
      <c r="L143" s="3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249</v>
      </c>
      <c r="B144" s="174"/>
      <c r="C144" s="174"/>
      <c r="D144" s="174"/>
      <c r="E144" s="174"/>
      <c r="F144" s="174"/>
      <c r="G144" s="174"/>
      <c r="H144" s="174"/>
      <c r="I144" s="174"/>
      <c r="J144" s="201" t="s">
        <v>141</v>
      </c>
      <c r="K144" s="174"/>
      <c r="L144" s="202" t="s">
        <v>151</v>
      </c>
      <c r="M144" s="24"/>
      <c r="N144" s="24" t="n">
        <v>0</v>
      </c>
      <c r="O144" s="24"/>
      <c r="P144" s="24" t="n">
        <v>0</v>
      </c>
      <c r="Q144" s="24"/>
      <c r="R144" s="24" t="n">
        <v>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24"/>
      <c r="AJ144" s="24" t="n">
        <v>0</v>
      </c>
      <c r="AK144" s="24"/>
      <c r="AL144" s="24"/>
      <c r="AM144" s="24"/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0</v>
      </c>
      <c r="BC144" s="24"/>
      <c r="BD144" s="24" t="n">
        <v>0</v>
      </c>
      <c r="BE144" s="24"/>
      <c r="BF144" s="24" t="n">
        <v>0</v>
      </c>
      <c r="BG144" s="24"/>
      <c r="BH144" s="24" t="n">
        <v>0</v>
      </c>
      <c r="BI144" s="24"/>
      <c r="BJ144" s="24" t="n">
        <v>0</v>
      </c>
      <c r="BK144" s="24"/>
      <c r="BL144" s="24" t="n">
        <v>0</v>
      </c>
      <c r="BM144" s="24"/>
      <c r="BN144" s="24" t="n">
        <f aca="false">SUM(T144:BM144)</f>
        <v>0</v>
      </c>
      <c r="BO144" s="24"/>
      <c r="BP144" s="24" t="n">
        <v>0</v>
      </c>
      <c r="BQ144" s="24"/>
      <c r="BR144" s="110" t="n">
        <f aca="false">IF(+R144-BN144+BP144&gt;0,R144-BN144+BP144,0)</f>
        <v>0</v>
      </c>
      <c r="BS144" s="24"/>
      <c r="BT144" s="24" t="n">
        <f aca="false">+BN144+BR144</f>
        <v>0</v>
      </c>
      <c r="BU144" s="24"/>
      <c r="BV144" s="24" t="n">
        <f aca="false">+R144-BT144</f>
        <v>0</v>
      </c>
      <c r="BW144" s="2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  <c r="CH144" s="174"/>
      <c r="CI144" s="174"/>
      <c r="CJ144" s="174"/>
      <c r="CK144" s="174"/>
      <c r="CL144" s="174"/>
      <c r="CM144" s="174"/>
      <c r="CN144" s="174"/>
      <c r="CO144" s="174"/>
      <c r="CP144" s="174"/>
      <c r="CQ144" s="174"/>
      <c r="CR144" s="174"/>
      <c r="CS144" s="174"/>
      <c r="CT144" s="174"/>
      <c r="CU144" s="174"/>
      <c r="CV144" s="174"/>
      <c r="CW144" s="174"/>
      <c r="CX144" s="174"/>
      <c r="CY144" s="174"/>
      <c r="CZ144" s="174"/>
      <c r="DA144" s="174"/>
      <c r="DB144" s="174"/>
      <c r="DC144" s="174"/>
      <c r="DD144" s="174"/>
      <c r="DE144" s="174"/>
      <c r="DF144" s="174"/>
      <c r="DG144" s="174"/>
      <c r="DH144" s="174"/>
      <c r="DI144" s="174"/>
      <c r="DJ144" s="174"/>
      <c r="DK144" s="174"/>
      <c r="DL144" s="174"/>
      <c r="DM144" s="174"/>
      <c r="DN144" s="174"/>
      <c r="DO144" s="174"/>
      <c r="DP144" s="174"/>
      <c r="DQ144" s="174"/>
      <c r="DR144" s="174"/>
      <c r="DS144" s="174"/>
      <c r="DT144" s="174"/>
      <c r="DU144" s="174"/>
      <c r="DV144" s="174"/>
      <c r="DW144" s="174"/>
      <c r="DX144" s="174"/>
      <c r="DY144" s="174"/>
      <c r="DZ144" s="174"/>
      <c r="EA144" s="174"/>
      <c r="EB144" s="174"/>
      <c r="EC144" s="174"/>
      <c r="ED144" s="174"/>
      <c r="EE144" s="174"/>
      <c r="EF144" s="174"/>
      <c r="EG144" s="174"/>
      <c r="EH144" s="174"/>
      <c r="EI144" s="174"/>
      <c r="EJ144" s="174"/>
      <c r="EK144" s="174"/>
      <c r="EL144" s="174"/>
      <c r="EM144" s="174"/>
      <c r="EN144" s="174"/>
      <c r="EO144" s="174"/>
      <c r="EP144" s="174"/>
      <c r="EQ144" s="174"/>
      <c r="ER144" s="174"/>
      <c r="ES144" s="174"/>
      <c r="ET144" s="174"/>
      <c r="EU144" s="174"/>
      <c r="EV144" s="174"/>
      <c r="EW144" s="174"/>
      <c r="EX144" s="174"/>
      <c r="EY144" s="174"/>
      <c r="EZ144" s="174"/>
      <c r="FA144" s="174"/>
      <c r="FB144" s="174"/>
      <c r="FC144" s="174"/>
      <c r="FD144" s="174"/>
      <c r="FE144" s="174"/>
      <c r="FF144" s="174"/>
      <c r="FG144" s="174"/>
      <c r="FH144" s="174"/>
      <c r="FI144" s="174"/>
      <c r="FJ144" s="174"/>
      <c r="FK144" s="174"/>
      <c r="FL144" s="174"/>
      <c r="FM144" s="174"/>
      <c r="FN144" s="174"/>
      <c r="FO144" s="174"/>
      <c r="FP144" s="174"/>
      <c r="FQ144" s="174"/>
      <c r="FR144" s="174"/>
      <c r="FS144" s="174"/>
      <c r="FT144" s="174"/>
      <c r="FU144" s="174"/>
      <c r="FV144" s="174"/>
      <c r="FW144" s="174"/>
      <c r="FX144" s="174"/>
      <c r="FY144" s="174"/>
      <c r="FZ144" s="174"/>
      <c r="GA144" s="174"/>
      <c r="GB144" s="174"/>
      <c r="GC144" s="174"/>
      <c r="GD144" s="174"/>
      <c r="GE144" s="174"/>
      <c r="GF144" s="174"/>
      <c r="GG144" s="174"/>
      <c r="GH144" s="174"/>
      <c r="GI144" s="174"/>
      <c r="GJ144" s="174"/>
      <c r="GK144" s="174"/>
      <c r="GL144" s="174"/>
      <c r="GM144" s="174"/>
      <c r="GN144" s="174"/>
      <c r="GO144" s="174"/>
      <c r="GP144" s="174"/>
      <c r="GQ144" s="174"/>
      <c r="GR144" s="174"/>
      <c r="GS144" s="174"/>
      <c r="GT144" s="174"/>
      <c r="GU144" s="174"/>
      <c r="GV144" s="174"/>
      <c r="GW144" s="174"/>
      <c r="GX144" s="174"/>
      <c r="GY144" s="174"/>
      <c r="GZ144" s="174"/>
      <c r="HA144" s="174"/>
      <c r="HB144" s="174"/>
      <c r="HC144" s="174"/>
      <c r="HD144" s="174"/>
      <c r="HE144" s="174"/>
      <c r="HF144" s="174"/>
      <c r="HG144" s="174"/>
      <c r="HH144" s="174"/>
      <c r="HI144" s="174"/>
      <c r="HJ144" s="174"/>
      <c r="HK144" s="174"/>
      <c r="HL144" s="174"/>
      <c r="HM144" s="174"/>
      <c r="HN144" s="174"/>
      <c r="HO144" s="174"/>
      <c r="HP144" s="174"/>
      <c r="HQ144" s="174"/>
      <c r="HR144" s="174"/>
      <c r="HS144" s="174"/>
      <c r="HT144" s="174"/>
      <c r="HU144" s="174"/>
      <c r="HV144" s="174"/>
      <c r="HW144" s="174"/>
      <c r="HX144" s="174"/>
      <c r="HY144" s="174"/>
      <c r="HZ144" s="174"/>
      <c r="IA144" s="174"/>
      <c r="IB144" s="174"/>
      <c r="IC144" s="174"/>
      <c r="ID144" s="174"/>
      <c r="IE144" s="174"/>
      <c r="IF144" s="174"/>
      <c r="IG144" s="174"/>
      <c r="IH144" s="174"/>
      <c r="II144" s="174"/>
      <c r="IJ144" s="174"/>
      <c r="IK144" s="174"/>
      <c r="IL144" s="174"/>
      <c r="IM144" s="174"/>
      <c r="IN144" s="174"/>
      <c r="IO144" s="174"/>
      <c r="IP144" s="174"/>
      <c r="IQ144" s="174"/>
      <c r="IR144" s="174"/>
      <c r="IS144" s="174"/>
      <c r="IT144" s="174"/>
      <c r="IU144" s="174"/>
      <c r="IV144" s="174"/>
      <c r="IW144" s="174"/>
    </row>
    <row r="145" customFormat="false" ht="12.75" hidden="false" customHeight="false" outlineLevel="0" collapsed="false">
      <c r="A145" s="228"/>
      <c r="B145" s="174"/>
      <c r="C145" s="2"/>
      <c r="D145" s="2"/>
      <c r="E145" s="2"/>
      <c r="F145" s="2"/>
      <c r="G145" s="2"/>
      <c r="H145" s="2"/>
      <c r="I145" s="2"/>
      <c r="J145" s="3"/>
      <c r="K145" s="2"/>
      <c r="L145" s="3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28" t="s">
        <v>162</v>
      </c>
      <c r="B146" s="160"/>
      <c r="C146" s="2"/>
      <c r="D146" s="2"/>
      <c r="E146" s="2"/>
      <c r="F146" s="2"/>
      <c r="G146" s="2"/>
      <c r="H146" s="2"/>
      <c r="I146" s="2"/>
      <c r="J146" s="3" t="s">
        <v>141</v>
      </c>
      <c r="K146" s="2"/>
      <c r="L146" s="34" t="s">
        <v>151</v>
      </c>
      <c r="M146" s="24"/>
      <c r="N146" s="24" t="n">
        <v>0</v>
      </c>
      <c r="O146" s="24"/>
      <c r="P146" s="24" t="n">
        <v>0</v>
      </c>
      <c r="Q146" s="24"/>
      <c r="R146" s="24" t="n">
        <v>0</v>
      </c>
      <c r="S146" s="24"/>
      <c r="T146" s="24" t="n">
        <v>0</v>
      </c>
      <c r="U146" s="24"/>
      <c r="V146" s="24" t="n">
        <v>0</v>
      </c>
      <c r="W146" s="24"/>
      <c r="X146" s="24" t="n">
        <v>0</v>
      </c>
      <c r="Y146" s="24"/>
      <c r="Z146" s="24" t="n">
        <v>0</v>
      </c>
      <c r="AA146" s="24"/>
      <c r="AB146" s="24" t="n">
        <v>0</v>
      </c>
      <c r="AC146" s="24"/>
      <c r="AD146" s="24" t="n">
        <v>0</v>
      </c>
      <c r="AE146" s="24"/>
      <c r="AF146" s="24" t="n">
        <v>0</v>
      </c>
      <c r="AG146" s="24"/>
      <c r="AH146" s="24" t="n">
        <v>0</v>
      </c>
      <c r="AI146" s="24"/>
      <c r="AJ146" s="24" t="n">
        <v>0</v>
      </c>
      <c r="AK146" s="24"/>
      <c r="AL146" s="24"/>
      <c r="AM146" s="24"/>
      <c r="AN146" s="24" t="n">
        <v>0</v>
      </c>
      <c r="AO146" s="24"/>
      <c r="AP146" s="24" t="n">
        <v>0</v>
      </c>
      <c r="AQ146" s="24"/>
      <c r="AR146" s="24" t="n">
        <v>0</v>
      </c>
      <c r="AS146" s="24"/>
      <c r="AT146" s="24" t="n">
        <v>0</v>
      </c>
      <c r="AU146" s="24"/>
      <c r="AV146" s="24" t="n">
        <v>0</v>
      </c>
      <c r="AW146" s="24"/>
      <c r="AX146" s="24" t="n">
        <v>0</v>
      </c>
      <c r="AY146" s="24"/>
      <c r="AZ146" s="24" t="n">
        <v>0</v>
      </c>
      <c r="BA146" s="24"/>
      <c r="BB146" s="24" t="n">
        <v>0</v>
      </c>
      <c r="BC146" s="24"/>
      <c r="BD146" s="24" t="n">
        <v>0</v>
      </c>
      <c r="BE146" s="24"/>
      <c r="BF146" s="24" t="n">
        <v>0</v>
      </c>
      <c r="BG146" s="24"/>
      <c r="BH146" s="24" t="n">
        <v>0</v>
      </c>
      <c r="BI146" s="24"/>
      <c r="BJ146" s="24" t="n">
        <v>0</v>
      </c>
      <c r="BK146" s="24"/>
      <c r="BL146" s="24" t="n">
        <v>0</v>
      </c>
      <c r="BM146" s="24"/>
      <c r="BN146" s="24" t="n">
        <f aca="false">SUM(T146:BM146)</f>
        <v>0</v>
      </c>
      <c r="BO146" s="24"/>
      <c r="BP146" s="24" t="n">
        <v>0</v>
      </c>
      <c r="BQ146" s="24"/>
      <c r="BR146" s="110" t="n">
        <f aca="false">IF(+R146-BN146+BP146&gt;0,R146-BN146+BP146,0)</f>
        <v>0</v>
      </c>
      <c r="BS146" s="24"/>
      <c r="BT146" s="24" t="n">
        <f aca="false">+BN146+BR146</f>
        <v>0</v>
      </c>
      <c r="BU146" s="24"/>
      <c r="BV146" s="24" t="n">
        <f aca="false">+R146-BT146</f>
        <v>0</v>
      </c>
      <c r="BW146" s="24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228"/>
      <c r="B147" s="174"/>
      <c r="C147" s="2"/>
      <c r="D147" s="2"/>
      <c r="E147" s="2"/>
      <c r="F147" s="2"/>
      <c r="G147" s="2"/>
      <c r="H147" s="2"/>
      <c r="I147" s="2"/>
      <c r="J147" s="3"/>
      <c r="K147" s="2"/>
      <c r="L147" s="3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228" t="s">
        <v>250</v>
      </c>
      <c r="B148" s="118"/>
      <c r="C148" s="0"/>
      <c r="D148" s="0"/>
      <c r="E148" s="0"/>
      <c r="F148" s="0"/>
      <c r="G148" s="0"/>
      <c r="H148" s="0"/>
      <c r="I148" s="0"/>
      <c r="J148" s="4"/>
      <c r="K148" s="0"/>
      <c r="L148" s="34"/>
      <c r="M148" s="110"/>
      <c r="O148" s="110"/>
      <c r="Q148" s="110"/>
      <c r="S148" s="110"/>
      <c r="T148" s="110"/>
      <c r="U148" s="110"/>
      <c r="V148" s="110"/>
      <c r="X148" s="110"/>
      <c r="Z148" s="110"/>
      <c r="AB148" s="110"/>
      <c r="AD148" s="110"/>
      <c r="BL148" s="110"/>
      <c r="BM148" s="110"/>
      <c r="BO148" s="110"/>
      <c r="BP148" s="110"/>
      <c r="BQ148" s="110"/>
      <c r="BW148" s="110"/>
    </row>
    <row r="149" customFormat="false" ht="12.75" hidden="false" customHeight="false" outlineLevel="0" collapsed="false">
      <c r="A149" s="232"/>
      <c r="B149" s="118" t="s">
        <v>251</v>
      </c>
      <c r="E149" s="119"/>
      <c r="G149" s="119"/>
      <c r="I149" s="119"/>
      <c r="J149" s="120" t="s">
        <v>141</v>
      </c>
      <c r="L149" s="34" t="s">
        <v>151</v>
      </c>
      <c r="M149" s="110"/>
      <c r="N149" s="110" t="n">
        <v>0</v>
      </c>
      <c r="O149" s="110"/>
      <c r="P149" s="110" t="n">
        <v>0</v>
      </c>
      <c r="Q149" s="110"/>
      <c r="R149" s="110" t="n">
        <v>0</v>
      </c>
      <c r="S149" s="110"/>
      <c r="T149" s="110" t="n">
        <v>0</v>
      </c>
      <c r="U149" s="110"/>
      <c r="V149" s="110" t="n">
        <v>0</v>
      </c>
      <c r="X149" s="110" t="n">
        <v>0</v>
      </c>
      <c r="Z149" s="110" t="n">
        <v>0</v>
      </c>
      <c r="AB149" s="110" t="n">
        <v>0</v>
      </c>
      <c r="AD149" s="110" t="n">
        <v>0</v>
      </c>
      <c r="AF149" s="110" t="n">
        <v>6000</v>
      </c>
      <c r="AH149" s="110" t="n">
        <v>0</v>
      </c>
      <c r="AJ149" s="110" t="n">
        <v>0</v>
      </c>
      <c r="AN149" s="110" t="n">
        <v>0</v>
      </c>
      <c r="AP149" s="110" t="n">
        <v>0</v>
      </c>
      <c r="AR149" s="110" t="n">
        <v>6000</v>
      </c>
      <c r="AT149" s="110" t="n">
        <v>0</v>
      </c>
      <c r="AV149" s="110" t="n">
        <v>0</v>
      </c>
      <c r="AX149" s="110" t="n">
        <v>0</v>
      </c>
      <c r="AZ149" s="110" t="n">
        <v>0</v>
      </c>
      <c r="BB149" s="110" t="n">
        <v>0</v>
      </c>
      <c r="BD149" s="110" t="n">
        <v>6000</v>
      </c>
      <c r="BF149" s="110" t="n">
        <v>0</v>
      </c>
      <c r="BH149" s="110" t="n">
        <v>0</v>
      </c>
      <c r="BJ149" s="110" t="n">
        <v>0</v>
      </c>
      <c r="BL149" s="110" t="n">
        <v>0</v>
      </c>
      <c r="BM149" s="110"/>
      <c r="BN149" s="110" t="n">
        <f aca="false">SUM(T149:BM149)</f>
        <v>18000</v>
      </c>
      <c r="BO149" s="110"/>
      <c r="BP149" s="110" t="n">
        <v>0</v>
      </c>
      <c r="BQ149" s="110"/>
      <c r="BR149" s="110" t="n">
        <f aca="false">IF(+R149-BN149+BP149&gt;0,R149-BN149+BP149,0)</f>
        <v>0</v>
      </c>
      <c r="BT149" s="110" t="n">
        <f aca="false">+BN149+BR149</f>
        <v>18000</v>
      </c>
      <c r="BV149" s="110" t="n">
        <f aca="false">+R149-BT149</f>
        <v>-18000</v>
      </c>
      <c r="BW149" s="110"/>
    </row>
    <row r="150" customFormat="false" ht="12.75" hidden="false" customHeight="false" outlineLevel="0" collapsed="false">
      <c r="A150" s="232"/>
      <c r="B150" s="118" t="s">
        <v>252</v>
      </c>
      <c r="E150" s="119"/>
      <c r="G150" s="119"/>
      <c r="I150" s="119"/>
      <c r="J150" s="120" t="s">
        <v>141</v>
      </c>
      <c r="L150" s="34" t="s">
        <v>151</v>
      </c>
      <c r="M150" s="110"/>
      <c r="O150" s="110"/>
      <c r="Q150" s="110"/>
      <c r="R150" s="110" t="n">
        <v>0</v>
      </c>
      <c r="S150" s="110"/>
      <c r="T150" s="110" t="n">
        <v>0</v>
      </c>
      <c r="U150" s="110"/>
      <c r="V150" s="110" t="n">
        <v>0</v>
      </c>
      <c r="X150" s="110" t="n">
        <v>0</v>
      </c>
      <c r="Z150" s="110" t="n">
        <v>0</v>
      </c>
      <c r="AB150" s="110" t="n">
        <v>0</v>
      </c>
      <c r="AD150" s="110" t="n">
        <v>0</v>
      </c>
      <c r="AF150" s="110" t="n">
        <v>0</v>
      </c>
      <c r="AH150" s="110" t="n">
        <v>0</v>
      </c>
      <c r="AJ150" s="110" t="n">
        <v>0</v>
      </c>
      <c r="AN150" s="110" t="n">
        <v>0</v>
      </c>
      <c r="AP150" s="110" t="n">
        <v>0</v>
      </c>
      <c r="AR150" s="110" t="n">
        <v>0</v>
      </c>
      <c r="AT150" s="110" t="n">
        <v>0</v>
      </c>
      <c r="AV150" s="110" t="n">
        <v>0</v>
      </c>
      <c r="AX150" s="110" t="n">
        <v>0</v>
      </c>
      <c r="AZ150" s="110" t="n">
        <v>0</v>
      </c>
      <c r="BB150" s="110" t="n">
        <v>0</v>
      </c>
      <c r="BD150" s="110" t="n">
        <v>0</v>
      </c>
      <c r="BF150" s="110" t="n">
        <v>0</v>
      </c>
      <c r="BH150" s="110" t="n">
        <v>0</v>
      </c>
      <c r="BJ150" s="110" t="n">
        <v>0</v>
      </c>
      <c r="BL150" s="110" t="n">
        <v>0</v>
      </c>
      <c r="BM150" s="110"/>
      <c r="BN150" s="110" t="n">
        <f aca="false">SUM(T150:BM150)</f>
        <v>0</v>
      </c>
      <c r="BO150" s="110"/>
      <c r="BP150" s="110" t="n">
        <v>0</v>
      </c>
      <c r="BQ150" s="110"/>
      <c r="BR150" s="110" t="n">
        <f aca="false">IF(+R150-BN150+BP150&gt;0,R150-BN150+BP150,0)</f>
        <v>0</v>
      </c>
      <c r="BT150" s="110" t="n">
        <f aca="false">+BN150+BR150</f>
        <v>0</v>
      </c>
      <c r="BV150" s="110" t="n">
        <f aca="false">+R150-BT150</f>
        <v>0</v>
      </c>
      <c r="BW150" s="110"/>
    </row>
    <row r="151" customFormat="false" ht="12.75" hidden="false" customHeight="false" outlineLevel="0" collapsed="false">
      <c r="A151" s="232"/>
      <c r="B151" s="118" t="s">
        <v>376</v>
      </c>
      <c r="E151" s="119"/>
      <c r="G151" s="119"/>
      <c r="I151" s="119"/>
      <c r="J151" s="120" t="s">
        <v>141</v>
      </c>
      <c r="L151" s="34" t="s">
        <v>151</v>
      </c>
      <c r="M151" s="110"/>
      <c r="O151" s="110"/>
      <c r="Q151" s="110"/>
      <c r="R151" s="110" t="n">
        <v>0</v>
      </c>
      <c r="S151" s="110"/>
      <c r="T151" s="110" t="n">
        <v>0</v>
      </c>
      <c r="U151" s="110"/>
      <c r="V151" s="110" t="n">
        <v>0</v>
      </c>
      <c r="X151" s="110" t="n">
        <v>0</v>
      </c>
      <c r="Z151" s="110" t="n">
        <v>0</v>
      </c>
      <c r="AB151" s="110" t="n">
        <v>0</v>
      </c>
      <c r="AD151" s="110" t="n">
        <v>0</v>
      </c>
      <c r="AF151" s="110" t="n">
        <v>0</v>
      </c>
      <c r="AH151" s="110" t="n">
        <v>0</v>
      </c>
      <c r="AJ151" s="110" t="n">
        <v>0</v>
      </c>
      <c r="AL151" s="110" t="n">
        <v>-369041</v>
      </c>
      <c r="AN151" s="110" t="n">
        <v>369040.52</v>
      </c>
      <c r="AP151" s="110" t="n">
        <v>294743.68</v>
      </c>
      <c r="AT151" s="110" t="n">
        <v>0</v>
      </c>
      <c r="AV151" s="110" t="n">
        <v>0</v>
      </c>
      <c r="AX151" s="110" t="n">
        <v>0</v>
      </c>
      <c r="AZ151" s="110" t="n">
        <v>0</v>
      </c>
      <c r="BB151" s="110" t="n">
        <v>0</v>
      </c>
      <c r="BD151" s="110" t="n">
        <v>0</v>
      </c>
      <c r="BF151" s="110" t="n">
        <v>0</v>
      </c>
      <c r="BH151" s="110" t="n">
        <v>0</v>
      </c>
      <c r="BJ151" s="110" t="n">
        <v>0</v>
      </c>
      <c r="BL151" s="110" t="n">
        <v>0</v>
      </c>
      <c r="BM151" s="110"/>
      <c r="BN151" s="110" t="n">
        <f aca="false">SUM(T151:BM151)</f>
        <v>294743.2</v>
      </c>
      <c r="BO151" s="110"/>
      <c r="BP151" s="110" t="n">
        <v>0</v>
      </c>
      <c r="BQ151" s="110"/>
      <c r="BR151" s="110" t="n">
        <f aca="false">IF(+R151-BN151+BP151&gt;0,R151-BN151+BP151,0)</f>
        <v>0</v>
      </c>
      <c r="BT151" s="110" t="n">
        <f aca="false">+BN151+BR151</f>
        <v>294743.2</v>
      </c>
      <c r="BV151" s="110" t="n">
        <f aca="false">+R151-BT151</f>
        <v>-294743.2</v>
      </c>
      <c r="BW151" s="110"/>
    </row>
    <row r="152" customFormat="false" ht="12.75" hidden="false" customHeight="false" outlineLevel="0" collapsed="false">
      <c r="A152" s="232"/>
      <c r="B152" s="118" t="s">
        <v>254</v>
      </c>
      <c r="E152" s="119"/>
      <c r="G152" s="119"/>
      <c r="I152" s="119"/>
      <c r="J152" s="120" t="s">
        <v>141</v>
      </c>
      <c r="L152" s="34" t="s">
        <v>151</v>
      </c>
      <c r="M152" s="110"/>
      <c r="O152" s="110"/>
      <c r="Q152" s="110"/>
      <c r="R152" s="110" t="n">
        <v>0</v>
      </c>
      <c r="S152" s="110"/>
      <c r="T152" s="110"/>
      <c r="U152" s="110"/>
      <c r="V152" s="110"/>
      <c r="X152" s="110"/>
      <c r="Z152" s="110"/>
      <c r="AB152" s="110"/>
      <c r="AD152" s="110"/>
      <c r="BL152" s="110"/>
      <c r="BM152" s="110"/>
      <c r="BO152" s="110"/>
      <c r="BP152" s="110"/>
      <c r="BQ152" s="110"/>
      <c r="BR152" s="110" t="n">
        <f aca="false">IF(+R152-BN152+BP152&gt;0,R152-BN152+BP152,0)</f>
        <v>0</v>
      </c>
      <c r="BT152" s="110" t="n">
        <f aca="false">+BN152+BR152</f>
        <v>0</v>
      </c>
      <c r="BV152" s="110" t="n">
        <f aca="false">+R152-BT152</f>
        <v>0</v>
      </c>
      <c r="BW152" s="110"/>
    </row>
    <row r="153" customFormat="false" ht="12.75" hidden="false" customHeight="false" outlineLevel="0" collapsed="false">
      <c r="A153" s="228"/>
      <c r="B153" s="174" t="s">
        <v>255</v>
      </c>
      <c r="C153" s="2"/>
      <c r="D153" s="2"/>
      <c r="E153" s="2"/>
      <c r="F153" s="2"/>
      <c r="G153" s="2"/>
      <c r="H153" s="2"/>
      <c r="I153" s="2"/>
      <c r="J153" s="3"/>
      <c r="K153" s="2"/>
      <c r="L153" s="179"/>
      <c r="M153" s="24"/>
      <c r="N153" s="198" t="n">
        <f aca="false">SUM(N149:N152)</f>
        <v>0</v>
      </c>
      <c r="O153" s="24"/>
      <c r="P153" s="198" t="n">
        <f aca="false">SUM(P149:P152)</f>
        <v>0</v>
      </c>
      <c r="Q153" s="24"/>
      <c r="R153" s="198" t="n">
        <f aca="false">SUM(R149:R152)</f>
        <v>0</v>
      </c>
      <c r="S153" s="24"/>
      <c r="T153" s="198" t="n">
        <f aca="false">SUM(T149:T152)</f>
        <v>0</v>
      </c>
      <c r="U153" s="24"/>
      <c r="V153" s="198" t="n">
        <f aca="false">SUM(V149:V152)</f>
        <v>0</v>
      </c>
      <c r="W153" s="24"/>
      <c r="X153" s="198" t="n">
        <f aca="false">SUM(X149:X152)</f>
        <v>0</v>
      </c>
      <c r="Y153" s="24"/>
      <c r="Z153" s="198" t="n">
        <f aca="false">SUM(Z149:Z152)</f>
        <v>0</v>
      </c>
      <c r="AA153" s="24"/>
      <c r="AB153" s="198" t="n">
        <f aca="false">SUM(AB149:AB152)</f>
        <v>0</v>
      </c>
      <c r="AC153" s="24"/>
      <c r="AD153" s="198" t="n">
        <f aca="false">SUM(AD149:AD152)</f>
        <v>0</v>
      </c>
      <c r="AE153" s="24"/>
      <c r="AF153" s="198" t="n">
        <f aca="false">SUM(AF149:AF152)</f>
        <v>6000</v>
      </c>
      <c r="AG153" s="24"/>
      <c r="AH153" s="198" t="n">
        <f aca="false">SUM(AH149:AH152)</f>
        <v>0</v>
      </c>
      <c r="AI153" s="24"/>
      <c r="AJ153" s="198" t="n">
        <f aca="false">SUM(AJ149:AJ152)</f>
        <v>0</v>
      </c>
      <c r="AK153" s="24"/>
      <c r="AL153" s="198" t="n">
        <f aca="false">SUM(AL149:AL152)</f>
        <v>-369041</v>
      </c>
      <c r="AM153" s="198"/>
      <c r="AN153" s="198" t="n">
        <f aca="false">SUM(AN149:AN152)</f>
        <v>369040.52</v>
      </c>
      <c r="AO153" s="24"/>
      <c r="AP153" s="198" t="n">
        <f aca="false">SUM(AP149:AP152)</f>
        <v>294743.68</v>
      </c>
      <c r="AQ153" s="24"/>
      <c r="AR153" s="198" t="n">
        <f aca="false">SUM(AR149:AR152)</f>
        <v>6000</v>
      </c>
      <c r="AS153" s="24"/>
      <c r="AT153" s="198" t="n">
        <f aca="false">SUM(AT149:AT152)</f>
        <v>0</v>
      </c>
      <c r="AU153" s="24"/>
      <c r="AV153" s="198" t="n">
        <f aca="false">SUM(AV149:AV152)</f>
        <v>0</v>
      </c>
      <c r="AW153" s="24"/>
      <c r="AX153" s="198" t="n">
        <f aca="false">SUM(AX149:AX152)</f>
        <v>0</v>
      </c>
      <c r="AY153" s="24"/>
      <c r="AZ153" s="198" t="n">
        <f aca="false">SUM(AZ149:AZ152)</f>
        <v>0</v>
      </c>
      <c r="BA153" s="24"/>
      <c r="BB153" s="198" t="n">
        <f aca="false">SUM(BB149:BB152)</f>
        <v>0</v>
      </c>
      <c r="BC153" s="24"/>
      <c r="BD153" s="198" t="n">
        <f aca="false">SUM(BD149:BD152)</f>
        <v>6000</v>
      </c>
      <c r="BE153" s="24"/>
      <c r="BF153" s="198" t="n">
        <f aca="false">SUM(BF149:BF152)</f>
        <v>0</v>
      </c>
      <c r="BG153" s="24"/>
      <c r="BH153" s="198" t="n">
        <f aca="false">SUM(BH149:BH152)</f>
        <v>0</v>
      </c>
      <c r="BI153" s="24"/>
      <c r="BJ153" s="198" t="n">
        <f aca="false">SUM(BJ149:BJ152)</f>
        <v>0</v>
      </c>
      <c r="BK153" s="24"/>
      <c r="BL153" s="198" t="n">
        <f aca="false">SUM(BL149:BL152)</f>
        <v>0</v>
      </c>
      <c r="BM153" s="24"/>
      <c r="BN153" s="198" t="n">
        <f aca="false">SUM(BN149:BN152)</f>
        <v>312743.2</v>
      </c>
      <c r="BO153" s="24"/>
      <c r="BP153" s="198" t="n">
        <f aca="false">SUM(BP149:BP152)</f>
        <v>0</v>
      </c>
      <c r="BQ153" s="24"/>
      <c r="BR153" s="198" t="n">
        <f aca="false">SUM(BR149:BR152)</f>
        <v>0</v>
      </c>
      <c r="BS153" s="24"/>
      <c r="BT153" s="198" t="n">
        <f aca="false">SUM(BT149:BT152)</f>
        <v>312743.2</v>
      </c>
      <c r="BU153" s="24"/>
      <c r="BV153" s="198" t="n">
        <f aca="false">SUM(BV149:BV152)</f>
        <v>-312743.2</v>
      </c>
      <c r="BW153" s="24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228"/>
      <c r="B154" s="174"/>
      <c r="C154" s="2"/>
      <c r="D154" s="2"/>
      <c r="E154" s="2"/>
      <c r="F154" s="2"/>
      <c r="G154" s="2"/>
      <c r="H154" s="2"/>
      <c r="I154" s="2"/>
      <c r="J154" s="3"/>
      <c r="K154" s="2"/>
      <c r="L154" s="3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228" t="s">
        <v>256</v>
      </c>
      <c r="B155" s="118"/>
      <c r="C155" s="0"/>
      <c r="D155" s="0"/>
      <c r="E155" s="0"/>
      <c r="F155" s="0"/>
      <c r="G155" s="0"/>
      <c r="H155" s="0"/>
      <c r="I155" s="0"/>
      <c r="J155" s="4"/>
      <c r="K155" s="0"/>
      <c r="L155" s="34"/>
      <c r="M155" s="110"/>
      <c r="O155" s="110"/>
      <c r="Q155" s="110"/>
      <c r="S155" s="110"/>
      <c r="T155" s="110"/>
      <c r="U155" s="110"/>
      <c r="V155" s="110"/>
      <c r="X155" s="110"/>
      <c r="Z155" s="110"/>
      <c r="AB155" s="110"/>
      <c r="AD155" s="110"/>
      <c r="BL155" s="110"/>
      <c r="BM155" s="110"/>
      <c r="BO155" s="110"/>
      <c r="BP155" s="110"/>
      <c r="BQ155" s="110"/>
      <c r="BW155" s="110"/>
    </row>
    <row r="156" customFormat="false" ht="12.75" hidden="false" customHeight="false" outlineLevel="0" collapsed="false">
      <c r="A156" s="228"/>
      <c r="B156" s="118" t="s">
        <v>377</v>
      </c>
      <c r="C156" s="0"/>
      <c r="D156" s="0"/>
      <c r="E156" s="0"/>
      <c r="F156" s="0"/>
      <c r="G156" s="0"/>
      <c r="H156" s="0"/>
      <c r="I156" s="0"/>
      <c r="J156" s="4"/>
      <c r="K156" s="0"/>
      <c r="L156" s="34" t="s">
        <v>258</v>
      </c>
      <c r="M156" s="110"/>
      <c r="N156" s="110" t="n">
        <v>0</v>
      </c>
      <c r="O156" s="110"/>
      <c r="P156" s="110" t="n">
        <v>0</v>
      </c>
      <c r="Q156" s="110"/>
      <c r="R156" s="110" t="n">
        <v>0</v>
      </c>
      <c r="S156" s="110"/>
      <c r="T156" s="110" t="n">
        <v>0</v>
      </c>
      <c r="U156" s="110"/>
      <c r="V156" s="110" t="n">
        <v>0</v>
      </c>
      <c r="X156" s="110" t="n">
        <v>0</v>
      </c>
      <c r="Z156" s="110" t="n">
        <v>0</v>
      </c>
      <c r="AB156" s="110" t="n">
        <v>0</v>
      </c>
      <c r="AD156" s="110" t="n">
        <v>23801.2</v>
      </c>
      <c r="AF156" s="110" t="n">
        <v>35510.12</v>
      </c>
      <c r="AH156" s="110" t="n">
        <f aca="false">30284.2+9574.9</f>
        <v>39859.1</v>
      </c>
      <c r="AJ156" s="110" t="n">
        <v>0</v>
      </c>
      <c r="AL156" s="110" t="n">
        <v>-69419</v>
      </c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/>
      <c r="BN156" s="110" t="n">
        <f aca="false">SUM(T156:BM156)</f>
        <v>29751.42</v>
      </c>
      <c r="BO156" s="110"/>
      <c r="BP156" s="122" t="n">
        <v>0</v>
      </c>
      <c r="BQ156" s="110"/>
      <c r="BR156" s="110" t="n">
        <f aca="false">IF(+R156-BN156+BP156&gt;0,R156-BN156+BP156,0)</f>
        <v>0</v>
      </c>
      <c r="BT156" s="110" t="n">
        <f aca="false">+BN156+BR156</f>
        <v>29751.42</v>
      </c>
      <c r="BV156" s="110" t="n">
        <f aca="false">+R156-BN156-BR156</f>
        <v>-29751.42</v>
      </c>
      <c r="BW156" s="110"/>
    </row>
    <row r="157" customFormat="false" ht="12.75" hidden="false" customHeight="false" outlineLevel="0" collapsed="false">
      <c r="A157" s="225"/>
      <c r="B157" s="161" t="s">
        <v>378</v>
      </c>
      <c r="C157" s="0"/>
      <c r="D157" s="0"/>
      <c r="E157" s="0"/>
      <c r="F157" s="0"/>
      <c r="G157" s="0"/>
      <c r="H157" s="0"/>
      <c r="I157" s="0"/>
      <c r="J157" s="4"/>
      <c r="K157" s="0"/>
      <c r="L157" s="34" t="s">
        <v>258</v>
      </c>
      <c r="M157" s="110"/>
      <c r="N157" s="110" t="n">
        <v>0</v>
      </c>
      <c r="O157" s="110"/>
      <c r="P157" s="110" t="n">
        <v>0</v>
      </c>
      <c r="Q157" s="110"/>
      <c r="R157" s="110" t="n">
        <v>0</v>
      </c>
      <c r="S157" s="110"/>
      <c r="T157" s="110" t="n">
        <v>0</v>
      </c>
      <c r="U157" s="110"/>
      <c r="V157" s="110" t="n">
        <v>0</v>
      </c>
      <c r="X157" s="110" t="n">
        <v>0</v>
      </c>
      <c r="Z157" s="110" t="n">
        <v>0</v>
      </c>
      <c r="AB157" s="110" t="n">
        <v>0</v>
      </c>
      <c r="AD157" s="110" t="n">
        <v>4183.38</v>
      </c>
      <c r="AF157" s="110" t="n">
        <v>10970</v>
      </c>
      <c r="AH157" s="110" t="n">
        <f aca="false">4864.1+4137.5</f>
        <v>9001.6</v>
      </c>
      <c r="AJ157" s="110" t="n">
        <v>0</v>
      </c>
      <c r="AN157" s="110" t="n">
        <v>0</v>
      </c>
      <c r="AP157" s="110" t="n">
        <v>0</v>
      </c>
      <c r="AR157" s="110" t="n">
        <v>0</v>
      </c>
      <c r="AT157" s="110" t="n">
        <v>0</v>
      </c>
      <c r="AV157" s="110" t="n">
        <v>0</v>
      </c>
      <c r="AX157" s="110" t="n">
        <v>0</v>
      </c>
      <c r="AZ157" s="110" t="n">
        <v>0</v>
      </c>
      <c r="BB157" s="110" t="n">
        <v>0</v>
      </c>
      <c r="BD157" s="110" t="n">
        <v>0</v>
      </c>
      <c r="BF157" s="110" t="n">
        <v>0</v>
      </c>
      <c r="BH157" s="110" t="n">
        <v>0</v>
      </c>
      <c r="BJ157" s="110" t="n">
        <v>0</v>
      </c>
      <c r="BL157" s="110" t="n">
        <v>0</v>
      </c>
      <c r="BM157" s="110"/>
      <c r="BN157" s="110" t="n">
        <f aca="false">SUM(T157:BM157)</f>
        <v>24154.98</v>
      </c>
      <c r="BO157" s="110"/>
      <c r="BP157" s="122" t="n">
        <v>0</v>
      </c>
      <c r="BQ157" s="110"/>
      <c r="BR157" s="110" t="n">
        <f aca="false">IF(+R157-BN157+BP157&gt;0,R157-BN157+BP157,0)</f>
        <v>0</v>
      </c>
      <c r="BT157" s="110" t="n">
        <f aca="false">+BN157+BR157</f>
        <v>24154.98</v>
      </c>
      <c r="BV157" s="110" t="n">
        <f aca="false">+R157-BT157</f>
        <v>-24154.98</v>
      </c>
      <c r="BW157" s="110"/>
    </row>
    <row r="158" customFormat="false" ht="12.75" hidden="false" customHeight="false" outlineLevel="0" collapsed="false">
      <c r="A158" s="225"/>
      <c r="B158" s="161" t="s">
        <v>379</v>
      </c>
      <c r="C158" s="0"/>
      <c r="D158" s="0"/>
      <c r="E158" s="0"/>
      <c r="F158" s="0"/>
      <c r="G158" s="0"/>
      <c r="H158" s="0"/>
      <c r="I158" s="0"/>
      <c r="J158" s="4"/>
      <c r="K158" s="0"/>
      <c r="L158" s="34" t="s">
        <v>258</v>
      </c>
      <c r="M158" s="110"/>
      <c r="O158" s="110"/>
      <c r="P158" s="110" t="n">
        <v>0</v>
      </c>
      <c r="Q158" s="110"/>
      <c r="R158" s="110" t="n">
        <v>0</v>
      </c>
      <c r="S158" s="110"/>
      <c r="T158" s="110" t="n">
        <v>0</v>
      </c>
      <c r="U158" s="110"/>
      <c r="V158" s="110" t="n">
        <v>0</v>
      </c>
      <c r="X158" s="110" t="n">
        <f aca="false">776+5384.28</f>
        <v>6160.28</v>
      </c>
      <c r="Z158" s="110" t="n">
        <v>12971</v>
      </c>
      <c r="AB158" s="110" t="n">
        <v>0</v>
      </c>
      <c r="AD158" s="110" t="n">
        <f aca="false">26787.21+127637.14</f>
        <v>154424.35</v>
      </c>
      <c r="AF158" s="110" t="n">
        <v>0</v>
      </c>
      <c r="AH158" s="110" t="n">
        <v>0</v>
      </c>
      <c r="AJ158" s="110" t="n">
        <v>0</v>
      </c>
      <c r="AN158" s="110" t="n">
        <v>0</v>
      </c>
      <c r="AP158" s="110" t="n">
        <v>0</v>
      </c>
      <c r="AR158" s="110" t="n">
        <v>0</v>
      </c>
      <c r="AT158" s="110" t="n">
        <v>0</v>
      </c>
      <c r="AV158" s="110" t="n">
        <v>0</v>
      </c>
      <c r="AX158" s="110" t="n">
        <v>0</v>
      </c>
      <c r="AZ158" s="110" t="n">
        <v>0</v>
      </c>
      <c r="BB158" s="110" t="n">
        <v>0</v>
      </c>
      <c r="BD158" s="110" t="n">
        <v>0</v>
      </c>
      <c r="BF158" s="110" t="n">
        <v>0</v>
      </c>
      <c r="BH158" s="110" t="n">
        <v>0</v>
      </c>
      <c r="BJ158" s="110" t="n">
        <v>0</v>
      </c>
      <c r="BL158" s="110" t="n">
        <v>0</v>
      </c>
      <c r="BM158" s="110"/>
      <c r="BN158" s="110" t="n">
        <f aca="false">SUM(T158:BM158)</f>
        <v>173555.63</v>
      </c>
      <c r="BO158" s="110"/>
      <c r="BP158" s="122" t="n">
        <v>0</v>
      </c>
      <c r="BQ158" s="110"/>
      <c r="BR158" s="110" t="n">
        <f aca="false">IF(+R158-BN158+BP158&gt;0,R158-BN158+BP158,0)</f>
        <v>0</v>
      </c>
      <c r="BT158" s="110" t="n">
        <f aca="false">+BN158+BR158</f>
        <v>173555.63</v>
      </c>
      <c r="BV158" s="110" t="n">
        <f aca="false">+R158-BT158</f>
        <v>-173555.63</v>
      </c>
      <c r="BW158" s="110"/>
    </row>
    <row r="159" customFormat="false" ht="12.75" hidden="false" customHeight="false" outlineLevel="0" collapsed="false">
      <c r="A159" s="225"/>
      <c r="B159" s="161" t="s">
        <v>380</v>
      </c>
      <c r="C159" s="0"/>
      <c r="D159" s="0"/>
      <c r="E159" s="0"/>
      <c r="F159" s="0"/>
      <c r="G159" s="0"/>
      <c r="H159" s="0"/>
      <c r="I159" s="0"/>
      <c r="J159" s="4"/>
      <c r="K159" s="0"/>
      <c r="L159" s="34" t="s">
        <v>258</v>
      </c>
      <c r="M159" s="110"/>
      <c r="O159" s="110"/>
      <c r="P159" s="110" t="n">
        <v>0</v>
      </c>
      <c r="Q159" s="110"/>
      <c r="R159" s="110" t="n">
        <v>0</v>
      </c>
      <c r="S159" s="110"/>
      <c r="T159" s="110" t="n">
        <v>0</v>
      </c>
      <c r="U159" s="110"/>
      <c r="V159" s="110" t="n">
        <v>500</v>
      </c>
      <c r="X159" s="110" t="n">
        <f aca="false">26175.94+7761.28+9133.76-776-5384.28</f>
        <v>36910.7</v>
      </c>
      <c r="Z159" s="110" t="n">
        <f aca="false">32361-12971</f>
        <v>19390</v>
      </c>
      <c r="AB159" s="110" t="n">
        <f aca="false">4296.87+2351.76</f>
        <v>6648.63</v>
      </c>
      <c r="AD159" s="110" t="n">
        <f aca="false">32813.71+11410.49+1</f>
        <v>44225.2</v>
      </c>
      <c r="AF159" s="110" t="n">
        <v>0</v>
      </c>
      <c r="AH159" s="110" t="n">
        <v>13721.51</v>
      </c>
      <c r="AJ159" s="110" t="n">
        <v>7968.98</v>
      </c>
      <c r="AN159" s="110" t="n">
        <v>0</v>
      </c>
      <c r="AP159" s="110" t="n">
        <v>0</v>
      </c>
      <c r="AR159" s="110" t="n">
        <v>0</v>
      </c>
      <c r="AT159" s="110" t="n">
        <v>0</v>
      </c>
      <c r="AV159" s="110" t="n">
        <v>0</v>
      </c>
      <c r="AX159" s="110" t="n">
        <v>0</v>
      </c>
      <c r="AZ159" s="110" t="n">
        <v>0</v>
      </c>
      <c r="BB159" s="110" t="n">
        <v>0</v>
      </c>
      <c r="BD159" s="110" t="n">
        <v>0</v>
      </c>
      <c r="BF159" s="110" t="n">
        <v>0</v>
      </c>
      <c r="BH159" s="110" t="n">
        <v>0</v>
      </c>
      <c r="BJ159" s="110" t="n">
        <v>0</v>
      </c>
      <c r="BL159" s="110" t="n">
        <v>0</v>
      </c>
      <c r="BM159" s="110"/>
      <c r="BN159" s="110" t="n">
        <f aca="false">SUM(T159:BM159)</f>
        <v>129365.02</v>
      </c>
      <c r="BO159" s="110"/>
      <c r="BP159" s="122" t="n">
        <v>0</v>
      </c>
      <c r="BQ159" s="110"/>
      <c r="BR159" s="110" t="n">
        <f aca="false">IF(+R159-BN159+BP159&gt;0,R159-BN159+BP159,0)</f>
        <v>0</v>
      </c>
      <c r="BT159" s="110" t="n">
        <f aca="false">+BN159+BR159</f>
        <v>129365.02</v>
      </c>
      <c r="BV159" s="110" t="n">
        <f aca="false">+R159-BT159</f>
        <v>-129365.02</v>
      </c>
      <c r="BW159" s="110"/>
    </row>
    <row r="160" customFormat="false" ht="12.75" hidden="false" customHeight="false" outlineLevel="0" collapsed="false">
      <c r="A160" s="225"/>
      <c r="B160" s="161" t="s">
        <v>381</v>
      </c>
      <c r="C160" s="0"/>
      <c r="D160" s="0"/>
      <c r="E160" s="0"/>
      <c r="F160" s="0"/>
      <c r="G160" s="0"/>
      <c r="H160" s="0"/>
      <c r="I160" s="0"/>
      <c r="J160" s="4"/>
      <c r="K160" s="0"/>
      <c r="L160" s="34" t="s">
        <v>258</v>
      </c>
      <c r="M160" s="110"/>
      <c r="O160" s="110"/>
      <c r="P160" s="110" t="n">
        <v>0</v>
      </c>
      <c r="Q160" s="110"/>
      <c r="R160" s="110" t="n">
        <v>0</v>
      </c>
      <c r="S160" s="110"/>
      <c r="T160" s="110" t="n">
        <v>0</v>
      </c>
      <c r="U160" s="110"/>
      <c r="V160" s="110" t="n">
        <v>0</v>
      </c>
      <c r="X160" s="110" t="n">
        <v>0</v>
      </c>
      <c r="Z160" s="110" t="n">
        <v>0</v>
      </c>
      <c r="AB160" s="110" t="n">
        <v>0</v>
      </c>
      <c r="AD160" s="110" t="n">
        <v>13095</v>
      </c>
      <c r="AF160" s="110" t="n">
        <v>0</v>
      </c>
      <c r="AH160" s="110" t="n">
        <v>0</v>
      </c>
      <c r="AJ160" s="110" t="n">
        <v>0</v>
      </c>
      <c r="AN160" s="110" t="n">
        <v>0</v>
      </c>
      <c r="AP160" s="110" t="n">
        <v>0</v>
      </c>
      <c r="AR160" s="110" t="n">
        <v>0</v>
      </c>
      <c r="AT160" s="110" t="n">
        <v>0</v>
      </c>
      <c r="AV160" s="110" t="n">
        <v>0</v>
      </c>
      <c r="AX160" s="110" t="n">
        <v>0</v>
      </c>
      <c r="AZ160" s="110" t="n">
        <v>0</v>
      </c>
      <c r="BB160" s="110" t="n">
        <v>0</v>
      </c>
      <c r="BD160" s="110" t="n">
        <v>0</v>
      </c>
      <c r="BF160" s="110" t="n">
        <v>0</v>
      </c>
      <c r="BH160" s="110" t="n">
        <v>0</v>
      </c>
      <c r="BJ160" s="110" t="n">
        <v>0</v>
      </c>
      <c r="BL160" s="110" t="n">
        <v>0</v>
      </c>
      <c r="BM160" s="110"/>
      <c r="BN160" s="110" t="n">
        <f aca="false">SUM(T160:BM160)</f>
        <v>13095</v>
      </c>
      <c r="BO160" s="110"/>
      <c r="BP160" s="122" t="n">
        <v>0</v>
      </c>
      <c r="BQ160" s="110"/>
      <c r="BR160" s="110" t="n">
        <f aca="false">IF(+R160-BN160+BP160&gt;0,R160-BN160+BP160,0)</f>
        <v>0</v>
      </c>
      <c r="BT160" s="110" t="n">
        <f aca="false">+BN160+BR160</f>
        <v>13095</v>
      </c>
      <c r="BV160" s="110" t="n">
        <f aca="false">+R160-BT160</f>
        <v>-13095</v>
      </c>
      <c r="BW160" s="110"/>
    </row>
    <row r="161" customFormat="false" ht="12.75" hidden="false" customHeight="false" outlineLevel="0" collapsed="false">
      <c r="A161" s="225"/>
      <c r="B161" s="161" t="s">
        <v>128</v>
      </c>
      <c r="C161" s="0"/>
      <c r="D161" s="0"/>
      <c r="E161" s="0"/>
      <c r="F161" s="0"/>
      <c r="G161" s="0"/>
      <c r="H161" s="0"/>
      <c r="I161" s="0"/>
      <c r="J161" s="4"/>
      <c r="K161" s="0"/>
      <c r="L161" s="34"/>
      <c r="M161" s="110"/>
      <c r="O161" s="110"/>
      <c r="Q161" s="110"/>
      <c r="R161" s="110" t="n">
        <v>0</v>
      </c>
      <c r="S161" s="110"/>
      <c r="T161" s="110"/>
      <c r="U161" s="110"/>
      <c r="V161" s="110"/>
      <c r="X161" s="110"/>
      <c r="Z161" s="110"/>
      <c r="AB161" s="110"/>
      <c r="AD161" s="110"/>
      <c r="AH161" s="110" t="n">
        <v>100</v>
      </c>
      <c r="AL161" s="110" t="n">
        <f aca="false">0</f>
        <v>0</v>
      </c>
      <c r="AN161" s="110" t="n">
        <f aca="false">379522-370022</f>
        <v>9500</v>
      </c>
      <c r="BL161" s="110"/>
      <c r="BM161" s="110"/>
      <c r="BN161" s="110" t="n">
        <f aca="false">SUM(T161:BM161)</f>
        <v>9600</v>
      </c>
      <c r="BO161" s="110"/>
      <c r="BP161" s="122" t="n">
        <v>0</v>
      </c>
      <c r="BQ161" s="110"/>
      <c r="BR161" s="110" t="n">
        <f aca="false">IF(+R161-BN161+BP161&gt;0,R161-BN161+BP161,0)</f>
        <v>0</v>
      </c>
      <c r="BT161" s="110" t="n">
        <f aca="false">+BN161+BR161</f>
        <v>9600</v>
      </c>
      <c r="BV161" s="110" t="n">
        <f aca="false">+R161-BT161</f>
        <v>-9600</v>
      </c>
      <c r="BW161" s="110"/>
    </row>
    <row r="162" customFormat="false" ht="12.75" hidden="false" customHeight="false" outlineLevel="0" collapsed="false">
      <c r="A162" s="225"/>
      <c r="B162" s="161"/>
      <c r="C162" s="0"/>
      <c r="D162" s="0"/>
      <c r="E162" s="0"/>
      <c r="F162" s="0"/>
      <c r="G162" s="0"/>
      <c r="H162" s="0"/>
      <c r="I162" s="0"/>
      <c r="J162" s="4"/>
      <c r="K162" s="0"/>
      <c r="L162" s="34"/>
      <c r="M162" s="110"/>
      <c r="O162" s="110"/>
      <c r="Q162" s="110"/>
      <c r="S162" s="110"/>
      <c r="T162" s="110"/>
      <c r="U162" s="110"/>
      <c r="V162" s="110"/>
      <c r="X162" s="110"/>
      <c r="Z162" s="110"/>
      <c r="AB162" s="110"/>
      <c r="AD162" s="110"/>
      <c r="BL162" s="110"/>
      <c r="BM162" s="110"/>
      <c r="BO162" s="110"/>
      <c r="BQ162" s="110"/>
      <c r="BR162" s="110" t="n">
        <f aca="false">IF(+R162-BN162+BP162&gt;0,R162-BN162+BP162,0)</f>
        <v>0</v>
      </c>
      <c r="BW162" s="110"/>
    </row>
    <row r="163" customFormat="false" ht="12.75" hidden="false" customHeight="false" outlineLevel="0" collapsed="false">
      <c r="A163" s="233"/>
      <c r="B163" s="160" t="s">
        <v>262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198" t="n">
        <f aca="false">SUM(N156:N162)</f>
        <v>0</v>
      </c>
      <c r="O163" s="24"/>
      <c r="P163" s="198" t="n">
        <f aca="false">SUM(P156:P162)</f>
        <v>0</v>
      </c>
      <c r="Q163" s="24"/>
      <c r="R163" s="198" t="n">
        <f aca="false">SUM(R156:R162)</f>
        <v>0</v>
      </c>
      <c r="S163" s="24"/>
      <c r="T163" s="198" t="n">
        <f aca="false">SUM(T156:T162)</f>
        <v>0</v>
      </c>
      <c r="U163" s="24"/>
      <c r="V163" s="198" t="n">
        <f aca="false">SUM(V156:V162)</f>
        <v>500</v>
      </c>
      <c r="W163" s="24"/>
      <c r="X163" s="198" t="n">
        <f aca="false">SUM(X156:X162)</f>
        <v>43070.98</v>
      </c>
      <c r="Y163" s="24"/>
      <c r="Z163" s="198" t="n">
        <f aca="false">SUM(Z156:Z162)</f>
        <v>32361</v>
      </c>
      <c r="AA163" s="24"/>
      <c r="AB163" s="198" t="n">
        <f aca="false">SUM(AB156:AB162)</f>
        <v>6648.63</v>
      </c>
      <c r="AC163" s="24"/>
      <c r="AD163" s="198" t="n">
        <f aca="false">SUM(AD156:AD162)</f>
        <v>239729.13</v>
      </c>
      <c r="AE163" s="24"/>
      <c r="AF163" s="198" t="n">
        <f aca="false">SUM(AF156:AF162)</f>
        <v>46480.12</v>
      </c>
      <c r="AG163" s="24"/>
      <c r="AH163" s="198" t="n">
        <f aca="false">SUM(AH156:AH162)</f>
        <v>62682.21</v>
      </c>
      <c r="AI163" s="24"/>
      <c r="AJ163" s="198" t="n">
        <f aca="false">SUM(AJ156:AJ162)</f>
        <v>7968.98</v>
      </c>
      <c r="AK163" s="24"/>
      <c r="AL163" s="198" t="n">
        <f aca="false">SUM(AL156:AL162)</f>
        <v>-69419</v>
      </c>
      <c r="AM163" s="198"/>
      <c r="AN163" s="198" t="n">
        <f aca="false">SUM(AN156:AN162)</f>
        <v>9500</v>
      </c>
      <c r="AO163" s="24"/>
      <c r="AP163" s="198" t="n">
        <f aca="false">SUM(AP156:AP162)</f>
        <v>0</v>
      </c>
      <c r="AQ163" s="24"/>
      <c r="AR163" s="198" t="n">
        <f aca="false">SUM(AR156:AR162)</f>
        <v>0</v>
      </c>
      <c r="AS163" s="24"/>
      <c r="AT163" s="198" t="n">
        <f aca="false">SUM(AT156:AT162)</f>
        <v>0</v>
      </c>
      <c r="AU163" s="24"/>
      <c r="AV163" s="198" t="n">
        <f aca="false">SUM(AV156:AV162)</f>
        <v>0</v>
      </c>
      <c r="AW163" s="24"/>
      <c r="AX163" s="198" t="n">
        <f aca="false">SUM(AX156:AX162)</f>
        <v>0</v>
      </c>
      <c r="AY163" s="24"/>
      <c r="AZ163" s="198" t="n">
        <f aca="false">SUM(AZ156:AZ162)</f>
        <v>0</v>
      </c>
      <c r="BA163" s="24"/>
      <c r="BB163" s="198" t="n">
        <f aca="false">SUM(BB156:BB162)</f>
        <v>0</v>
      </c>
      <c r="BC163" s="24"/>
      <c r="BD163" s="198" t="n">
        <f aca="false">SUM(BD156:BD162)</f>
        <v>0</v>
      </c>
      <c r="BE163" s="24"/>
      <c r="BF163" s="198" t="n">
        <f aca="false">SUM(BF156:BF162)</f>
        <v>0</v>
      </c>
      <c r="BG163" s="24"/>
      <c r="BH163" s="198" t="n">
        <f aca="false">SUM(BH156:BH162)</f>
        <v>0</v>
      </c>
      <c r="BI163" s="24"/>
      <c r="BJ163" s="198" t="n">
        <f aca="false">SUM(BJ156:BJ162)</f>
        <v>0</v>
      </c>
      <c r="BK163" s="24"/>
      <c r="BL163" s="198" t="n">
        <f aca="false">SUM(BL156:BL162)</f>
        <v>0</v>
      </c>
      <c r="BM163" s="24"/>
      <c r="BN163" s="198" t="n">
        <f aca="false">SUM(BN156:BN162)</f>
        <v>379522.05</v>
      </c>
      <c r="BO163" s="24"/>
      <c r="BP163" s="198" t="n">
        <f aca="false">SUM(BP156:BP162)</f>
        <v>0</v>
      </c>
      <c r="BQ163" s="24"/>
      <c r="BR163" s="198" t="n">
        <f aca="false">SUM(BR156:BR162)</f>
        <v>0</v>
      </c>
      <c r="BS163" s="24"/>
      <c r="BT163" s="198" t="n">
        <f aca="false">SUM(BT156:BT162)</f>
        <v>379522.05</v>
      </c>
      <c r="BU163" s="24"/>
      <c r="BV163" s="198" t="n">
        <f aca="false">SUM(BV156:BV162)</f>
        <v>-379522.05</v>
      </c>
      <c r="BW163" s="24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233"/>
      <c r="B164" s="160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228" t="s">
        <v>382</v>
      </c>
      <c r="B165" s="118"/>
      <c r="C165" s="0"/>
      <c r="D165" s="0"/>
      <c r="E165" s="0"/>
      <c r="F165" s="0"/>
      <c r="G165" s="0"/>
      <c r="H165" s="0"/>
      <c r="I165" s="0"/>
      <c r="J165" s="0"/>
      <c r="K165" s="34"/>
      <c r="L165" s="110"/>
      <c r="M165" s="110"/>
      <c r="O165" s="110"/>
      <c r="Q165" s="110"/>
      <c r="S165" s="110"/>
      <c r="T165" s="110"/>
      <c r="U165" s="110"/>
      <c r="V165" s="110"/>
      <c r="X165" s="110"/>
      <c r="Z165" s="110"/>
      <c r="AB165" s="110"/>
      <c r="AD165" s="110"/>
      <c r="BL165" s="110"/>
      <c r="BM165" s="110"/>
      <c r="BO165" s="110"/>
      <c r="BP165" s="110"/>
      <c r="BQ165" s="110"/>
      <c r="BV165" s="119"/>
    </row>
    <row r="166" customFormat="false" ht="12.75" hidden="false" customHeight="false" outlineLevel="0" collapsed="false">
      <c r="A166" s="228"/>
      <c r="B166" s="118" t="s">
        <v>383</v>
      </c>
      <c r="C166" s="0"/>
      <c r="D166" s="0"/>
      <c r="E166" s="0"/>
      <c r="F166" s="0"/>
      <c r="G166" s="0"/>
      <c r="H166" s="0"/>
      <c r="I166" s="0"/>
      <c r="J166" s="0"/>
      <c r="K166" s="34" t="s">
        <v>151</v>
      </c>
      <c r="L166" s="110"/>
      <c r="M166" s="110" t="n">
        <v>0</v>
      </c>
      <c r="O166" s="110" t="n">
        <v>60000</v>
      </c>
      <c r="Q166" s="110" t="n">
        <f aca="false">+M166+O166</f>
        <v>60000</v>
      </c>
      <c r="R166" s="110" t="n">
        <v>0</v>
      </c>
      <c r="S166" s="110"/>
      <c r="T166" s="110" t="n">
        <v>0</v>
      </c>
      <c r="U166" s="110"/>
      <c r="V166" s="119"/>
      <c r="X166" s="110" t="n">
        <v>7500</v>
      </c>
      <c r="Z166" s="110" t="n">
        <v>0</v>
      </c>
      <c r="AB166" s="110" t="n">
        <v>0</v>
      </c>
      <c r="AD166" s="110" t="n">
        <v>0</v>
      </c>
      <c r="AF166" s="110" t="n">
        <v>0</v>
      </c>
      <c r="AH166" s="110" t="n">
        <v>0</v>
      </c>
      <c r="AJ166" s="110" t="n">
        <v>0</v>
      </c>
      <c r="AN166" s="110" t="n">
        <v>0</v>
      </c>
      <c r="AP166" s="110" t="n">
        <v>0</v>
      </c>
      <c r="AR166" s="110" t="n">
        <v>0</v>
      </c>
      <c r="AT166" s="110" t="n">
        <v>0</v>
      </c>
      <c r="AV166" s="110" t="n">
        <v>0</v>
      </c>
      <c r="AX166" s="110" t="n">
        <v>0</v>
      </c>
      <c r="AZ166" s="110" t="n">
        <v>0</v>
      </c>
      <c r="BB166" s="110" t="n">
        <v>0</v>
      </c>
      <c r="BD166" s="110" t="n">
        <v>0</v>
      </c>
      <c r="BF166" s="110" t="n">
        <v>0</v>
      </c>
      <c r="BH166" s="110" t="n">
        <v>0</v>
      </c>
      <c r="BJ166" s="110" t="n">
        <v>0</v>
      </c>
      <c r="BL166" s="110" t="n">
        <v>0</v>
      </c>
      <c r="BM166" s="110"/>
      <c r="BN166" s="110" t="n">
        <f aca="false">SUM(T166:BM166)</f>
        <v>7500</v>
      </c>
      <c r="BO166" s="110"/>
      <c r="BP166" s="110" t="n">
        <v>0</v>
      </c>
      <c r="BQ166" s="110"/>
      <c r="BR166" s="110" t="n">
        <f aca="false">IF(+R166-BN166+BP166&gt;0,R166-BN166+BP166,0)</f>
        <v>0</v>
      </c>
      <c r="BT166" s="110" t="n">
        <f aca="false">+BN166+BR166</f>
        <v>7500</v>
      </c>
      <c r="BU166" s="110" t="n">
        <f aca="false">+BO166+BS166</f>
        <v>0</v>
      </c>
      <c r="BV166" s="110" t="n">
        <f aca="false">+R166-BT166</f>
        <v>-7500</v>
      </c>
    </row>
    <row r="167" customFormat="false" ht="12.75" hidden="false" customHeight="false" outlineLevel="0" collapsed="false">
      <c r="A167" s="228"/>
      <c r="B167" s="118" t="s">
        <v>384</v>
      </c>
      <c r="C167" s="0"/>
      <c r="D167" s="0"/>
      <c r="E167" s="0"/>
      <c r="F167" s="0"/>
      <c r="G167" s="0"/>
      <c r="H167" s="0"/>
      <c r="I167" s="0"/>
      <c r="J167" s="0"/>
      <c r="K167" s="34" t="s">
        <v>151</v>
      </c>
      <c r="L167" s="110"/>
      <c r="M167" s="110" t="n">
        <v>7500</v>
      </c>
      <c r="O167" s="110" t="n">
        <f aca="false">35000-M167</f>
        <v>27500</v>
      </c>
      <c r="Q167" s="110" t="n">
        <f aca="false">+M167+O167</f>
        <v>35000</v>
      </c>
      <c r="R167" s="110" t="n">
        <v>0</v>
      </c>
      <c r="S167" s="110"/>
      <c r="T167" s="110" t="n">
        <v>0</v>
      </c>
      <c r="U167" s="110"/>
      <c r="V167" s="110" t="n">
        <v>0</v>
      </c>
      <c r="X167" s="110" t="n">
        <v>0</v>
      </c>
      <c r="Z167" s="110" t="n">
        <v>0</v>
      </c>
      <c r="AB167" s="110" t="n">
        <v>0</v>
      </c>
      <c r="AD167" s="110" t="n">
        <v>0</v>
      </c>
      <c r="AF167" s="110" t="n">
        <v>0</v>
      </c>
      <c r="AH167" s="110" t="n">
        <v>0</v>
      </c>
      <c r="AJ167" s="110" t="n">
        <v>0</v>
      </c>
      <c r="AN167" s="110" t="n">
        <v>0</v>
      </c>
      <c r="AP167" s="110" t="n">
        <v>0</v>
      </c>
      <c r="AR167" s="110" t="n">
        <v>0</v>
      </c>
      <c r="AT167" s="110" t="n">
        <v>0</v>
      </c>
      <c r="AV167" s="110" t="n">
        <v>0</v>
      </c>
      <c r="AX167" s="110" t="n">
        <v>0</v>
      </c>
      <c r="AZ167" s="110" t="n">
        <v>0</v>
      </c>
      <c r="BB167" s="110" t="n">
        <v>0</v>
      </c>
      <c r="BD167" s="110" t="n">
        <v>0</v>
      </c>
      <c r="BF167" s="110" t="n">
        <v>0</v>
      </c>
      <c r="BH167" s="110" t="n">
        <v>0</v>
      </c>
      <c r="BJ167" s="110" t="n">
        <v>0</v>
      </c>
      <c r="BL167" s="110" t="n">
        <v>0</v>
      </c>
      <c r="BM167" s="110"/>
      <c r="BN167" s="110" t="n">
        <f aca="false">SUM(T167:BM167)</f>
        <v>0</v>
      </c>
      <c r="BO167" s="110"/>
      <c r="BP167" s="110" t="n">
        <v>0</v>
      </c>
      <c r="BQ167" s="110"/>
      <c r="BR167" s="110" t="n">
        <f aca="false">IF(+R167-BN167+BP167&gt;0,R167-BN167+BP167,0)</f>
        <v>0</v>
      </c>
      <c r="BT167" s="110" t="n">
        <f aca="false">+BN167+BR167</f>
        <v>0</v>
      </c>
      <c r="BV167" s="119"/>
    </row>
    <row r="168" customFormat="false" ht="12.75" hidden="false" customHeight="false" outlineLevel="0" collapsed="false">
      <c r="A168" s="228"/>
      <c r="B168" s="118" t="s">
        <v>385</v>
      </c>
      <c r="C168" s="0"/>
      <c r="D168" s="0"/>
      <c r="E168" s="0"/>
      <c r="F168" s="0"/>
      <c r="G168" s="0"/>
      <c r="H168" s="0"/>
      <c r="I168" s="0"/>
      <c r="J168" s="0"/>
      <c r="K168" s="34" t="s">
        <v>151</v>
      </c>
      <c r="L168" s="110"/>
      <c r="M168" s="110" t="n">
        <f aca="false">1992500</f>
        <v>1992500</v>
      </c>
      <c r="O168" s="110" t="n">
        <f aca="false">2200000-M168</f>
        <v>207500</v>
      </c>
      <c r="Q168" s="110" t="n">
        <f aca="false">+M168+O168</f>
        <v>2200000</v>
      </c>
      <c r="R168" s="110" t="n">
        <v>0</v>
      </c>
      <c r="S168" s="110"/>
      <c r="T168" s="110" t="n">
        <v>0</v>
      </c>
      <c r="U168" s="110"/>
      <c r="V168" s="110" t="n">
        <v>0</v>
      </c>
      <c r="X168" s="110" t="n">
        <v>0</v>
      </c>
      <c r="Z168" s="110" t="n">
        <v>0</v>
      </c>
      <c r="AB168" s="110" t="n">
        <v>0</v>
      </c>
      <c r="AD168" s="110" t="n">
        <v>0</v>
      </c>
      <c r="AF168" s="110" t="n">
        <v>0</v>
      </c>
      <c r="AH168" s="110" t="n">
        <v>0</v>
      </c>
      <c r="AJ168" s="110" t="n">
        <v>0</v>
      </c>
      <c r="AN168" s="110" t="n">
        <v>0</v>
      </c>
      <c r="AP168" s="110" t="n">
        <v>0</v>
      </c>
      <c r="AR168" s="110" t="n">
        <v>0</v>
      </c>
      <c r="AT168" s="110" t="n">
        <v>0</v>
      </c>
      <c r="AV168" s="110" t="n">
        <v>0</v>
      </c>
      <c r="AX168" s="110" t="n">
        <v>0</v>
      </c>
      <c r="AZ168" s="110" t="n">
        <v>0</v>
      </c>
      <c r="BB168" s="110" t="n">
        <v>0</v>
      </c>
      <c r="BD168" s="110" t="n">
        <v>0</v>
      </c>
      <c r="BF168" s="110" t="n">
        <v>0</v>
      </c>
      <c r="BH168" s="110" t="n">
        <v>0</v>
      </c>
      <c r="BJ168" s="110" t="n">
        <v>0</v>
      </c>
      <c r="BL168" s="110" t="n">
        <v>0</v>
      </c>
      <c r="BM168" s="110"/>
      <c r="BN168" s="110" t="n">
        <f aca="false">SUM(T168:BM168)</f>
        <v>0</v>
      </c>
      <c r="BO168" s="110"/>
      <c r="BP168" s="110" t="n">
        <v>0</v>
      </c>
      <c r="BQ168" s="110"/>
      <c r="BR168" s="110" t="n">
        <f aca="false">IF(+R168-BN168+BP168&gt;0,R168-BN168+BP168,0)</f>
        <v>0</v>
      </c>
      <c r="BT168" s="110" t="n">
        <f aca="false">+BN168+BR168</f>
        <v>0</v>
      </c>
      <c r="BV168" s="119"/>
    </row>
    <row r="169" customFormat="false" ht="12.75" hidden="false" customHeight="false" outlineLevel="0" collapsed="false">
      <c r="A169" s="228"/>
      <c r="B169" s="118"/>
      <c r="C169" s="0"/>
      <c r="D169" s="0"/>
      <c r="E169" s="0"/>
      <c r="F169" s="0"/>
      <c r="G169" s="0"/>
      <c r="H169" s="0"/>
      <c r="I169" s="0"/>
      <c r="J169" s="0"/>
      <c r="K169" s="34"/>
      <c r="L169" s="110"/>
      <c r="M169" s="110"/>
      <c r="O169" s="110"/>
      <c r="Q169" s="110"/>
      <c r="S169" s="110"/>
      <c r="T169" s="110"/>
      <c r="U169" s="110"/>
      <c r="V169" s="110"/>
      <c r="X169" s="110"/>
      <c r="Z169" s="110"/>
      <c r="AB169" s="110"/>
      <c r="AD169" s="110"/>
      <c r="BL169" s="110"/>
      <c r="BM169" s="110"/>
      <c r="BO169" s="110"/>
      <c r="BP169" s="110"/>
      <c r="BQ169" s="110"/>
      <c r="BR169" s="110" t="n">
        <f aca="false">IF(+R169-BN169+BP169&gt;0,R169-BN169+BP169,0)</f>
        <v>0</v>
      </c>
      <c r="BT169" s="110" t="n">
        <f aca="false">+BN169+BR169</f>
        <v>0</v>
      </c>
      <c r="BV169" s="119"/>
    </row>
    <row r="170" customFormat="false" ht="12.75" hidden="false" customHeight="false" outlineLevel="0" collapsed="false">
      <c r="A170" s="228"/>
      <c r="B170" s="174" t="s">
        <v>386</v>
      </c>
      <c r="C170" s="2"/>
      <c r="D170" s="2"/>
      <c r="E170" s="2"/>
      <c r="F170" s="2"/>
      <c r="G170" s="2"/>
      <c r="H170" s="2"/>
      <c r="I170" s="2"/>
      <c r="J170" s="2"/>
      <c r="K170" s="179"/>
      <c r="L170" s="24"/>
      <c r="M170" s="198" t="n">
        <f aca="false">SUM(M166:M169)</f>
        <v>2000000</v>
      </c>
      <c r="N170" s="24"/>
      <c r="O170" s="198" t="n">
        <f aca="false">SUM(O166:O169)</f>
        <v>295000</v>
      </c>
      <c r="P170" s="24"/>
      <c r="Q170" s="198" t="n">
        <f aca="false">SUM(Q166:Q169)</f>
        <v>2295000</v>
      </c>
      <c r="R170" s="198" t="n">
        <f aca="false">SUM(R166:R169)</f>
        <v>0</v>
      </c>
      <c r="S170" s="24"/>
      <c r="T170" s="198" t="n">
        <f aca="false">SUM(T166:T169)</f>
        <v>0</v>
      </c>
      <c r="U170" s="24"/>
      <c r="V170" s="198" t="n">
        <f aca="false">SUM(V166:V169)</f>
        <v>0</v>
      </c>
      <c r="W170" s="24"/>
      <c r="X170" s="198" t="n">
        <f aca="false">SUM(X166:X169)</f>
        <v>7500</v>
      </c>
      <c r="Y170" s="24"/>
      <c r="Z170" s="198" t="n">
        <f aca="false">SUM(Z166:Z169)</f>
        <v>0</v>
      </c>
      <c r="AA170" s="24"/>
      <c r="AB170" s="198" t="n">
        <f aca="false">SUM(AB166:AB169)</f>
        <v>0</v>
      </c>
      <c r="AC170" s="24"/>
      <c r="AD170" s="198" t="n">
        <f aca="false">SUM(AD166:AD169)</f>
        <v>0</v>
      </c>
      <c r="AE170" s="24"/>
      <c r="AF170" s="198" t="n">
        <f aca="false">SUM(AF166:AF169)</f>
        <v>0</v>
      </c>
      <c r="AG170" s="24"/>
      <c r="AH170" s="198" t="n">
        <f aca="false">SUM(AH166:AH169)</f>
        <v>0</v>
      </c>
      <c r="AI170" s="24"/>
      <c r="AJ170" s="198" t="n">
        <f aca="false">SUM(AJ166:AJ169)</f>
        <v>0</v>
      </c>
      <c r="AK170" s="24"/>
      <c r="AL170" s="198" t="n">
        <f aca="false">SUM(AL166:AL169)</f>
        <v>0</v>
      </c>
      <c r="AM170" s="198"/>
      <c r="AN170" s="198" t="n">
        <f aca="false">SUM(AN166:AN169)</f>
        <v>0</v>
      </c>
      <c r="AO170" s="24"/>
      <c r="AP170" s="198" t="n">
        <f aca="false">SUM(AP166:AP169)</f>
        <v>0</v>
      </c>
      <c r="AQ170" s="24"/>
      <c r="AR170" s="198" t="n">
        <f aca="false">SUM(AR166:AR169)</f>
        <v>0</v>
      </c>
      <c r="AS170" s="24"/>
      <c r="AT170" s="198" t="n">
        <f aca="false">SUM(AT166:AT169)</f>
        <v>0</v>
      </c>
      <c r="AU170" s="24"/>
      <c r="AV170" s="198" t="n">
        <f aca="false">SUM(AV166:AV169)</f>
        <v>0</v>
      </c>
      <c r="AW170" s="24"/>
      <c r="AX170" s="198" t="n">
        <f aca="false">SUM(AX166:AX169)</f>
        <v>0</v>
      </c>
      <c r="AY170" s="24"/>
      <c r="AZ170" s="198" t="n">
        <f aca="false">SUM(AZ166:AZ169)</f>
        <v>0</v>
      </c>
      <c r="BA170" s="24"/>
      <c r="BB170" s="198" t="n">
        <f aca="false">SUM(BB166:BB169)</f>
        <v>0</v>
      </c>
      <c r="BC170" s="24"/>
      <c r="BD170" s="198" t="n">
        <f aca="false">SUM(BD166:BD169)</f>
        <v>0</v>
      </c>
      <c r="BE170" s="24"/>
      <c r="BF170" s="198" t="n">
        <f aca="false">SUM(BF166:BF169)</f>
        <v>0</v>
      </c>
      <c r="BG170" s="24"/>
      <c r="BH170" s="198" t="n">
        <f aca="false">SUM(BH166:BH169)</f>
        <v>0</v>
      </c>
      <c r="BI170" s="24"/>
      <c r="BJ170" s="198" t="n">
        <f aca="false">SUM(BJ166:BJ169)</f>
        <v>0</v>
      </c>
      <c r="BK170" s="24"/>
      <c r="BL170" s="198" t="n">
        <f aca="false">SUM(BL166:BL169)</f>
        <v>0</v>
      </c>
      <c r="BM170" s="24"/>
      <c r="BN170" s="198" t="n">
        <f aca="false">SUM(BN166:BN169)</f>
        <v>7500</v>
      </c>
      <c r="BO170" s="24"/>
      <c r="BP170" s="198" t="n">
        <f aca="false">SUM(BP166:BP169)</f>
        <v>0</v>
      </c>
      <c r="BQ170" s="24"/>
      <c r="BR170" s="198" t="n">
        <f aca="false">SUM(BR166:BR169)</f>
        <v>0</v>
      </c>
      <c r="BS170" s="24"/>
      <c r="BT170" s="198" t="n">
        <f aca="false">SUM(BT166:BT169)</f>
        <v>7500</v>
      </c>
      <c r="BU170" s="198" t="n">
        <f aca="false">SUM(BU166:BU169)</f>
        <v>0</v>
      </c>
      <c r="BV170" s="198" t="n">
        <f aca="false">SUM(BV166:BV169)</f>
        <v>-7500</v>
      </c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28"/>
      <c r="B171" s="174"/>
      <c r="C171" s="2"/>
      <c r="D171" s="2"/>
      <c r="E171" s="2"/>
      <c r="F171" s="2"/>
      <c r="G171" s="2"/>
      <c r="H171" s="2"/>
      <c r="I171" s="2"/>
      <c r="J171" s="2"/>
      <c r="K171" s="179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28" t="s">
        <v>264</v>
      </c>
      <c r="B172" s="174"/>
      <c r="C172" s="2"/>
      <c r="D172" s="2"/>
      <c r="E172" s="2"/>
      <c r="F172" s="2"/>
      <c r="G172" s="2"/>
      <c r="H172" s="2"/>
      <c r="I172" s="2"/>
      <c r="J172" s="3" t="s">
        <v>141</v>
      </c>
      <c r="K172" s="2"/>
      <c r="L172" s="34" t="s">
        <v>151</v>
      </c>
      <c r="M172" s="24"/>
      <c r="N172" s="24" t="n">
        <v>0</v>
      </c>
      <c r="O172" s="24"/>
      <c r="P172" s="24" t="n">
        <v>0</v>
      </c>
      <c r="Q172" s="24"/>
      <c r="R172" s="24" t="n">
        <v>0</v>
      </c>
      <c r="S172" s="24"/>
      <c r="T172" s="24" t="n">
        <v>0</v>
      </c>
      <c r="U172" s="24"/>
      <c r="V172" s="24" t="n">
        <v>0</v>
      </c>
      <c r="W172" s="24"/>
      <c r="X172" s="24" t="n">
        <v>0</v>
      </c>
      <c r="Y172" s="24"/>
      <c r="Z172" s="24" t="n">
        <v>0</v>
      </c>
      <c r="AA172" s="24"/>
      <c r="AB172" s="24" t="n">
        <v>0</v>
      </c>
      <c r="AC172" s="24"/>
      <c r="AD172" s="24" t="n">
        <v>0</v>
      </c>
      <c r="AE172" s="24"/>
      <c r="AF172" s="24" t="n">
        <v>0</v>
      </c>
      <c r="AG172" s="24"/>
      <c r="AH172" s="24" t="n">
        <v>0</v>
      </c>
      <c r="AI172" s="24"/>
      <c r="AJ172" s="24" t="n">
        <v>0</v>
      </c>
      <c r="AK172" s="24"/>
      <c r="AL172" s="24"/>
      <c r="AM172" s="24"/>
      <c r="AN172" s="24" t="n">
        <v>0</v>
      </c>
      <c r="AO172" s="24"/>
      <c r="AP172" s="24" t="n">
        <v>0</v>
      </c>
      <c r="AQ172" s="24"/>
      <c r="AR172" s="24" t="n">
        <v>0</v>
      </c>
      <c r="AS172" s="24"/>
      <c r="AT172" s="24" t="n">
        <v>0</v>
      </c>
      <c r="AU172" s="24"/>
      <c r="AV172" s="24" t="n">
        <v>0</v>
      </c>
      <c r="AW172" s="24"/>
      <c r="AX172" s="24" t="n">
        <v>0</v>
      </c>
      <c r="AY172" s="24"/>
      <c r="AZ172" s="24" t="n">
        <v>0</v>
      </c>
      <c r="BA172" s="24"/>
      <c r="BB172" s="24" t="n">
        <v>0</v>
      </c>
      <c r="BC172" s="24"/>
      <c r="BD172" s="24" t="n">
        <v>0</v>
      </c>
      <c r="BE172" s="24"/>
      <c r="BF172" s="24" t="n">
        <v>0</v>
      </c>
      <c r="BG172" s="24"/>
      <c r="BH172" s="24" t="n">
        <v>0</v>
      </c>
      <c r="BI172" s="24"/>
      <c r="BJ172" s="24" t="n">
        <v>0</v>
      </c>
      <c r="BK172" s="24"/>
      <c r="BL172" s="24" t="n">
        <v>0</v>
      </c>
      <c r="BM172" s="24"/>
      <c r="BN172" s="24" t="n">
        <f aca="false">SUM(T172:BM172)</f>
        <v>0</v>
      </c>
      <c r="BO172" s="24"/>
      <c r="BP172" s="24" t="n">
        <v>0</v>
      </c>
      <c r="BQ172" s="24"/>
      <c r="BR172" s="110" t="n">
        <f aca="false">IF(+R172-BN172+BP172&gt;0,R172-BN172+BP172,0)</f>
        <v>0</v>
      </c>
      <c r="BS172" s="24"/>
      <c r="BT172" s="24" t="n">
        <f aca="false">+BN172+BR172</f>
        <v>0</v>
      </c>
      <c r="BU172" s="24"/>
      <c r="BV172" s="24" t="n">
        <f aca="false">+R172-BT172</f>
        <v>0</v>
      </c>
      <c r="BW172" s="24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33"/>
      <c r="B173" s="160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34" t="s">
        <v>265</v>
      </c>
      <c r="B174" s="164"/>
      <c r="C174" s="0"/>
      <c r="D174" s="0"/>
      <c r="E174" s="0"/>
      <c r="F174" s="0"/>
      <c r="G174" s="0"/>
      <c r="H174" s="0"/>
      <c r="I174" s="0"/>
      <c r="J174" s="4"/>
      <c r="K174" s="0"/>
      <c r="L174" s="34"/>
      <c r="M174" s="110"/>
      <c r="O174" s="110"/>
      <c r="Q174" s="110"/>
      <c r="S174" s="110"/>
      <c r="T174" s="110"/>
      <c r="U174" s="110"/>
      <c r="V174" s="110"/>
      <c r="X174" s="110"/>
      <c r="Z174" s="110"/>
      <c r="AB174" s="110"/>
      <c r="AD174" s="110"/>
      <c r="BL174" s="110"/>
      <c r="BM174" s="110"/>
      <c r="BO174" s="110"/>
      <c r="BP174" s="110"/>
      <c r="BQ174" s="110"/>
      <c r="BW174" s="110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194"/>
      <c r="EE174" s="194"/>
      <c r="EF174" s="194"/>
      <c r="EG174" s="194"/>
      <c r="EH174" s="194"/>
      <c r="EI174" s="194"/>
      <c r="EJ174" s="194"/>
      <c r="EK174" s="194"/>
      <c r="EL174" s="194"/>
      <c r="EM174" s="194"/>
      <c r="EN174" s="194"/>
      <c r="EO174" s="194"/>
      <c r="EP174" s="194"/>
      <c r="EQ174" s="194"/>
      <c r="ER174" s="194"/>
      <c r="ES174" s="194"/>
      <c r="ET174" s="194"/>
      <c r="EU174" s="194"/>
      <c r="EV174" s="194"/>
      <c r="EW174" s="194"/>
      <c r="EX174" s="194"/>
      <c r="EY174" s="194"/>
      <c r="EZ174" s="194"/>
      <c r="FA174" s="194"/>
      <c r="FB174" s="194"/>
      <c r="FC174" s="194"/>
      <c r="FD174" s="194"/>
      <c r="FE174" s="194"/>
      <c r="FF174" s="194"/>
      <c r="FG174" s="194"/>
      <c r="FH174" s="194"/>
      <c r="FI174" s="194"/>
      <c r="FJ174" s="194"/>
      <c r="FK174" s="194"/>
      <c r="FL174" s="194"/>
      <c r="FM174" s="194"/>
      <c r="FN174" s="194"/>
      <c r="FO174" s="194"/>
      <c r="FP174" s="194"/>
      <c r="FQ174" s="194"/>
      <c r="FR174" s="194"/>
      <c r="FS174" s="194"/>
      <c r="FT174" s="194"/>
      <c r="FU174" s="194"/>
      <c r="FV174" s="194"/>
      <c r="FW174" s="194"/>
      <c r="FX174" s="194"/>
      <c r="FY174" s="194"/>
      <c r="FZ174" s="194"/>
      <c r="GA174" s="194"/>
      <c r="GB174" s="194"/>
      <c r="GC174" s="194"/>
      <c r="GD174" s="194"/>
      <c r="GE174" s="194"/>
      <c r="GF174" s="194"/>
      <c r="GG174" s="194"/>
      <c r="GH174" s="194"/>
      <c r="GI174" s="194"/>
      <c r="GJ174" s="194"/>
      <c r="GK174" s="194"/>
      <c r="GL174" s="194"/>
      <c r="GM174" s="194"/>
      <c r="GN174" s="194"/>
      <c r="GO174" s="194"/>
      <c r="GP174" s="194"/>
      <c r="GQ174" s="194"/>
      <c r="GR174" s="194"/>
      <c r="GS174" s="194"/>
      <c r="GT174" s="194"/>
      <c r="GU174" s="194"/>
      <c r="GV174" s="194"/>
      <c r="GW174" s="194"/>
      <c r="GX174" s="194"/>
      <c r="GY174" s="194"/>
      <c r="GZ174" s="194"/>
      <c r="HA174" s="194"/>
      <c r="HB174" s="194"/>
      <c r="HC174" s="194"/>
      <c r="HD174" s="194"/>
      <c r="HE174" s="194"/>
      <c r="HF174" s="194"/>
      <c r="HG174" s="194"/>
      <c r="HH174" s="194"/>
      <c r="HI174" s="194"/>
      <c r="HJ174" s="194"/>
      <c r="HK174" s="194"/>
      <c r="HL174" s="194"/>
      <c r="HM174" s="194"/>
      <c r="HN174" s="194"/>
      <c r="HO174" s="194"/>
      <c r="HP174" s="194"/>
      <c r="HQ174" s="194"/>
      <c r="HR174" s="194"/>
      <c r="HS174" s="194"/>
      <c r="HT174" s="194"/>
      <c r="HU174" s="194"/>
      <c r="HV174" s="194"/>
      <c r="HW174" s="194"/>
      <c r="HX174" s="194"/>
      <c r="HY174" s="194"/>
      <c r="HZ174" s="194"/>
      <c r="IA174" s="194"/>
      <c r="IB174" s="194"/>
      <c r="IC174" s="194"/>
      <c r="ID174" s="194"/>
      <c r="IE174" s="194"/>
      <c r="IF174" s="194"/>
      <c r="IG174" s="194"/>
      <c r="IH174" s="194"/>
      <c r="II174" s="194"/>
      <c r="IJ174" s="194"/>
      <c r="IK174" s="194"/>
      <c r="IL174" s="194"/>
      <c r="IM174" s="194"/>
      <c r="IN174" s="194"/>
      <c r="IO174" s="194"/>
      <c r="IP174" s="194"/>
      <c r="IQ174" s="194"/>
      <c r="IR174" s="194"/>
      <c r="IS174" s="194"/>
      <c r="IT174" s="194"/>
      <c r="IU174" s="194"/>
      <c r="IV174" s="194"/>
      <c r="IW174" s="194"/>
    </row>
    <row r="175" customFormat="false" ht="12.75" hidden="true" customHeight="false" outlineLevel="0" collapsed="false">
      <c r="A175" s="237"/>
      <c r="B175" s="164" t="s">
        <v>266</v>
      </c>
      <c r="C175" s="0"/>
      <c r="D175" s="0"/>
      <c r="E175" s="0"/>
      <c r="F175" s="0"/>
      <c r="G175" s="0"/>
      <c r="H175" s="0"/>
      <c r="I175" s="0"/>
      <c r="J175" s="4"/>
      <c r="K175" s="0"/>
      <c r="L175" s="34" t="s">
        <v>151</v>
      </c>
      <c r="M175" s="110"/>
      <c r="N175" s="110" t="n">
        <v>0</v>
      </c>
      <c r="O175" s="110"/>
      <c r="P175" s="110" t="n">
        <v>0</v>
      </c>
      <c r="Q175" s="110"/>
      <c r="R175" s="110" t="n">
        <f aca="false">+N175+P175</f>
        <v>0</v>
      </c>
      <c r="S175" s="110"/>
      <c r="T175" s="110" t="n">
        <v>0</v>
      </c>
      <c r="U175" s="110"/>
      <c r="V175" s="110" t="n">
        <v>0</v>
      </c>
      <c r="X175" s="110" t="n">
        <v>0</v>
      </c>
      <c r="Z175" s="110" t="n">
        <v>0</v>
      </c>
      <c r="AB175" s="110" t="n">
        <v>0</v>
      </c>
      <c r="AD175" s="110" t="n">
        <v>0</v>
      </c>
      <c r="AF175" s="110" t="n">
        <v>0</v>
      </c>
      <c r="AH175" s="110" t="n">
        <v>0</v>
      </c>
      <c r="AJ175" s="110" t="n">
        <v>0</v>
      </c>
      <c r="AN175" s="110" t="n">
        <v>0</v>
      </c>
      <c r="AP175" s="110" t="n">
        <v>0</v>
      </c>
      <c r="AR175" s="110" t="n">
        <v>0</v>
      </c>
      <c r="AT175" s="110" t="n">
        <v>0</v>
      </c>
      <c r="AV175" s="110" t="n">
        <v>0</v>
      </c>
      <c r="AX175" s="110" t="n">
        <v>0</v>
      </c>
      <c r="AZ175" s="110" t="n">
        <v>0</v>
      </c>
      <c r="BB175" s="110" t="n">
        <v>0</v>
      </c>
      <c r="BD175" s="110" t="n">
        <v>0</v>
      </c>
      <c r="BF175" s="110" t="n">
        <v>0</v>
      </c>
      <c r="BH175" s="110" t="n">
        <v>0</v>
      </c>
      <c r="BJ175" s="110" t="n">
        <v>0</v>
      </c>
      <c r="BL175" s="110" t="n">
        <v>0</v>
      </c>
      <c r="BM175" s="110"/>
      <c r="BN175" s="110" t="n">
        <f aca="false">SUM(T175:BM175)</f>
        <v>0</v>
      </c>
      <c r="BO175" s="110"/>
      <c r="BP175" s="110" t="n">
        <v>0</v>
      </c>
      <c r="BQ175" s="110"/>
      <c r="BR175" s="110" t="n">
        <f aca="false">+R175-BN175+BP175</f>
        <v>0</v>
      </c>
      <c r="BT175" s="110" t="n">
        <f aca="false">+BN175+BR175</f>
        <v>0</v>
      </c>
      <c r="BV175" s="110" t="n">
        <f aca="false">+R175-BT175</f>
        <v>0</v>
      </c>
      <c r="BW175" s="110"/>
      <c r="BX175" s="194"/>
      <c r="BY175" s="194"/>
      <c r="BZ175" s="194"/>
      <c r="CA175" s="194"/>
      <c r="CB175" s="194"/>
      <c r="CC175" s="194"/>
      <c r="CD175" s="194"/>
      <c r="CE175" s="194"/>
      <c r="CF175" s="194"/>
      <c r="CG175" s="194"/>
      <c r="CH175" s="194"/>
      <c r="CI175" s="194"/>
      <c r="CJ175" s="194"/>
      <c r="CK175" s="194"/>
      <c r="CL175" s="194"/>
      <c r="CM175" s="194"/>
      <c r="CN175" s="194"/>
      <c r="CO175" s="194"/>
      <c r="CP175" s="194"/>
      <c r="CQ175" s="194"/>
      <c r="CR175" s="194"/>
      <c r="CS175" s="194"/>
      <c r="CT175" s="194"/>
      <c r="CU175" s="194"/>
      <c r="CV175" s="194"/>
      <c r="CW175" s="194"/>
      <c r="CX175" s="194"/>
      <c r="CY175" s="194"/>
      <c r="CZ175" s="194"/>
      <c r="DA175" s="194"/>
      <c r="DB175" s="194"/>
      <c r="DC175" s="194"/>
      <c r="DD175" s="194"/>
      <c r="DE175" s="194"/>
      <c r="DF175" s="194"/>
      <c r="DG175" s="194"/>
      <c r="DH175" s="194"/>
      <c r="DI175" s="194"/>
      <c r="DJ175" s="194"/>
      <c r="DK175" s="194"/>
      <c r="DL175" s="194"/>
      <c r="DM175" s="194"/>
      <c r="DN175" s="194"/>
      <c r="DO175" s="194"/>
      <c r="DP175" s="194"/>
      <c r="DQ175" s="194"/>
      <c r="DR175" s="194"/>
      <c r="DS175" s="194"/>
      <c r="DT175" s="194"/>
      <c r="DU175" s="194"/>
      <c r="DV175" s="194"/>
      <c r="DW175" s="194"/>
      <c r="DX175" s="194"/>
      <c r="DY175" s="194"/>
      <c r="DZ175" s="194"/>
      <c r="EA175" s="194"/>
      <c r="EB175" s="194"/>
      <c r="EC175" s="194"/>
      <c r="ED175" s="194"/>
      <c r="EE175" s="194"/>
      <c r="EF175" s="194"/>
      <c r="EG175" s="194"/>
      <c r="EH175" s="194"/>
      <c r="EI175" s="194"/>
      <c r="EJ175" s="194"/>
      <c r="EK175" s="194"/>
      <c r="EL175" s="194"/>
      <c r="EM175" s="194"/>
      <c r="EN175" s="194"/>
      <c r="EO175" s="194"/>
      <c r="EP175" s="194"/>
      <c r="EQ175" s="194"/>
      <c r="ER175" s="194"/>
      <c r="ES175" s="194"/>
      <c r="ET175" s="194"/>
      <c r="EU175" s="194"/>
      <c r="EV175" s="194"/>
      <c r="EW175" s="194"/>
      <c r="EX175" s="194"/>
      <c r="EY175" s="194"/>
      <c r="EZ175" s="194"/>
      <c r="FA175" s="194"/>
      <c r="FB175" s="194"/>
      <c r="FC175" s="194"/>
      <c r="FD175" s="194"/>
      <c r="FE175" s="194"/>
      <c r="FF175" s="194"/>
      <c r="FG175" s="194"/>
      <c r="FH175" s="194"/>
      <c r="FI175" s="194"/>
      <c r="FJ175" s="194"/>
      <c r="FK175" s="194"/>
      <c r="FL175" s="194"/>
      <c r="FM175" s="194"/>
      <c r="FN175" s="194"/>
      <c r="FO175" s="194"/>
      <c r="FP175" s="194"/>
      <c r="FQ175" s="194"/>
      <c r="FR175" s="194"/>
      <c r="FS175" s="194"/>
      <c r="FT175" s="194"/>
      <c r="FU175" s="194"/>
      <c r="FV175" s="194"/>
      <c r="FW175" s="194"/>
      <c r="FX175" s="194"/>
      <c r="FY175" s="194"/>
      <c r="FZ175" s="194"/>
      <c r="GA175" s="194"/>
      <c r="GB175" s="194"/>
      <c r="GC175" s="194"/>
      <c r="GD175" s="194"/>
      <c r="GE175" s="194"/>
      <c r="GF175" s="194"/>
      <c r="GG175" s="194"/>
      <c r="GH175" s="194"/>
      <c r="GI175" s="194"/>
      <c r="GJ175" s="194"/>
      <c r="GK175" s="194"/>
      <c r="GL175" s="194"/>
      <c r="GM175" s="194"/>
      <c r="GN175" s="194"/>
      <c r="GO175" s="194"/>
      <c r="GP175" s="194"/>
      <c r="GQ175" s="194"/>
      <c r="GR175" s="194"/>
      <c r="GS175" s="194"/>
      <c r="GT175" s="194"/>
      <c r="GU175" s="194"/>
      <c r="GV175" s="194"/>
      <c r="GW175" s="194"/>
      <c r="GX175" s="194"/>
      <c r="GY175" s="194"/>
      <c r="GZ175" s="194"/>
      <c r="HA175" s="194"/>
      <c r="HB175" s="194"/>
      <c r="HC175" s="194"/>
      <c r="HD175" s="194"/>
      <c r="HE175" s="194"/>
      <c r="HF175" s="194"/>
      <c r="HG175" s="194"/>
      <c r="HH175" s="194"/>
      <c r="HI175" s="194"/>
      <c r="HJ175" s="194"/>
      <c r="HK175" s="194"/>
      <c r="HL175" s="194"/>
      <c r="HM175" s="194"/>
      <c r="HN175" s="194"/>
      <c r="HO175" s="194"/>
      <c r="HP175" s="194"/>
      <c r="HQ175" s="194"/>
      <c r="HR175" s="194"/>
      <c r="HS175" s="194"/>
      <c r="HT175" s="194"/>
      <c r="HU175" s="194"/>
      <c r="HV175" s="194"/>
      <c r="HW175" s="194"/>
      <c r="HX175" s="194"/>
      <c r="HY175" s="194"/>
      <c r="HZ175" s="194"/>
      <c r="IA175" s="194"/>
      <c r="IB175" s="194"/>
      <c r="IC175" s="194"/>
      <c r="ID175" s="194"/>
      <c r="IE175" s="194"/>
      <c r="IF175" s="194"/>
      <c r="IG175" s="194"/>
      <c r="IH175" s="194"/>
      <c r="II175" s="194"/>
      <c r="IJ175" s="194"/>
      <c r="IK175" s="194"/>
      <c r="IL175" s="194"/>
      <c r="IM175" s="194"/>
      <c r="IN175" s="194"/>
      <c r="IO175" s="194"/>
      <c r="IP175" s="194"/>
      <c r="IQ175" s="194"/>
      <c r="IR175" s="194"/>
      <c r="IS175" s="194"/>
      <c r="IT175" s="194"/>
      <c r="IU175" s="194"/>
      <c r="IV175" s="194"/>
      <c r="IW175" s="194"/>
    </row>
    <row r="176" customFormat="false" ht="12.75" hidden="false" customHeight="false" outlineLevel="0" collapsed="false">
      <c r="A176" s="237"/>
      <c r="B176" s="164" t="s">
        <v>267</v>
      </c>
      <c r="C176" s="0"/>
      <c r="D176" s="0"/>
      <c r="E176" s="0"/>
      <c r="F176" s="0"/>
      <c r="G176" s="0"/>
      <c r="H176" s="0"/>
      <c r="I176" s="0"/>
      <c r="J176" s="4"/>
      <c r="K176" s="0"/>
      <c r="L176" s="34" t="s">
        <v>151</v>
      </c>
      <c r="M176" s="110"/>
      <c r="N176" s="110" t="n">
        <v>0</v>
      </c>
      <c r="O176" s="110"/>
      <c r="P176" s="110" t="n">
        <v>0</v>
      </c>
      <c r="Q176" s="110"/>
      <c r="R176" s="110" t="n">
        <v>0</v>
      </c>
      <c r="S176" s="110"/>
      <c r="T176" s="110" t="n">
        <v>0</v>
      </c>
      <c r="U176" s="110"/>
      <c r="V176" s="110" t="n">
        <v>0</v>
      </c>
      <c r="X176" s="110" t="n">
        <v>0</v>
      </c>
      <c r="Z176" s="110" t="n">
        <v>0</v>
      </c>
      <c r="AB176" s="110" t="n">
        <v>0</v>
      </c>
      <c r="AD176" s="110" t="n">
        <v>0</v>
      </c>
      <c r="AF176" s="110" t="n">
        <v>0</v>
      </c>
      <c r="AH176" s="110" t="n">
        <v>0</v>
      </c>
      <c r="AJ176" s="110" t="n">
        <v>0</v>
      </c>
      <c r="AN176" s="110" t="n">
        <v>0</v>
      </c>
      <c r="AP176" s="110" t="n">
        <v>0</v>
      </c>
      <c r="AR176" s="110" t="n">
        <v>0</v>
      </c>
      <c r="AT176" s="110" t="n">
        <v>0</v>
      </c>
      <c r="AV176" s="110" t="n">
        <v>0</v>
      </c>
      <c r="AX176" s="110" t="n">
        <v>0</v>
      </c>
      <c r="AZ176" s="110" t="n">
        <v>0</v>
      </c>
      <c r="BB176" s="110" t="n">
        <v>0</v>
      </c>
      <c r="BD176" s="110" t="n">
        <v>0</v>
      </c>
      <c r="BF176" s="110" t="n">
        <v>0</v>
      </c>
      <c r="BH176" s="110" t="n">
        <v>0</v>
      </c>
      <c r="BJ176" s="110" t="n">
        <v>0</v>
      </c>
      <c r="BL176" s="110" t="n">
        <v>0</v>
      </c>
      <c r="BM176" s="110"/>
      <c r="BN176" s="110" t="n">
        <f aca="false">SUM(T176:BM176)</f>
        <v>0</v>
      </c>
      <c r="BO176" s="110"/>
      <c r="BP176" s="110" t="n">
        <v>0</v>
      </c>
      <c r="BQ176" s="110"/>
      <c r="BR176" s="110" t="n">
        <f aca="false">IF(+R176-BN176+BP176&gt;0,R176-BN176+BP176,0)</f>
        <v>0</v>
      </c>
      <c r="BT176" s="110" t="n">
        <f aca="false">+BN176+BR176</f>
        <v>0</v>
      </c>
      <c r="BV176" s="110" t="n">
        <f aca="false">+R176-BT176</f>
        <v>0</v>
      </c>
      <c r="BW176" s="110"/>
      <c r="BX176" s="194"/>
      <c r="BY176" s="194"/>
      <c r="BZ176" s="194"/>
      <c r="CA176" s="194"/>
      <c r="CB176" s="194"/>
      <c r="CC176" s="194"/>
      <c r="CD176" s="194"/>
      <c r="CE176" s="194"/>
      <c r="CF176" s="194"/>
      <c r="CG176" s="194"/>
      <c r="CH176" s="194"/>
      <c r="CI176" s="194"/>
      <c r="CJ176" s="194"/>
      <c r="CK176" s="194"/>
      <c r="CL176" s="194"/>
      <c r="CM176" s="194"/>
      <c r="CN176" s="194"/>
      <c r="CO176" s="194"/>
      <c r="CP176" s="194"/>
      <c r="CQ176" s="194"/>
      <c r="CR176" s="194"/>
      <c r="CS176" s="194"/>
      <c r="CT176" s="194"/>
      <c r="CU176" s="194"/>
      <c r="CV176" s="194"/>
      <c r="CW176" s="194"/>
      <c r="CX176" s="194"/>
      <c r="CY176" s="194"/>
      <c r="CZ176" s="194"/>
      <c r="DA176" s="194"/>
      <c r="DB176" s="194"/>
      <c r="DC176" s="194"/>
      <c r="DD176" s="194"/>
      <c r="DE176" s="194"/>
      <c r="DF176" s="194"/>
      <c r="DG176" s="194"/>
      <c r="DH176" s="194"/>
      <c r="DI176" s="194"/>
      <c r="DJ176" s="194"/>
      <c r="DK176" s="194"/>
      <c r="DL176" s="194"/>
      <c r="DM176" s="194"/>
      <c r="DN176" s="194"/>
      <c r="DO176" s="194"/>
      <c r="DP176" s="194"/>
      <c r="DQ176" s="194"/>
      <c r="DR176" s="194"/>
      <c r="DS176" s="194"/>
      <c r="DT176" s="194"/>
      <c r="DU176" s="194"/>
      <c r="DV176" s="194"/>
      <c r="DW176" s="194"/>
      <c r="DX176" s="194"/>
      <c r="DY176" s="194"/>
      <c r="DZ176" s="194"/>
      <c r="EA176" s="194"/>
      <c r="EB176" s="194"/>
      <c r="EC176" s="194"/>
      <c r="ED176" s="194"/>
      <c r="EE176" s="194"/>
      <c r="EF176" s="194"/>
      <c r="EG176" s="194"/>
      <c r="EH176" s="194"/>
      <c r="EI176" s="194"/>
      <c r="EJ176" s="194"/>
      <c r="EK176" s="194"/>
      <c r="EL176" s="194"/>
      <c r="EM176" s="194"/>
      <c r="EN176" s="194"/>
      <c r="EO176" s="194"/>
      <c r="EP176" s="194"/>
      <c r="EQ176" s="194"/>
      <c r="ER176" s="194"/>
      <c r="ES176" s="194"/>
      <c r="ET176" s="194"/>
      <c r="EU176" s="194"/>
      <c r="EV176" s="194"/>
      <c r="EW176" s="194"/>
      <c r="EX176" s="194"/>
      <c r="EY176" s="194"/>
      <c r="EZ176" s="194"/>
      <c r="FA176" s="194"/>
      <c r="FB176" s="194"/>
      <c r="FC176" s="194"/>
      <c r="FD176" s="194"/>
      <c r="FE176" s="194"/>
      <c r="FF176" s="194"/>
      <c r="FG176" s="194"/>
      <c r="FH176" s="194"/>
      <c r="FI176" s="194"/>
      <c r="FJ176" s="194"/>
      <c r="FK176" s="194"/>
      <c r="FL176" s="194"/>
      <c r="FM176" s="194"/>
      <c r="FN176" s="194"/>
      <c r="FO176" s="194"/>
      <c r="FP176" s="194"/>
      <c r="FQ176" s="194"/>
      <c r="FR176" s="194"/>
      <c r="FS176" s="194"/>
      <c r="FT176" s="194"/>
      <c r="FU176" s="194"/>
      <c r="FV176" s="194"/>
      <c r="FW176" s="194"/>
      <c r="FX176" s="194"/>
      <c r="FY176" s="194"/>
      <c r="FZ176" s="194"/>
      <c r="GA176" s="194"/>
      <c r="GB176" s="194"/>
      <c r="GC176" s="194"/>
      <c r="GD176" s="194"/>
      <c r="GE176" s="194"/>
      <c r="GF176" s="194"/>
      <c r="GG176" s="194"/>
      <c r="GH176" s="194"/>
      <c r="GI176" s="194"/>
      <c r="GJ176" s="194"/>
      <c r="GK176" s="194"/>
      <c r="GL176" s="194"/>
      <c r="GM176" s="194"/>
      <c r="GN176" s="194"/>
      <c r="GO176" s="194"/>
      <c r="GP176" s="194"/>
      <c r="GQ176" s="194"/>
      <c r="GR176" s="194"/>
      <c r="GS176" s="194"/>
      <c r="GT176" s="194"/>
      <c r="GU176" s="194"/>
      <c r="GV176" s="194"/>
      <c r="GW176" s="194"/>
      <c r="GX176" s="194"/>
      <c r="GY176" s="194"/>
      <c r="GZ176" s="194"/>
      <c r="HA176" s="194"/>
      <c r="HB176" s="194"/>
      <c r="HC176" s="194"/>
      <c r="HD176" s="194"/>
      <c r="HE176" s="194"/>
      <c r="HF176" s="194"/>
      <c r="HG176" s="194"/>
      <c r="HH176" s="194"/>
      <c r="HI176" s="194"/>
      <c r="HJ176" s="194"/>
      <c r="HK176" s="194"/>
      <c r="HL176" s="194"/>
      <c r="HM176" s="194"/>
      <c r="HN176" s="194"/>
      <c r="HO176" s="194"/>
      <c r="HP176" s="194"/>
      <c r="HQ176" s="194"/>
      <c r="HR176" s="194"/>
      <c r="HS176" s="194"/>
      <c r="HT176" s="194"/>
      <c r="HU176" s="194"/>
      <c r="HV176" s="194"/>
      <c r="HW176" s="194"/>
      <c r="HX176" s="194"/>
      <c r="HY176" s="194"/>
      <c r="HZ176" s="194"/>
      <c r="IA176" s="194"/>
      <c r="IB176" s="194"/>
      <c r="IC176" s="194"/>
      <c r="ID176" s="194"/>
      <c r="IE176" s="194"/>
      <c r="IF176" s="194"/>
      <c r="IG176" s="194"/>
      <c r="IH176" s="194"/>
      <c r="II176" s="194"/>
      <c r="IJ176" s="194"/>
      <c r="IK176" s="194"/>
      <c r="IL176" s="194"/>
      <c r="IM176" s="194"/>
      <c r="IN176" s="194"/>
      <c r="IO176" s="194"/>
      <c r="IP176" s="194"/>
      <c r="IQ176" s="194"/>
      <c r="IR176" s="194"/>
      <c r="IS176" s="194"/>
      <c r="IT176" s="194"/>
      <c r="IU176" s="194"/>
      <c r="IV176" s="194"/>
      <c r="IW176" s="194"/>
    </row>
    <row r="177" customFormat="false" ht="12.75" hidden="true" customHeight="false" outlineLevel="0" collapsed="false">
      <c r="A177" s="237"/>
      <c r="B177" s="164" t="s">
        <v>128</v>
      </c>
      <c r="C177" s="0"/>
      <c r="D177" s="0"/>
      <c r="E177" s="0"/>
      <c r="F177" s="0"/>
      <c r="G177" s="0"/>
      <c r="H177" s="0"/>
      <c r="I177" s="0"/>
      <c r="J177" s="4"/>
      <c r="K177" s="0"/>
      <c r="L177" s="34" t="s">
        <v>151</v>
      </c>
      <c r="M177" s="110"/>
      <c r="N177" s="110" t="n">
        <v>0</v>
      </c>
      <c r="O177" s="110"/>
      <c r="P177" s="110" t="n">
        <v>0</v>
      </c>
      <c r="Q177" s="110"/>
      <c r="R177" s="110" t="n">
        <v>0</v>
      </c>
      <c r="S177" s="110"/>
      <c r="T177" s="110" t="n">
        <v>0</v>
      </c>
      <c r="U177" s="110"/>
      <c r="V177" s="110" t="n">
        <v>0</v>
      </c>
      <c r="X177" s="110" t="n">
        <v>0</v>
      </c>
      <c r="Z177" s="110" t="n">
        <v>0</v>
      </c>
      <c r="AB177" s="110" t="n">
        <v>0</v>
      </c>
      <c r="AD177" s="110" t="n">
        <v>0</v>
      </c>
      <c r="AF177" s="110" t="n">
        <v>0</v>
      </c>
      <c r="AH177" s="110" t="n">
        <v>0</v>
      </c>
      <c r="AJ177" s="110" t="n">
        <v>0</v>
      </c>
      <c r="AN177" s="110" t="n">
        <v>0</v>
      </c>
      <c r="AP177" s="110" t="n">
        <v>0</v>
      </c>
      <c r="AR177" s="110" t="n">
        <v>0</v>
      </c>
      <c r="AT177" s="110" t="n">
        <v>0</v>
      </c>
      <c r="AV177" s="110" t="n">
        <v>0</v>
      </c>
      <c r="AX177" s="110" t="n">
        <v>0</v>
      </c>
      <c r="AZ177" s="110" t="n">
        <v>0</v>
      </c>
      <c r="BB177" s="110" t="n">
        <v>0</v>
      </c>
      <c r="BD177" s="110" t="n">
        <v>0</v>
      </c>
      <c r="BF177" s="110" t="n">
        <v>0</v>
      </c>
      <c r="BH177" s="110" t="n">
        <v>0</v>
      </c>
      <c r="BJ177" s="110" t="n">
        <v>0</v>
      </c>
      <c r="BL177" s="110" t="n">
        <v>0</v>
      </c>
      <c r="BM177" s="110"/>
      <c r="BN177" s="110" t="n">
        <f aca="false">SUM(T177:BM177)</f>
        <v>0</v>
      </c>
      <c r="BO177" s="110"/>
      <c r="BP177" s="110" t="n">
        <v>0</v>
      </c>
      <c r="BQ177" s="110"/>
      <c r="BR177" s="110" t="n">
        <f aca="false">+R177-BN177+BP177</f>
        <v>0</v>
      </c>
      <c r="BT177" s="110" t="n">
        <f aca="false">+BN177+BR177</f>
        <v>0</v>
      </c>
      <c r="BV177" s="110" t="n">
        <f aca="false">+R177-BT177</f>
        <v>0</v>
      </c>
      <c r="BW177" s="110"/>
      <c r="BX177" s="194"/>
      <c r="BY177" s="194"/>
      <c r="BZ177" s="194"/>
      <c r="CA177" s="194"/>
      <c r="CB177" s="194"/>
      <c r="CC177" s="194"/>
      <c r="CD177" s="194"/>
      <c r="CE177" s="194"/>
      <c r="CF177" s="194"/>
      <c r="CG177" s="194"/>
      <c r="CH177" s="194"/>
      <c r="CI177" s="194"/>
      <c r="CJ177" s="194"/>
      <c r="CK177" s="194"/>
      <c r="CL177" s="194"/>
      <c r="CM177" s="194"/>
      <c r="CN177" s="194"/>
      <c r="CO177" s="194"/>
      <c r="CP177" s="194"/>
      <c r="CQ177" s="194"/>
      <c r="CR177" s="194"/>
      <c r="CS177" s="194"/>
      <c r="CT177" s="194"/>
      <c r="CU177" s="194"/>
      <c r="CV177" s="194"/>
      <c r="CW177" s="194"/>
      <c r="CX177" s="194"/>
      <c r="CY177" s="194"/>
      <c r="CZ177" s="194"/>
      <c r="DA177" s="194"/>
      <c r="DB177" s="194"/>
      <c r="DC177" s="194"/>
      <c r="DD177" s="194"/>
      <c r="DE177" s="194"/>
      <c r="DF177" s="194"/>
      <c r="DG177" s="194"/>
      <c r="DH177" s="194"/>
      <c r="DI177" s="194"/>
      <c r="DJ177" s="194"/>
      <c r="DK177" s="194"/>
      <c r="DL177" s="194"/>
      <c r="DM177" s="194"/>
      <c r="DN177" s="194"/>
      <c r="DO177" s="194"/>
      <c r="DP177" s="194"/>
      <c r="DQ177" s="194"/>
      <c r="DR177" s="194"/>
      <c r="DS177" s="194"/>
      <c r="DT177" s="194"/>
      <c r="DU177" s="194"/>
      <c r="DV177" s="194"/>
      <c r="DW177" s="194"/>
      <c r="DX177" s="194"/>
      <c r="DY177" s="194"/>
      <c r="DZ177" s="194"/>
      <c r="EA177" s="194"/>
      <c r="EB177" s="194"/>
      <c r="EC177" s="194"/>
      <c r="ED177" s="194"/>
      <c r="EE177" s="194"/>
      <c r="EF177" s="194"/>
      <c r="EG177" s="194"/>
      <c r="EH177" s="194"/>
      <c r="EI177" s="194"/>
      <c r="EJ177" s="194"/>
      <c r="EK177" s="194"/>
      <c r="EL177" s="194"/>
      <c r="EM177" s="194"/>
      <c r="EN177" s="194"/>
      <c r="EO177" s="194"/>
      <c r="EP177" s="194"/>
      <c r="EQ177" s="194"/>
      <c r="ER177" s="194"/>
      <c r="ES177" s="194"/>
      <c r="ET177" s="194"/>
      <c r="EU177" s="194"/>
      <c r="EV177" s="194"/>
      <c r="EW177" s="194"/>
      <c r="EX177" s="194"/>
      <c r="EY177" s="194"/>
      <c r="EZ177" s="194"/>
      <c r="FA177" s="194"/>
      <c r="FB177" s="194"/>
      <c r="FC177" s="194"/>
      <c r="FD177" s="194"/>
      <c r="FE177" s="194"/>
      <c r="FF177" s="194"/>
      <c r="FG177" s="194"/>
      <c r="FH177" s="194"/>
      <c r="FI177" s="194"/>
      <c r="FJ177" s="194"/>
      <c r="FK177" s="194"/>
      <c r="FL177" s="194"/>
      <c r="FM177" s="194"/>
      <c r="FN177" s="194"/>
      <c r="FO177" s="194"/>
      <c r="FP177" s="194"/>
      <c r="FQ177" s="194"/>
      <c r="FR177" s="194"/>
      <c r="FS177" s="194"/>
      <c r="FT177" s="194"/>
      <c r="FU177" s="194"/>
      <c r="FV177" s="194"/>
      <c r="FW177" s="194"/>
      <c r="FX177" s="194"/>
      <c r="FY177" s="194"/>
      <c r="FZ177" s="194"/>
      <c r="GA177" s="194"/>
      <c r="GB177" s="194"/>
      <c r="GC177" s="194"/>
      <c r="GD177" s="194"/>
      <c r="GE177" s="194"/>
      <c r="GF177" s="194"/>
      <c r="GG177" s="194"/>
      <c r="GH177" s="194"/>
      <c r="GI177" s="194"/>
      <c r="GJ177" s="194"/>
      <c r="GK177" s="194"/>
      <c r="GL177" s="194"/>
      <c r="GM177" s="194"/>
      <c r="GN177" s="194"/>
      <c r="GO177" s="194"/>
      <c r="GP177" s="194"/>
      <c r="GQ177" s="194"/>
      <c r="GR177" s="194"/>
      <c r="GS177" s="194"/>
      <c r="GT177" s="194"/>
      <c r="GU177" s="194"/>
      <c r="GV177" s="194"/>
      <c r="GW177" s="194"/>
      <c r="GX177" s="194"/>
      <c r="GY177" s="194"/>
      <c r="GZ177" s="194"/>
      <c r="HA177" s="194"/>
      <c r="HB177" s="194"/>
      <c r="HC177" s="194"/>
      <c r="HD177" s="194"/>
      <c r="HE177" s="194"/>
      <c r="HF177" s="194"/>
      <c r="HG177" s="194"/>
      <c r="HH177" s="194"/>
      <c r="HI177" s="194"/>
      <c r="HJ177" s="194"/>
      <c r="HK177" s="194"/>
      <c r="HL177" s="194"/>
      <c r="HM177" s="194"/>
      <c r="HN177" s="194"/>
      <c r="HO177" s="194"/>
      <c r="HP177" s="194"/>
      <c r="HQ177" s="194"/>
      <c r="HR177" s="194"/>
      <c r="HS177" s="194"/>
      <c r="HT177" s="194"/>
      <c r="HU177" s="194"/>
      <c r="HV177" s="194"/>
      <c r="HW177" s="194"/>
      <c r="HX177" s="194"/>
      <c r="HY177" s="194"/>
      <c r="HZ177" s="194"/>
      <c r="IA177" s="194"/>
      <c r="IB177" s="194"/>
      <c r="IC177" s="194"/>
      <c r="ID177" s="194"/>
      <c r="IE177" s="194"/>
      <c r="IF177" s="194"/>
      <c r="IG177" s="194"/>
      <c r="IH177" s="194"/>
      <c r="II177" s="194"/>
      <c r="IJ177" s="194"/>
      <c r="IK177" s="194"/>
      <c r="IL177" s="194"/>
      <c r="IM177" s="194"/>
      <c r="IN177" s="194"/>
      <c r="IO177" s="194"/>
      <c r="IP177" s="194"/>
      <c r="IQ177" s="194"/>
      <c r="IR177" s="194"/>
      <c r="IS177" s="194"/>
      <c r="IT177" s="194"/>
      <c r="IU177" s="194"/>
      <c r="IV177" s="194"/>
      <c r="IW177" s="194"/>
    </row>
    <row r="178" customFormat="false" ht="12.75" hidden="false" customHeight="false" outlineLevel="0" collapsed="false">
      <c r="A178" s="234"/>
      <c r="B178" s="177" t="s">
        <v>268</v>
      </c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198" t="n">
        <f aca="false">SUM(N175:N177)</f>
        <v>0</v>
      </c>
      <c r="O178" s="24"/>
      <c r="P178" s="198" t="n">
        <f aca="false">SUM(P175:P177)</f>
        <v>0</v>
      </c>
      <c r="Q178" s="24"/>
      <c r="R178" s="198" t="n">
        <f aca="false">SUM(R175:R177)</f>
        <v>0</v>
      </c>
      <c r="S178" s="24"/>
      <c r="T178" s="198" t="n">
        <f aca="false">SUM(T175:T177)</f>
        <v>0</v>
      </c>
      <c r="U178" s="24"/>
      <c r="V178" s="198" t="n">
        <f aca="false">SUM(V175:V177)</f>
        <v>0</v>
      </c>
      <c r="W178" s="24"/>
      <c r="X178" s="198" t="n">
        <f aca="false">SUM(X175:X177)</f>
        <v>0</v>
      </c>
      <c r="Y178" s="24"/>
      <c r="Z178" s="198" t="n">
        <f aca="false">SUM(Z175:Z177)</f>
        <v>0</v>
      </c>
      <c r="AA178" s="24"/>
      <c r="AB178" s="198" t="n">
        <f aca="false">SUM(AB175:AB177)</f>
        <v>0</v>
      </c>
      <c r="AC178" s="24"/>
      <c r="AD178" s="198" t="n">
        <f aca="false">SUM(AD175:AD177)</f>
        <v>0</v>
      </c>
      <c r="AE178" s="24"/>
      <c r="AF178" s="198" t="n">
        <f aca="false">SUM(AF175:AF177)</f>
        <v>0</v>
      </c>
      <c r="AG178" s="24"/>
      <c r="AH178" s="198" t="n">
        <f aca="false">SUM(AH175:AH177)</f>
        <v>0</v>
      </c>
      <c r="AI178" s="24"/>
      <c r="AJ178" s="198" t="n">
        <f aca="false">SUM(AJ175:AJ177)</f>
        <v>0</v>
      </c>
      <c r="AK178" s="24"/>
      <c r="AL178" s="198" t="n">
        <f aca="false">SUM(AL175:AL177)</f>
        <v>0</v>
      </c>
      <c r="AM178" s="198"/>
      <c r="AN178" s="198" t="n">
        <f aca="false">SUM(AN175:AN177)</f>
        <v>0</v>
      </c>
      <c r="AO178" s="24"/>
      <c r="AP178" s="198" t="n">
        <f aca="false">SUM(AP175:AP177)</f>
        <v>0</v>
      </c>
      <c r="AQ178" s="24"/>
      <c r="AR178" s="198" t="n">
        <f aca="false">SUM(AR175:AR177)</f>
        <v>0</v>
      </c>
      <c r="AS178" s="24"/>
      <c r="AT178" s="198" t="n">
        <f aca="false">SUM(AT175:AT177)</f>
        <v>0</v>
      </c>
      <c r="AU178" s="24"/>
      <c r="AV178" s="198" t="n">
        <f aca="false">SUM(AV175:AV177)</f>
        <v>0</v>
      </c>
      <c r="AW178" s="24"/>
      <c r="AX178" s="198" t="n">
        <f aca="false">SUM(AX175:AX177)</f>
        <v>0</v>
      </c>
      <c r="AY178" s="24"/>
      <c r="AZ178" s="198" t="n">
        <f aca="false">SUM(AZ175:AZ177)</f>
        <v>0</v>
      </c>
      <c r="BA178" s="24"/>
      <c r="BB178" s="198" t="n">
        <f aca="false">SUM(BB175:BB177)</f>
        <v>0</v>
      </c>
      <c r="BC178" s="24"/>
      <c r="BD178" s="198" t="n">
        <f aca="false">SUM(BD175:BD177)</f>
        <v>0</v>
      </c>
      <c r="BE178" s="24"/>
      <c r="BF178" s="198" t="n">
        <f aca="false">SUM(BF175:BF177)</f>
        <v>0</v>
      </c>
      <c r="BG178" s="24"/>
      <c r="BH178" s="198" t="n">
        <f aca="false">SUM(BH175:BH177)</f>
        <v>0</v>
      </c>
      <c r="BI178" s="24"/>
      <c r="BJ178" s="198" t="n">
        <f aca="false">SUM(BJ175:BJ177)</f>
        <v>0</v>
      </c>
      <c r="BK178" s="24"/>
      <c r="BL178" s="198" t="n">
        <f aca="false">SUM(BL175:BL177)</f>
        <v>0</v>
      </c>
      <c r="BM178" s="24"/>
      <c r="BN178" s="198" t="n">
        <f aca="false">SUM(BN175:BN177)</f>
        <v>0</v>
      </c>
      <c r="BO178" s="24"/>
      <c r="BP178" s="198" t="n">
        <f aca="false">SUM(BP175:BP177)</f>
        <v>0</v>
      </c>
      <c r="BQ178" s="24"/>
      <c r="BR178" s="198" t="n">
        <f aca="false">SUM(BR175:BR177)</f>
        <v>0</v>
      </c>
      <c r="BS178" s="24"/>
      <c r="BT178" s="198" t="n">
        <f aca="false">SUM(BT175:BT177)</f>
        <v>0</v>
      </c>
      <c r="BU178" s="24"/>
      <c r="BV178" s="198" t="n">
        <f aca="false">SUM(BV175:BV177)</f>
        <v>0</v>
      </c>
      <c r="BW178" s="24"/>
      <c r="BX178" s="199"/>
      <c r="BY178" s="199"/>
      <c r="BZ178" s="199"/>
      <c r="CA178" s="199"/>
      <c r="CB178" s="199"/>
      <c r="CC178" s="199"/>
      <c r="CD178" s="199"/>
      <c r="CE178" s="199"/>
      <c r="CF178" s="199"/>
      <c r="CG178" s="199"/>
      <c r="CH178" s="199"/>
      <c r="CI178" s="199"/>
      <c r="CJ178" s="199"/>
      <c r="CK178" s="199"/>
      <c r="CL178" s="199"/>
      <c r="CM178" s="199"/>
      <c r="CN178" s="199"/>
      <c r="CO178" s="199"/>
      <c r="CP178" s="199"/>
      <c r="CQ178" s="199"/>
      <c r="CR178" s="199"/>
      <c r="CS178" s="199"/>
      <c r="CT178" s="199"/>
      <c r="CU178" s="199"/>
      <c r="CV178" s="199"/>
      <c r="CW178" s="199"/>
      <c r="CX178" s="199"/>
      <c r="CY178" s="199"/>
      <c r="CZ178" s="199"/>
      <c r="DA178" s="199"/>
      <c r="DB178" s="199"/>
      <c r="DC178" s="199"/>
      <c r="DD178" s="199"/>
      <c r="DE178" s="199"/>
      <c r="DF178" s="199"/>
      <c r="DG178" s="199"/>
      <c r="DH178" s="199"/>
      <c r="DI178" s="199"/>
      <c r="DJ178" s="199"/>
      <c r="DK178" s="199"/>
      <c r="DL178" s="199"/>
      <c r="DM178" s="199"/>
      <c r="DN178" s="199"/>
      <c r="DO178" s="199"/>
      <c r="DP178" s="199"/>
      <c r="DQ178" s="199"/>
      <c r="DR178" s="199"/>
      <c r="DS178" s="199"/>
      <c r="DT178" s="199"/>
      <c r="DU178" s="199"/>
      <c r="DV178" s="199"/>
      <c r="DW178" s="199"/>
      <c r="DX178" s="199"/>
      <c r="DY178" s="199"/>
      <c r="DZ178" s="199"/>
      <c r="EA178" s="199"/>
      <c r="EB178" s="199"/>
      <c r="EC178" s="199"/>
      <c r="ED178" s="199"/>
      <c r="EE178" s="199"/>
      <c r="EF178" s="199"/>
      <c r="EG178" s="199"/>
      <c r="EH178" s="199"/>
      <c r="EI178" s="199"/>
      <c r="EJ178" s="199"/>
      <c r="EK178" s="199"/>
      <c r="EL178" s="199"/>
      <c r="EM178" s="199"/>
      <c r="EN178" s="199"/>
      <c r="EO178" s="199"/>
      <c r="EP178" s="199"/>
      <c r="EQ178" s="199"/>
      <c r="ER178" s="199"/>
      <c r="ES178" s="199"/>
      <c r="ET178" s="199"/>
      <c r="EU178" s="199"/>
      <c r="EV178" s="199"/>
      <c r="EW178" s="199"/>
      <c r="EX178" s="199"/>
      <c r="EY178" s="199"/>
      <c r="EZ178" s="199"/>
      <c r="FA178" s="199"/>
      <c r="FB178" s="199"/>
      <c r="FC178" s="199"/>
      <c r="FD178" s="199"/>
      <c r="FE178" s="199"/>
      <c r="FF178" s="199"/>
      <c r="FG178" s="199"/>
      <c r="FH178" s="199"/>
      <c r="FI178" s="199"/>
      <c r="FJ178" s="199"/>
      <c r="FK178" s="199"/>
      <c r="FL178" s="199"/>
      <c r="FM178" s="199"/>
      <c r="FN178" s="199"/>
      <c r="FO178" s="199"/>
      <c r="FP178" s="199"/>
      <c r="FQ178" s="199"/>
      <c r="FR178" s="199"/>
      <c r="FS178" s="199"/>
      <c r="FT178" s="199"/>
      <c r="FU178" s="199"/>
      <c r="FV178" s="199"/>
      <c r="FW178" s="199"/>
      <c r="FX178" s="199"/>
      <c r="FY178" s="199"/>
      <c r="FZ178" s="199"/>
      <c r="GA178" s="199"/>
      <c r="GB178" s="199"/>
      <c r="GC178" s="199"/>
      <c r="GD178" s="199"/>
      <c r="GE178" s="199"/>
      <c r="GF178" s="199"/>
      <c r="GG178" s="199"/>
      <c r="GH178" s="199"/>
      <c r="GI178" s="199"/>
      <c r="GJ178" s="199"/>
      <c r="GK178" s="199"/>
      <c r="GL178" s="199"/>
      <c r="GM178" s="199"/>
      <c r="GN178" s="199"/>
      <c r="GO178" s="199"/>
      <c r="GP178" s="199"/>
      <c r="GQ178" s="199"/>
      <c r="GR178" s="199"/>
      <c r="GS178" s="199"/>
      <c r="GT178" s="199"/>
      <c r="GU178" s="199"/>
      <c r="GV178" s="199"/>
      <c r="GW178" s="199"/>
      <c r="GX178" s="199"/>
      <c r="GY178" s="199"/>
      <c r="GZ178" s="199"/>
      <c r="HA178" s="199"/>
      <c r="HB178" s="199"/>
      <c r="HC178" s="199"/>
      <c r="HD178" s="199"/>
      <c r="HE178" s="199"/>
      <c r="HF178" s="199"/>
      <c r="HG178" s="199"/>
      <c r="HH178" s="199"/>
      <c r="HI178" s="199"/>
      <c r="HJ178" s="199"/>
      <c r="HK178" s="199"/>
      <c r="HL178" s="199"/>
      <c r="HM178" s="199"/>
      <c r="HN178" s="199"/>
      <c r="HO178" s="199"/>
      <c r="HP178" s="199"/>
      <c r="HQ178" s="199"/>
      <c r="HR178" s="199"/>
      <c r="HS178" s="199"/>
      <c r="HT178" s="199"/>
      <c r="HU178" s="199"/>
      <c r="HV178" s="199"/>
      <c r="HW178" s="199"/>
      <c r="HX178" s="199"/>
      <c r="HY178" s="199"/>
      <c r="HZ178" s="199"/>
      <c r="IA178" s="199"/>
      <c r="IB178" s="199"/>
      <c r="IC178" s="199"/>
      <c r="ID178" s="199"/>
      <c r="IE178" s="199"/>
      <c r="IF178" s="199"/>
      <c r="IG178" s="199"/>
      <c r="IH178" s="199"/>
      <c r="II178" s="199"/>
      <c r="IJ178" s="199"/>
      <c r="IK178" s="199"/>
      <c r="IL178" s="199"/>
      <c r="IM178" s="199"/>
      <c r="IN178" s="199"/>
      <c r="IO178" s="199"/>
      <c r="IP178" s="199"/>
      <c r="IQ178" s="199"/>
      <c r="IR178" s="199"/>
      <c r="IS178" s="199"/>
      <c r="IT178" s="199"/>
      <c r="IU178" s="199"/>
      <c r="IV178" s="199"/>
      <c r="IW178" s="199"/>
    </row>
    <row r="179" customFormat="false" ht="12.75" hidden="false" customHeight="false" outlineLevel="0" collapsed="false">
      <c r="A179" s="197"/>
      <c r="B179" s="177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199"/>
      <c r="BY179" s="199"/>
      <c r="BZ179" s="199"/>
      <c r="CA179" s="199"/>
      <c r="CB179" s="199"/>
      <c r="CC179" s="199"/>
      <c r="CD179" s="199"/>
      <c r="CE179" s="199"/>
      <c r="CF179" s="199"/>
      <c r="CG179" s="199"/>
      <c r="CH179" s="199"/>
      <c r="CI179" s="199"/>
      <c r="CJ179" s="199"/>
      <c r="CK179" s="199"/>
      <c r="CL179" s="199"/>
      <c r="CM179" s="199"/>
      <c r="CN179" s="199"/>
      <c r="CO179" s="199"/>
      <c r="CP179" s="199"/>
      <c r="CQ179" s="199"/>
      <c r="CR179" s="199"/>
      <c r="CS179" s="199"/>
      <c r="CT179" s="199"/>
      <c r="CU179" s="199"/>
      <c r="CV179" s="199"/>
      <c r="CW179" s="199"/>
      <c r="CX179" s="199"/>
      <c r="CY179" s="199"/>
      <c r="CZ179" s="199"/>
      <c r="DA179" s="199"/>
      <c r="DB179" s="199"/>
      <c r="DC179" s="199"/>
      <c r="DD179" s="199"/>
      <c r="DE179" s="199"/>
      <c r="DF179" s="199"/>
      <c r="DG179" s="199"/>
      <c r="DH179" s="199"/>
      <c r="DI179" s="199"/>
      <c r="DJ179" s="199"/>
      <c r="DK179" s="199"/>
      <c r="DL179" s="199"/>
      <c r="DM179" s="199"/>
      <c r="DN179" s="199"/>
      <c r="DO179" s="199"/>
      <c r="DP179" s="199"/>
      <c r="DQ179" s="199"/>
      <c r="DR179" s="199"/>
      <c r="DS179" s="199"/>
      <c r="DT179" s="199"/>
      <c r="DU179" s="199"/>
      <c r="DV179" s="199"/>
      <c r="DW179" s="199"/>
      <c r="DX179" s="199"/>
      <c r="DY179" s="199"/>
      <c r="DZ179" s="199"/>
      <c r="EA179" s="199"/>
      <c r="EB179" s="199"/>
      <c r="EC179" s="199"/>
      <c r="ED179" s="199"/>
      <c r="EE179" s="199"/>
      <c r="EF179" s="199"/>
      <c r="EG179" s="199"/>
      <c r="EH179" s="199"/>
      <c r="EI179" s="199"/>
      <c r="EJ179" s="199"/>
      <c r="EK179" s="199"/>
      <c r="EL179" s="199"/>
      <c r="EM179" s="199"/>
      <c r="EN179" s="199"/>
      <c r="EO179" s="199"/>
      <c r="EP179" s="199"/>
      <c r="EQ179" s="199"/>
      <c r="ER179" s="199"/>
      <c r="ES179" s="199"/>
      <c r="ET179" s="199"/>
      <c r="EU179" s="199"/>
      <c r="EV179" s="199"/>
      <c r="EW179" s="199"/>
      <c r="EX179" s="199"/>
      <c r="EY179" s="199"/>
      <c r="EZ179" s="199"/>
      <c r="FA179" s="199"/>
      <c r="FB179" s="199"/>
      <c r="FC179" s="199"/>
      <c r="FD179" s="199"/>
      <c r="FE179" s="199"/>
      <c r="FF179" s="199"/>
      <c r="FG179" s="199"/>
      <c r="FH179" s="199"/>
      <c r="FI179" s="199"/>
      <c r="FJ179" s="199"/>
      <c r="FK179" s="199"/>
      <c r="FL179" s="199"/>
      <c r="FM179" s="199"/>
      <c r="FN179" s="199"/>
      <c r="FO179" s="199"/>
      <c r="FP179" s="199"/>
      <c r="FQ179" s="199"/>
      <c r="FR179" s="199"/>
      <c r="FS179" s="199"/>
      <c r="FT179" s="199"/>
      <c r="FU179" s="199"/>
      <c r="FV179" s="199"/>
      <c r="FW179" s="199"/>
      <c r="FX179" s="199"/>
      <c r="FY179" s="199"/>
      <c r="FZ179" s="199"/>
      <c r="GA179" s="199"/>
      <c r="GB179" s="199"/>
      <c r="GC179" s="199"/>
      <c r="GD179" s="199"/>
      <c r="GE179" s="199"/>
      <c r="GF179" s="199"/>
      <c r="GG179" s="199"/>
      <c r="GH179" s="199"/>
      <c r="GI179" s="199"/>
      <c r="GJ179" s="199"/>
      <c r="GK179" s="199"/>
      <c r="GL179" s="199"/>
      <c r="GM179" s="199"/>
      <c r="GN179" s="199"/>
      <c r="GO179" s="199"/>
      <c r="GP179" s="199"/>
      <c r="GQ179" s="199"/>
      <c r="GR179" s="199"/>
      <c r="GS179" s="199"/>
      <c r="GT179" s="199"/>
      <c r="GU179" s="199"/>
      <c r="GV179" s="199"/>
      <c r="GW179" s="199"/>
      <c r="GX179" s="199"/>
      <c r="GY179" s="199"/>
      <c r="GZ179" s="199"/>
      <c r="HA179" s="199"/>
      <c r="HB179" s="199"/>
      <c r="HC179" s="199"/>
      <c r="HD179" s="199"/>
      <c r="HE179" s="199"/>
      <c r="HF179" s="199"/>
      <c r="HG179" s="199"/>
      <c r="HH179" s="199"/>
      <c r="HI179" s="199"/>
      <c r="HJ179" s="199"/>
      <c r="HK179" s="199"/>
      <c r="HL179" s="199"/>
      <c r="HM179" s="199"/>
      <c r="HN179" s="199"/>
      <c r="HO179" s="199"/>
      <c r="HP179" s="199"/>
      <c r="HQ179" s="199"/>
      <c r="HR179" s="199"/>
      <c r="HS179" s="199"/>
      <c r="HT179" s="199"/>
      <c r="HU179" s="199"/>
      <c r="HV179" s="199"/>
      <c r="HW179" s="199"/>
      <c r="HX179" s="199"/>
      <c r="HY179" s="199"/>
      <c r="HZ179" s="199"/>
      <c r="IA179" s="199"/>
      <c r="IB179" s="199"/>
      <c r="IC179" s="199"/>
      <c r="ID179" s="199"/>
      <c r="IE179" s="199"/>
      <c r="IF179" s="199"/>
      <c r="IG179" s="199"/>
      <c r="IH179" s="199"/>
      <c r="II179" s="199"/>
      <c r="IJ179" s="199"/>
      <c r="IK179" s="199"/>
      <c r="IL179" s="199"/>
      <c r="IM179" s="199"/>
      <c r="IN179" s="199"/>
      <c r="IO179" s="199"/>
      <c r="IP179" s="199"/>
      <c r="IQ179" s="199"/>
      <c r="IR179" s="199"/>
      <c r="IS179" s="199"/>
      <c r="IT179" s="199"/>
      <c r="IU179" s="199"/>
      <c r="IV179" s="199"/>
      <c r="IW179" s="199"/>
    </row>
    <row r="180" customFormat="false" ht="12.75" hidden="false" customHeight="false" outlineLevel="0" collapsed="false">
      <c r="A180" s="160" t="s">
        <v>269</v>
      </c>
      <c r="B180" s="174"/>
      <c r="C180" s="174"/>
      <c r="D180" s="174"/>
      <c r="E180" s="174"/>
      <c r="F180" s="174"/>
      <c r="G180" s="174"/>
      <c r="H180" s="174"/>
      <c r="I180" s="174"/>
      <c r="J180" s="201"/>
      <c r="K180" s="174"/>
      <c r="L180" s="202" t="s">
        <v>151</v>
      </c>
      <c r="M180" s="24"/>
      <c r="N180" s="24" t="n">
        <v>0</v>
      </c>
      <c r="O180" s="24"/>
      <c r="P180" s="24" t="n">
        <v>0</v>
      </c>
      <c r="Q180" s="24"/>
      <c r="R180" s="24" t="n">
        <v>0</v>
      </c>
      <c r="S180" s="24"/>
      <c r="T180" s="24" t="n">
        <v>0</v>
      </c>
      <c r="U180" s="24"/>
      <c r="V180" s="24" t="n">
        <v>0</v>
      </c>
      <c r="W180" s="24"/>
      <c r="X180" s="24" t="n">
        <v>0</v>
      </c>
      <c r="Y180" s="24"/>
      <c r="Z180" s="24" t="n">
        <v>0</v>
      </c>
      <c r="AA180" s="24"/>
      <c r="AB180" s="24" t="n">
        <v>0</v>
      </c>
      <c r="AC180" s="24"/>
      <c r="AD180" s="24" t="n">
        <v>0</v>
      </c>
      <c r="AE180" s="24"/>
      <c r="AF180" s="24" t="n">
        <v>0</v>
      </c>
      <c r="AG180" s="24"/>
      <c r="AH180" s="24" t="n">
        <v>0</v>
      </c>
      <c r="AI180" s="24"/>
      <c r="AJ180" s="24" t="n">
        <v>0</v>
      </c>
      <c r="AK180" s="24"/>
      <c r="AL180" s="24"/>
      <c r="AM180" s="24"/>
      <c r="AN180" s="24" t="n">
        <v>0</v>
      </c>
      <c r="AO180" s="24"/>
      <c r="AP180" s="24" t="n">
        <v>0</v>
      </c>
      <c r="AQ180" s="24"/>
      <c r="AR180" s="24" t="n">
        <v>0</v>
      </c>
      <c r="AS180" s="24"/>
      <c r="AT180" s="24" t="n">
        <v>0</v>
      </c>
      <c r="AU180" s="24"/>
      <c r="AV180" s="24" t="n">
        <v>0</v>
      </c>
      <c r="AW180" s="24"/>
      <c r="AX180" s="24" t="n">
        <v>0</v>
      </c>
      <c r="AY180" s="24"/>
      <c r="AZ180" s="24" t="n">
        <v>0</v>
      </c>
      <c r="BA180" s="24"/>
      <c r="BB180" s="24" t="n">
        <v>0</v>
      </c>
      <c r="BC180" s="24"/>
      <c r="BD180" s="24" t="n">
        <v>0</v>
      </c>
      <c r="BE180" s="24"/>
      <c r="BF180" s="24" t="n">
        <v>0</v>
      </c>
      <c r="BG180" s="24"/>
      <c r="BH180" s="24" t="n">
        <v>0</v>
      </c>
      <c r="BI180" s="24"/>
      <c r="BJ180" s="24" t="n">
        <v>0</v>
      </c>
      <c r="BK180" s="24"/>
      <c r="BL180" s="24" t="n">
        <v>0</v>
      </c>
      <c r="BM180" s="24"/>
      <c r="BN180" s="24" t="n">
        <f aca="false">SUM(T180:BM180)</f>
        <v>0</v>
      </c>
      <c r="BO180" s="24"/>
      <c r="BP180" s="24" t="n">
        <v>0</v>
      </c>
      <c r="BQ180" s="24"/>
      <c r="BR180" s="110" t="n">
        <f aca="false">IF(+R180-BN180+BP180&gt;0,R180-BN180+BP180,0)</f>
        <v>0</v>
      </c>
      <c r="BS180" s="24"/>
      <c r="BT180" s="24" t="n">
        <f aca="false">+BN180+BR180</f>
        <v>0</v>
      </c>
      <c r="BU180" s="24"/>
      <c r="BV180" s="24" t="n">
        <f aca="false">+R180-BT180</f>
        <v>0</v>
      </c>
      <c r="BW180" s="24"/>
      <c r="BX180" s="174"/>
      <c r="BY180" s="174"/>
      <c r="BZ180" s="174"/>
      <c r="CA180" s="174"/>
      <c r="CB180" s="174"/>
      <c r="CC180" s="174"/>
      <c r="CD180" s="174"/>
      <c r="CE180" s="174"/>
      <c r="CF180" s="174"/>
      <c r="CG180" s="174"/>
      <c r="CH180" s="174"/>
      <c r="CI180" s="174"/>
      <c r="CJ180" s="174"/>
      <c r="CK180" s="174"/>
      <c r="CL180" s="174"/>
      <c r="CM180" s="174"/>
      <c r="CN180" s="174"/>
      <c r="CO180" s="174"/>
      <c r="CP180" s="174"/>
      <c r="CQ180" s="174"/>
      <c r="CR180" s="174"/>
      <c r="CS180" s="174"/>
      <c r="CT180" s="174"/>
      <c r="CU180" s="174"/>
      <c r="CV180" s="174"/>
      <c r="CW180" s="174"/>
      <c r="CX180" s="174"/>
      <c r="CY180" s="174"/>
      <c r="CZ180" s="174"/>
      <c r="DA180" s="174"/>
      <c r="DB180" s="174"/>
      <c r="DC180" s="174"/>
      <c r="DD180" s="174"/>
      <c r="DE180" s="174"/>
      <c r="DF180" s="174"/>
      <c r="DG180" s="174"/>
      <c r="DH180" s="174"/>
      <c r="DI180" s="174"/>
      <c r="DJ180" s="174"/>
      <c r="DK180" s="174"/>
      <c r="DL180" s="174"/>
      <c r="DM180" s="174"/>
      <c r="DN180" s="174"/>
      <c r="DO180" s="174"/>
      <c r="DP180" s="174"/>
      <c r="DQ180" s="174"/>
      <c r="DR180" s="174"/>
      <c r="DS180" s="174"/>
      <c r="DT180" s="174"/>
      <c r="DU180" s="174"/>
      <c r="DV180" s="174"/>
      <c r="DW180" s="174"/>
      <c r="DX180" s="174"/>
      <c r="DY180" s="174"/>
      <c r="DZ180" s="174"/>
      <c r="EA180" s="174"/>
      <c r="EB180" s="174"/>
      <c r="EC180" s="174"/>
      <c r="ED180" s="174"/>
      <c r="EE180" s="174"/>
      <c r="EF180" s="174"/>
      <c r="EG180" s="174"/>
      <c r="EH180" s="174"/>
      <c r="EI180" s="174"/>
      <c r="EJ180" s="174"/>
      <c r="EK180" s="174"/>
      <c r="EL180" s="174"/>
      <c r="EM180" s="174"/>
      <c r="EN180" s="174"/>
      <c r="EO180" s="174"/>
      <c r="EP180" s="174"/>
      <c r="EQ180" s="174"/>
      <c r="ER180" s="174"/>
      <c r="ES180" s="174"/>
      <c r="ET180" s="174"/>
      <c r="EU180" s="174"/>
      <c r="EV180" s="174"/>
      <c r="EW180" s="174"/>
      <c r="EX180" s="174"/>
      <c r="EY180" s="174"/>
      <c r="EZ180" s="174"/>
      <c r="FA180" s="174"/>
      <c r="FB180" s="174"/>
      <c r="FC180" s="174"/>
      <c r="FD180" s="174"/>
      <c r="FE180" s="174"/>
      <c r="FF180" s="174"/>
      <c r="FG180" s="174"/>
      <c r="FH180" s="174"/>
      <c r="FI180" s="174"/>
      <c r="FJ180" s="174"/>
      <c r="FK180" s="174"/>
      <c r="FL180" s="174"/>
      <c r="FM180" s="174"/>
      <c r="FN180" s="174"/>
      <c r="FO180" s="174"/>
      <c r="FP180" s="174"/>
      <c r="FQ180" s="174"/>
      <c r="FR180" s="174"/>
      <c r="FS180" s="174"/>
      <c r="FT180" s="174"/>
      <c r="FU180" s="174"/>
      <c r="FV180" s="174"/>
      <c r="FW180" s="174"/>
      <c r="FX180" s="174"/>
      <c r="FY180" s="174"/>
      <c r="FZ180" s="174"/>
      <c r="GA180" s="174"/>
      <c r="GB180" s="174"/>
      <c r="GC180" s="174"/>
      <c r="GD180" s="174"/>
      <c r="GE180" s="174"/>
      <c r="GF180" s="174"/>
      <c r="GG180" s="174"/>
      <c r="GH180" s="174"/>
      <c r="GI180" s="174"/>
      <c r="GJ180" s="174"/>
      <c r="GK180" s="174"/>
      <c r="GL180" s="174"/>
      <c r="GM180" s="174"/>
      <c r="GN180" s="174"/>
      <c r="GO180" s="174"/>
      <c r="GP180" s="174"/>
      <c r="GQ180" s="174"/>
      <c r="GR180" s="174"/>
      <c r="GS180" s="174"/>
      <c r="GT180" s="174"/>
      <c r="GU180" s="174"/>
      <c r="GV180" s="174"/>
      <c r="GW180" s="174"/>
      <c r="GX180" s="174"/>
      <c r="GY180" s="174"/>
      <c r="GZ180" s="174"/>
      <c r="HA180" s="174"/>
      <c r="HB180" s="174"/>
      <c r="HC180" s="174"/>
      <c r="HD180" s="174"/>
      <c r="HE180" s="174"/>
      <c r="HF180" s="174"/>
      <c r="HG180" s="174"/>
      <c r="HH180" s="174"/>
      <c r="HI180" s="174"/>
      <c r="HJ180" s="174"/>
      <c r="HK180" s="174"/>
      <c r="HL180" s="174"/>
      <c r="HM180" s="174"/>
      <c r="HN180" s="174"/>
      <c r="HO180" s="174"/>
      <c r="HP180" s="174"/>
      <c r="HQ180" s="174"/>
      <c r="HR180" s="174"/>
      <c r="HS180" s="174"/>
      <c r="HT180" s="174"/>
      <c r="HU180" s="174"/>
      <c r="HV180" s="174"/>
      <c r="HW180" s="174"/>
      <c r="HX180" s="174"/>
      <c r="HY180" s="174"/>
      <c r="HZ180" s="174"/>
      <c r="IA180" s="174"/>
      <c r="IB180" s="174"/>
      <c r="IC180" s="174"/>
      <c r="ID180" s="174"/>
      <c r="IE180" s="174"/>
      <c r="IF180" s="174"/>
      <c r="IG180" s="174"/>
      <c r="IH180" s="174"/>
      <c r="II180" s="174"/>
      <c r="IJ180" s="174"/>
      <c r="IK180" s="174"/>
      <c r="IL180" s="174"/>
      <c r="IM180" s="174"/>
      <c r="IN180" s="174"/>
      <c r="IO180" s="174"/>
      <c r="IP180" s="174"/>
      <c r="IQ180" s="174"/>
      <c r="IR180" s="174"/>
      <c r="IS180" s="174"/>
      <c r="IT180" s="174"/>
      <c r="IU180" s="174"/>
      <c r="IV180" s="174"/>
      <c r="IW180" s="174"/>
    </row>
    <row r="181" customFormat="false" ht="12.75" hidden="false" customHeight="false" outlineLevel="0" collapsed="false">
      <c r="A181" s="237"/>
      <c r="B181" s="164"/>
      <c r="C181" s="0"/>
      <c r="D181" s="0"/>
      <c r="E181" s="0"/>
      <c r="F181" s="0"/>
      <c r="G181" s="0"/>
      <c r="H181" s="0"/>
      <c r="I181" s="0"/>
      <c r="J181" s="4"/>
      <c r="K181" s="0"/>
      <c r="L181" s="34"/>
      <c r="M181" s="110"/>
      <c r="O181" s="110"/>
      <c r="Q181" s="110"/>
      <c r="S181" s="110"/>
      <c r="T181" s="110"/>
      <c r="U181" s="110"/>
      <c r="V181" s="110"/>
      <c r="X181" s="110"/>
      <c r="Z181" s="110"/>
      <c r="AB181" s="110"/>
      <c r="AD181" s="110"/>
      <c r="BL181" s="110"/>
      <c r="BM181" s="110"/>
      <c r="BO181" s="110"/>
      <c r="BP181" s="110"/>
      <c r="BQ181" s="110"/>
      <c r="BW181" s="110"/>
      <c r="BX181" s="194"/>
      <c r="BY181" s="194"/>
      <c r="BZ181" s="194"/>
      <c r="CA181" s="194"/>
      <c r="CB181" s="194"/>
      <c r="CC181" s="194"/>
      <c r="CD181" s="194"/>
      <c r="CE181" s="194"/>
      <c r="CF181" s="194"/>
      <c r="CG181" s="194"/>
      <c r="CH181" s="194"/>
      <c r="CI181" s="194"/>
      <c r="CJ181" s="194"/>
      <c r="CK181" s="194"/>
      <c r="CL181" s="194"/>
      <c r="CM181" s="194"/>
      <c r="CN181" s="194"/>
      <c r="CO181" s="194"/>
      <c r="CP181" s="194"/>
      <c r="CQ181" s="194"/>
      <c r="CR181" s="194"/>
      <c r="CS181" s="194"/>
      <c r="CT181" s="194"/>
      <c r="CU181" s="194"/>
      <c r="CV181" s="194"/>
      <c r="CW181" s="194"/>
      <c r="CX181" s="194"/>
      <c r="CY181" s="194"/>
      <c r="CZ181" s="194"/>
      <c r="DA181" s="194"/>
      <c r="DB181" s="194"/>
      <c r="DC181" s="194"/>
      <c r="DD181" s="194"/>
      <c r="DE181" s="194"/>
      <c r="DF181" s="194"/>
      <c r="DG181" s="194"/>
      <c r="DH181" s="194"/>
      <c r="DI181" s="194"/>
      <c r="DJ181" s="194"/>
      <c r="DK181" s="194"/>
      <c r="DL181" s="194"/>
      <c r="DM181" s="194"/>
      <c r="DN181" s="194"/>
      <c r="DO181" s="194"/>
      <c r="DP181" s="194"/>
      <c r="DQ181" s="194"/>
      <c r="DR181" s="194"/>
      <c r="DS181" s="194"/>
      <c r="DT181" s="194"/>
      <c r="DU181" s="194"/>
      <c r="DV181" s="194"/>
      <c r="DW181" s="194"/>
      <c r="DX181" s="194"/>
      <c r="DY181" s="194"/>
      <c r="DZ181" s="194"/>
      <c r="EA181" s="194"/>
      <c r="EB181" s="194"/>
      <c r="EC181" s="194"/>
      <c r="ED181" s="194"/>
      <c r="EE181" s="194"/>
      <c r="EF181" s="194"/>
      <c r="EG181" s="194"/>
      <c r="EH181" s="194"/>
      <c r="EI181" s="194"/>
      <c r="EJ181" s="194"/>
      <c r="EK181" s="194"/>
      <c r="EL181" s="194"/>
      <c r="EM181" s="194"/>
      <c r="EN181" s="194"/>
      <c r="EO181" s="194"/>
      <c r="EP181" s="194"/>
      <c r="EQ181" s="194"/>
      <c r="ER181" s="194"/>
      <c r="ES181" s="194"/>
      <c r="ET181" s="194"/>
      <c r="EU181" s="194"/>
      <c r="EV181" s="194"/>
      <c r="EW181" s="194"/>
      <c r="EX181" s="194"/>
      <c r="EY181" s="194"/>
      <c r="EZ181" s="194"/>
      <c r="FA181" s="194"/>
      <c r="FB181" s="194"/>
      <c r="FC181" s="194"/>
      <c r="FD181" s="194"/>
      <c r="FE181" s="194"/>
      <c r="FF181" s="194"/>
      <c r="FG181" s="194"/>
      <c r="FH181" s="194"/>
      <c r="FI181" s="194"/>
      <c r="FJ181" s="194"/>
      <c r="FK181" s="194"/>
      <c r="FL181" s="194"/>
      <c r="FM181" s="194"/>
      <c r="FN181" s="194"/>
      <c r="FO181" s="194"/>
      <c r="FP181" s="194"/>
      <c r="FQ181" s="194"/>
      <c r="FR181" s="194"/>
      <c r="FS181" s="194"/>
      <c r="FT181" s="194"/>
      <c r="FU181" s="194"/>
      <c r="FV181" s="194"/>
      <c r="FW181" s="194"/>
      <c r="FX181" s="194"/>
      <c r="FY181" s="194"/>
      <c r="FZ181" s="194"/>
      <c r="GA181" s="194"/>
      <c r="GB181" s="194"/>
      <c r="GC181" s="194"/>
      <c r="GD181" s="194"/>
      <c r="GE181" s="194"/>
      <c r="GF181" s="194"/>
      <c r="GG181" s="194"/>
      <c r="GH181" s="194"/>
      <c r="GI181" s="194"/>
      <c r="GJ181" s="194"/>
      <c r="GK181" s="194"/>
      <c r="GL181" s="194"/>
      <c r="GM181" s="194"/>
      <c r="GN181" s="194"/>
      <c r="GO181" s="194"/>
      <c r="GP181" s="194"/>
      <c r="GQ181" s="194"/>
      <c r="GR181" s="194"/>
      <c r="GS181" s="194"/>
      <c r="GT181" s="194"/>
      <c r="GU181" s="194"/>
      <c r="GV181" s="194"/>
      <c r="GW181" s="194"/>
      <c r="GX181" s="194"/>
      <c r="GY181" s="194"/>
      <c r="GZ181" s="194"/>
      <c r="HA181" s="194"/>
      <c r="HB181" s="194"/>
      <c r="HC181" s="194"/>
      <c r="HD181" s="194"/>
      <c r="HE181" s="194"/>
      <c r="HF181" s="194"/>
      <c r="HG181" s="194"/>
      <c r="HH181" s="194"/>
      <c r="HI181" s="194"/>
      <c r="HJ181" s="194"/>
      <c r="HK181" s="194"/>
      <c r="HL181" s="194"/>
      <c r="HM181" s="194"/>
      <c r="HN181" s="194"/>
      <c r="HO181" s="194"/>
      <c r="HP181" s="194"/>
      <c r="HQ181" s="194"/>
      <c r="HR181" s="194"/>
      <c r="HS181" s="194"/>
      <c r="HT181" s="194"/>
      <c r="HU181" s="194"/>
      <c r="HV181" s="194"/>
      <c r="HW181" s="194"/>
      <c r="HX181" s="194"/>
      <c r="HY181" s="194"/>
      <c r="HZ181" s="194"/>
      <c r="IA181" s="194"/>
      <c r="IB181" s="194"/>
      <c r="IC181" s="194"/>
      <c r="ID181" s="194"/>
      <c r="IE181" s="194"/>
      <c r="IF181" s="194"/>
      <c r="IG181" s="194"/>
      <c r="IH181" s="194"/>
      <c r="II181" s="194"/>
      <c r="IJ181" s="194"/>
      <c r="IK181" s="194"/>
      <c r="IL181" s="194"/>
      <c r="IM181" s="194"/>
      <c r="IN181" s="194"/>
      <c r="IO181" s="194"/>
      <c r="IP181" s="194"/>
      <c r="IQ181" s="194"/>
      <c r="IR181" s="194"/>
      <c r="IS181" s="194"/>
      <c r="IT181" s="194"/>
      <c r="IU181" s="194"/>
      <c r="IV181" s="194"/>
      <c r="IW181" s="194"/>
    </row>
    <row r="182" customFormat="false" ht="12.75" hidden="false" customHeight="false" outlineLevel="0" collapsed="false">
      <c r="A182" s="160" t="s">
        <v>270</v>
      </c>
      <c r="B182" s="174"/>
      <c r="C182" s="174"/>
      <c r="D182" s="174"/>
      <c r="E182" s="174"/>
      <c r="F182" s="174"/>
      <c r="G182" s="174"/>
      <c r="H182" s="174"/>
      <c r="I182" s="174"/>
      <c r="J182" s="201"/>
      <c r="K182" s="174"/>
      <c r="L182" s="202" t="s">
        <v>151</v>
      </c>
      <c r="M182" s="24"/>
      <c r="N182" s="24" t="n">
        <v>0</v>
      </c>
      <c r="O182" s="24"/>
      <c r="P182" s="24" t="n">
        <v>0</v>
      </c>
      <c r="Q182" s="24"/>
      <c r="R182" s="24" t="n">
        <v>0</v>
      </c>
      <c r="S182" s="24"/>
      <c r="T182" s="24" t="n">
        <v>0</v>
      </c>
      <c r="U182" s="24"/>
      <c r="V182" s="24" t="n">
        <v>0</v>
      </c>
      <c r="W182" s="24"/>
      <c r="X182" s="24"/>
      <c r="Y182" s="24"/>
      <c r="Z182" s="24" t="n">
        <v>0</v>
      </c>
      <c r="AA182" s="24"/>
      <c r="AB182" s="24" t="n">
        <v>4234.96</v>
      </c>
      <c r="AC182" s="24"/>
      <c r="AD182" s="24" t="n">
        <f aca="false">5808.82+4463.57+8741.21+1074.93+910.57</f>
        <v>20999.1</v>
      </c>
      <c r="AE182" s="24"/>
      <c r="AF182" s="24" t="n">
        <v>10759.47</v>
      </c>
      <c r="AG182" s="24"/>
      <c r="AH182" s="24" t="n">
        <v>6023.47</v>
      </c>
      <c r="AI182" s="24"/>
      <c r="AJ182" s="24" t="n">
        <v>6145.77</v>
      </c>
      <c r="AK182" s="24"/>
      <c r="AL182" s="24" t="n">
        <v>-48163</v>
      </c>
      <c r="AM182" s="24"/>
      <c r="AN182" s="24" t="n">
        <v>0</v>
      </c>
      <c r="AO182" s="24"/>
      <c r="AP182" s="24" t="n">
        <v>0</v>
      </c>
      <c r="AQ182" s="24"/>
      <c r="AR182" s="24" t="n">
        <v>0</v>
      </c>
      <c r="AS182" s="24"/>
      <c r="AT182" s="24" t="n">
        <v>0</v>
      </c>
      <c r="AU182" s="24"/>
      <c r="AV182" s="24" t="n">
        <v>0</v>
      </c>
      <c r="AW182" s="24"/>
      <c r="AX182" s="24" t="n">
        <v>0</v>
      </c>
      <c r="AY182" s="24"/>
      <c r="AZ182" s="24" t="n">
        <v>0</v>
      </c>
      <c r="BA182" s="24"/>
      <c r="BB182" s="24" t="n">
        <v>0</v>
      </c>
      <c r="BC182" s="24"/>
      <c r="BD182" s="24" t="n">
        <v>0</v>
      </c>
      <c r="BE182" s="24"/>
      <c r="BF182" s="24" t="n">
        <v>0</v>
      </c>
      <c r="BG182" s="24"/>
      <c r="BH182" s="24" t="n">
        <v>0</v>
      </c>
      <c r="BI182" s="24"/>
      <c r="BJ182" s="24" t="n">
        <v>0</v>
      </c>
      <c r="BK182" s="24"/>
      <c r="BL182" s="24" t="n">
        <v>0</v>
      </c>
      <c r="BM182" s="24"/>
      <c r="BN182" s="24" t="n">
        <f aca="false">SUM(T182:BM182)</f>
        <v>-0.230000000003201</v>
      </c>
      <c r="BO182" s="24"/>
      <c r="BP182" s="24" t="n">
        <v>0</v>
      </c>
      <c r="BQ182" s="24"/>
      <c r="BR182" s="110" t="n">
        <f aca="false">IF(+R182-BN182+BP182&gt;0,R182-BN182+BP182,0)</f>
        <v>0.230000000003201</v>
      </c>
      <c r="BS182" s="24"/>
      <c r="BT182" s="24" t="n">
        <f aca="false">+BN182+BR182</f>
        <v>0</v>
      </c>
      <c r="BU182" s="24"/>
      <c r="BV182" s="24" t="n">
        <f aca="false">+R182-BT182</f>
        <v>0</v>
      </c>
      <c r="BW182" s="24"/>
      <c r="BX182" s="174"/>
      <c r="BY182" s="174"/>
      <c r="BZ182" s="174"/>
      <c r="CA182" s="174"/>
      <c r="CB182" s="174"/>
      <c r="CC182" s="174"/>
      <c r="CD182" s="174"/>
      <c r="CE182" s="174"/>
      <c r="CF182" s="174"/>
      <c r="CG182" s="174"/>
      <c r="CH182" s="174"/>
      <c r="CI182" s="174"/>
      <c r="CJ182" s="174"/>
      <c r="CK182" s="174"/>
      <c r="CL182" s="174"/>
      <c r="CM182" s="174"/>
      <c r="CN182" s="174"/>
      <c r="CO182" s="174"/>
      <c r="CP182" s="174"/>
      <c r="CQ182" s="174"/>
      <c r="CR182" s="174"/>
      <c r="CS182" s="174"/>
      <c r="CT182" s="174"/>
      <c r="CU182" s="174"/>
      <c r="CV182" s="174"/>
      <c r="CW182" s="174"/>
      <c r="CX182" s="174"/>
      <c r="CY182" s="174"/>
      <c r="CZ182" s="174"/>
      <c r="DA182" s="174"/>
      <c r="DB182" s="174"/>
      <c r="DC182" s="174"/>
      <c r="DD182" s="174"/>
      <c r="DE182" s="174"/>
      <c r="DF182" s="174"/>
      <c r="DG182" s="174"/>
      <c r="DH182" s="174"/>
      <c r="DI182" s="174"/>
      <c r="DJ182" s="174"/>
      <c r="DK182" s="174"/>
      <c r="DL182" s="174"/>
      <c r="DM182" s="174"/>
      <c r="DN182" s="174"/>
      <c r="DO182" s="174"/>
      <c r="DP182" s="174"/>
      <c r="DQ182" s="174"/>
      <c r="DR182" s="174"/>
      <c r="DS182" s="174"/>
      <c r="DT182" s="174"/>
      <c r="DU182" s="174"/>
      <c r="DV182" s="174"/>
      <c r="DW182" s="174"/>
      <c r="DX182" s="174"/>
      <c r="DY182" s="174"/>
      <c r="DZ182" s="174"/>
      <c r="EA182" s="174"/>
      <c r="EB182" s="174"/>
      <c r="EC182" s="174"/>
      <c r="ED182" s="174"/>
      <c r="EE182" s="174"/>
      <c r="EF182" s="174"/>
      <c r="EG182" s="174"/>
      <c r="EH182" s="174"/>
      <c r="EI182" s="174"/>
      <c r="EJ182" s="174"/>
      <c r="EK182" s="174"/>
      <c r="EL182" s="174"/>
      <c r="EM182" s="174"/>
      <c r="EN182" s="174"/>
      <c r="EO182" s="174"/>
      <c r="EP182" s="174"/>
      <c r="EQ182" s="174"/>
      <c r="ER182" s="174"/>
      <c r="ES182" s="174"/>
      <c r="ET182" s="174"/>
      <c r="EU182" s="174"/>
      <c r="EV182" s="174"/>
      <c r="EW182" s="174"/>
      <c r="EX182" s="174"/>
      <c r="EY182" s="174"/>
      <c r="EZ182" s="174"/>
      <c r="FA182" s="174"/>
      <c r="FB182" s="174"/>
      <c r="FC182" s="174"/>
      <c r="FD182" s="174"/>
      <c r="FE182" s="174"/>
      <c r="FF182" s="174"/>
      <c r="FG182" s="174"/>
      <c r="FH182" s="174"/>
      <c r="FI182" s="174"/>
      <c r="FJ182" s="174"/>
      <c r="FK182" s="174"/>
      <c r="FL182" s="174"/>
      <c r="FM182" s="174"/>
      <c r="FN182" s="174"/>
      <c r="FO182" s="174"/>
      <c r="FP182" s="174"/>
      <c r="FQ182" s="174"/>
      <c r="FR182" s="174"/>
      <c r="FS182" s="174"/>
      <c r="FT182" s="174"/>
      <c r="FU182" s="174"/>
      <c r="FV182" s="174"/>
      <c r="FW182" s="174"/>
      <c r="FX182" s="174"/>
      <c r="FY182" s="174"/>
      <c r="FZ182" s="174"/>
      <c r="GA182" s="174"/>
      <c r="GB182" s="174"/>
      <c r="GC182" s="174"/>
      <c r="GD182" s="174"/>
      <c r="GE182" s="174"/>
      <c r="GF182" s="174"/>
      <c r="GG182" s="174"/>
      <c r="GH182" s="174"/>
      <c r="GI182" s="174"/>
      <c r="GJ182" s="174"/>
      <c r="GK182" s="174"/>
      <c r="GL182" s="174"/>
      <c r="GM182" s="174"/>
      <c r="GN182" s="174"/>
      <c r="GO182" s="174"/>
      <c r="GP182" s="174"/>
      <c r="GQ182" s="174"/>
      <c r="GR182" s="174"/>
      <c r="GS182" s="174"/>
      <c r="GT182" s="174"/>
      <c r="GU182" s="174"/>
      <c r="GV182" s="174"/>
      <c r="GW182" s="174"/>
      <c r="GX182" s="174"/>
      <c r="GY182" s="174"/>
      <c r="GZ182" s="174"/>
      <c r="HA182" s="174"/>
      <c r="HB182" s="174"/>
      <c r="HC182" s="174"/>
      <c r="HD182" s="174"/>
      <c r="HE182" s="174"/>
      <c r="HF182" s="174"/>
      <c r="HG182" s="174"/>
      <c r="HH182" s="174"/>
      <c r="HI182" s="174"/>
      <c r="HJ182" s="174"/>
      <c r="HK182" s="174"/>
      <c r="HL182" s="174"/>
      <c r="HM182" s="174"/>
      <c r="HN182" s="174"/>
      <c r="HO182" s="174"/>
      <c r="HP182" s="174"/>
      <c r="HQ182" s="174"/>
      <c r="HR182" s="174"/>
      <c r="HS182" s="174"/>
      <c r="HT182" s="174"/>
      <c r="HU182" s="174"/>
      <c r="HV182" s="174"/>
      <c r="HW182" s="174"/>
      <c r="HX182" s="174"/>
      <c r="HY182" s="174"/>
      <c r="HZ182" s="174"/>
      <c r="IA182" s="174"/>
      <c r="IB182" s="174"/>
      <c r="IC182" s="174"/>
      <c r="ID182" s="174"/>
      <c r="IE182" s="174"/>
      <c r="IF182" s="174"/>
      <c r="IG182" s="174"/>
      <c r="IH182" s="174"/>
      <c r="II182" s="174"/>
      <c r="IJ182" s="174"/>
      <c r="IK182" s="174"/>
      <c r="IL182" s="174"/>
      <c r="IM182" s="174"/>
      <c r="IN182" s="174"/>
      <c r="IO182" s="174"/>
      <c r="IP182" s="174"/>
      <c r="IQ182" s="174"/>
      <c r="IR182" s="174"/>
      <c r="IS182" s="174"/>
      <c r="IT182" s="174"/>
      <c r="IU182" s="174"/>
      <c r="IV182" s="174"/>
      <c r="IW182" s="174"/>
    </row>
    <row r="183" customFormat="false" ht="12.75" hidden="false" customHeight="false" outlineLevel="0" collapsed="false">
      <c r="A183" s="237"/>
      <c r="B183" s="164"/>
      <c r="C183" s="0"/>
      <c r="D183" s="0"/>
      <c r="E183" s="0"/>
      <c r="F183" s="0"/>
      <c r="G183" s="0"/>
      <c r="H183" s="0"/>
      <c r="I183" s="0"/>
      <c r="J183" s="4"/>
      <c r="K183" s="0"/>
      <c r="L183" s="34"/>
      <c r="M183" s="110"/>
      <c r="O183" s="110"/>
      <c r="Q183" s="110"/>
      <c r="S183" s="110"/>
      <c r="T183" s="110"/>
      <c r="U183" s="110"/>
      <c r="V183" s="110"/>
      <c r="X183" s="110"/>
      <c r="Z183" s="110"/>
      <c r="AB183" s="110"/>
      <c r="AD183" s="110"/>
      <c r="BL183" s="110"/>
      <c r="BM183" s="110"/>
      <c r="BO183" s="110"/>
      <c r="BP183" s="110"/>
      <c r="BQ183" s="110"/>
      <c r="BW183" s="110"/>
      <c r="BX183" s="194"/>
      <c r="BY183" s="194"/>
      <c r="BZ183" s="194"/>
      <c r="CA183" s="194"/>
      <c r="CB183" s="194"/>
      <c r="CC183" s="194"/>
      <c r="CD183" s="194"/>
      <c r="CE183" s="194"/>
      <c r="CF183" s="194"/>
      <c r="CG183" s="194"/>
      <c r="CH183" s="194"/>
      <c r="CI183" s="194"/>
      <c r="CJ183" s="194"/>
      <c r="CK183" s="194"/>
      <c r="CL183" s="194"/>
      <c r="CM183" s="194"/>
      <c r="CN183" s="194"/>
      <c r="CO183" s="194"/>
      <c r="CP183" s="194"/>
      <c r="CQ183" s="194"/>
      <c r="CR183" s="194"/>
      <c r="CS183" s="194"/>
      <c r="CT183" s="194"/>
      <c r="CU183" s="194"/>
      <c r="CV183" s="194"/>
      <c r="CW183" s="194"/>
      <c r="CX183" s="194"/>
      <c r="CY183" s="194"/>
      <c r="CZ183" s="194"/>
      <c r="DA183" s="194"/>
      <c r="DB183" s="194"/>
      <c r="DC183" s="194"/>
      <c r="DD183" s="194"/>
      <c r="DE183" s="194"/>
      <c r="DF183" s="194"/>
      <c r="DG183" s="194"/>
      <c r="DH183" s="194"/>
      <c r="DI183" s="194"/>
      <c r="DJ183" s="194"/>
      <c r="DK183" s="194"/>
      <c r="DL183" s="194"/>
      <c r="DM183" s="194"/>
      <c r="DN183" s="194"/>
      <c r="DO183" s="194"/>
      <c r="DP183" s="194"/>
      <c r="DQ183" s="194"/>
      <c r="DR183" s="194"/>
      <c r="DS183" s="194"/>
      <c r="DT183" s="194"/>
      <c r="DU183" s="194"/>
      <c r="DV183" s="194"/>
      <c r="DW183" s="194"/>
      <c r="DX183" s="194"/>
      <c r="DY183" s="194"/>
      <c r="DZ183" s="194"/>
      <c r="EA183" s="194"/>
      <c r="EB183" s="194"/>
      <c r="EC183" s="194"/>
      <c r="ED183" s="194"/>
      <c r="EE183" s="194"/>
      <c r="EF183" s="194"/>
      <c r="EG183" s="194"/>
      <c r="EH183" s="194"/>
      <c r="EI183" s="194"/>
      <c r="EJ183" s="194"/>
      <c r="EK183" s="194"/>
      <c r="EL183" s="194"/>
      <c r="EM183" s="194"/>
      <c r="EN183" s="194"/>
      <c r="EO183" s="194"/>
      <c r="EP183" s="194"/>
      <c r="EQ183" s="194"/>
      <c r="ER183" s="194"/>
      <c r="ES183" s="194"/>
      <c r="ET183" s="194"/>
      <c r="EU183" s="194"/>
      <c r="EV183" s="194"/>
      <c r="EW183" s="194"/>
      <c r="EX183" s="194"/>
      <c r="EY183" s="194"/>
      <c r="EZ183" s="194"/>
      <c r="FA183" s="194"/>
      <c r="FB183" s="194"/>
      <c r="FC183" s="194"/>
      <c r="FD183" s="194"/>
      <c r="FE183" s="194"/>
      <c r="FF183" s="194"/>
      <c r="FG183" s="194"/>
      <c r="FH183" s="194"/>
      <c r="FI183" s="194"/>
      <c r="FJ183" s="194"/>
      <c r="FK183" s="194"/>
      <c r="FL183" s="194"/>
      <c r="FM183" s="194"/>
      <c r="FN183" s="194"/>
      <c r="FO183" s="194"/>
      <c r="FP183" s="194"/>
      <c r="FQ183" s="194"/>
      <c r="FR183" s="194"/>
      <c r="FS183" s="194"/>
      <c r="FT183" s="194"/>
      <c r="FU183" s="194"/>
      <c r="FV183" s="194"/>
      <c r="FW183" s="194"/>
      <c r="FX183" s="194"/>
      <c r="FY183" s="194"/>
      <c r="FZ183" s="194"/>
      <c r="GA183" s="194"/>
      <c r="GB183" s="194"/>
      <c r="GC183" s="194"/>
      <c r="GD183" s="194"/>
      <c r="GE183" s="194"/>
      <c r="GF183" s="194"/>
      <c r="GG183" s="194"/>
      <c r="GH183" s="194"/>
      <c r="GI183" s="194"/>
      <c r="GJ183" s="194"/>
      <c r="GK183" s="194"/>
      <c r="GL183" s="194"/>
      <c r="GM183" s="194"/>
      <c r="GN183" s="194"/>
      <c r="GO183" s="194"/>
      <c r="GP183" s="194"/>
      <c r="GQ183" s="194"/>
      <c r="GR183" s="194"/>
      <c r="GS183" s="194"/>
      <c r="GT183" s="194"/>
      <c r="GU183" s="194"/>
      <c r="GV183" s="194"/>
      <c r="GW183" s="194"/>
      <c r="GX183" s="194"/>
      <c r="GY183" s="194"/>
      <c r="GZ183" s="194"/>
      <c r="HA183" s="194"/>
      <c r="HB183" s="194"/>
      <c r="HC183" s="194"/>
      <c r="HD183" s="194"/>
      <c r="HE183" s="194"/>
      <c r="HF183" s="194"/>
      <c r="HG183" s="194"/>
      <c r="HH183" s="194"/>
      <c r="HI183" s="194"/>
      <c r="HJ183" s="194"/>
      <c r="HK183" s="194"/>
      <c r="HL183" s="194"/>
      <c r="HM183" s="194"/>
      <c r="HN183" s="194"/>
      <c r="HO183" s="194"/>
      <c r="HP183" s="194"/>
      <c r="HQ183" s="194"/>
      <c r="HR183" s="194"/>
      <c r="HS183" s="194"/>
      <c r="HT183" s="194"/>
      <c r="HU183" s="194"/>
      <c r="HV183" s="194"/>
      <c r="HW183" s="194"/>
      <c r="HX183" s="194"/>
      <c r="HY183" s="194"/>
      <c r="HZ183" s="194"/>
      <c r="IA183" s="194"/>
      <c r="IB183" s="194"/>
      <c r="IC183" s="194"/>
      <c r="ID183" s="194"/>
      <c r="IE183" s="194"/>
      <c r="IF183" s="194"/>
      <c r="IG183" s="194"/>
      <c r="IH183" s="194"/>
      <c r="II183" s="194"/>
      <c r="IJ183" s="194"/>
      <c r="IK183" s="194"/>
      <c r="IL183" s="194"/>
      <c r="IM183" s="194"/>
      <c r="IN183" s="194"/>
      <c r="IO183" s="194"/>
      <c r="IP183" s="194"/>
      <c r="IQ183" s="194"/>
      <c r="IR183" s="194"/>
      <c r="IS183" s="194"/>
      <c r="IT183" s="194"/>
      <c r="IU183" s="194"/>
      <c r="IV183" s="194"/>
      <c r="IW183" s="194"/>
    </row>
    <row r="184" customFormat="false" ht="12.75" hidden="false" customHeight="false" outlineLevel="0" collapsed="false">
      <c r="A184" s="228" t="s">
        <v>271</v>
      </c>
      <c r="B184" s="118"/>
      <c r="C184" s="0"/>
      <c r="D184" s="0"/>
      <c r="E184" s="0"/>
      <c r="F184" s="0"/>
      <c r="G184" s="0"/>
      <c r="H184" s="0"/>
      <c r="I184" s="0"/>
      <c r="J184" s="4"/>
      <c r="K184" s="0"/>
      <c r="L184" s="34"/>
      <c r="M184" s="110"/>
      <c r="O184" s="110"/>
      <c r="Q184" s="110"/>
      <c r="S184" s="110"/>
      <c r="T184" s="110"/>
      <c r="U184" s="110"/>
      <c r="V184" s="110"/>
      <c r="X184" s="110"/>
      <c r="Z184" s="110"/>
      <c r="AB184" s="110"/>
      <c r="AD184" s="110"/>
      <c r="BL184" s="110"/>
      <c r="BM184" s="110"/>
      <c r="BO184" s="110"/>
      <c r="BP184" s="110"/>
      <c r="BQ184" s="110"/>
      <c r="BW184" s="110"/>
    </row>
    <row r="185" customFormat="false" ht="12.75" hidden="false" customHeight="false" outlineLevel="0" collapsed="false">
      <c r="A185" s="161"/>
      <c r="B185" s="118" t="s">
        <v>272</v>
      </c>
      <c r="C185" s="118"/>
      <c r="D185" s="118"/>
      <c r="E185" s="118"/>
      <c r="F185" s="118"/>
      <c r="G185" s="118"/>
      <c r="H185" s="118"/>
      <c r="I185" s="118"/>
      <c r="J185" s="192"/>
      <c r="K185" s="118"/>
      <c r="L185" s="203" t="s">
        <v>258</v>
      </c>
      <c r="M185" s="110"/>
      <c r="N185" s="110" t="n">
        <v>200000</v>
      </c>
      <c r="O185" s="110"/>
      <c r="P185" s="110" t="n">
        <v>0</v>
      </c>
      <c r="Q185" s="110"/>
      <c r="R185" s="110" t="n">
        <v>0</v>
      </c>
      <c r="S185" s="110"/>
      <c r="T185" s="110" t="n">
        <v>0</v>
      </c>
      <c r="U185" s="110"/>
      <c r="V185" s="110" t="n">
        <v>0</v>
      </c>
      <c r="X185" s="110" t="n">
        <v>21983.72</v>
      </c>
      <c r="Z185" s="110" t="n">
        <v>0</v>
      </c>
      <c r="AB185" s="110" t="n">
        <v>0</v>
      </c>
      <c r="AD185" s="110" t="n">
        <v>0</v>
      </c>
      <c r="AH185" s="110" t="n">
        <v>0</v>
      </c>
      <c r="AJ185" s="110" t="n">
        <v>0</v>
      </c>
      <c r="AL185" s="110" t="n">
        <v>14449</v>
      </c>
      <c r="AN185" s="110" t="n">
        <v>0</v>
      </c>
      <c r="AP185" s="110" t="n">
        <v>0</v>
      </c>
      <c r="AR185" s="110" t="n">
        <v>0</v>
      </c>
      <c r="AT185" s="110" t="n">
        <v>0</v>
      </c>
      <c r="AV185" s="110" t="n">
        <v>0</v>
      </c>
      <c r="AX185" s="110" t="n">
        <v>0</v>
      </c>
      <c r="AZ185" s="110" t="n">
        <v>0</v>
      </c>
      <c r="BB185" s="110" t="n">
        <v>0</v>
      </c>
      <c r="BD185" s="110" t="n">
        <v>0</v>
      </c>
      <c r="BF185" s="110" t="n">
        <v>0</v>
      </c>
      <c r="BH185" s="110" t="n">
        <v>0</v>
      </c>
      <c r="BJ185" s="110" t="n">
        <v>0</v>
      </c>
      <c r="BL185" s="110" t="n">
        <v>0</v>
      </c>
      <c r="BM185" s="110"/>
      <c r="BN185" s="110" t="n">
        <f aca="false">SUM(T185:BM185)</f>
        <v>36432.72</v>
      </c>
      <c r="BO185" s="110"/>
      <c r="BP185" s="110" t="n">
        <v>0</v>
      </c>
      <c r="BQ185" s="110"/>
      <c r="BR185" s="110" t="n">
        <f aca="false">IF(+R185-BN185+BP185&gt;0,R185-BN185+BP185,0)</f>
        <v>0</v>
      </c>
      <c r="BT185" s="110" t="n">
        <f aca="false">+BN185+BR185</f>
        <v>36432.72</v>
      </c>
      <c r="BV185" s="110" t="n">
        <f aca="false">+R185-BT185</f>
        <v>-36432.72</v>
      </c>
      <c r="BW185" s="110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  <c r="CP185" s="118"/>
      <c r="CQ185" s="118"/>
      <c r="CR185" s="118"/>
      <c r="CS185" s="118"/>
      <c r="CT185" s="118"/>
      <c r="CU185" s="118"/>
      <c r="CV185" s="118"/>
      <c r="CW185" s="118"/>
      <c r="CX185" s="118"/>
      <c r="CY185" s="118"/>
      <c r="CZ185" s="118"/>
      <c r="DA185" s="118"/>
      <c r="DB185" s="118"/>
      <c r="DC185" s="118"/>
      <c r="DD185" s="118"/>
      <c r="DE185" s="118"/>
      <c r="DF185" s="118"/>
      <c r="DG185" s="118"/>
      <c r="DH185" s="118"/>
      <c r="DI185" s="118"/>
      <c r="DJ185" s="118"/>
      <c r="DK185" s="118"/>
      <c r="DL185" s="118"/>
      <c r="DM185" s="118"/>
      <c r="DN185" s="118"/>
      <c r="DO185" s="118"/>
      <c r="DP185" s="118"/>
      <c r="DQ185" s="118"/>
      <c r="DR185" s="118"/>
      <c r="DS185" s="118"/>
      <c r="DT185" s="118"/>
      <c r="DU185" s="118"/>
      <c r="DV185" s="118"/>
      <c r="DW185" s="118"/>
      <c r="DX185" s="118"/>
      <c r="DY185" s="118"/>
      <c r="DZ185" s="118"/>
      <c r="EA185" s="118"/>
      <c r="EB185" s="118"/>
      <c r="EC185" s="118"/>
      <c r="ED185" s="118"/>
      <c r="EE185" s="118"/>
      <c r="EF185" s="118"/>
      <c r="EG185" s="118"/>
      <c r="EH185" s="118"/>
      <c r="EI185" s="118"/>
      <c r="EJ185" s="118"/>
      <c r="EK185" s="118"/>
      <c r="EL185" s="118"/>
      <c r="EM185" s="118"/>
      <c r="EN185" s="118"/>
      <c r="EO185" s="118"/>
      <c r="EP185" s="118"/>
      <c r="EQ185" s="118"/>
      <c r="ER185" s="118"/>
      <c r="ES185" s="118"/>
      <c r="ET185" s="118"/>
      <c r="EU185" s="118"/>
      <c r="EV185" s="118"/>
      <c r="EW185" s="118"/>
      <c r="EX185" s="118"/>
      <c r="EY185" s="118"/>
      <c r="EZ185" s="118"/>
      <c r="FA185" s="118"/>
      <c r="FB185" s="118"/>
      <c r="FC185" s="118"/>
      <c r="FD185" s="118"/>
      <c r="FE185" s="118"/>
      <c r="FF185" s="118"/>
      <c r="FG185" s="118"/>
      <c r="FH185" s="118"/>
      <c r="FI185" s="118"/>
      <c r="FJ185" s="118"/>
      <c r="FK185" s="118"/>
      <c r="FL185" s="118"/>
      <c r="FM185" s="118"/>
      <c r="FN185" s="118"/>
      <c r="FO185" s="118"/>
      <c r="FP185" s="118"/>
      <c r="FQ185" s="118"/>
      <c r="FR185" s="118"/>
      <c r="FS185" s="118"/>
      <c r="FT185" s="118"/>
      <c r="FU185" s="118"/>
      <c r="FV185" s="118"/>
      <c r="FW185" s="118"/>
      <c r="FX185" s="118"/>
      <c r="FY185" s="118"/>
      <c r="FZ185" s="118"/>
      <c r="GA185" s="118"/>
      <c r="GB185" s="118"/>
      <c r="GC185" s="118"/>
      <c r="GD185" s="118"/>
      <c r="GE185" s="118"/>
      <c r="GF185" s="118"/>
      <c r="GG185" s="118"/>
      <c r="GH185" s="118"/>
      <c r="GI185" s="118"/>
      <c r="GJ185" s="118"/>
      <c r="GK185" s="118"/>
      <c r="GL185" s="118"/>
      <c r="GM185" s="118"/>
      <c r="GN185" s="118"/>
      <c r="GO185" s="118"/>
      <c r="GP185" s="118"/>
      <c r="GQ185" s="118"/>
      <c r="GR185" s="118"/>
      <c r="GS185" s="118"/>
      <c r="GT185" s="118"/>
      <c r="GU185" s="118"/>
      <c r="GV185" s="118"/>
      <c r="GW185" s="118"/>
      <c r="GX185" s="118"/>
      <c r="GY185" s="118"/>
      <c r="GZ185" s="118"/>
      <c r="HA185" s="118"/>
      <c r="HB185" s="118"/>
      <c r="HC185" s="118"/>
      <c r="HD185" s="118"/>
      <c r="HE185" s="118"/>
      <c r="HF185" s="118"/>
      <c r="HG185" s="118"/>
      <c r="HH185" s="118"/>
      <c r="HI185" s="118"/>
      <c r="HJ185" s="118"/>
      <c r="HK185" s="118"/>
      <c r="HL185" s="118"/>
      <c r="HM185" s="118"/>
      <c r="HN185" s="118"/>
      <c r="HO185" s="118"/>
      <c r="HP185" s="118"/>
      <c r="HQ185" s="118"/>
      <c r="HR185" s="118"/>
      <c r="HS185" s="118"/>
      <c r="HT185" s="118"/>
      <c r="HU185" s="118"/>
      <c r="HV185" s="118"/>
      <c r="HW185" s="118"/>
      <c r="HX185" s="118"/>
      <c r="HY185" s="118"/>
      <c r="HZ185" s="118"/>
      <c r="IA185" s="118"/>
      <c r="IB185" s="118"/>
      <c r="IC185" s="118"/>
      <c r="ID185" s="118"/>
      <c r="IE185" s="118"/>
      <c r="IF185" s="118"/>
      <c r="IG185" s="118"/>
      <c r="IH185" s="118"/>
      <c r="II185" s="118"/>
      <c r="IJ185" s="118"/>
      <c r="IK185" s="118"/>
      <c r="IL185" s="118"/>
      <c r="IM185" s="118"/>
      <c r="IN185" s="118"/>
      <c r="IO185" s="118"/>
      <c r="IP185" s="118"/>
      <c r="IQ185" s="118"/>
      <c r="IR185" s="118"/>
      <c r="IS185" s="118"/>
      <c r="IT185" s="118"/>
      <c r="IU185" s="118"/>
      <c r="IV185" s="118"/>
      <c r="IW185" s="118"/>
    </row>
    <row r="186" customFormat="false" ht="12.75" hidden="false" customHeight="false" outlineLevel="0" collapsed="false">
      <c r="A186" s="161"/>
      <c r="B186" s="118" t="s">
        <v>273</v>
      </c>
      <c r="C186" s="118"/>
      <c r="D186" s="118"/>
      <c r="E186" s="118"/>
      <c r="F186" s="118"/>
      <c r="G186" s="118"/>
      <c r="H186" s="118"/>
      <c r="I186" s="118"/>
      <c r="J186" s="192"/>
      <c r="K186" s="118"/>
      <c r="L186" s="203" t="s">
        <v>258</v>
      </c>
      <c r="M186" s="110"/>
      <c r="N186" s="110" t="n">
        <v>0</v>
      </c>
      <c r="O186" s="110"/>
      <c r="P186" s="110" t="n">
        <v>50000</v>
      </c>
      <c r="Q186" s="110"/>
      <c r="R186" s="110" t="n">
        <v>0</v>
      </c>
      <c r="S186" s="110"/>
      <c r="T186" s="110" t="n">
        <v>0</v>
      </c>
      <c r="U186" s="110"/>
      <c r="V186" s="110" t="n">
        <v>135</v>
      </c>
      <c r="X186" s="110" t="n">
        <v>2870.91</v>
      </c>
      <c r="Z186" s="110" t="n">
        <f aca="false">5474.86+28.91+701.87+1037.61+26+59</f>
        <v>7328.25</v>
      </c>
      <c r="AB186" s="110" t="n">
        <f aca="false">1153.98+1626.89</f>
        <v>2780.87</v>
      </c>
      <c r="AD186" s="110" t="n">
        <f aca="false">1321.7+4943.09+4483.05+927.58+431.74+260.99+2710.2</f>
        <v>15078.35</v>
      </c>
      <c r="AF186" s="110" t="n">
        <f aca="false">1416.27+8201.74+60.53+956.07+795</f>
        <v>11429.61</v>
      </c>
      <c r="AH186" s="110" t="n">
        <v>15496.73</v>
      </c>
      <c r="AJ186" s="110" t="n">
        <v>12735.73</v>
      </c>
      <c r="AL186" s="110" t="n">
        <v>0</v>
      </c>
      <c r="AN186" s="110" t="n">
        <v>0</v>
      </c>
      <c r="AP186" s="110" t="n">
        <v>0</v>
      </c>
      <c r="AR186" s="110" t="n">
        <v>0</v>
      </c>
      <c r="AT186" s="110" t="n">
        <v>0</v>
      </c>
      <c r="AV186" s="110" t="n">
        <v>0</v>
      </c>
      <c r="AX186" s="110" t="n">
        <v>0</v>
      </c>
      <c r="AZ186" s="110" t="n">
        <v>0</v>
      </c>
      <c r="BB186" s="110" t="n">
        <v>0</v>
      </c>
      <c r="BD186" s="110" t="n">
        <v>0</v>
      </c>
      <c r="BF186" s="110" t="n">
        <v>0</v>
      </c>
      <c r="BH186" s="110" t="n">
        <v>0</v>
      </c>
      <c r="BJ186" s="110" t="n">
        <v>0</v>
      </c>
      <c r="BL186" s="110" t="n">
        <v>0</v>
      </c>
      <c r="BM186" s="110"/>
      <c r="BN186" s="110" t="n">
        <f aca="false">SUM(T186:BM186)</f>
        <v>67855.45</v>
      </c>
      <c r="BO186" s="110"/>
      <c r="BP186" s="110" t="n">
        <v>0</v>
      </c>
      <c r="BQ186" s="110"/>
      <c r="BR186" s="110" t="n">
        <f aca="false">IF(+R186-BN186+BP186&gt;0,R186-BN186+BP186,0)</f>
        <v>0</v>
      </c>
      <c r="BT186" s="110" t="n">
        <f aca="false">+BN186+BR186</f>
        <v>67855.45</v>
      </c>
      <c r="BV186" s="110" t="n">
        <f aca="false">+R186-BT186</f>
        <v>-67855.45</v>
      </c>
      <c r="BW186" s="110"/>
      <c r="BX186" s="118"/>
      <c r="BY186" s="118"/>
      <c r="BZ186" s="118"/>
      <c r="CA186" s="118"/>
      <c r="CB186" s="118"/>
      <c r="CC186" s="118"/>
      <c r="CD186" s="118"/>
      <c r="CE186" s="118"/>
      <c r="CF186" s="118"/>
      <c r="CG186" s="118"/>
      <c r="CH186" s="118"/>
      <c r="CI186" s="118"/>
      <c r="CJ186" s="118"/>
      <c r="CK186" s="118"/>
      <c r="CL186" s="118"/>
      <c r="CM186" s="118"/>
      <c r="CN186" s="118"/>
      <c r="CO186" s="118"/>
      <c r="CP186" s="118"/>
      <c r="CQ186" s="118"/>
      <c r="CR186" s="118"/>
      <c r="CS186" s="118"/>
      <c r="CT186" s="118"/>
      <c r="CU186" s="118"/>
      <c r="CV186" s="118"/>
      <c r="CW186" s="118"/>
      <c r="CX186" s="118"/>
      <c r="CY186" s="118"/>
      <c r="CZ186" s="118"/>
      <c r="DA186" s="118"/>
      <c r="DB186" s="118"/>
      <c r="DC186" s="118"/>
      <c r="DD186" s="118"/>
      <c r="DE186" s="118"/>
      <c r="DF186" s="118"/>
      <c r="DG186" s="118"/>
      <c r="DH186" s="118"/>
      <c r="DI186" s="118"/>
      <c r="DJ186" s="118"/>
      <c r="DK186" s="118"/>
      <c r="DL186" s="118"/>
      <c r="DM186" s="118"/>
      <c r="DN186" s="118"/>
      <c r="DO186" s="118"/>
      <c r="DP186" s="118"/>
      <c r="DQ186" s="118"/>
      <c r="DR186" s="118"/>
      <c r="DS186" s="118"/>
      <c r="DT186" s="118"/>
      <c r="DU186" s="118"/>
      <c r="DV186" s="118"/>
      <c r="DW186" s="118"/>
      <c r="DX186" s="118"/>
      <c r="DY186" s="118"/>
      <c r="DZ186" s="118"/>
      <c r="EA186" s="118"/>
      <c r="EB186" s="118"/>
      <c r="EC186" s="118"/>
      <c r="ED186" s="118"/>
      <c r="EE186" s="118"/>
      <c r="EF186" s="118"/>
      <c r="EG186" s="118"/>
      <c r="EH186" s="118"/>
      <c r="EI186" s="118"/>
      <c r="EJ186" s="118"/>
      <c r="EK186" s="118"/>
      <c r="EL186" s="118"/>
      <c r="EM186" s="118"/>
      <c r="EN186" s="118"/>
      <c r="EO186" s="118"/>
      <c r="EP186" s="118"/>
      <c r="EQ186" s="118"/>
      <c r="ER186" s="118"/>
      <c r="ES186" s="118"/>
      <c r="ET186" s="118"/>
      <c r="EU186" s="118"/>
      <c r="EV186" s="118"/>
      <c r="EW186" s="118"/>
      <c r="EX186" s="118"/>
      <c r="EY186" s="118"/>
      <c r="EZ186" s="118"/>
      <c r="FA186" s="118"/>
      <c r="FB186" s="118"/>
      <c r="FC186" s="118"/>
      <c r="FD186" s="118"/>
      <c r="FE186" s="118"/>
      <c r="FF186" s="118"/>
      <c r="FG186" s="118"/>
      <c r="FH186" s="118"/>
      <c r="FI186" s="118"/>
      <c r="FJ186" s="118"/>
      <c r="FK186" s="118"/>
      <c r="FL186" s="118"/>
      <c r="FM186" s="118"/>
      <c r="FN186" s="118"/>
      <c r="FO186" s="118"/>
      <c r="FP186" s="118"/>
      <c r="FQ186" s="118"/>
      <c r="FR186" s="118"/>
      <c r="FS186" s="118"/>
      <c r="FT186" s="118"/>
      <c r="FU186" s="118"/>
      <c r="FV186" s="118"/>
      <c r="FW186" s="118"/>
      <c r="FX186" s="118"/>
      <c r="FY186" s="118"/>
      <c r="FZ186" s="118"/>
      <c r="GA186" s="118"/>
      <c r="GB186" s="118"/>
      <c r="GC186" s="118"/>
      <c r="GD186" s="118"/>
      <c r="GE186" s="118"/>
      <c r="GF186" s="118"/>
      <c r="GG186" s="118"/>
      <c r="GH186" s="118"/>
      <c r="GI186" s="118"/>
      <c r="GJ186" s="118"/>
      <c r="GK186" s="118"/>
      <c r="GL186" s="118"/>
      <c r="GM186" s="118"/>
      <c r="GN186" s="118"/>
      <c r="GO186" s="118"/>
      <c r="GP186" s="118"/>
      <c r="GQ186" s="118"/>
      <c r="GR186" s="118"/>
      <c r="GS186" s="118"/>
      <c r="GT186" s="118"/>
      <c r="GU186" s="118"/>
      <c r="GV186" s="118"/>
      <c r="GW186" s="118"/>
      <c r="GX186" s="118"/>
      <c r="GY186" s="118"/>
      <c r="GZ186" s="118"/>
      <c r="HA186" s="118"/>
      <c r="HB186" s="118"/>
      <c r="HC186" s="118"/>
      <c r="HD186" s="118"/>
      <c r="HE186" s="118"/>
      <c r="HF186" s="118"/>
      <c r="HG186" s="118"/>
      <c r="HH186" s="118"/>
      <c r="HI186" s="118"/>
      <c r="HJ186" s="118"/>
      <c r="HK186" s="118"/>
      <c r="HL186" s="118"/>
      <c r="HM186" s="118"/>
      <c r="HN186" s="118"/>
      <c r="HO186" s="118"/>
      <c r="HP186" s="118"/>
      <c r="HQ186" s="118"/>
      <c r="HR186" s="118"/>
      <c r="HS186" s="118"/>
      <c r="HT186" s="118"/>
      <c r="HU186" s="118"/>
      <c r="HV186" s="118"/>
      <c r="HW186" s="118"/>
      <c r="HX186" s="118"/>
      <c r="HY186" s="118"/>
      <c r="HZ186" s="118"/>
      <c r="IA186" s="118"/>
      <c r="IB186" s="118"/>
      <c r="IC186" s="118"/>
      <c r="ID186" s="118"/>
      <c r="IE186" s="118"/>
      <c r="IF186" s="118"/>
      <c r="IG186" s="118"/>
      <c r="IH186" s="118"/>
      <c r="II186" s="118"/>
      <c r="IJ186" s="118"/>
      <c r="IK186" s="118"/>
      <c r="IL186" s="118"/>
      <c r="IM186" s="118"/>
      <c r="IN186" s="118"/>
      <c r="IO186" s="118"/>
      <c r="IP186" s="118"/>
      <c r="IQ186" s="118"/>
      <c r="IR186" s="118"/>
      <c r="IS186" s="118"/>
      <c r="IT186" s="118"/>
      <c r="IU186" s="118"/>
      <c r="IV186" s="118"/>
      <c r="IW186" s="118"/>
    </row>
    <row r="187" customFormat="false" ht="12.75" hidden="false" customHeight="false" outlineLevel="0" collapsed="false">
      <c r="A187" s="161"/>
      <c r="B187" s="118" t="s">
        <v>387</v>
      </c>
      <c r="C187" s="118"/>
      <c r="D187" s="118"/>
      <c r="E187" s="118"/>
      <c r="F187" s="118"/>
      <c r="G187" s="118"/>
      <c r="H187" s="118"/>
      <c r="I187" s="118"/>
      <c r="J187" s="192"/>
      <c r="K187" s="118"/>
      <c r="L187" s="203" t="s">
        <v>258</v>
      </c>
      <c r="M187" s="110"/>
      <c r="N187" s="110" t="n">
        <v>0</v>
      </c>
      <c r="O187" s="110"/>
      <c r="P187" s="110" t="n">
        <v>24235</v>
      </c>
      <c r="Q187" s="110"/>
      <c r="R187" s="110" t="n">
        <v>0</v>
      </c>
      <c r="S187" s="110"/>
      <c r="T187" s="110" t="n">
        <v>0</v>
      </c>
      <c r="U187" s="110"/>
      <c r="V187" s="110" t="n">
        <v>0</v>
      </c>
      <c r="X187" s="110" t="n">
        <v>24235</v>
      </c>
      <c r="Z187" s="110" t="n">
        <v>0</v>
      </c>
      <c r="AB187" s="110" t="n">
        <v>0</v>
      </c>
      <c r="AD187" s="110" t="n">
        <v>0</v>
      </c>
      <c r="AF187" s="110" t="n">
        <v>0</v>
      </c>
      <c r="AH187" s="110" t="n">
        <v>0</v>
      </c>
      <c r="AJ187" s="110" t="n">
        <v>0</v>
      </c>
      <c r="AL187" s="110" t="n">
        <f aca="false">16768.34-177866+173000+36433</f>
        <v>48335.34</v>
      </c>
      <c r="AN187" s="110" t="n">
        <v>0</v>
      </c>
      <c r="AP187" s="110" t="n">
        <v>0</v>
      </c>
      <c r="AR187" s="110" t="n">
        <v>0</v>
      </c>
      <c r="AT187" s="110" t="n">
        <v>0</v>
      </c>
      <c r="AV187" s="110" t="n">
        <v>0</v>
      </c>
      <c r="AX187" s="110" t="n">
        <v>0</v>
      </c>
      <c r="AZ187" s="110" t="n">
        <v>0</v>
      </c>
      <c r="BB187" s="110" t="n">
        <v>0</v>
      </c>
      <c r="BD187" s="110" t="n">
        <v>0</v>
      </c>
      <c r="BF187" s="110" t="n">
        <v>0</v>
      </c>
      <c r="BH187" s="110" t="n">
        <v>0</v>
      </c>
      <c r="BJ187" s="110" t="n">
        <v>0</v>
      </c>
      <c r="BL187" s="110" t="n">
        <v>0</v>
      </c>
      <c r="BM187" s="110"/>
      <c r="BN187" s="110" t="n">
        <f aca="false">SUM(T187:BM187)</f>
        <v>72570.34</v>
      </c>
      <c r="BO187" s="110"/>
      <c r="BP187" s="110" t="n">
        <v>0</v>
      </c>
      <c r="BQ187" s="110"/>
      <c r="BR187" s="110" t="n">
        <f aca="false">IF(+R187-BN187+BP187&gt;0,R187-BN187+BP187,0)</f>
        <v>0</v>
      </c>
      <c r="BT187" s="110" t="n">
        <f aca="false">+BN187+BR187</f>
        <v>72570.34</v>
      </c>
      <c r="BV187" s="110" t="n">
        <f aca="false">+R187-BT187</f>
        <v>-72570.34</v>
      </c>
      <c r="BW187" s="110"/>
      <c r="BX187" s="118"/>
      <c r="BY187" s="118"/>
      <c r="BZ187" s="118"/>
      <c r="CA187" s="118"/>
      <c r="CB187" s="118"/>
      <c r="CC187" s="118"/>
      <c r="CD187" s="118"/>
      <c r="CE187" s="118"/>
      <c r="CF187" s="118"/>
      <c r="CG187" s="118"/>
      <c r="CH187" s="118"/>
      <c r="CI187" s="118"/>
      <c r="CJ187" s="118"/>
      <c r="CK187" s="118"/>
      <c r="CL187" s="118"/>
      <c r="CM187" s="118"/>
      <c r="CN187" s="118"/>
      <c r="CO187" s="118"/>
      <c r="CP187" s="118"/>
      <c r="CQ187" s="118"/>
      <c r="CR187" s="118"/>
      <c r="CS187" s="118"/>
      <c r="CT187" s="118"/>
      <c r="CU187" s="118"/>
      <c r="CV187" s="118"/>
      <c r="CW187" s="118"/>
      <c r="CX187" s="118"/>
      <c r="CY187" s="118"/>
      <c r="CZ187" s="118"/>
      <c r="DA187" s="118"/>
      <c r="DB187" s="118"/>
      <c r="DC187" s="118"/>
      <c r="DD187" s="118"/>
      <c r="DE187" s="118"/>
      <c r="DF187" s="118"/>
      <c r="DG187" s="118"/>
      <c r="DH187" s="118"/>
      <c r="DI187" s="118"/>
      <c r="DJ187" s="118"/>
      <c r="DK187" s="118"/>
      <c r="DL187" s="118"/>
      <c r="DM187" s="118"/>
      <c r="DN187" s="118"/>
      <c r="DO187" s="118"/>
      <c r="DP187" s="118"/>
      <c r="DQ187" s="118"/>
      <c r="DR187" s="118"/>
      <c r="DS187" s="118"/>
      <c r="DT187" s="118"/>
      <c r="DU187" s="118"/>
      <c r="DV187" s="118"/>
      <c r="DW187" s="118"/>
      <c r="DX187" s="118"/>
      <c r="DY187" s="118"/>
      <c r="DZ187" s="118"/>
      <c r="EA187" s="118"/>
      <c r="EB187" s="118"/>
      <c r="EC187" s="118"/>
      <c r="ED187" s="118"/>
      <c r="EE187" s="118"/>
      <c r="EF187" s="118"/>
      <c r="EG187" s="118"/>
      <c r="EH187" s="118"/>
      <c r="EI187" s="118"/>
      <c r="EJ187" s="118"/>
      <c r="EK187" s="118"/>
      <c r="EL187" s="118"/>
      <c r="EM187" s="118"/>
      <c r="EN187" s="118"/>
      <c r="EO187" s="118"/>
      <c r="EP187" s="118"/>
      <c r="EQ187" s="118"/>
      <c r="ER187" s="118"/>
      <c r="ES187" s="118"/>
      <c r="ET187" s="118"/>
      <c r="EU187" s="118"/>
      <c r="EV187" s="118"/>
      <c r="EW187" s="118"/>
      <c r="EX187" s="118"/>
      <c r="EY187" s="118"/>
      <c r="EZ187" s="118"/>
      <c r="FA187" s="118"/>
      <c r="FB187" s="118"/>
      <c r="FC187" s="118"/>
      <c r="FD187" s="118"/>
      <c r="FE187" s="118"/>
      <c r="FF187" s="118"/>
      <c r="FG187" s="118"/>
      <c r="FH187" s="118"/>
      <c r="FI187" s="118"/>
      <c r="FJ187" s="118"/>
      <c r="FK187" s="118"/>
      <c r="FL187" s="118"/>
      <c r="FM187" s="118"/>
      <c r="FN187" s="118"/>
      <c r="FO187" s="118"/>
      <c r="FP187" s="118"/>
      <c r="FQ187" s="118"/>
      <c r="FR187" s="118"/>
      <c r="FS187" s="118"/>
      <c r="FT187" s="118"/>
      <c r="FU187" s="118"/>
      <c r="FV187" s="118"/>
      <c r="FW187" s="118"/>
      <c r="FX187" s="118"/>
      <c r="FY187" s="118"/>
      <c r="FZ187" s="118"/>
      <c r="GA187" s="118"/>
      <c r="GB187" s="118"/>
      <c r="GC187" s="118"/>
      <c r="GD187" s="118"/>
      <c r="GE187" s="118"/>
      <c r="GF187" s="118"/>
      <c r="GG187" s="118"/>
      <c r="GH187" s="118"/>
      <c r="GI187" s="118"/>
      <c r="GJ187" s="118"/>
      <c r="GK187" s="118"/>
      <c r="GL187" s="118"/>
      <c r="GM187" s="118"/>
      <c r="GN187" s="118"/>
      <c r="GO187" s="118"/>
      <c r="GP187" s="118"/>
      <c r="GQ187" s="118"/>
      <c r="GR187" s="118"/>
      <c r="GS187" s="118"/>
      <c r="GT187" s="118"/>
      <c r="GU187" s="118"/>
      <c r="GV187" s="118"/>
      <c r="GW187" s="118"/>
      <c r="GX187" s="118"/>
      <c r="GY187" s="118"/>
      <c r="GZ187" s="118"/>
      <c r="HA187" s="118"/>
      <c r="HB187" s="118"/>
      <c r="HC187" s="118"/>
      <c r="HD187" s="118"/>
      <c r="HE187" s="118"/>
      <c r="HF187" s="118"/>
      <c r="HG187" s="118"/>
      <c r="HH187" s="118"/>
      <c r="HI187" s="118"/>
      <c r="HJ187" s="118"/>
      <c r="HK187" s="118"/>
      <c r="HL187" s="118"/>
      <c r="HM187" s="118"/>
      <c r="HN187" s="118"/>
      <c r="HO187" s="118"/>
      <c r="HP187" s="118"/>
      <c r="HQ187" s="118"/>
      <c r="HR187" s="118"/>
      <c r="HS187" s="118"/>
      <c r="HT187" s="118"/>
      <c r="HU187" s="118"/>
      <c r="HV187" s="118"/>
      <c r="HW187" s="118"/>
      <c r="HX187" s="118"/>
      <c r="HY187" s="118"/>
      <c r="HZ187" s="118"/>
      <c r="IA187" s="118"/>
      <c r="IB187" s="118"/>
      <c r="IC187" s="118"/>
      <c r="ID187" s="118"/>
      <c r="IE187" s="118"/>
      <c r="IF187" s="118"/>
      <c r="IG187" s="118"/>
      <c r="IH187" s="118"/>
      <c r="II187" s="118"/>
      <c r="IJ187" s="118"/>
      <c r="IK187" s="118"/>
      <c r="IL187" s="118"/>
      <c r="IM187" s="118"/>
      <c r="IN187" s="118"/>
      <c r="IO187" s="118"/>
      <c r="IP187" s="118"/>
      <c r="IQ187" s="118"/>
      <c r="IR187" s="118"/>
      <c r="IS187" s="118"/>
      <c r="IT187" s="118"/>
      <c r="IU187" s="118"/>
      <c r="IV187" s="118"/>
      <c r="IW187" s="118"/>
    </row>
    <row r="188" customFormat="false" ht="12.75" hidden="false" customHeight="false" outlineLevel="0" collapsed="false">
      <c r="A188" s="161"/>
      <c r="B188" s="118" t="s">
        <v>128</v>
      </c>
      <c r="C188" s="118"/>
      <c r="D188" s="118"/>
      <c r="E188" s="118"/>
      <c r="F188" s="118"/>
      <c r="G188" s="118"/>
      <c r="H188" s="118"/>
      <c r="I188" s="118"/>
      <c r="J188" s="192"/>
      <c r="K188" s="118"/>
      <c r="L188" s="203" t="s">
        <v>258</v>
      </c>
      <c r="M188" s="110"/>
      <c r="N188" s="110" t="n">
        <v>400000</v>
      </c>
      <c r="O188" s="110"/>
      <c r="P188" s="110" t="n">
        <f aca="false">49065-N188-6000</f>
        <v>-356935</v>
      </c>
      <c r="Q188" s="110"/>
      <c r="R188" s="110" t="n">
        <v>0</v>
      </c>
      <c r="S188" s="110"/>
      <c r="T188" s="110" t="n">
        <v>0</v>
      </c>
      <c r="U188" s="110"/>
      <c r="V188" s="110" t="n">
        <v>0</v>
      </c>
      <c r="X188" s="110" t="n">
        <v>0</v>
      </c>
      <c r="Z188" s="110" t="n">
        <v>0</v>
      </c>
      <c r="AB188" s="110" t="n">
        <v>0</v>
      </c>
      <c r="AD188" s="110" t="n">
        <v>2287.5</v>
      </c>
      <c r="AF188" s="110" t="n">
        <v>0</v>
      </c>
      <c r="AH188" s="110" t="n">
        <v>0</v>
      </c>
      <c r="AJ188" s="110" t="n">
        <v>0</v>
      </c>
      <c r="AL188" s="110" t="n">
        <v>0</v>
      </c>
      <c r="AN188" s="110" t="n">
        <v>0</v>
      </c>
      <c r="AP188" s="110" t="n">
        <v>0</v>
      </c>
      <c r="AR188" s="110" t="n">
        <f aca="false">9600+716.66+380.63</f>
        <v>10697.29</v>
      </c>
      <c r="AT188" s="110" t="n">
        <v>0</v>
      </c>
      <c r="AV188" s="110" t="n">
        <v>0</v>
      </c>
      <c r="AX188" s="110" t="n">
        <v>0</v>
      </c>
      <c r="AZ188" s="110" t="n">
        <v>0</v>
      </c>
      <c r="BB188" s="110" t="n">
        <v>0</v>
      </c>
      <c r="BD188" s="110" t="n">
        <v>0</v>
      </c>
      <c r="BF188" s="110" t="n">
        <v>0</v>
      </c>
      <c r="BH188" s="110" t="n">
        <v>0</v>
      </c>
      <c r="BJ188" s="110" t="n">
        <v>0</v>
      </c>
      <c r="BL188" s="110" t="n">
        <v>0</v>
      </c>
      <c r="BM188" s="110"/>
      <c r="BN188" s="110" t="n">
        <f aca="false">SUM(T188:BM188)</f>
        <v>12984.79</v>
      </c>
      <c r="BO188" s="110"/>
      <c r="BP188" s="110" t="n">
        <v>0</v>
      </c>
      <c r="BQ188" s="110"/>
      <c r="BR188" s="110" t="n">
        <f aca="false">IF(+R188-BN188+BP188&gt;0,R188-BN188+BP188,0)</f>
        <v>0</v>
      </c>
      <c r="BT188" s="110" t="n">
        <f aca="false">+BN188+BR188</f>
        <v>12984.79</v>
      </c>
      <c r="BV188" s="110" t="n">
        <f aca="false">+R188-BT188</f>
        <v>-12984.79</v>
      </c>
      <c r="BW188" s="110"/>
      <c r="BX188" s="118"/>
      <c r="BY188" s="118"/>
      <c r="BZ188" s="118"/>
      <c r="CA188" s="118"/>
      <c r="CB188" s="118"/>
      <c r="CC188" s="118"/>
      <c r="CD188" s="118"/>
      <c r="CE188" s="118"/>
      <c r="CF188" s="118"/>
      <c r="CG188" s="118"/>
      <c r="CH188" s="118"/>
      <c r="CI188" s="118"/>
      <c r="CJ188" s="118"/>
      <c r="CK188" s="118"/>
      <c r="CL188" s="118"/>
      <c r="CM188" s="118"/>
      <c r="CN188" s="118"/>
      <c r="CO188" s="118"/>
      <c r="CP188" s="118"/>
      <c r="CQ188" s="118"/>
      <c r="CR188" s="118"/>
      <c r="CS188" s="118"/>
      <c r="CT188" s="118"/>
      <c r="CU188" s="118"/>
      <c r="CV188" s="118"/>
      <c r="CW188" s="118"/>
      <c r="CX188" s="118"/>
      <c r="CY188" s="118"/>
      <c r="CZ188" s="118"/>
      <c r="DA188" s="118"/>
      <c r="DB188" s="118"/>
      <c r="DC188" s="118"/>
      <c r="DD188" s="118"/>
      <c r="DE188" s="118"/>
      <c r="DF188" s="118"/>
      <c r="DG188" s="118"/>
      <c r="DH188" s="118"/>
      <c r="DI188" s="118"/>
      <c r="DJ188" s="118"/>
      <c r="DK188" s="118"/>
      <c r="DL188" s="118"/>
      <c r="DM188" s="118"/>
      <c r="DN188" s="118"/>
      <c r="DO188" s="118"/>
      <c r="DP188" s="118"/>
      <c r="DQ188" s="118"/>
      <c r="DR188" s="118"/>
      <c r="DS188" s="118"/>
      <c r="DT188" s="118"/>
      <c r="DU188" s="118"/>
      <c r="DV188" s="118"/>
      <c r="DW188" s="118"/>
      <c r="DX188" s="118"/>
      <c r="DY188" s="118"/>
      <c r="DZ188" s="118"/>
      <c r="EA188" s="118"/>
      <c r="EB188" s="118"/>
      <c r="EC188" s="118"/>
      <c r="ED188" s="118"/>
      <c r="EE188" s="118"/>
      <c r="EF188" s="118"/>
      <c r="EG188" s="118"/>
      <c r="EH188" s="118"/>
      <c r="EI188" s="118"/>
      <c r="EJ188" s="118"/>
      <c r="EK188" s="118"/>
      <c r="EL188" s="118"/>
      <c r="EM188" s="118"/>
      <c r="EN188" s="118"/>
      <c r="EO188" s="118"/>
      <c r="EP188" s="118"/>
      <c r="EQ188" s="118"/>
      <c r="ER188" s="118"/>
      <c r="ES188" s="118"/>
      <c r="ET188" s="118"/>
      <c r="EU188" s="118"/>
      <c r="EV188" s="118"/>
      <c r="EW188" s="118"/>
      <c r="EX188" s="118"/>
      <c r="EY188" s="118"/>
      <c r="EZ188" s="118"/>
      <c r="FA188" s="118"/>
      <c r="FB188" s="118"/>
      <c r="FC188" s="118"/>
      <c r="FD188" s="118"/>
      <c r="FE188" s="118"/>
      <c r="FF188" s="118"/>
      <c r="FG188" s="118"/>
      <c r="FH188" s="118"/>
      <c r="FI188" s="118"/>
      <c r="FJ188" s="118"/>
      <c r="FK188" s="118"/>
      <c r="FL188" s="118"/>
      <c r="FM188" s="118"/>
      <c r="FN188" s="118"/>
      <c r="FO188" s="118"/>
      <c r="FP188" s="118"/>
      <c r="FQ188" s="118"/>
      <c r="FR188" s="118"/>
      <c r="FS188" s="118"/>
      <c r="FT188" s="118"/>
      <c r="FU188" s="118"/>
      <c r="FV188" s="118"/>
      <c r="FW188" s="118"/>
      <c r="FX188" s="118"/>
      <c r="FY188" s="118"/>
      <c r="FZ188" s="118"/>
      <c r="GA188" s="118"/>
      <c r="GB188" s="118"/>
      <c r="GC188" s="118"/>
      <c r="GD188" s="118"/>
      <c r="GE188" s="118"/>
      <c r="GF188" s="118"/>
      <c r="GG188" s="118"/>
      <c r="GH188" s="118"/>
      <c r="GI188" s="118"/>
      <c r="GJ188" s="118"/>
      <c r="GK188" s="118"/>
      <c r="GL188" s="118"/>
      <c r="GM188" s="118"/>
      <c r="GN188" s="118"/>
      <c r="GO188" s="118"/>
      <c r="GP188" s="118"/>
      <c r="GQ188" s="118"/>
      <c r="GR188" s="118"/>
      <c r="GS188" s="118"/>
      <c r="GT188" s="118"/>
      <c r="GU188" s="118"/>
      <c r="GV188" s="118"/>
      <c r="GW188" s="118"/>
      <c r="GX188" s="118"/>
      <c r="GY188" s="118"/>
      <c r="GZ188" s="118"/>
      <c r="HA188" s="118"/>
      <c r="HB188" s="118"/>
      <c r="HC188" s="118"/>
      <c r="HD188" s="118"/>
      <c r="HE188" s="118"/>
      <c r="HF188" s="118"/>
      <c r="HG188" s="118"/>
      <c r="HH188" s="118"/>
      <c r="HI188" s="118"/>
      <c r="HJ188" s="118"/>
      <c r="HK188" s="118"/>
      <c r="HL188" s="118"/>
      <c r="HM188" s="118"/>
      <c r="HN188" s="118"/>
      <c r="HO188" s="118"/>
      <c r="HP188" s="118"/>
      <c r="HQ188" s="118"/>
      <c r="HR188" s="118"/>
      <c r="HS188" s="118"/>
      <c r="HT188" s="118"/>
      <c r="HU188" s="118"/>
      <c r="HV188" s="118"/>
      <c r="HW188" s="118"/>
      <c r="HX188" s="118"/>
      <c r="HY188" s="118"/>
      <c r="HZ188" s="118"/>
      <c r="IA188" s="118"/>
      <c r="IB188" s="118"/>
      <c r="IC188" s="118"/>
      <c r="ID188" s="118"/>
      <c r="IE188" s="118"/>
      <c r="IF188" s="118"/>
      <c r="IG188" s="118"/>
      <c r="IH188" s="118"/>
      <c r="II188" s="118"/>
      <c r="IJ188" s="118"/>
      <c r="IK188" s="118"/>
      <c r="IL188" s="118"/>
      <c r="IM188" s="118"/>
      <c r="IN188" s="118"/>
      <c r="IO188" s="118"/>
      <c r="IP188" s="118"/>
      <c r="IQ188" s="118"/>
      <c r="IR188" s="118"/>
      <c r="IS188" s="118"/>
      <c r="IT188" s="118"/>
      <c r="IU188" s="118"/>
      <c r="IV188" s="118"/>
      <c r="IW188" s="118"/>
    </row>
    <row r="189" customFormat="false" ht="12.75" hidden="false" customHeight="false" outlineLevel="0" collapsed="false">
      <c r="A189" s="161"/>
      <c r="B189" s="118" t="s">
        <v>388</v>
      </c>
      <c r="C189" s="118"/>
      <c r="D189" s="118"/>
      <c r="E189" s="118"/>
      <c r="F189" s="118"/>
      <c r="G189" s="118"/>
      <c r="H189" s="118"/>
      <c r="I189" s="118"/>
      <c r="J189" s="192"/>
      <c r="K189" s="118"/>
      <c r="L189" s="203"/>
      <c r="M189" s="110"/>
      <c r="O189" s="110"/>
      <c r="Q189" s="110"/>
      <c r="S189" s="110"/>
      <c r="T189" s="110"/>
      <c r="U189" s="110"/>
      <c r="V189" s="110"/>
      <c r="X189" s="110"/>
      <c r="Z189" s="110"/>
      <c r="AB189" s="110"/>
      <c r="AD189" s="110"/>
      <c r="AF189" s="110" t="n">
        <v>83611.75</v>
      </c>
      <c r="AH189" s="110" t="n">
        <f aca="false">1916.59+566.92+17351.64+16608.79+10439.68+3047.18</f>
        <v>49930.8</v>
      </c>
      <c r="AJ189" s="110" t="n">
        <v>30286.69</v>
      </c>
      <c r="AL189" s="110" t="n">
        <f aca="false">-163829+30287</f>
        <v>-133542</v>
      </c>
      <c r="BL189" s="110"/>
      <c r="BM189" s="110"/>
      <c r="BN189" s="110" t="n">
        <f aca="false">SUM(T189:BM189)</f>
        <v>30287.24</v>
      </c>
      <c r="BO189" s="110"/>
      <c r="BP189" s="110"/>
      <c r="BQ189" s="110"/>
      <c r="BR189" s="110" t="n">
        <f aca="false">IF(+R189-BN189+BP189&gt;0,R189-BN189+BP189,0)</f>
        <v>0</v>
      </c>
      <c r="BT189" s="110" t="n">
        <f aca="false">+BN189+BR189</f>
        <v>30287.24</v>
      </c>
      <c r="BV189" s="110" t="n">
        <f aca="false">+R189-BT189</f>
        <v>-30287.24</v>
      </c>
      <c r="BW189" s="110"/>
      <c r="BX189" s="118"/>
      <c r="BY189" s="118"/>
      <c r="BZ189" s="118"/>
      <c r="CA189" s="118"/>
      <c r="CB189" s="118"/>
      <c r="CC189" s="118"/>
      <c r="CD189" s="118"/>
      <c r="CE189" s="118"/>
      <c r="CF189" s="118"/>
      <c r="CG189" s="118"/>
      <c r="CH189" s="118"/>
      <c r="CI189" s="118"/>
      <c r="CJ189" s="118"/>
      <c r="CK189" s="118"/>
      <c r="CL189" s="118"/>
      <c r="CM189" s="118"/>
      <c r="CN189" s="118"/>
      <c r="CO189" s="118"/>
      <c r="CP189" s="118"/>
      <c r="CQ189" s="118"/>
      <c r="CR189" s="118"/>
      <c r="CS189" s="118"/>
      <c r="CT189" s="118"/>
      <c r="CU189" s="118"/>
      <c r="CV189" s="118"/>
      <c r="CW189" s="118"/>
      <c r="CX189" s="118"/>
      <c r="CY189" s="118"/>
      <c r="CZ189" s="118"/>
      <c r="DA189" s="118"/>
      <c r="DB189" s="118"/>
      <c r="DC189" s="118"/>
      <c r="DD189" s="118"/>
      <c r="DE189" s="118"/>
      <c r="DF189" s="118"/>
      <c r="DG189" s="118"/>
      <c r="DH189" s="118"/>
      <c r="DI189" s="118"/>
      <c r="DJ189" s="118"/>
      <c r="DK189" s="118"/>
      <c r="DL189" s="118"/>
      <c r="DM189" s="118"/>
      <c r="DN189" s="118"/>
      <c r="DO189" s="118"/>
      <c r="DP189" s="118"/>
      <c r="DQ189" s="118"/>
      <c r="DR189" s="118"/>
      <c r="DS189" s="118"/>
      <c r="DT189" s="118"/>
      <c r="DU189" s="118"/>
      <c r="DV189" s="118"/>
      <c r="DW189" s="118"/>
      <c r="DX189" s="118"/>
      <c r="DY189" s="118"/>
      <c r="DZ189" s="118"/>
      <c r="EA189" s="118"/>
      <c r="EB189" s="118"/>
      <c r="EC189" s="118"/>
      <c r="ED189" s="118"/>
      <c r="EE189" s="118"/>
      <c r="EF189" s="118"/>
      <c r="EG189" s="118"/>
      <c r="EH189" s="118"/>
      <c r="EI189" s="118"/>
      <c r="EJ189" s="118"/>
      <c r="EK189" s="118"/>
      <c r="EL189" s="118"/>
      <c r="EM189" s="118"/>
      <c r="EN189" s="118"/>
      <c r="EO189" s="118"/>
      <c r="EP189" s="118"/>
      <c r="EQ189" s="118"/>
      <c r="ER189" s="118"/>
      <c r="ES189" s="118"/>
      <c r="ET189" s="118"/>
      <c r="EU189" s="118"/>
      <c r="EV189" s="118"/>
      <c r="EW189" s="118"/>
      <c r="EX189" s="118"/>
      <c r="EY189" s="118"/>
      <c r="EZ189" s="118"/>
      <c r="FA189" s="118"/>
      <c r="FB189" s="118"/>
      <c r="FC189" s="118"/>
      <c r="FD189" s="118"/>
      <c r="FE189" s="118"/>
      <c r="FF189" s="118"/>
      <c r="FG189" s="118"/>
      <c r="FH189" s="118"/>
      <c r="FI189" s="118"/>
      <c r="FJ189" s="118"/>
      <c r="FK189" s="118"/>
      <c r="FL189" s="118"/>
      <c r="FM189" s="118"/>
      <c r="FN189" s="118"/>
      <c r="FO189" s="118"/>
      <c r="FP189" s="118"/>
      <c r="FQ189" s="118"/>
      <c r="FR189" s="118"/>
      <c r="FS189" s="118"/>
      <c r="FT189" s="118"/>
      <c r="FU189" s="118"/>
      <c r="FV189" s="118"/>
      <c r="FW189" s="118"/>
      <c r="FX189" s="118"/>
      <c r="FY189" s="118"/>
      <c r="FZ189" s="118"/>
      <c r="GA189" s="118"/>
      <c r="GB189" s="118"/>
      <c r="GC189" s="118"/>
      <c r="GD189" s="118"/>
      <c r="GE189" s="118"/>
      <c r="GF189" s="118"/>
      <c r="GG189" s="118"/>
      <c r="GH189" s="118"/>
      <c r="GI189" s="118"/>
      <c r="GJ189" s="118"/>
      <c r="GK189" s="118"/>
      <c r="GL189" s="118"/>
      <c r="GM189" s="118"/>
      <c r="GN189" s="118"/>
      <c r="GO189" s="118"/>
      <c r="GP189" s="118"/>
      <c r="GQ189" s="118"/>
      <c r="GR189" s="118"/>
      <c r="GS189" s="118"/>
      <c r="GT189" s="118"/>
      <c r="GU189" s="118"/>
      <c r="GV189" s="118"/>
      <c r="GW189" s="118"/>
      <c r="GX189" s="118"/>
      <c r="GY189" s="118"/>
      <c r="GZ189" s="118"/>
      <c r="HA189" s="118"/>
      <c r="HB189" s="118"/>
      <c r="HC189" s="118"/>
      <c r="HD189" s="118"/>
      <c r="HE189" s="118"/>
      <c r="HF189" s="118"/>
      <c r="HG189" s="118"/>
      <c r="HH189" s="118"/>
      <c r="HI189" s="118"/>
      <c r="HJ189" s="118"/>
      <c r="HK189" s="118"/>
      <c r="HL189" s="118"/>
      <c r="HM189" s="118"/>
      <c r="HN189" s="118"/>
      <c r="HO189" s="118"/>
      <c r="HP189" s="118"/>
      <c r="HQ189" s="118"/>
      <c r="HR189" s="118"/>
      <c r="HS189" s="118"/>
      <c r="HT189" s="118"/>
      <c r="HU189" s="118"/>
      <c r="HV189" s="118"/>
      <c r="HW189" s="118"/>
      <c r="HX189" s="118"/>
      <c r="HY189" s="118"/>
      <c r="HZ189" s="118"/>
      <c r="IA189" s="118"/>
      <c r="IB189" s="118"/>
      <c r="IC189" s="118"/>
      <c r="ID189" s="118"/>
      <c r="IE189" s="118"/>
      <c r="IF189" s="118"/>
      <c r="IG189" s="118"/>
      <c r="IH189" s="118"/>
      <c r="II189" s="118"/>
      <c r="IJ189" s="118"/>
      <c r="IK189" s="118"/>
      <c r="IL189" s="118"/>
      <c r="IM189" s="118"/>
      <c r="IN189" s="118"/>
      <c r="IO189" s="118"/>
      <c r="IP189" s="118"/>
      <c r="IQ189" s="118"/>
      <c r="IR189" s="118"/>
      <c r="IS189" s="118"/>
      <c r="IT189" s="118"/>
      <c r="IU189" s="118"/>
      <c r="IV189" s="118"/>
      <c r="IW189" s="118"/>
    </row>
    <row r="190" customFormat="false" ht="12.75" hidden="false" customHeight="false" outlineLevel="0" collapsed="false">
      <c r="A190" s="228"/>
      <c r="B190" s="174" t="s">
        <v>277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198" t="n">
        <f aca="false">SUM(N185:N188)</f>
        <v>600000</v>
      </c>
      <c r="O190" s="24"/>
      <c r="P190" s="198" t="n">
        <f aca="false">SUM(P185:P188)</f>
        <v>-282700</v>
      </c>
      <c r="Q190" s="24"/>
      <c r="R190" s="198" t="n">
        <f aca="false">SUM(R185:R189)</f>
        <v>0</v>
      </c>
      <c r="S190" s="198" t="n">
        <f aca="false">SUM(S185:S189)</f>
        <v>0</v>
      </c>
      <c r="T190" s="198" t="n">
        <f aca="false">SUM(T185:T189)</f>
        <v>0</v>
      </c>
      <c r="U190" s="198" t="n">
        <f aca="false">SUM(U185:U189)</f>
        <v>0</v>
      </c>
      <c r="V190" s="198" t="n">
        <f aca="false">SUM(V185:V189)</f>
        <v>135</v>
      </c>
      <c r="W190" s="198" t="n">
        <f aca="false">SUM(W185:W189)</f>
        <v>0</v>
      </c>
      <c r="X190" s="198" t="n">
        <f aca="false">SUM(X185:X189)</f>
        <v>49089.63</v>
      </c>
      <c r="Y190" s="198" t="n">
        <f aca="false">SUM(Y185:Y189)</f>
        <v>0</v>
      </c>
      <c r="Z190" s="198" t="n">
        <f aca="false">SUM(Z185:Z189)</f>
        <v>7328.25</v>
      </c>
      <c r="AA190" s="198" t="n">
        <f aca="false">SUM(AA185:AA189)</f>
        <v>0</v>
      </c>
      <c r="AB190" s="198" t="n">
        <f aca="false">SUM(AB185:AB189)</f>
        <v>2780.87</v>
      </c>
      <c r="AC190" s="198" t="n">
        <f aca="false">SUM(AC185:AC189)</f>
        <v>0</v>
      </c>
      <c r="AD190" s="198" t="n">
        <f aca="false">SUM(AD185:AD189)</f>
        <v>17365.85</v>
      </c>
      <c r="AE190" s="198" t="n">
        <f aca="false">SUM(AE185:AE189)</f>
        <v>0</v>
      </c>
      <c r="AF190" s="198" t="n">
        <f aca="false">SUM(AF185:AF189)</f>
        <v>95041.36</v>
      </c>
      <c r="AG190" s="198"/>
      <c r="AH190" s="198" t="n">
        <f aca="false">SUM(AH185:AH189)</f>
        <v>65427.53</v>
      </c>
      <c r="AI190" s="198"/>
      <c r="AJ190" s="198" t="n">
        <f aca="false">SUM(AJ185:AJ189)</f>
        <v>43022.42</v>
      </c>
      <c r="AK190" s="198"/>
      <c r="AL190" s="198" t="n">
        <f aca="false">SUM(AL185:AL189)</f>
        <v>-70757.66</v>
      </c>
      <c r="AM190" s="198"/>
      <c r="AN190" s="198" t="n">
        <f aca="false">SUM(AN185:AN189)</f>
        <v>0</v>
      </c>
      <c r="AO190" s="198"/>
      <c r="AP190" s="198" t="n">
        <f aca="false">SUM(AP185:AP189)</f>
        <v>0</v>
      </c>
      <c r="AQ190" s="198"/>
      <c r="AR190" s="198" t="n">
        <f aca="false">SUM(AR185:AR189)</f>
        <v>10697.29</v>
      </c>
      <c r="AS190" s="198"/>
      <c r="AT190" s="198" t="n">
        <f aca="false">SUM(AT185:AT189)</f>
        <v>0</v>
      </c>
      <c r="AU190" s="198" t="n">
        <f aca="false">SUM(AU185:AU189)</f>
        <v>0</v>
      </c>
      <c r="AV190" s="198" t="n">
        <f aca="false">SUM(AV185:AV189)</f>
        <v>0</v>
      </c>
      <c r="AW190" s="198" t="n">
        <f aca="false">SUM(AW185:AW189)</f>
        <v>0</v>
      </c>
      <c r="AX190" s="198" t="n">
        <f aca="false">SUM(AX185:AX189)</f>
        <v>0</v>
      </c>
      <c r="AY190" s="198" t="n">
        <f aca="false">SUM(AY185:AY189)</f>
        <v>0</v>
      </c>
      <c r="AZ190" s="198" t="n">
        <f aca="false">SUM(AZ185:AZ189)</f>
        <v>0</v>
      </c>
      <c r="BA190" s="198" t="n">
        <f aca="false">SUM(BA185:BA189)</f>
        <v>0</v>
      </c>
      <c r="BB190" s="198" t="n">
        <f aca="false">SUM(BB185:BB189)</f>
        <v>0</v>
      </c>
      <c r="BC190" s="198" t="n">
        <f aca="false">SUM(BC185:BC189)</f>
        <v>0</v>
      </c>
      <c r="BD190" s="198" t="n">
        <f aca="false">SUM(BD185:BD189)</f>
        <v>0</v>
      </c>
      <c r="BE190" s="198" t="n">
        <f aca="false">SUM(BE185:BE189)</f>
        <v>0</v>
      </c>
      <c r="BF190" s="198" t="n">
        <f aca="false">SUM(BF185:BF189)</f>
        <v>0</v>
      </c>
      <c r="BG190" s="198" t="n">
        <f aca="false">SUM(BG185:BG189)</f>
        <v>0</v>
      </c>
      <c r="BH190" s="198" t="n">
        <f aca="false">SUM(BH185:BH189)</f>
        <v>0</v>
      </c>
      <c r="BI190" s="198" t="n">
        <f aca="false">SUM(BI185:BI189)</f>
        <v>0</v>
      </c>
      <c r="BJ190" s="198" t="n">
        <f aca="false">SUM(BJ185:BJ189)</f>
        <v>0</v>
      </c>
      <c r="BK190" s="198" t="n">
        <f aca="false">SUM(BK185:BK189)</f>
        <v>0</v>
      </c>
      <c r="BL190" s="198" t="n">
        <f aca="false">SUM(BL185:BL189)</f>
        <v>0</v>
      </c>
      <c r="BM190" s="198" t="n">
        <f aca="false">SUM(BM185:BM189)</f>
        <v>0</v>
      </c>
      <c r="BN190" s="198" t="n">
        <f aca="false">SUM(BN185:BN189)</f>
        <v>220130.54</v>
      </c>
      <c r="BO190" s="198" t="n">
        <f aca="false">SUM(BO185:BO189)</f>
        <v>0</v>
      </c>
      <c r="BP190" s="198" t="n">
        <f aca="false">SUM(BP185:BP189)</f>
        <v>0</v>
      </c>
      <c r="BQ190" s="198" t="n">
        <f aca="false">SUM(BQ185:BQ189)</f>
        <v>0</v>
      </c>
      <c r="BR190" s="198" t="n">
        <f aca="false">SUM(BR185:BR189)</f>
        <v>0</v>
      </c>
      <c r="BS190" s="198" t="n">
        <f aca="false">SUM(BS185:BS189)</f>
        <v>0</v>
      </c>
      <c r="BT190" s="198" t="n">
        <f aca="false">SUM(BT185:BT189)</f>
        <v>220130.54</v>
      </c>
      <c r="BU190" s="198" t="n">
        <f aca="false">SUM(BU185:BU189)</f>
        <v>0</v>
      </c>
      <c r="BV190" s="198" t="n">
        <f aca="false">SUM(BV185:BV189)</f>
        <v>-220130.54</v>
      </c>
      <c r="BW190" s="198" t="n">
        <f aca="false">SUM(BW185:BW189)</f>
        <v>0</v>
      </c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228"/>
      <c r="B191" s="174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228" t="s">
        <v>278</v>
      </c>
      <c r="B192" s="118"/>
      <c r="C192" s="0"/>
      <c r="D192" s="0"/>
      <c r="E192" s="0"/>
      <c r="F192" s="0"/>
      <c r="G192" s="0"/>
      <c r="H192" s="0"/>
      <c r="I192" s="0"/>
      <c r="J192" s="4"/>
      <c r="K192" s="0"/>
      <c r="L192" s="34"/>
      <c r="M192" s="110"/>
      <c r="O192" s="110"/>
      <c r="Q192" s="110"/>
      <c r="S192" s="110"/>
      <c r="T192" s="110"/>
      <c r="U192" s="110"/>
      <c r="V192" s="110"/>
      <c r="X192" s="110"/>
      <c r="Z192" s="110"/>
      <c r="AB192" s="110"/>
      <c r="AD192" s="110"/>
      <c r="BL192" s="110"/>
      <c r="BM192" s="110"/>
      <c r="BO192" s="110"/>
      <c r="BP192" s="110"/>
      <c r="BQ192" s="110"/>
      <c r="BW192" s="11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</row>
    <row r="193" customFormat="false" ht="12.75" hidden="false" customHeight="false" outlineLevel="0" collapsed="false">
      <c r="A193" s="161"/>
      <c r="B193" s="118" t="s">
        <v>389</v>
      </c>
      <c r="C193" s="118"/>
      <c r="D193" s="118"/>
      <c r="E193" s="118"/>
      <c r="F193" s="118"/>
      <c r="G193" s="118"/>
      <c r="H193" s="118"/>
      <c r="I193" s="118"/>
      <c r="J193" s="192"/>
      <c r="K193" s="118"/>
      <c r="L193" s="203" t="s">
        <v>258</v>
      </c>
      <c r="M193" s="110"/>
      <c r="N193" s="110" t="n">
        <v>0</v>
      </c>
      <c r="O193" s="110"/>
      <c r="P193" s="110" t="n">
        <f aca="false">300000-5511</f>
        <v>294489</v>
      </c>
      <c r="Q193" s="110"/>
      <c r="R193" s="110" t="n">
        <v>0</v>
      </c>
      <c r="S193" s="110"/>
      <c r="T193" s="110" t="n">
        <v>0</v>
      </c>
      <c r="U193" s="110"/>
      <c r="V193" s="110" t="n">
        <v>0</v>
      </c>
      <c r="X193" s="110" t="n">
        <v>0</v>
      </c>
      <c r="Z193" s="110" t="n">
        <v>9963.17</v>
      </c>
      <c r="AB193" s="110" t="n">
        <v>0</v>
      </c>
      <c r="AD193" s="110" t="n">
        <v>3785</v>
      </c>
      <c r="AF193" s="110" t="n">
        <v>0</v>
      </c>
      <c r="AH193" s="110" t="n">
        <f aca="false">6818.14+6268.5+3560.04+12631+3302.46+787.02</f>
        <v>33367.16</v>
      </c>
      <c r="AJ193" s="110" t="n">
        <v>0</v>
      </c>
      <c r="AL193" s="110" t="n">
        <v>-14302.18</v>
      </c>
      <c r="AN193" s="110" t="n">
        <v>0</v>
      </c>
      <c r="AP193" s="110" t="n">
        <v>28608.51</v>
      </c>
      <c r="AR193" s="110" t="n">
        <v>0</v>
      </c>
      <c r="AT193" s="110" t="n">
        <v>0</v>
      </c>
      <c r="AV193" s="110" t="n">
        <v>0</v>
      </c>
      <c r="AX193" s="110" t="n">
        <v>0</v>
      </c>
      <c r="AZ193" s="110" t="n">
        <v>0</v>
      </c>
      <c r="BB193" s="110" t="n">
        <v>0</v>
      </c>
      <c r="BD193" s="110" t="n">
        <v>0</v>
      </c>
      <c r="BF193" s="110" t="n">
        <v>0</v>
      </c>
      <c r="BH193" s="110" t="n">
        <v>0</v>
      </c>
      <c r="BJ193" s="110" t="n">
        <v>0</v>
      </c>
      <c r="BL193" s="110" t="n">
        <v>0</v>
      </c>
      <c r="BM193" s="110"/>
      <c r="BN193" s="110" t="n">
        <f aca="false">SUM(T193:BM193)</f>
        <v>61421.66</v>
      </c>
      <c r="BO193" s="110"/>
      <c r="BP193" s="110" t="n">
        <v>0</v>
      </c>
      <c r="BQ193" s="110"/>
      <c r="BR193" s="110" t="n">
        <f aca="false">IF(+R193-BN193+BP193&gt;0,R193-BN193+BP193,0)</f>
        <v>0</v>
      </c>
      <c r="BT193" s="110" t="n">
        <f aca="false">+BN193+BR193</f>
        <v>61421.66</v>
      </c>
      <c r="BV193" s="110" t="n">
        <f aca="false">+R193-BT193</f>
        <v>-61421.66</v>
      </c>
      <c r="BW193" s="11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118"/>
      <c r="DV193" s="118"/>
      <c r="DW193" s="118"/>
      <c r="DX193" s="118"/>
      <c r="DY193" s="118"/>
      <c r="DZ193" s="118"/>
      <c r="EA193" s="118"/>
      <c r="EB193" s="118"/>
      <c r="EC193" s="118"/>
      <c r="ED193" s="118"/>
      <c r="EE193" s="118"/>
      <c r="EF193" s="118"/>
      <c r="EG193" s="118"/>
      <c r="EH193" s="118"/>
      <c r="EI193" s="118"/>
      <c r="EJ193" s="118"/>
      <c r="EK193" s="118"/>
      <c r="EL193" s="118"/>
      <c r="EM193" s="118"/>
      <c r="EN193" s="118"/>
      <c r="EO193" s="118"/>
      <c r="EP193" s="118"/>
      <c r="EQ193" s="118"/>
      <c r="ER193" s="118"/>
      <c r="ES193" s="118"/>
      <c r="ET193" s="118"/>
      <c r="EU193" s="118"/>
      <c r="EV193" s="118"/>
      <c r="EW193" s="118"/>
      <c r="EX193" s="118"/>
      <c r="EY193" s="118"/>
      <c r="EZ193" s="118"/>
      <c r="FA193" s="118"/>
      <c r="FB193" s="118"/>
      <c r="FC193" s="118"/>
      <c r="FD193" s="118"/>
      <c r="FE193" s="118"/>
      <c r="FF193" s="118"/>
      <c r="FG193" s="118"/>
      <c r="FH193" s="118"/>
      <c r="FI193" s="118"/>
      <c r="FJ193" s="118"/>
      <c r="FK193" s="118"/>
      <c r="FL193" s="118"/>
      <c r="FM193" s="118"/>
      <c r="FN193" s="118"/>
      <c r="FO193" s="118"/>
      <c r="FP193" s="118"/>
      <c r="FQ193" s="118"/>
      <c r="FR193" s="118"/>
      <c r="FS193" s="118"/>
      <c r="FT193" s="118"/>
      <c r="FU193" s="118"/>
      <c r="FV193" s="118"/>
      <c r="FW193" s="118"/>
      <c r="FX193" s="118"/>
      <c r="FY193" s="118"/>
      <c r="FZ193" s="118"/>
      <c r="GA193" s="118"/>
      <c r="GB193" s="118"/>
      <c r="GC193" s="118"/>
      <c r="GD193" s="118"/>
      <c r="GE193" s="118"/>
      <c r="GF193" s="118"/>
      <c r="GG193" s="118"/>
      <c r="GH193" s="118"/>
      <c r="GI193" s="118"/>
      <c r="GJ193" s="118"/>
      <c r="GK193" s="118"/>
      <c r="GL193" s="118"/>
      <c r="GM193" s="118"/>
      <c r="GN193" s="118"/>
      <c r="GO193" s="118"/>
      <c r="GP193" s="118"/>
      <c r="GQ193" s="118"/>
      <c r="GR193" s="118"/>
      <c r="GS193" s="118"/>
      <c r="GT193" s="118"/>
      <c r="GU193" s="118"/>
      <c r="GV193" s="118"/>
      <c r="GW193" s="118"/>
      <c r="GX193" s="118"/>
      <c r="GY193" s="118"/>
      <c r="GZ193" s="118"/>
      <c r="HA193" s="118"/>
      <c r="HB193" s="118"/>
      <c r="HC193" s="118"/>
      <c r="HD193" s="118"/>
      <c r="HE193" s="118"/>
      <c r="HF193" s="118"/>
      <c r="HG193" s="118"/>
      <c r="HH193" s="118"/>
      <c r="HI193" s="118"/>
      <c r="HJ193" s="118"/>
      <c r="HK193" s="118"/>
      <c r="HL193" s="118"/>
      <c r="HM193" s="118"/>
      <c r="HN193" s="118"/>
      <c r="HO193" s="118"/>
      <c r="HP193" s="118"/>
      <c r="HQ193" s="118"/>
      <c r="HR193" s="118"/>
      <c r="HS193" s="118"/>
      <c r="HT193" s="118"/>
      <c r="HU193" s="118"/>
      <c r="HV193" s="118"/>
      <c r="HW193" s="118"/>
      <c r="HX193" s="118"/>
      <c r="HY193" s="118"/>
      <c r="HZ193" s="118"/>
      <c r="IA193" s="118"/>
      <c r="IB193" s="118"/>
      <c r="IC193" s="118"/>
      <c r="ID193" s="118"/>
      <c r="IE193" s="118"/>
      <c r="IF193" s="118"/>
      <c r="IG193" s="118"/>
      <c r="IH193" s="118"/>
      <c r="II193" s="118"/>
      <c r="IJ193" s="118"/>
      <c r="IK193" s="118"/>
      <c r="IL193" s="118"/>
      <c r="IM193" s="118"/>
      <c r="IN193" s="118"/>
      <c r="IO193" s="118"/>
      <c r="IP193" s="118"/>
      <c r="IQ193" s="118"/>
      <c r="IR193" s="118"/>
      <c r="IS193" s="118"/>
      <c r="IT193" s="118"/>
      <c r="IU193" s="118"/>
      <c r="IV193" s="118"/>
      <c r="IW193" s="118"/>
    </row>
    <row r="194" customFormat="false" ht="12.75" hidden="false" customHeight="false" outlineLevel="0" collapsed="false">
      <c r="A194" s="161"/>
      <c r="B194" s="118" t="s">
        <v>390</v>
      </c>
      <c r="C194" s="118"/>
      <c r="D194" s="118"/>
      <c r="E194" s="118"/>
      <c r="F194" s="118"/>
      <c r="G194" s="118"/>
      <c r="H194" s="118"/>
      <c r="I194" s="118"/>
      <c r="J194" s="192"/>
      <c r="K194" s="118"/>
      <c r="L194" s="203" t="s">
        <v>258</v>
      </c>
      <c r="M194" s="110"/>
      <c r="N194" s="110" t="n">
        <v>500000</v>
      </c>
      <c r="O194" s="110"/>
      <c r="P194" s="110" t="n">
        <f aca="false">-300000-10271.2</f>
        <v>-310271.2</v>
      </c>
      <c r="Q194" s="110"/>
      <c r="R194" s="110" t="n">
        <v>0</v>
      </c>
      <c r="S194" s="110"/>
      <c r="T194" s="110" t="n">
        <v>0</v>
      </c>
      <c r="U194" s="110"/>
      <c r="V194" s="110" t="n">
        <v>0</v>
      </c>
      <c r="X194" s="110" t="n">
        <v>0</v>
      </c>
      <c r="Z194" s="110" t="n">
        <v>0</v>
      </c>
      <c r="AB194" s="110" t="n">
        <v>76235.1</v>
      </c>
      <c r="AD194" s="110" t="n">
        <v>51621.39</v>
      </c>
      <c r="AF194" s="110" t="n">
        <v>16078.18</v>
      </c>
      <c r="AH194" s="110" t="n">
        <f aca="false">8609.85+7441.04</f>
        <v>16050.89</v>
      </c>
      <c r="AJ194" s="110" t="n">
        <v>0</v>
      </c>
      <c r="AN194" s="110" t="n">
        <v>0</v>
      </c>
      <c r="AR194" s="110" t="n">
        <v>0</v>
      </c>
      <c r="AT194" s="110" t="n">
        <v>0</v>
      </c>
      <c r="AV194" s="110" t="n">
        <v>0</v>
      </c>
      <c r="AX194" s="110" t="n">
        <v>0</v>
      </c>
      <c r="AZ194" s="110" t="n">
        <v>0</v>
      </c>
      <c r="BB194" s="110" t="n">
        <v>0</v>
      </c>
      <c r="BD194" s="110" t="n">
        <v>0</v>
      </c>
      <c r="BF194" s="110" t="n">
        <v>0</v>
      </c>
      <c r="BH194" s="110" t="n">
        <v>0</v>
      </c>
      <c r="BJ194" s="110" t="n">
        <v>0</v>
      </c>
      <c r="BL194" s="110" t="n">
        <v>0</v>
      </c>
      <c r="BM194" s="110"/>
      <c r="BN194" s="110" t="n">
        <f aca="false">SUM(T194:BM194)</f>
        <v>159985.56</v>
      </c>
      <c r="BO194" s="110"/>
      <c r="BP194" s="110" t="n">
        <v>0</v>
      </c>
      <c r="BQ194" s="110"/>
      <c r="BR194" s="110" t="n">
        <f aca="false">IF(+R194-BN194+BP194&gt;0,R194-BN194+BP194,0)</f>
        <v>0</v>
      </c>
      <c r="BT194" s="110" t="n">
        <f aca="false">+BN194+BR194</f>
        <v>159985.56</v>
      </c>
      <c r="BV194" s="110" t="n">
        <f aca="false">+R194-BT194</f>
        <v>-159985.56</v>
      </c>
      <c r="BW194" s="11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118"/>
      <c r="DV194" s="118"/>
      <c r="DW194" s="118"/>
      <c r="DX194" s="118"/>
      <c r="DY194" s="118"/>
      <c r="DZ194" s="118"/>
      <c r="EA194" s="118"/>
      <c r="EB194" s="118"/>
      <c r="EC194" s="118"/>
      <c r="ED194" s="118"/>
      <c r="EE194" s="118"/>
      <c r="EF194" s="118"/>
      <c r="EG194" s="118"/>
      <c r="EH194" s="118"/>
      <c r="EI194" s="118"/>
      <c r="EJ194" s="118"/>
      <c r="EK194" s="118"/>
      <c r="EL194" s="118"/>
      <c r="EM194" s="118"/>
      <c r="EN194" s="118"/>
      <c r="EO194" s="118"/>
      <c r="EP194" s="118"/>
      <c r="EQ194" s="118"/>
      <c r="ER194" s="118"/>
      <c r="ES194" s="118"/>
      <c r="ET194" s="118"/>
      <c r="EU194" s="118"/>
      <c r="EV194" s="118"/>
      <c r="EW194" s="118"/>
      <c r="EX194" s="118"/>
      <c r="EY194" s="118"/>
      <c r="EZ194" s="118"/>
      <c r="FA194" s="118"/>
      <c r="FB194" s="118"/>
      <c r="FC194" s="118"/>
      <c r="FD194" s="118"/>
      <c r="FE194" s="118"/>
      <c r="FF194" s="118"/>
      <c r="FG194" s="118"/>
      <c r="FH194" s="118"/>
      <c r="FI194" s="118"/>
      <c r="FJ194" s="118"/>
      <c r="FK194" s="118"/>
      <c r="FL194" s="118"/>
      <c r="FM194" s="118"/>
      <c r="FN194" s="118"/>
      <c r="FO194" s="118"/>
      <c r="FP194" s="118"/>
      <c r="FQ194" s="118"/>
      <c r="FR194" s="118"/>
      <c r="FS194" s="118"/>
      <c r="FT194" s="118"/>
      <c r="FU194" s="118"/>
      <c r="FV194" s="118"/>
      <c r="FW194" s="118"/>
      <c r="FX194" s="118"/>
      <c r="FY194" s="118"/>
      <c r="FZ194" s="118"/>
      <c r="GA194" s="118"/>
      <c r="GB194" s="118"/>
      <c r="GC194" s="118"/>
      <c r="GD194" s="118"/>
      <c r="GE194" s="118"/>
      <c r="GF194" s="118"/>
      <c r="GG194" s="118"/>
      <c r="GH194" s="118"/>
      <c r="GI194" s="118"/>
      <c r="GJ194" s="118"/>
      <c r="GK194" s="118"/>
      <c r="GL194" s="118"/>
      <c r="GM194" s="118"/>
      <c r="GN194" s="118"/>
      <c r="GO194" s="118"/>
      <c r="GP194" s="118"/>
      <c r="GQ194" s="118"/>
      <c r="GR194" s="118"/>
      <c r="GS194" s="118"/>
      <c r="GT194" s="118"/>
      <c r="GU194" s="118"/>
      <c r="GV194" s="118"/>
      <c r="GW194" s="118"/>
      <c r="GX194" s="118"/>
      <c r="GY194" s="118"/>
      <c r="GZ194" s="118"/>
      <c r="HA194" s="118"/>
      <c r="HB194" s="118"/>
      <c r="HC194" s="118"/>
      <c r="HD194" s="118"/>
      <c r="HE194" s="118"/>
      <c r="HF194" s="118"/>
      <c r="HG194" s="118"/>
      <c r="HH194" s="118"/>
      <c r="HI194" s="118"/>
      <c r="HJ194" s="118"/>
      <c r="HK194" s="118"/>
      <c r="HL194" s="118"/>
      <c r="HM194" s="118"/>
      <c r="HN194" s="118"/>
      <c r="HO194" s="118"/>
      <c r="HP194" s="118"/>
      <c r="HQ194" s="118"/>
      <c r="HR194" s="118"/>
      <c r="HS194" s="118"/>
      <c r="HT194" s="118"/>
      <c r="HU194" s="118"/>
      <c r="HV194" s="118"/>
      <c r="HW194" s="118"/>
      <c r="HX194" s="118"/>
      <c r="HY194" s="118"/>
      <c r="HZ194" s="118"/>
      <c r="IA194" s="118"/>
      <c r="IB194" s="118"/>
      <c r="IC194" s="118"/>
      <c r="ID194" s="118"/>
      <c r="IE194" s="118"/>
      <c r="IF194" s="118"/>
      <c r="IG194" s="118"/>
      <c r="IH194" s="118"/>
      <c r="II194" s="118"/>
      <c r="IJ194" s="118"/>
      <c r="IK194" s="118"/>
      <c r="IL194" s="118"/>
      <c r="IM194" s="118"/>
      <c r="IN194" s="118"/>
      <c r="IO194" s="118"/>
      <c r="IP194" s="118"/>
      <c r="IQ194" s="118"/>
      <c r="IR194" s="118"/>
      <c r="IS194" s="118"/>
      <c r="IT194" s="118"/>
      <c r="IU194" s="118"/>
      <c r="IV194" s="118"/>
      <c r="IW194" s="118"/>
    </row>
    <row r="195" customFormat="false" ht="12.75" hidden="false" customHeight="false" outlineLevel="0" collapsed="false">
      <c r="A195" s="161"/>
      <c r="B195" s="118" t="s">
        <v>391</v>
      </c>
      <c r="C195" s="118"/>
      <c r="D195" s="118"/>
      <c r="E195" s="118"/>
      <c r="F195" s="118"/>
      <c r="G195" s="118"/>
      <c r="H195" s="118"/>
      <c r="I195" s="118"/>
      <c r="J195" s="192"/>
      <c r="K195" s="118"/>
      <c r="L195" s="203"/>
      <c r="M195" s="110"/>
      <c r="O195" s="110"/>
      <c r="P195" s="110" t="n">
        <v>5511</v>
      </c>
      <c r="Q195" s="110"/>
      <c r="R195" s="110" t="n">
        <v>0</v>
      </c>
      <c r="S195" s="110"/>
      <c r="T195" s="110"/>
      <c r="U195" s="110"/>
      <c r="V195" s="110"/>
      <c r="X195" s="110"/>
      <c r="Z195" s="110"/>
      <c r="AB195" s="110"/>
      <c r="AD195" s="110" t="n">
        <v>5510.85</v>
      </c>
      <c r="AF195" s="110" t="n">
        <v>10271.2</v>
      </c>
      <c r="BL195" s="110"/>
      <c r="BM195" s="110"/>
      <c r="BN195" s="110" t="n">
        <f aca="false">SUM(T195:BM195)</f>
        <v>15782.05</v>
      </c>
      <c r="BO195" s="110"/>
      <c r="BP195" s="110" t="n">
        <v>0</v>
      </c>
      <c r="BQ195" s="110"/>
      <c r="BR195" s="110" t="n">
        <f aca="false">IF(+R195-BN195+BP195&gt;0,R195-BN195+BP195,0)</f>
        <v>0</v>
      </c>
      <c r="BT195" s="110" t="n">
        <f aca="false">+BN195+BR195</f>
        <v>15782.05</v>
      </c>
      <c r="BV195" s="110" t="n">
        <f aca="false">+R195-BT195</f>
        <v>-15782.05</v>
      </c>
      <c r="BW195" s="11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118"/>
      <c r="DV195" s="118"/>
      <c r="DW195" s="118"/>
      <c r="DX195" s="118"/>
      <c r="DY195" s="118"/>
      <c r="DZ195" s="118"/>
      <c r="EA195" s="118"/>
      <c r="EB195" s="118"/>
      <c r="EC195" s="118"/>
      <c r="ED195" s="118"/>
      <c r="EE195" s="118"/>
      <c r="EF195" s="118"/>
      <c r="EG195" s="118"/>
      <c r="EH195" s="118"/>
      <c r="EI195" s="118"/>
      <c r="EJ195" s="118"/>
      <c r="EK195" s="118"/>
      <c r="EL195" s="118"/>
      <c r="EM195" s="118"/>
      <c r="EN195" s="118"/>
      <c r="EO195" s="118"/>
      <c r="EP195" s="118"/>
      <c r="EQ195" s="118"/>
      <c r="ER195" s="118"/>
      <c r="ES195" s="118"/>
      <c r="ET195" s="118"/>
      <c r="EU195" s="118"/>
      <c r="EV195" s="118"/>
      <c r="EW195" s="118"/>
      <c r="EX195" s="118"/>
      <c r="EY195" s="118"/>
      <c r="EZ195" s="118"/>
      <c r="FA195" s="118"/>
      <c r="FB195" s="118"/>
      <c r="FC195" s="118"/>
      <c r="FD195" s="118"/>
      <c r="FE195" s="118"/>
      <c r="FF195" s="118"/>
      <c r="FG195" s="118"/>
      <c r="FH195" s="118"/>
      <c r="FI195" s="118"/>
      <c r="FJ195" s="118"/>
      <c r="FK195" s="118"/>
      <c r="FL195" s="118"/>
      <c r="FM195" s="118"/>
      <c r="FN195" s="118"/>
      <c r="FO195" s="118"/>
      <c r="FP195" s="118"/>
      <c r="FQ195" s="118"/>
      <c r="FR195" s="118"/>
      <c r="FS195" s="118"/>
      <c r="FT195" s="118"/>
      <c r="FU195" s="118"/>
      <c r="FV195" s="118"/>
      <c r="FW195" s="118"/>
      <c r="FX195" s="118"/>
      <c r="FY195" s="118"/>
      <c r="FZ195" s="118"/>
      <c r="GA195" s="118"/>
      <c r="GB195" s="118"/>
      <c r="GC195" s="118"/>
      <c r="GD195" s="118"/>
      <c r="GE195" s="118"/>
      <c r="GF195" s="118"/>
      <c r="GG195" s="118"/>
      <c r="GH195" s="118"/>
      <c r="GI195" s="118"/>
      <c r="GJ195" s="118"/>
      <c r="GK195" s="118"/>
      <c r="GL195" s="118"/>
      <c r="GM195" s="118"/>
      <c r="GN195" s="118"/>
      <c r="GO195" s="118"/>
      <c r="GP195" s="118"/>
      <c r="GQ195" s="118"/>
      <c r="GR195" s="118"/>
      <c r="GS195" s="118"/>
      <c r="GT195" s="118"/>
      <c r="GU195" s="118"/>
      <c r="GV195" s="118"/>
      <c r="GW195" s="118"/>
      <c r="GX195" s="118"/>
      <c r="GY195" s="118"/>
      <c r="GZ195" s="118"/>
      <c r="HA195" s="118"/>
      <c r="HB195" s="118"/>
      <c r="HC195" s="118"/>
      <c r="HD195" s="118"/>
      <c r="HE195" s="118"/>
      <c r="HF195" s="118"/>
      <c r="HG195" s="118"/>
      <c r="HH195" s="118"/>
      <c r="HI195" s="118"/>
      <c r="HJ195" s="118"/>
      <c r="HK195" s="118"/>
      <c r="HL195" s="118"/>
      <c r="HM195" s="118"/>
      <c r="HN195" s="118"/>
      <c r="HO195" s="118"/>
      <c r="HP195" s="118"/>
      <c r="HQ195" s="118"/>
      <c r="HR195" s="118"/>
      <c r="HS195" s="118"/>
      <c r="HT195" s="118"/>
      <c r="HU195" s="118"/>
      <c r="HV195" s="118"/>
      <c r="HW195" s="118"/>
      <c r="HX195" s="118"/>
      <c r="HY195" s="118"/>
      <c r="HZ195" s="118"/>
      <c r="IA195" s="118"/>
      <c r="IB195" s="118"/>
      <c r="IC195" s="118"/>
      <c r="ID195" s="118"/>
      <c r="IE195" s="118"/>
      <c r="IF195" s="118"/>
      <c r="IG195" s="118"/>
      <c r="IH195" s="118"/>
      <c r="II195" s="118"/>
      <c r="IJ195" s="118"/>
      <c r="IK195" s="118"/>
      <c r="IL195" s="118"/>
      <c r="IM195" s="118"/>
      <c r="IN195" s="118"/>
      <c r="IO195" s="118"/>
      <c r="IP195" s="118"/>
      <c r="IQ195" s="118"/>
      <c r="IR195" s="118"/>
      <c r="IS195" s="118"/>
      <c r="IT195" s="118"/>
      <c r="IU195" s="118"/>
      <c r="IV195" s="118"/>
      <c r="IW195" s="118"/>
    </row>
    <row r="196" customFormat="false" ht="12.75" hidden="false" customHeight="false" outlineLevel="0" collapsed="false">
      <c r="A196" s="228"/>
      <c r="B196" s="174" t="s">
        <v>281</v>
      </c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198" t="n">
        <f aca="false">SUM(N193:N195)</f>
        <v>500000</v>
      </c>
      <c r="O196" s="198" t="n">
        <f aca="false">SUM(O193:O195)</f>
        <v>0</v>
      </c>
      <c r="P196" s="198" t="n">
        <f aca="false">SUM(P193:P195)</f>
        <v>-10271.2</v>
      </c>
      <c r="Q196" s="198" t="n">
        <f aca="false">SUM(Q193:Q195)</f>
        <v>0</v>
      </c>
      <c r="R196" s="198" t="n">
        <f aca="false">SUM(R193:R195)</f>
        <v>0</v>
      </c>
      <c r="S196" s="24"/>
      <c r="T196" s="198" t="n">
        <f aca="false">SUM(T193:T195)</f>
        <v>0</v>
      </c>
      <c r="U196" s="24"/>
      <c r="V196" s="198" t="n">
        <f aca="false">SUM(V193:V195)</f>
        <v>0</v>
      </c>
      <c r="W196" s="24"/>
      <c r="X196" s="198" t="n">
        <f aca="false">SUM(X193:X195)</f>
        <v>0</v>
      </c>
      <c r="Y196" s="24"/>
      <c r="Z196" s="198" t="n">
        <f aca="false">SUM(Z193:Z195)</f>
        <v>9963.17</v>
      </c>
      <c r="AA196" s="24"/>
      <c r="AB196" s="198" t="n">
        <f aca="false">SUM(AB193:AB195)</f>
        <v>76235.1</v>
      </c>
      <c r="AC196" s="24"/>
      <c r="AD196" s="198" t="n">
        <f aca="false">SUM(AD193:AD195)</f>
        <v>60917.24</v>
      </c>
      <c r="AE196" s="24"/>
      <c r="AF196" s="198" t="n">
        <f aca="false">SUM(AF193:AF195)</f>
        <v>26349.38</v>
      </c>
      <c r="AG196" s="24"/>
      <c r="AH196" s="198" t="n">
        <f aca="false">SUM(AH193:AH195)</f>
        <v>49418.05</v>
      </c>
      <c r="AI196" s="24"/>
      <c r="AJ196" s="198" t="n">
        <f aca="false">SUM(AJ193:AJ195)</f>
        <v>0</v>
      </c>
      <c r="AK196" s="24"/>
      <c r="AL196" s="198" t="n">
        <f aca="false">SUM(AL193:AL195)</f>
        <v>-14302.18</v>
      </c>
      <c r="AM196" s="198"/>
      <c r="AN196" s="198" t="n">
        <f aca="false">SUM(AN193:AN195)</f>
        <v>0</v>
      </c>
      <c r="AO196" s="24"/>
      <c r="AP196" s="198" t="n">
        <f aca="false">SUM(AP193:AP195)</f>
        <v>28608.51</v>
      </c>
      <c r="AQ196" s="24"/>
      <c r="AR196" s="198" t="n">
        <f aca="false">SUM(AR193:AR195)</f>
        <v>0</v>
      </c>
      <c r="AS196" s="24"/>
      <c r="AT196" s="198" t="n">
        <f aca="false">SUM(AT193:AT195)</f>
        <v>0</v>
      </c>
      <c r="AU196" s="24"/>
      <c r="AV196" s="198" t="n">
        <f aca="false">SUM(AV193:AV195)</f>
        <v>0</v>
      </c>
      <c r="AW196" s="24"/>
      <c r="AX196" s="198" t="n">
        <f aca="false">SUM(AX193:AX195)</f>
        <v>0</v>
      </c>
      <c r="AY196" s="24"/>
      <c r="AZ196" s="198" t="n">
        <f aca="false">SUM(AZ193:AZ195)</f>
        <v>0</v>
      </c>
      <c r="BA196" s="24"/>
      <c r="BB196" s="198" t="n">
        <f aca="false">SUM(BB193:BB195)</f>
        <v>0</v>
      </c>
      <c r="BC196" s="24"/>
      <c r="BD196" s="198" t="n">
        <f aca="false">SUM(BD193:BD195)</f>
        <v>0</v>
      </c>
      <c r="BE196" s="24"/>
      <c r="BF196" s="198" t="n">
        <f aca="false">SUM(BF193:BF195)</f>
        <v>0</v>
      </c>
      <c r="BG196" s="24"/>
      <c r="BH196" s="198" t="n">
        <f aca="false">SUM(BH193:BH195)</f>
        <v>0</v>
      </c>
      <c r="BI196" s="24"/>
      <c r="BJ196" s="198" t="n">
        <f aca="false">SUM(BJ193:BJ195)</f>
        <v>0</v>
      </c>
      <c r="BK196" s="24"/>
      <c r="BL196" s="198" t="n">
        <f aca="false">SUM(BL193:BL195)</f>
        <v>0</v>
      </c>
      <c r="BM196" s="24"/>
      <c r="BN196" s="198" t="n">
        <f aca="false">SUM(BN193:BN195)</f>
        <v>237189.27</v>
      </c>
      <c r="BO196" s="24"/>
      <c r="BP196" s="198" t="n">
        <f aca="false">SUM(BP193:BP195)</f>
        <v>0</v>
      </c>
      <c r="BQ196" s="24"/>
      <c r="BR196" s="198" t="n">
        <f aca="false">SUM(BR193:BR195)</f>
        <v>0</v>
      </c>
      <c r="BS196" s="24"/>
      <c r="BT196" s="198" t="n">
        <f aca="false">SUM(BT193:BT195)</f>
        <v>237189.27</v>
      </c>
      <c r="BU196" s="24"/>
      <c r="BV196" s="198" t="n">
        <f aca="false">SUM(BV193:BV195)</f>
        <v>-237189.27</v>
      </c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60"/>
      <c r="B197" s="174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60" t="s">
        <v>282</v>
      </c>
      <c r="B198" s="174"/>
      <c r="C198" s="174"/>
      <c r="D198" s="174"/>
      <c r="E198" s="174"/>
      <c r="F198" s="174"/>
      <c r="G198" s="174"/>
      <c r="H198" s="174"/>
      <c r="I198" s="174"/>
      <c r="J198" s="201"/>
      <c r="K198" s="174"/>
      <c r="L198" s="202" t="s">
        <v>151</v>
      </c>
      <c r="M198" s="24"/>
      <c r="N198" s="24" t="n">
        <v>10922239</v>
      </c>
      <c r="O198" s="24"/>
      <c r="P198" s="24" t="n">
        <f aca="false">10969926-N198</f>
        <v>47687</v>
      </c>
      <c r="Q198" s="24"/>
      <c r="R198" s="24" t="n">
        <v>0</v>
      </c>
      <c r="S198" s="24"/>
      <c r="T198" s="24" t="n">
        <v>704264</v>
      </c>
      <c r="U198" s="24"/>
      <c r="V198" s="24" t="n">
        <f aca="false">366584-46260</f>
        <v>320324</v>
      </c>
      <c r="W198" s="24"/>
      <c r="X198" s="24" t="n">
        <v>477081</v>
      </c>
      <c r="Y198" s="24"/>
      <c r="Z198" s="24" t="n">
        <f aca="false">-11622+437418</f>
        <v>425796</v>
      </c>
      <c r="AA198" s="24"/>
      <c r="AB198" s="24" t="n">
        <v>378280</v>
      </c>
      <c r="AC198" s="24"/>
      <c r="AD198" s="24" t="n">
        <v>557261</v>
      </c>
      <c r="AE198" s="24"/>
      <c r="AF198" s="24" t="n">
        <f aca="false">'[1]Calvert City'!$I$38</f>
        <v>481371.224966667</v>
      </c>
      <c r="AG198" s="24"/>
      <c r="AH198" s="24" t="n">
        <f aca="false">'[1]Calvert City'!$J$38</f>
        <v>488494.443169958</v>
      </c>
      <c r="AI198" s="24"/>
      <c r="AJ198" s="24" t="n">
        <f aca="false">'[1]Calvert City'!$K$38</f>
        <v>500068.524230185</v>
      </c>
      <c r="AK198" s="24"/>
      <c r="AL198" s="24" t="n">
        <f aca="false">-SUM(T198:AJ198)</f>
        <v>-4332940.19236681</v>
      </c>
      <c r="AM198" s="24"/>
      <c r="AN198" s="24" t="n">
        <v>0</v>
      </c>
      <c r="AO198" s="24"/>
      <c r="AP198" s="24" t="n">
        <v>0</v>
      </c>
      <c r="AQ198" s="24"/>
      <c r="AR198" s="24" t="n">
        <v>0</v>
      </c>
      <c r="AS198" s="24"/>
      <c r="AT198" s="24" t="n">
        <v>0</v>
      </c>
      <c r="AU198" s="24"/>
      <c r="AV198" s="24" t="n">
        <v>0</v>
      </c>
      <c r="AW198" s="24"/>
      <c r="AX198" s="24" t="n">
        <v>0</v>
      </c>
      <c r="AY198" s="24"/>
      <c r="AZ198" s="24" t="n">
        <v>0</v>
      </c>
      <c r="BA198" s="24"/>
      <c r="BB198" s="24" t="n">
        <v>0</v>
      </c>
      <c r="BC198" s="24"/>
      <c r="BD198" s="24" t="n">
        <v>0</v>
      </c>
      <c r="BE198" s="24"/>
      <c r="BF198" s="24" t="n">
        <v>0</v>
      </c>
      <c r="BG198" s="24"/>
      <c r="BH198" s="24" t="n">
        <v>0</v>
      </c>
      <c r="BI198" s="24"/>
      <c r="BJ198" s="24" t="n">
        <v>0</v>
      </c>
      <c r="BK198" s="24"/>
      <c r="BL198" s="24" t="n">
        <v>0</v>
      </c>
      <c r="BM198" s="24"/>
      <c r="BN198" s="24" t="n">
        <f aca="false">SUM(T198:BM198)</f>
        <v>0</v>
      </c>
      <c r="BO198" s="24"/>
      <c r="BP198" s="24" t="n">
        <v>0</v>
      </c>
      <c r="BQ198" s="24"/>
      <c r="BR198" s="110" t="n">
        <f aca="false">IF(+R198-BN198+BP198&gt;0,R198-BN198+BP198,0)</f>
        <v>0</v>
      </c>
      <c r="BS198" s="24"/>
      <c r="BT198" s="24" t="n">
        <f aca="false">+BN198+BR198</f>
        <v>0</v>
      </c>
      <c r="BU198" s="24"/>
      <c r="BV198" s="24" t="n">
        <f aca="false">+R198-BT198</f>
        <v>0</v>
      </c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174"/>
      <c r="DV198" s="174"/>
      <c r="DW198" s="174"/>
      <c r="DX198" s="174"/>
      <c r="DY198" s="174"/>
      <c r="DZ198" s="174"/>
      <c r="EA198" s="174"/>
      <c r="EB198" s="174"/>
      <c r="EC198" s="174"/>
      <c r="ED198" s="174"/>
      <c r="EE198" s="174"/>
      <c r="EF198" s="174"/>
      <c r="EG198" s="174"/>
      <c r="EH198" s="174"/>
      <c r="EI198" s="174"/>
      <c r="EJ198" s="174"/>
      <c r="EK198" s="174"/>
      <c r="EL198" s="174"/>
      <c r="EM198" s="174"/>
      <c r="EN198" s="174"/>
      <c r="EO198" s="174"/>
      <c r="EP198" s="174"/>
      <c r="EQ198" s="174"/>
      <c r="ER198" s="174"/>
      <c r="ES198" s="174"/>
      <c r="ET198" s="174"/>
      <c r="EU198" s="174"/>
      <c r="EV198" s="174"/>
      <c r="EW198" s="174"/>
      <c r="EX198" s="174"/>
      <c r="EY198" s="174"/>
      <c r="EZ198" s="174"/>
      <c r="FA198" s="174"/>
      <c r="FB198" s="174"/>
      <c r="FC198" s="174"/>
      <c r="FD198" s="174"/>
      <c r="FE198" s="174"/>
      <c r="FF198" s="174"/>
      <c r="FG198" s="174"/>
      <c r="FH198" s="174"/>
      <c r="FI198" s="174"/>
      <c r="FJ198" s="174"/>
      <c r="FK198" s="174"/>
      <c r="FL198" s="174"/>
      <c r="FM198" s="174"/>
      <c r="FN198" s="174"/>
      <c r="FO198" s="174"/>
      <c r="FP198" s="174"/>
      <c r="FQ198" s="174"/>
      <c r="FR198" s="174"/>
      <c r="FS198" s="174"/>
      <c r="FT198" s="174"/>
      <c r="FU198" s="174"/>
      <c r="FV198" s="174"/>
      <c r="FW198" s="174"/>
      <c r="FX198" s="174"/>
      <c r="FY198" s="174"/>
      <c r="FZ198" s="174"/>
      <c r="GA198" s="174"/>
      <c r="GB198" s="174"/>
      <c r="GC198" s="174"/>
      <c r="GD198" s="174"/>
      <c r="GE198" s="174"/>
      <c r="GF198" s="174"/>
      <c r="GG198" s="174"/>
      <c r="GH198" s="174"/>
      <c r="GI198" s="174"/>
      <c r="GJ198" s="174"/>
      <c r="GK198" s="174"/>
      <c r="GL198" s="174"/>
      <c r="GM198" s="174"/>
      <c r="GN198" s="174"/>
      <c r="GO198" s="174"/>
      <c r="GP198" s="174"/>
      <c r="GQ198" s="174"/>
      <c r="GR198" s="174"/>
      <c r="GS198" s="174"/>
      <c r="GT198" s="174"/>
      <c r="GU198" s="174"/>
      <c r="GV198" s="174"/>
      <c r="GW198" s="174"/>
      <c r="GX198" s="174"/>
      <c r="GY198" s="174"/>
      <c r="GZ198" s="174"/>
      <c r="HA198" s="174"/>
      <c r="HB198" s="174"/>
      <c r="HC198" s="174"/>
      <c r="HD198" s="174"/>
      <c r="HE198" s="174"/>
      <c r="HF198" s="174"/>
      <c r="HG198" s="174"/>
      <c r="HH198" s="174"/>
      <c r="HI198" s="174"/>
      <c r="HJ198" s="174"/>
      <c r="HK198" s="174"/>
      <c r="HL198" s="174"/>
      <c r="HM198" s="174"/>
      <c r="HN198" s="174"/>
      <c r="HO198" s="174"/>
      <c r="HP198" s="174"/>
      <c r="HQ198" s="174"/>
      <c r="HR198" s="174"/>
      <c r="HS198" s="174"/>
      <c r="HT198" s="174"/>
      <c r="HU198" s="174"/>
      <c r="HV198" s="174"/>
      <c r="HW198" s="174"/>
      <c r="HX198" s="174"/>
      <c r="HY198" s="174"/>
      <c r="HZ198" s="174"/>
      <c r="IA198" s="174"/>
      <c r="IB198" s="174"/>
      <c r="IC198" s="174"/>
      <c r="ID198" s="174"/>
      <c r="IE198" s="174"/>
      <c r="IF198" s="174"/>
      <c r="IG198" s="174"/>
      <c r="IH198" s="174"/>
      <c r="II198" s="174"/>
      <c r="IJ198" s="174"/>
      <c r="IK198" s="174"/>
      <c r="IL198" s="174"/>
      <c r="IM198" s="174"/>
      <c r="IN198" s="174"/>
      <c r="IO198" s="174"/>
      <c r="IP198" s="174"/>
      <c r="IQ198" s="174"/>
      <c r="IR198" s="174"/>
      <c r="IS198" s="174"/>
      <c r="IT198" s="174"/>
      <c r="IU198" s="174"/>
      <c r="IV198" s="174"/>
      <c r="IW198" s="174"/>
    </row>
    <row r="199" customFormat="false" ht="12.75" hidden="false" customHeight="false" outlineLevel="0" collapsed="false">
      <c r="A199" s="228"/>
      <c r="B199" s="174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38" t="s">
        <v>283</v>
      </c>
      <c r="B200" s="184"/>
      <c r="C200" s="186"/>
      <c r="D200" s="186"/>
      <c r="E200" s="186"/>
      <c r="F200" s="186"/>
      <c r="G200" s="186"/>
      <c r="H200" s="186"/>
      <c r="I200" s="186"/>
      <c r="J200" s="187"/>
      <c r="K200" s="186"/>
      <c r="L200" s="188"/>
      <c r="M200" s="189"/>
      <c r="N200" s="189"/>
      <c r="O200" s="189"/>
      <c r="P200" s="189"/>
      <c r="Q200" s="189"/>
      <c r="R200" s="189" t="n">
        <f aca="false">R198+R190+R182+R180+R178+R172+R163+R153+R146+R144+R142+R140+R138+R196+R170</f>
        <v>0</v>
      </c>
      <c r="S200" s="189" t="n">
        <f aca="false">S198+S190+S182+S180+S178+S172+S163+S153+S146+S144+S142+S140+S138+S196</f>
        <v>0</v>
      </c>
      <c r="T200" s="189" t="n">
        <f aca="false">T198+T190+T182+T180+T178+T172+T163+T153+T146+T144+T142+T140+T138+T196</f>
        <v>704264</v>
      </c>
      <c r="U200" s="189" t="n">
        <f aca="false">U198+U190+U182+U180+U178+U172+U163+U153+U146+U144+U142+U140+U138+U196</f>
        <v>0</v>
      </c>
      <c r="V200" s="189" t="n">
        <f aca="false">V198+V190+V182+V180+V178+V172+V163+V153+V146+V144+V142+V140+V138+V196</f>
        <v>320959</v>
      </c>
      <c r="W200" s="189" t="n">
        <f aca="false">W198+W190+W182+W180+W178+W172+W163+W153+W146+W144+W142+W140+W138+W196</f>
        <v>0</v>
      </c>
      <c r="X200" s="189" t="n">
        <f aca="false">X198+X190+X182+X180+X178+X172+X163+X153+X146+X144+X142+X140+X138+X196</f>
        <v>569241.61</v>
      </c>
      <c r="Y200" s="189" t="n">
        <f aca="false">Y198+Y190+Y182+Y180+Y178+Y172+Y163+Y153+Y146+Y144+Y142+Y140+Y138+Y196</f>
        <v>0</v>
      </c>
      <c r="Z200" s="189" t="n">
        <f aca="false">Z198+Z190+Z182+Z180+Z178+Z172+Z163+Z153+Z146+Z144+Z142+Z140+Z138+Z196</f>
        <v>475448.42</v>
      </c>
      <c r="AA200" s="189" t="n">
        <f aca="false">AA198+AA190+AA182+AA180+AA178+AA172+AA163+AA153+AA146+AA144+AA142+AA140+AA138+AA196</f>
        <v>0</v>
      </c>
      <c r="AB200" s="189" t="n">
        <f aca="false">AB198+AB190+AB182+AB180+AB178+AB172+AB163+AB153+AB146+AB144+AB142+AB140+AB138+AB196</f>
        <v>468179.56</v>
      </c>
      <c r="AC200" s="189" t="n">
        <f aca="false">AC198+AC190+AC182+AC180+AC178+AC172+AC163+AC153+AC146+AC144+AC142+AC140+AC138+AC196</f>
        <v>0</v>
      </c>
      <c r="AD200" s="189" t="n">
        <f aca="false">AD198+AD190+AD182+AD180+AD178+AD172+AD163+AD153+AD146+AD144+AD142+AD140+AD138+AD196</f>
        <v>896272.32</v>
      </c>
      <c r="AE200" s="189" t="n">
        <f aca="false">AE198+AE190+AE182+AE180+AE178+AE172+AE163+AE153+AE146+AE144+AE142+AE140+AE138+AE196</f>
        <v>0</v>
      </c>
      <c r="AF200" s="189" t="n">
        <f aca="false">AF198+AF190+AF182+AF180+AF178+AF172+AF163+AF153+AF146+AF144+AF142+AF140+AF138+AF196</f>
        <v>666001.554966667</v>
      </c>
      <c r="AG200" s="189"/>
      <c r="AH200" s="189" t="n">
        <f aca="false">AH198+AH190+AH182+AH180+AH178+AH172+AH163+AH153+AH146+AH144+AH142+AH140+AH138+AH196</f>
        <v>672045.703169958</v>
      </c>
      <c r="AI200" s="189"/>
      <c r="AJ200" s="189" t="n">
        <f aca="false">AJ198+AJ190+AJ182+AJ180+AJ178+AJ172+AJ163+AJ153+AJ146+AJ144+AJ142+AJ140+AJ138+AJ196</f>
        <v>557205.694230185</v>
      </c>
      <c r="AK200" s="189"/>
      <c r="AL200" s="189" t="n">
        <f aca="false">AL198+AL190+AL182+AL180+AL178+AL172+AL163+AL153+AL146+AL144+AL142+AL140+AL138+AL196</f>
        <v>-4904623.03236681</v>
      </c>
      <c r="AM200" s="189"/>
      <c r="AN200" s="189" t="n">
        <f aca="false">AN198+AN190+AN182+AN180+AN178+AN172+AN163+AN153+AN146+AN144+AN142+AN140+AN138+AN196</f>
        <v>378540.52</v>
      </c>
      <c r="AO200" s="189"/>
      <c r="AP200" s="189" t="n">
        <f aca="false">AP198+AP190+AP182+AP180+AP178+AP172+AP163+AP153+AP146+AP144+AP142+AP140+AP138+AP196</f>
        <v>323352.19</v>
      </c>
      <c r="AQ200" s="189"/>
      <c r="AR200" s="189" t="n">
        <f aca="false">AR198+AR190+AR182+AR180+AR178+AR172+AR163+AR153+AR146+AR144+AR142+AR140+AR138+AR196</f>
        <v>16697.29</v>
      </c>
      <c r="AS200" s="189"/>
      <c r="AT200" s="189" t="n">
        <f aca="false">AT198+AT190+AT182+AT180+AT178+AT172+AT163+AT153+AT146+AT144+AT142+AT140+AT138+AT196</f>
        <v>0</v>
      </c>
      <c r="AU200" s="189" t="n">
        <f aca="false">AU198+AU190+AU182+AU180+AU178+AU172+AU163+AU153+AU146+AU144+AU142+AU140+AU138+AU196</f>
        <v>0</v>
      </c>
      <c r="AV200" s="189" t="n">
        <f aca="false">AV198+AV190+AV182+AV180+AV178+AV172+AV163+AV153+AV146+AV144+AV142+AV140+AV138+AV196</f>
        <v>0</v>
      </c>
      <c r="AW200" s="189" t="n">
        <f aca="false">AW198+AW190+AW182+AW180+AW178+AW172+AW163+AW153+AW146+AW144+AW142+AW140+AW138+AW196</f>
        <v>0</v>
      </c>
      <c r="AX200" s="189" t="n">
        <f aca="false">AX198+AX190+AX182+AX180+AX178+AX172+AX163+AX153+AX146+AX144+AX142+AX140+AX138+AX196</f>
        <v>0</v>
      </c>
      <c r="AY200" s="189" t="n">
        <f aca="false">AY198+AY190+AY182+AY180+AY178+AY172+AY163+AY153+AY146+AY144+AY142+AY140+AY138+AY196</f>
        <v>0</v>
      </c>
      <c r="AZ200" s="189" t="n">
        <f aca="false">AZ198+AZ190+AZ182+AZ180+AZ178+AZ172+AZ163+AZ153+AZ146+AZ144+AZ142+AZ140+AZ138+AZ196</f>
        <v>0</v>
      </c>
      <c r="BA200" s="189" t="n">
        <f aca="false">BA198+BA190+BA182+BA180+BA178+BA172+BA163+BA153+BA146+BA144+BA142+BA140+BA138+BA196</f>
        <v>0</v>
      </c>
      <c r="BB200" s="189" t="n">
        <f aca="false">BB198+BB190+BB182+BB180+BB178+BB172+BB163+BB153+BB146+BB144+BB142+BB140+BB138+BB196</f>
        <v>0</v>
      </c>
      <c r="BC200" s="189" t="n">
        <f aca="false">BC198+BC190+BC182+BC180+BC178+BC172+BC163+BC153+BC146+BC144+BC142+BC140+BC138+BC196</f>
        <v>0</v>
      </c>
      <c r="BD200" s="189" t="n">
        <f aca="false">BD198+BD190+BD182+BD180+BD178+BD172+BD163+BD153+BD146+BD144+BD142+BD140+BD138+BD196</f>
        <v>6000</v>
      </c>
      <c r="BE200" s="189" t="n">
        <f aca="false">BE198+BE190+BE182+BE180+BE178+BE172+BE163+BE153+BE146+BE144+BE142+BE140+BE138+BE196</f>
        <v>0</v>
      </c>
      <c r="BF200" s="189" t="n">
        <f aca="false">BF198+BF190+BF182+BF180+BF178+BF172+BF163+BF153+BF146+BF144+BF142+BF140+BF138+BF196</f>
        <v>0</v>
      </c>
      <c r="BG200" s="189" t="n">
        <f aca="false">BG198+BG190+BG182+BG180+BG178+BG172+BG163+BG153+BG146+BG144+BG142+BG140+BG138+BG196</f>
        <v>0</v>
      </c>
      <c r="BH200" s="189" t="n">
        <f aca="false">BH198+BH190+BH182+BH180+BH178+BH172+BH163+BH153+BH146+BH144+BH142+BH140+BH138+BH196</f>
        <v>0</v>
      </c>
      <c r="BI200" s="189" t="n">
        <f aca="false">BI198+BI190+BI182+BI180+BI178+BI172+BI163+BI153+BI146+BI144+BI142+BI140+BI138+BI196</f>
        <v>0</v>
      </c>
      <c r="BJ200" s="189" t="n">
        <f aca="false">BJ198+BJ190+BJ182+BJ180+BJ178+BJ172+BJ163+BJ153+BJ146+BJ144+BJ142+BJ140+BJ138+BJ196</f>
        <v>0</v>
      </c>
      <c r="BK200" s="189" t="n">
        <f aca="false">BK198+BK190+BK182+BK180+BK178+BK172+BK163+BK153+BK146+BK144+BK142+BK140+BK138+BK196</f>
        <v>0</v>
      </c>
      <c r="BL200" s="189" t="n">
        <f aca="false">BL198+BL190+BL182+BL180+BL178+BL172+BL163+BL153+BL146+BL144+BL142+BL140+BL138+BL196</f>
        <v>0</v>
      </c>
      <c r="BM200" s="189" t="n">
        <f aca="false">BM198+BM190+BM182+BM180+BM178+BM172+BM163+BM153+BM146+BM144+BM142+BM140+BM138+BM196</f>
        <v>0</v>
      </c>
      <c r="BN200" s="189" t="n">
        <f aca="false">BN198+BN190+BN182+BN180+BN178+BN172+BN163+BN153+BN146+BN144+BN142+BN140+BN138+BN196</f>
        <v>1149584.83</v>
      </c>
      <c r="BO200" s="189" t="n">
        <f aca="false">BO198+BO190+BO182+BO180+BO178+BO172+BO163+BO153+BO146+BO144+BO142+BO140+BO138+BO196</f>
        <v>0</v>
      </c>
      <c r="BP200" s="189" t="n">
        <f aca="false">BP198+BP190+BP182+BP180+BP178+BP172+BP163+BP153+BP146+BP144+BP142+BP140+BP138+BP196</f>
        <v>0</v>
      </c>
      <c r="BQ200" s="189" t="n">
        <f aca="false">BQ198+BQ190+BQ182+BQ180+BQ178+BQ172+BQ163+BQ153+BQ146+BQ144+BQ142+BQ140+BQ138+BQ196</f>
        <v>0</v>
      </c>
      <c r="BR200" s="189" t="n">
        <f aca="false">BR198+BR190+BR182+BR180+BR178+BR172+BR163+BR153+BR146+BR144+BR142+BR140+BR138+BR196</f>
        <v>0.230000000003201</v>
      </c>
      <c r="BS200" s="189" t="n">
        <f aca="false">BS198+BS190+BS182+BS180+BS178+BS172+BS163+BS153+BS146+BS144+BS142+BS140+BS138+BS196</f>
        <v>0</v>
      </c>
      <c r="BT200" s="189" t="n">
        <f aca="false">BT198+BT190+BT182+BT180+BT178+BT172+BT163+BT153+BT146+BT144+BT142+BT140+BT138+BT196</f>
        <v>1149585.06</v>
      </c>
      <c r="BU200" s="189" t="n">
        <f aca="false">BU198+BU190+BU182+BU180+BU178+BU172+BU163+BU153+BU146+BU144+BU142+BU140+BU138+BU196</f>
        <v>0</v>
      </c>
      <c r="BV200" s="189" t="n">
        <f aca="false">BV198+BV190+BV182+BV180+BV178+BV172+BV163+BV153+BV146+BV144+BV142+BV140+BV138+BV196</f>
        <v>-1149585.06</v>
      </c>
      <c r="BW200" s="189" t="n">
        <f aca="false">BW198+BW190+BW182+BW180+BW178+BW172+BW163+BW153+BW146+BW144+BW142+BW140+BW138+BW196</f>
        <v>0</v>
      </c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186"/>
      <c r="DV200" s="186"/>
      <c r="DW200" s="186"/>
      <c r="DX200" s="186"/>
      <c r="DY200" s="186"/>
      <c r="DZ200" s="186"/>
      <c r="EA200" s="186"/>
      <c r="EB200" s="186"/>
      <c r="EC200" s="186"/>
      <c r="ED200" s="186"/>
      <c r="EE200" s="186"/>
      <c r="EF200" s="186"/>
      <c r="EG200" s="186"/>
      <c r="EH200" s="186"/>
      <c r="EI200" s="186"/>
      <c r="EJ200" s="186"/>
      <c r="EK200" s="186"/>
      <c r="EL200" s="186"/>
      <c r="EM200" s="186"/>
      <c r="EN200" s="186"/>
      <c r="EO200" s="186"/>
      <c r="EP200" s="186"/>
      <c r="EQ200" s="186"/>
      <c r="ER200" s="186"/>
      <c r="ES200" s="186"/>
      <c r="ET200" s="186"/>
      <c r="EU200" s="186"/>
      <c r="EV200" s="186"/>
      <c r="EW200" s="186"/>
      <c r="EX200" s="186"/>
      <c r="EY200" s="186"/>
      <c r="EZ200" s="186"/>
      <c r="FA200" s="186"/>
      <c r="FB200" s="186"/>
      <c r="FC200" s="186"/>
      <c r="FD200" s="186"/>
      <c r="FE200" s="186"/>
      <c r="FF200" s="186"/>
      <c r="FG200" s="186"/>
      <c r="FH200" s="186"/>
      <c r="FI200" s="186"/>
      <c r="FJ200" s="186"/>
      <c r="FK200" s="186"/>
      <c r="FL200" s="186"/>
      <c r="FM200" s="186"/>
      <c r="FN200" s="186"/>
      <c r="FO200" s="186"/>
      <c r="FP200" s="186"/>
      <c r="FQ200" s="186"/>
      <c r="FR200" s="186"/>
      <c r="FS200" s="186"/>
      <c r="FT200" s="186"/>
      <c r="FU200" s="186"/>
      <c r="FV200" s="186"/>
      <c r="FW200" s="186"/>
      <c r="FX200" s="186"/>
      <c r="FY200" s="186"/>
      <c r="FZ200" s="186"/>
      <c r="GA200" s="186"/>
      <c r="GB200" s="186"/>
      <c r="GC200" s="186"/>
      <c r="GD200" s="186"/>
      <c r="GE200" s="186"/>
      <c r="GF200" s="186"/>
      <c r="GG200" s="186"/>
      <c r="GH200" s="186"/>
      <c r="GI200" s="186"/>
      <c r="GJ200" s="186"/>
      <c r="GK200" s="186"/>
      <c r="GL200" s="186"/>
      <c r="GM200" s="186"/>
      <c r="GN200" s="186"/>
      <c r="GO200" s="186"/>
      <c r="GP200" s="186"/>
      <c r="GQ200" s="186"/>
      <c r="GR200" s="186"/>
      <c r="GS200" s="186"/>
      <c r="GT200" s="186"/>
      <c r="GU200" s="186"/>
      <c r="GV200" s="186"/>
      <c r="GW200" s="186"/>
      <c r="GX200" s="186"/>
      <c r="GY200" s="186"/>
      <c r="GZ200" s="186"/>
      <c r="HA200" s="186"/>
      <c r="HB200" s="186"/>
      <c r="HC200" s="186"/>
      <c r="HD200" s="186"/>
      <c r="HE200" s="186"/>
      <c r="HF200" s="186"/>
      <c r="HG200" s="186"/>
      <c r="HH200" s="186"/>
      <c r="HI200" s="186"/>
      <c r="HJ200" s="186"/>
      <c r="HK200" s="186"/>
      <c r="HL200" s="186"/>
      <c r="HM200" s="186"/>
      <c r="HN200" s="186"/>
      <c r="HO200" s="186"/>
      <c r="HP200" s="186"/>
      <c r="HQ200" s="186"/>
      <c r="HR200" s="186"/>
      <c r="HS200" s="186"/>
      <c r="HT200" s="186"/>
      <c r="HU200" s="186"/>
      <c r="HV200" s="186"/>
      <c r="HW200" s="186"/>
      <c r="HX200" s="186"/>
      <c r="HY200" s="186"/>
      <c r="HZ200" s="186"/>
      <c r="IA200" s="186"/>
      <c r="IB200" s="186"/>
      <c r="IC200" s="186"/>
      <c r="ID200" s="186"/>
      <c r="IE200" s="186"/>
      <c r="IF200" s="186"/>
      <c r="IG200" s="186"/>
      <c r="IH200" s="186"/>
      <c r="II200" s="186"/>
      <c r="IJ200" s="186"/>
      <c r="IK200" s="186"/>
      <c r="IL200" s="186"/>
      <c r="IM200" s="186"/>
      <c r="IN200" s="186"/>
      <c r="IO200" s="186"/>
      <c r="IP200" s="186"/>
      <c r="IQ200" s="186"/>
      <c r="IR200" s="186"/>
      <c r="IS200" s="186"/>
      <c r="IT200" s="186"/>
      <c r="IU200" s="186"/>
      <c r="IV200" s="186"/>
      <c r="IW200" s="186"/>
    </row>
    <row r="201" customFormat="false" ht="12.75" hidden="false" customHeight="false" outlineLevel="0" collapsed="false">
      <c r="A201" s="228"/>
      <c r="B201" s="174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228" t="s">
        <v>186</v>
      </c>
      <c r="B202" s="174"/>
      <c r="C202" s="2"/>
      <c r="D202" s="2"/>
      <c r="E202" s="2"/>
      <c r="F202" s="2"/>
      <c r="G202" s="2"/>
      <c r="H202" s="2"/>
      <c r="I202" s="2"/>
      <c r="J202" s="3"/>
      <c r="K202" s="2"/>
      <c r="L202" s="179" t="s">
        <v>151</v>
      </c>
      <c r="M202" s="24"/>
      <c r="N202" s="24" t="n">
        <v>5395729</v>
      </c>
      <c r="O202" s="24"/>
      <c r="P202" s="24" t="n">
        <f aca="false">5463580+-N202</f>
        <v>67851</v>
      </c>
      <c r="Q202" s="24"/>
      <c r="R202" s="24" t="n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 t="n">
        <f aca="false">SUM(T202:BM202)</f>
        <v>0</v>
      </c>
      <c r="BO202" s="24" t="n">
        <v>2030320</v>
      </c>
      <c r="BP202" s="24" t="n">
        <v>0</v>
      </c>
      <c r="BQ202" s="24" t="n">
        <v>2030320</v>
      </c>
      <c r="BR202" s="110" t="n">
        <f aca="false">IF(+R202-BN202+BP202&gt;0,R202-BN202+BP202,0)</f>
        <v>0</v>
      </c>
      <c r="BS202" s="24" t="n">
        <v>2030320</v>
      </c>
      <c r="BT202" s="24" t="n">
        <f aca="false">+BN202+BR202</f>
        <v>0</v>
      </c>
      <c r="BU202" s="24" t="n">
        <v>2030320</v>
      </c>
      <c r="BV202" s="110" t="n">
        <f aca="false">+R202-BT202</f>
        <v>0</v>
      </c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228"/>
      <c r="B203" s="174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228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04" t="s">
        <v>284</v>
      </c>
      <c r="B205" s="205"/>
      <c r="C205" s="205"/>
      <c r="D205" s="205"/>
      <c r="E205" s="205"/>
      <c r="F205" s="205"/>
      <c r="G205" s="205"/>
      <c r="H205" s="205"/>
      <c r="I205" s="205"/>
      <c r="J205" s="206"/>
      <c r="K205" s="205"/>
      <c r="L205" s="207"/>
      <c r="M205" s="208"/>
      <c r="N205" s="208"/>
      <c r="O205" s="208"/>
      <c r="P205" s="208"/>
      <c r="Q205" s="208"/>
      <c r="R205" s="209" t="n">
        <f aca="false">R202+R200+R80+R70+R37</f>
        <v>0</v>
      </c>
      <c r="S205" s="209" t="n">
        <f aca="false">S37+S80+S70+S170+S89+S200+S202</f>
        <v>0</v>
      </c>
      <c r="T205" s="209" t="n">
        <f aca="false">T37+T80+T70+T170+T89+T200+T202</f>
        <v>30080814</v>
      </c>
      <c r="U205" s="209" t="n">
        <f aca="false">U37+U80+U70+U170+U89+U200+U202</f>
        <v>0</v>
      </c>
      <c r="V205" s="209" t="n">
        <f aca="false">V37+V80+V70+V170+V89+V200+V202</f>
        <v>44071359</v>
      </c>
      <c r="W205" s="209" t="n">
        <f aca="false">W37+W80+W70+W170+W89+W200+W202</f>
        <v>0</v>
      </c>
      <c r="X205" s="209" t="n">
        <f aca="false">X37+X80+X70+X170+X89+X200+X202</f>
        <v>3684291.61</v>
      </c>
      <c r="Y205" s="209" t="n">
        <f aca="false">Y37+Y80+Y70+Y170+Y89+Y200+Y202</f>
        <v>0</v>
      </c>
      <c r="Z205" s="209" t="n">
        <f aca="false">Z37+Z80+Z70+Z170+Z89+Z200+Z202</f>
        <v>475448.42</v>
      </c>
      <c r="AA205" s="209" t="n">
        <f aca="false">AA37+AA80+AA70+AA170+AA89+AA200+AA202</f>
        <v>0</v>
      </c>
      <c r="AB205" s="209" t="n">
        <f aca="false">AB37+AB80+AB70+AB170+AB89+AB200+AB202</f>
        <v>3575429.56</v>
      </c>
      <c r="AC205" s="209" t="n">
        <f aca="false">AC37+AC80+AC70+AC170+AC89+AC200+AC202</f>
        <v>0</v>
      </c>
      <c r="AD205" s="209" t="n">
        <f aca="false">AD37+AD80+AD70+AD170+AD89+AD200+AD202</f>
        <v>7136491.03</v>
      </c>
      <c r="AE205" s="209" t="n">
        <f aca="false">AE37+AE80+AE70+AE170+AE89+AE200+AE202</f>
        <v>0</v>
      </c>
      <c r="AF205" s="209" t="n">
        <f aca="false">AF37+AF80+AF70+AF170+AF89+AF200+AF202</f>
        <v>666001.554966667</v>
      </c>
      <c r="AG205" s="209"/>
      <c r="AH205" s="209" t="n">
        <f aca="false">AH37+AH80+AH70+AH170+AH89+AH200+AH202</f>
        <v>1386914.05650329</v>
      </c>
      <c r="AI205" s="209"/>
      <c r="AJ205" s="209" t="n">
        <f aca="false">AJ37+AJ80+AJ70+AJ170+AJ89+AJ200+AJ202</f>
        <v>2148326.57423019</v>
      </c>
      <c r="AK205" s="209"/>
      <c r="AL205" s="209" t="n">
        <f aca="false">AL37+AL80+AL70+AL170+AL89+AL200+AL202</f>
        <v>-93106786.0323668</v>
      </c>
      <c r="AM205" s="209"/>
      <c r="AN205" s="209" t="n">
        <f aca="false">AN37+AN80+AN70+AN170+AN89+AN200+AN202</f>
        <v>692746.19</v>
      </c>
      <c r="AO205" s="209"/>
      <c r="AP205" s="209" t="n">
        <f aca="false">AP37+AP80+AP70+AP170+AP89+AP200+AP202</f>
        <v>323352.19</v>
      </c>
      <c r="AQ205" s="209"/>
      <c r="AR205" s="209" t="n">
        <f aca="false">AR37+AR80+AR70+AR170+AR89+AR200+AR202</f>
        <v>16697.29</v>
      </c>
      <c r="AS205" s="209"/>
      <c r="AT205" s="209" t="n">
        <f aca="false">AT37+AT80+AT70+AT170+AT89+AT200+AT202</f>
        <v>250000</v>
      </c>
      <c r="AU205" s="209" t="n">
        <f aca="false">AU37+AU80+AU70+AU170+AU89+AU200+AU202</f>
        <v>0</v>
      </c>
      <c r="AV205" s="209" t="n">
        <f aca="false">AV37+AV80+AV70+AV170+AV89+AV200+AV202</f>
        <v>0</v>
      </c>
      <c r="AW205" s="209" t="n">
        <f aca="false">AW37+AW80+AW70+AW170+AW89+AW200+AW202</f>
        <v>0</v>
      </c>
      <c r="AX205" s="209" t="n">
        <f aca="false">AX37+AX80+AX70+AX170+AX89+AX200+AX202</f>
        <v>0</v>
      </c>
      <c r="AY205" s="209" t="n">
        <f aca="false">AY37+AY80+AY70+AY170+AY89+AY200+AY202</f>
        <v>0</v>
      </c>
      <c r="AZ205" s="209" t="n">
        <f aca="false">AZ37+AZ80+AZ70+AZ170+AZ89+AZ200+AZ202</f>
        <v>0</v>
      </c>
      <c r="BA205" s="209" t="n">
        <f aca="false">BA37+BA80+BA70+BA170+BA89+BA200+BA202</f>
        <v>0</v>
      </c>
      <c r="BB205" s="209" t="n">
        <f aca="false">BB37+BB80+BB70+BB170+BB89+BB200+BB202</f>
        <v>0</v>
      </c>
      <c r="BC205" s="209" t="n">
        <f aca="false">BC37+BC80+BC70+BC170+BC89+BC200+BC202</f>
        <v>0</v>
      </c>
      <c r="BD205" s="209" t="n">
        <f aca="false">BD37+BD80+BD70+BD170+BD89+BD200+BD202</f>
        <v>6000</v>
      </c>
      <c r="BE205" s="209" t="n">
        <f aca="false">BE37+BE80+BE70+BE170+BE89+BE200+BE202</f>
        <v>0</v>
      </c>
      <c r="BF205" s="209" t="n">
        <f aca="false">BF37+BF80+BF70+BF170+BF89+BF200+BF202</f>
        <v>0</v>
      </c>
      <c r="BG205" s="209" t="n">
        <f aca="false">BG37+BG80+BG70+BG170+BG89+BG200+BG202</f>
        <v>0</v>
      </c>
      <c r="BH205" s="209" t="n">
        <f aca="false">BH37+BH80+BH70+BH170+BH89+BH200+BH202</f>
        <v>0</v>
      </c>
      <c r="BI205" s="209" t="n">
        <f aca="false">BI37+BI80+BI70+BI170+BI89+BI200+BI202</f>
        <v>0</v>
      </c>
      <c r="BJ205" s="209" t="n">
        <f aca="false">BJ37+BJ80+BJ70+BJ170+BJ89+BJ200+BJ202</f>
        <v>0</v>
      </c>
      <c r="BK205" s="209" t="n">
        <f aca="false">BK37+BK80+BK70+BK170+BK89+BK200+BK202</f>
        <v>0</v>
      </c>
      <c r="BL205" s="209" t="n">
        <f aca="false">BL37+BL80+BL70+BL170+BL89+BL200+BL202</f>
        <v>0</v>
      </c>
      <c r="BM205" s="209" t="n">
        <f aca="false">BM37+BM80+BM70+BM170+BM89+BM200+BM202</f>
        <v>0</v>
      </c>
      <c r="BN205" s="209" t="n">
        <f aca="false">BN37+BN80+BN70+BN170+BN89+BN200+BN202</f>
        <v>1407085.44333333</v>
      </c>
      <c r="BO205" s="209" t="n">
        <f aca="false">BO37+BO80+BO70+BO170+BO89+BO200+BO202</f>
        <v>2030320</v>
      </c>
      <c r="BP205" s="209" t="n">
        <f aca="false">BP37+BP80+BP70+BP170+BP89+BP200+BP202</f>
        <v>0</v>
      </c>
      <c r="BQ205" s="209" t="n">
        <f aca="false">BQ37+BQ80+BQ70+BQ170+BQ89+BQ200+BQ202</f>
        <v>2030320</v>
      </c>
      <c r="BR205" s="209" t="n">
        <f aca="false">BR37+BR80+BR70+BR170+BR89+BR200+BR202</f>
        <v>0.620000000599248</v>
      </c>
      <c r="BS205" s="209" t="n">
        <f aca="false">BS37+BS80+BS70+BS170+BS89+BS200+BS202</f>
        <v>2030320</v>
      </c>
      <c r="BT205" s="209" t="n">
        <f aca="false">BT37+BT80+BT70+BT170+BT89+BT200+BT202</f>
        <v>1407086.06333333</v>
      </c>
      <c r="BU205" s="209" t="n">
        <f aca="false">BU37+BU80+BU70+BU170+BU89+BU200+BU202</f>
        <v>2030320</v>
      </c>
      <c r="BV205" s="209" t="n">
        <f aca="false">BV37+BV80+BV70+BV170+BV89+BV200+BV202</f>
        <v>-1407086.06333333</v>
      </c>
      <c r="BW205" s="208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05"/>
      <c r="DV205" s="205"/>
      <c r="DW205" s="205"/>
      <c r="DX205" s="205"/>
      <c r="DY205" s="205"/>
      <c r="DZ205" s="205"/>
      <c r="EA205" s="205"/>
      <c r="EB205" s="205"/>
      <c r="EC205" s="205"/>
      <c r="ED205" s="205"/>
      <c r="EE205" s="205"/>
      <c r="EF205" s="205"/>
      <c r="EG205" s="205"/>
      <c r="EH205" s="205"/>
      <c r="EI205" s="205"/>
      <c r="EJ205" s="205"/>
      <c r="EK205" s="205"/>
      <c r="EL205" s="205"/>
      <c r="EM205" s="205"/>
      <c r="EN205" s="205"/>
      <c r="EO205" s="205"/>
      <c r="EP205" s="205"/>
      <c r="EQ205" s="205"/>
      <c r="ER205" s="205"/>
      <c r="ES205" s="205"/>
      <c r="ET205" s="205"/>
      <c r="EU205" s="205"/>
      <c r="EV205" s="205"/>
      <c r="EW205" s="205"/>
      <c r="EX205" s="205"/>
      <c r="EY205" s="205"/>
      <c r="EZ205" s="205"/>
      <c r="FA205" s="205"/>
      <c r="FB205" s="205"/>
      <c r="FC205" s="205"/>
      <c r="FD205" s="205"/>
      <c r="FE205" s="205"/>
      <c r="FF205" s="205"/>
      <c r="FG205" s="205"/>
      <c r="FH205" s="205"/>
      <c r="FI205" s="205"/>
      <c r="FJ205" s="205"/>
      <c r="FK205" s="205"/>
      <c r="FL205" s="205"/>
      <c r="FM205" s="205"/>
      <c r="FN205" s="205"/>
      <c r="FO205" s="205"/>
      <c r="FP205" s="205"/>
      <c r="FQ205" s="205"/>
      <c r="FR205" s="205"/>
      <c r="FS205" s="205"/>
      <c r="FT205" s="205"/>
      <c r="FU205" s="205"/>
      <c r="FV205" s="205"/>
      <c r="FW205" s="205"/>
      <c r="FX205" s="205"/>
      <c r="FY205" s="205"/>
      <c r="FZ205" s="205"/>
      <c r="GA205" s="205"/>
      <c r="GB205" s="205"/>
      <c r="GC205" s="205"/>
      <c r="GD205" s="205"/>
      <c r="GE205" s="205"/>
      <c r="GF205" s="205"/>
      <c r="GG205" s="205"/>
      <c r="GH205" s="205"/>
      <c r="GI205" s="205"/>
      <c r="GJ205" s="205"/>
      <c r="GK205" s="205"/>
      <c r="GL205" s="205"/>
      <c r="GM205" s="205"/>
      <c r="GN205" s="205"/>
      <c r="GO205" s="205"/>
      <c r="GP205" s="205"/>
      <c r="GQ205" s="205"/>
      <c r="GR205" s="205"/>
      <c r="GS205" s="205"/>
      <c r="GT205" s="205"/>
      <c r="GU205" s="205"/>
      <c r="GV205" s="205"/>
      <c r="GW205" s="205"/>
      <c r="GX205" s="205"/>
      <c r="GY205" s="205"/>
      <c r="GZ205" s="205"/>
      <c r="HA205" s="205"/>
      <c r="HB205" s="205"/>
      <c r="HC205" s="205"/>
      <c r="HD205" s="205"/>
      <c r="HE205" s="205"/>
      <c r="HF205" s="205"/>
      <c r="HG205" s="205"/>
      <c r="HH205" s="205"/>
      <c r="HI205" s="205"/>
      <c r="HJ205" s="205"/>
      <c r="HK205" s="205"/>
      <c r="HL205" s="205"/>
      <c r="HM205" s="205"/>
      <c r="HN205" s="205"/>
      <c r="HO205" s="205"/>
      <c r="HP205" s="205"/>
      <c r="HQ205" s="205"/>
      <c r="HR205" s="205"/>
      <c r="HS205" s="205"/>
      <c r="HT205" s="205"/>
      <c r="HU205" s="205"/>
      <c r="HV205" s="205"/>
      <c r="HW205" s="205"/>
      <c r="HX205" s="205"/>
      <c r="HY205" s="205"/>
      <c r="HZ205" s="205"/>
      <c r="IA205" s="205"/>
      <c r="IB205" s="205"/>
      <c r="IC205" s="205"/>
      <c r="ID205" s="205"/>
      <c r="IE205" s="205"/>
      <c r="IF205" s="205"/>
      <c r="IG205" s="205"/>
      <c r="IH205" s="205"/>
      <c r="II205" s="205"/>
      <c r="IJ205" s="205"/>
      <c r="IK205" s="205"/>
      <c r="IL205" s="205"/>
      <c r="IM205" s="205"/>
      <c r="IN205" s="205"/>
      <c r="IO205" s="205"/>
      <c r="IP205" s="205"/>
      <c r="IQ205" s="205"/>
      <c r="IR205" s="205"/>
      <c r="IS205" s="205"/>
      <c r="IT205" s="205"/>
      <c r="IU205" s="205"/>
      <c r="IV205" s="205"/>
      <c r="IW205" s="205"/>
    </row>
    <row r="206" customFormat="false" ht="12.75" hidden="false" customHeight="false" outlineLevel="0" collapsed="false">
      <c r="A206" s="228" t="s">
        <v>285</v>
      </c>
      <c r="B206" s="174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 t="n">
        <f aca="false">BT205-'[1]Calvert City'!$X$64</f>
        <v>596051.193333333</v>
      </c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28"/>
      <c r="B207" s="174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60" t="s">
        <v>292</v>
      </c>
      <c r="B208" s="174"/>
      <c r="C208" s="2"/>
      <c r="D208" s="2"/>
      <c r="E208" s="2"/>
      <c r="F208" s="2"/>
      <c r="G208" s="2"/>
      <c r="H208" s="2"/>
      <c r="I208" s="2"/>
      <c r="J208" s="3"/>
      <c r="K208" s="2"/>
      <c r="L208" s="179" t="s">
        <v>151</v>
      </c>
      <c r="M208" s="24"/>
      <c r="N208" s="24" t="n">
        <v>0</v>
      </c>
      <c r="O208" s="24"/>
      <c r="P208" s="24" t="n">
        <f aca="false">21557+23365.91</f>
        <v>44922.91</v>
      </c>
      <c r="Q208" s="24"/>
      <c r="R208" s="24" t="n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 t="n">
        <f aca="false">SUM(T208:BM208)</f>
        <v>0</v>
      </c>
      <c r="BO208" s="24"/>
      <c r="BP208" s="24" t="n">
        <v>0</v>
      </c>
      <c r="BQ208" s="24"/>
      <c r="BR208" s="24" t="n">
        <v>0</v>
      </c>
      <c r="BS208" s="24"/>
      <c r="BT208" s="24" t="n">
        <f aca="false">+BN208+BR208</f>
        <v>0</v>
      </c>
      <c r="BU208" s="24"/>
      <c r="BV208" s="24" t="n">
        <f aca="false">+R208-BT208</f>
        <v>0</v>
      </c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228"/>
      <c r="B209" s="174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228" t="s">
        <v>392</v>
      </c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 t="s">
        <v>393</v>
      </c>
      <c r="M210" s="24"/>
      <c r="N210" s="24"/>
      <c r="O210" s="24"/>
      <c r="P210" s="24"/>
      <c r="Q210" s="24"/>
      <c r="R210" s="24" t="n">
        <v>0</v>
      </c>
      <c r="S210" s="24"/>
      <c r="T210" s="24"/>
      <c r="U210" s="24"/>
      <c r="V210" s="24"/>
      <c r="W210" s="24"/>
      <c r="X210" s="24"/>
      <c r="Y210" s="24"/>
      <c r="Z210" s="24" t="n">
        <v>0</v>
      </c>
      <c r="AA210" s="24"/>
      <c r="AB210" s="24" t="n">
        <v>0</v>
      </c>
      <c r="AC210" s="24"/>
      <c r="AD210" s="24" t="n">
        <v>0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 t="n">
        <v>-400000</v>
      </c>
      <c r="BO210" s="24"/>
      <c r="BP210" s="24" t="n">
        <v>0</v>
      </c>
      <c r="BQ210" s="24"/>
      <c r="BR210" s="24" t="n">
        <v>0</v>
      </c>
      <c r="BS210" s="24"/>
      <c r="BT210" s="24" t="n">
        <f aca="false">+BN210+BR210</f>
        <v>-400000</v>
      </c>
      <c r="BU210" s="24"/>
      <c r="BV210" s="24" t="n">
        <f aca="false">+R210-BT210</f>
        <v>400000</v>
      </c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228"/>
      <c r="B211" s="174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60" t="s">
        <v>394</v>
      </c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 t="n">
        <v>100</v>
      </c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 t="n">
        <v>100</v>
      </c>
      <c r="BE212" s="24"/>
      <c r="BF212" s="24"/>
      <c r="BG212" s="24"/>
      <c r="BH212" s="24"/>
      <c r="BI212" s="24"/>
      <c r="BJ212" s="24"/>
      <c r="BK212" s="24"/>
      <c r="BL212" s="24"/>
      <c r="BM212" s="24"/>
      <c r="BN212" s="24" t="n">
        <f aca="false">SUM(T212:BM212)</f>
        <v>200</v>
      </c>
      <c r="BO212" s="24"/>
      <c r="BP212" s="24"/>
      <c r="BQ212" s="24"/>
      <c r="BR212" s="24"/>
      <c r="BS212" s="24"/>
      <c r="BT212" s="24" t="n">
        <f aca="false">+BN212+BR212</f>
        <v>200</v>
      </c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60"/>
      <c r="B213" s="174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60" t="s">
        <v>295</v>
      </c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 t="n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 t="n">
        <v>-82061</v>
      </c>
      <c r="AC214" s="24"/>
      <c r="AD214" s="24" t="n">
        <f aca="false">-1928-35</f>
        <v>-1963</v>
      </c>
      <c r="AE214" s="24"/>
      <c r="AF214" s="24" t="n">
        <v>-32859</v>
      </c>
      <c r="AG214" s="24"/>
      <c r="AH214" s="24" t="n">
        <f aca="false">-22657</f>
        <v>-22657</v>
      </c>
      <c r="AI214" s="24"/>
      <c r="AJ214" s="24"/>
      <c r="AK214" s="24"/>
      <c r="AL214" s="24"/>
      <c r="AM214" s="24"/>
      <c r="AN214" s="24" t="n">
        <v>-144358</v>
      </c>
      <c r="AO214" s="24"/>
      <c r="AP214" s="24" t="n">
        <f aca="false">-13821</f>
        <v>-13821</v>
      </c>
      <c r="AQ214" s="24"/>
      <c r="AR214" s="24" t="n">
        <f aca="false">-99387+35</f>
        <v>-99352</v>
      </c>
      <c r="AS214" s="24"/>
      <c r="AT214" s="24" t="n">
        <v>-91244</v>
      </c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 t="n">
        <f aca="false">SUM(T214:BM214)</f>
        <v>-488315</v>
      </c>
      <c r="BO214" s="24"/>
      <c r="BP214" s="24"/>
      <c r="BQ214" s="24"/>
      <c r="BR214" s="24" t="n">
        <v>0</v>
      </c>
      <c r="BS214" s="24"/>
      <c r="BT214" s="24" t="n">
        <f aca="false">+BN214+BR214</f>
        <v>-488315</v>
      </c>
      <c r="BU214" s="24"/>
      <c r="BV214" s="24" t="n">
        <f aca="false">+R214-BT214</f>
        <v>488315</v>
      </c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/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3.5" hidden="false" customHeight="false" outlineLevel="0" collapsed="false">
      <c r="A216" s="200" t="s">
        <v>296</v>
      </c>
      <c r="B216" s="184"/>
      <c r="C216" s="186"/>
      <c r="D216" s="186"/>
      <c r="E216" s="186"/>
      <c r="F216" s="186"/>
      <c r="G216" s="186"/>
      <c r="H216" s="186"/>
      <c r="I216" s="186"/>
      <c r="J216" s="187"/>
      <c r="K216" s="186"/>
      <c r="L216" s="188"/>
      <c r="M216" s="189"/>
      <c r="N216" s="189"/>
      <c r="O216" s="189"/>
      <c r="P216" s="189"/>
      <c r="Q216" s="189"/>
      <c r="R216" s="215" t="n">
        <f aca="false">R205+R208+R210+R214</f>
        <v>0</v>
      </c>
      <c r="S216" s="215" t="n">
        <f aca="false">S205+S208+S210+S214</f>
        <v>0</v>
      </c>
      <c r="T216" s="215" t="n">
        <f aca="false">T205+T208+T210+T214</f>
        <v>30080814</v>
      </c>
      <c r="U216" s="215" t="n">
        <f aca="false">U205+U208+U210+U214</f>
        <v>0</v>
      </c>
      <c r="V216" s="215" t="n">
        <f aca="false">V205+V208+V210+V214</f>
        <v>44071359</v>
      </c>
      <c r="W216" s="215" t="n">
        <f aca="false">W205+W208+W210+W214</f>
        <v>0</v>
      </c>
      <c r="X216" s="215" t="n">
        <f aca="false">X205+X208+X210+X214</f>
        <v>3684291.61</v>
      </c>
      <c r="Y216" s="215" t="n">
        <f aca="false">Y205+Y208+Y210+Y214</f>
        <v>0</v>
      </c>
      <c r="Z216" s="215" t="n">
        <f aca="false">Z205+Z208+Z210+Z214</f>
        <v>475448.42</v>
      </c>
      <c r="AA216" s="215" t="n">
        <f aca="false">AA205+AA208+AA210+AA214</f>
        <v>0</v>
      </c>
      <c r="AB216" s="215" t="n">
        <f aca="false">AB205+AB208+AB210+AB214</f>
        <v>3493368.56</v>
      </c>
      <c r="AC216" s="215" t="n">
        <f aca="false">AC205+AC208+AC210+AC214</f>
        <v>0</v>
      </c>
      <c r="AD216" s="215" t="n">
        <f aca="false">AD205+AD208+AD210+AD214+AD212</f>
        <v>7134628.03</v>
      </c>
      <c r="AE216" s="215" t="n">
        <f aca="false">AE205+AE208+AE210+AE214</f>
        <v>0</v>
      </c>
      <c r="AF216" s="215" t="n">
        <f aca="false">AF205+AF208+AF210+AF214+AF212</f>
        <v>633142.554966667</v>
      </c>
      <c r="AG216" s="215"/>
      <c r="AH216" s="215" t="n">
        <f aca="false">AH205+AH208+AH210+AH214+AH212</f>
        <v>1364257.05650329</v>
      </c>
      <c r="AI216" s="215"/>
      <c r="AJ216" s="215" t="n">
        <f aca="false">AJ205+AJ208+AJ210+AJ214+AJ212</f>
        <v>2148326.57423019</v>
      </c>
      <c r="AK216" s="215"/>
      <c r="AL216" s="215" t="n">
        <f aca="false">AL205+AL208+AL210+AL214+AL212</f>
        <v>-93106786.0323668</v>
      </c>
      <c r="AM216" s="215"/>
      <c r="AN216" s="215" t="n">
        <f aca="false">AN205+AN208+AN210+AN214+AN212</f>
        <v>548388.19</v>
      </c>
      <c r="AO216" s="215"/>
      <c r="AP216" s="215" t="n">
        <f aca="false">AP205+AP208+AP210+AP214+AP212</f>
        <v>309531.19</v>
      </c>
      <c r="AQ216" s="215"/>
      <c r="AR216" s="215" t="n">
        <f aca="false">AR205+AR208+AR210+AR214+AR212</f>
        <v>-82654.71</v>
      </c>
      <c r="AS216" s="215"/>
      <c r="AT216" s="215" t="n">
        <f aca="false">AT205+AT208+AT210+AT214+AT212</f>
        <v>158756</v>
      </c>
      <c r="AU216" s="215" t="n">
        <f aca="false">AU205+AU208+AU210+AU214+AU212</f>
        <v>0</v>
      </c>
      <c r="AV216" s="215" t="n">
        <f aca="false">AV205+AV208+AV210+AV214+AV212</f>
        <v>0</v>
      </c>
      <c r="AW216" s="215" t="n">
        <f aca="false">AW205+AW208+AW210+AW214+AW212</f>
        <v>0</v>
      </c>
      <c r="AX216" s="215" t="n">
        <f aca="false">AX205+AX208+AX210+AX214+AX212</f>
        <v>0</v>
      </c>
      <c r="AY216" s="215" t="n">
        <f aca="false">AY205+AY208+AY210+AY214+AY212</f>
        <v>0</v>
      </c>
      <c r="AZ216" s="215" t="n">
        <f aca="false">AZ205+AZ208+AZ210+AZ214+AZ212</f>
        <v>0</v>
      </c>
      <c r="BA216" s="215" t="n">
        <f aca="false">BA205+BA208+BA210+BA214+BA212</f>
        <v>0</v>
      </c>
      <c r="BB216" s="215" t="n">
        <f aca="false">BB205+BB208+BB210+BB214+BB212</f>
        <v>0</v>
      </c>
      <c r="BC216" s="215" t="n">
        <f aca="false">BC205+BC208+BC210+BC214+BC212</f>
        <v>0</v>
      </c>
      <c r="BD216" s="215" t="n">
        <f aca="false">BD205+BD208+BD210+BD214+BD212</f>
        <v>6100</v>
      </c>
      <c r="BE216" s="215" t="n">
        <f aca="false">BE205+BE208+BE210+BE214+BE212</f>
        <v>0</v>
      </c>
      <c r="BF216" s="215" t="n">
        <f aca="false">BF205+BF208+BF210+BF214+BF212</f>
        <v>0</v>
      </c>
      <c r="BG216" s="215" t="n">
        <f aca="false">BG205+BG208+BG210+BG214+BG212</f>
        <v>0</v>
      </c>
      <c r="BH216" s="215" t="n">
        <f aca="false">BH205+BH208+BH210+BH214+BH212</f>
        <v>0</v>
      </c>
      <c r="BI216" s="215" t="n">
        <f aca="false">BI205+BI208+BI210+BI214+BI212</f>
        <v>0</v>
      </c>
      <c r="BJ216" s="215" t="n">
        <f aca="false">BJ205+BJ208+BJ210+BJ214+BJ212</f>
        <v>0</v>
      </c>
      <c r="BK216" s="215" t="n">
        <f aca="false">BK205+BK208+BK210+BK214+BK212</f>
        <v>0</v>
      </c>
      <c r="BL216" s="215" t="n">
        <f aca="false">BL205+BL208+BL210+BL214+BL212</f>
        <v>0</v>
      </c>
      <c r="BM216" s="215" t="n">
        <f aca="false">BM205+BM208+BM210+BM214+BM212</f>
        <v>0</v>
      </c>
      <c r="BN216" s="215" t="n">
        <f aca="false">BN205+BN208+BN210+BN214+BN212</f>
        <v>518970.443333333</v>
      </c>
      <c r="BO216" s="215" t="n">
        <f aca="false">BO205+BO208+BO210+BO214</f>
        <v>2030320</v>
      </c>
      <c r="BP216" s="215" t="n">
        <f aca="false">BP205+BP208+BP210+BP214</f>
        <v>0</v>
      </c>
      <c r="BQ216" s="215" t="n">
        <f aca="false">BQ205+BQ208+BQ210+BQ214</f>
        <v>2030320</v>
      </c>
      <c r="BR216" s="215" t="n">
        <f aca="false">BR205+BR208+BR210+BR214</f>
        <v>0.620000000599248</v>
      </c>
      <c r="BS216" s="215" t="n">
        <f aca="false">BS205+BS208+BS210+BS214</f>
        <v>2030320</v>
      </c>
      <c r="BT216" s="215" t="n">
        <f aca="false">BT205+BT208+BT210+BT214+BT212</f>
        <v>518971.063333333</v>
      </c>
      <c r="BU216" s="215" t="n">
        <f aca="false">BU205+BU208+BU210+BU214</f>
        <v>2030320</v>
      </c>
      <c r="BV216" s="215" t="n">
        <f aca="false">BV205+BV208+BV210+BV214</f>
        <v>-518771.063333333</v>
      </c>
      <c r="BW216" s="189" t="n">
        <f aca="false">BW205+BW208+BW210+BW214</f>
        <v>0</v>
      </c>
      <c r="BX216" s="218"/>
      <c r="BY216" s="218"/>
      <c r="BZ216" s="218"/>
      <c r="CA216" s="218"/>
      <c r="CB216" s="218"/>
      <c r="CC216" s="218"/>
      <c r="CD216" s="218"/>
      <c r="CE216" s="218"/>
      <c r="CF216" s="218"/>
      <c r="CG216" s="218"/>
      <c r="CH216" s="218"/>
      <c r="CI216" s="218"/>
      <c r="CJ216" s="218"/>
      <c r="CK216" s="218"/>
      <c r="CL216" s="218"/>
      <c r="CM216" s="218"/>
      <c r="CN216" s="218"/>
      <c r="CO216" s="218"/>
      <c r="CP216" s="218"/>
      <c r="CQ216" s="218"/>
      <c r="CR216" s="218"/>
      <c r="CS216" s="218"/>
      <c r="CT216" s="218"/>
      <c r="CU216" s="218"/>
      <c r="CV216" s="218"/>
      <c r="CW216" s="218"/>
      <c r="CX216" s="218"/>
      <c r="CY216" s="218"/>
      <c r="CZ216" s="218"/>
      <c r="DA216" s="218"/>
      <c r="DB216" s="218"/>
      <c r="DC216" s="218"/>
      <c r="DD216" s="218"/>
      <c r="DE216" s="218"/>
      <c r="DF216" s="218"/>
      <c r="DG216" s="218"/>
      <c r="DH216" s="218"/>
      <c r="DI216" s="218"/>
      <c r="DJ216" s="218"/>
      <c r="DK216" s="218"/>
      <c r="DL216" s="218"/>
      <c r="DM216" s="218"/>
      <c r="DN216" s="218"/>
      <c r="DO216" s="218"/>
      <c r="DP216" s="218"/>
      <c r="DQ216" s="218"/>
      <c r="DR216" s="218"/>
      <c r="DS216" s="218"/>
      <c r="DT216" s="218"/>
      <c r="DU216" s="186"/>
      <c r="DV216" s="186"/>
      <c r="DW216" s="186"/>
      <c r="DX216" s="186"/>
      <c r="DY216" s="186"/>
      <c r="DZ216" s="186"/>
      <c r="EA216" s="186"/>
      <c r="EB216" s="186"/>
      <c r="EC216" s="186"/>
      <c r="ED216" s="186"/>
      <c r="EE216" s="186"/>
      <c r="EF216" s="186"/>
      <c r="EG216" s="186"/>
      <c r="EH216" s="186"/>
      <c r="EI216" s="186"/>
      <c r="EJ216" s="186"/>
      <c r="EK216" s="186"/>
      <c r="EL216" s="186"/>
      <c r="EM216" s="186"/>
      <c r="EN216" s="186"/>
      <c r="EO216" s="186"/>
      <c r="EP216" s="186"/>
      <c r="EQ216" s="186"/>
      <c r="ER216" s="186"/>
      <c r="ES216" s="186"/>
      <c r="ET216" s="186"/>
      <c r="EU216" s="186"/>
      <c r="EV216" s="186"/>
      <c r="EW216" s="186"/>
      <c r="EX216" s="186"/>
      <c r="EY216" s="186"/>
      <c r="EZ216" s="186"/>
      <c r="FA216" s="186"/>
      <c r="FB216" s="186"/>
      <c r="FC216" s="186"/>
      <c r="FD216" s="186"/>
      <c r="FE216" s="186"/>
      <c r="FF216" s="186"/>
      <c r="FG216" s="186"/>
      <c r="FH216" s="186"/>
      <c r="FI216" s="186"/>
      <c r="FJ216" s="186"/>
      <c r="FK216" s="186"/>
      <c r="FL216" s="186"/>
      <c r="FM216" s="186"/>
      <c r="FN216" s="186"/>
      <c r="FO216" s="186"/>
      <c r="FP216" s="186"/>
      <c r="FQ216" s="186"/>
      <c r="FR216" s="186"/>
      <c r="FS216" s="186"/>
      <c r="FT216" s="186"/>
      <c r="FU216" s="186"/>
      <c r="FV216" s="186"/>
      <c r="FW216" s="186"/>
      <c r="FX216" s="186"/>
      <c r="FY216" s="186"/>
      <c r="FZ216" s="186"/>
      <c r="GA216" s="186"/>
      <c r="GB216" s="186"/>
      <c r="GC216" s="186"/>
      <c r="GD216" s="186"/>
      <c r="GE216" s="186"/>
      <c r="GF216" s="186"/>
      <c r="GG216" s="186"/>
      <c r="GH216" s="186"/>
      <c r="GI216" s="186"/>
      <c r="GJ216" s="186"/>
      <c r="GK216" s="186"/>
      <c r="GL216" s="186"/>
      <c r="GM216" s="186"/>
      <c r="GN216" s="186"/>
      <c r="GO216" s="186"/>
      <c r="GP216" s="186"/>
      <c r="GQ216" s="186"/>
      <c r="GR216" s="186"/>
      <c r="GS216" s="186"/>
      <c r="GT216" s="186"/>
      <c r="GU216" s="186"/>
      <c r="GV216" s="186"/>
      <c r="GW216" s="186"/>
      <c r="GX216" s="186"/>
      <c r="GY216" s="186"/>
      <c r="GZ216" s="186"/>
      <c r="HA216" s="186"/>
      <c r="HB216" s="186"/>
      <c r="HC216" s="186"/>
      <c r="HD216" s="186"/>
      <c r="HE216" s="186"/>
      <c r="HF216" s="186"/>
      <c r="HG216" s="186"/>
      <c r="HH216" s="186"/>
      <c r="HI216" s="186"/>
      <c r="HJ216" s="186"/>
      <c r="HK216" s="186"/>
      <c r="HL216" s="186"/>
      <c r="HM216" s="186"/>
      <c r="HN216" s="186"/>
      <c r="HO216" s="186"/>
      <c r="HP216" s="186"/>
      <c r="HQ216" s="186"/>
      <c r="HR216" s="186"/>
      <c r="HS216" s="186"/>
      <c r="HT216" s="186"/>
      <c r="HU216" s="186"/>
      <c r="HV216" s="186"/>
      <c r="HW216" s="186"/>
      <c r="HX216" s="186"/>
      <c r="HY216" s="186"/>
      <c r="HZ216" s="186"/>
      <c r="IA216" s="186"/>
      <c r="IB216" s="186"/>
      <c r="IC216" s="186"/>
      <c r="ID216" s="186"/>
      <c r="IE216" s="186"/>
      <c r="IF216" s="186"/>
      <c r="IG216" s="186"/>
      <c r="IH216" s="186"/>
      <c r="II216" s="186"/>
      <c r="IJ216" s="186"/>
      <c r="IK216" s="186"/>
      <c r="IL216" s="186"/>
      <c r="IM216" s="186"/>
      <c r="IN216" s="186"/>
      <c r="IO216" s="186"/>
      <c r="IP216" s="186"/>
      <c r="IQ216" s="186"/>
      <c r="IR216" s="186"/>
      <c r="IS216" s="186"/>
      <c r="IT216" s="186"/>
      <c r="IU216" s="186"/>
      <c r="IV216" s="186"/>
      <c r="IW216" s="186"/>
    </row>
    <row r="217" customFormat="false" ht="13.5" hidden="false" customHeight="false" outlineLevel="0" collapsed="false">
      <c r="A217" s="160"/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C218" s="0"/>
      <c r="D218" s="0"/>
      <c r="E218" s="0"/>
      <c r="F218" s="0"/>
      <c r="G218" s="0"/>
      <c r="H218" s="0"/>
      <c r="I218" s="0"/>
      <c r="J218" s="4"/>
      <c r="K218" s="0"/>
      <c r="L218" s="34"/>
      <c r="M218" s="110"/>
      <c r="O218" s="110"/>
      <c r="Q218" s="110"/>
      <c r="S218" s="110"/>
      <c r="T218" s="110"/>
      <c r="U218" s="110"/>
      <c r="V218" s="110"/>
      <c r="X218" s="110"/>
      <c r="Z218" s="110"/>
      <c r="AB218" s="110"/>
      <c r="AD218" s="110"/>
      <c r="BL218" s="110"/>
      <c r="BM218" s="110"/>
      <c r="BO218" s="110"/>
      <c r="BP218" s="110"/>
      <c r="BQ218" s="110"/>
      <c r="BW218" s="11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C220" s="0"/>
      <c r="D220" s="0"/>
      <c r="E220" s="0"/>
      <c r="F220" s="0"/>
      <c r="G220" s="0"/>
      <c r="H220" s="0"/>
      <c r="I220" s="0"/>
      <c r="J220" s="4"/>
      <c r="K220" s="0"/>
      <c r="L220" s="34"/>
      <c r="M220" s="110"/>
      <c r="O220" s="110"/>
      <c r="Q220" s="110"/>
      <c r="S220" s="110"/>
      <c r="T220" s="110"/>
      <c r="U220" s="110"/>
      <c r="V220" s="110"/>
      <c r="X220" s="110"/>
      <c r="Z220" s="110"/>
      <c r="AB220" s="110"/>
      <c r="AD220" s="110"/>
      <c r="BL220" s="110"/>
      <c r="BM220" s="110"/>
      <c r="BO220" s="110"/>
      <c r="BP220" s="110"/>
      <c r="BQ220" s="110"/>
      <c r="BW220" s="11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</row>
    <row r="221" customFormat="false" ht="12.75" hidden="false" customHeight="false" outlineLevel="0" collapsed="false">
      <c r="C221" s="0"/>
      <c r="D221" s="0"/>
      <c r="E221" s="0"/>
      <c r="F221" s="0"/>
      <c r="G221" s="0"/>
      <c r="H221" s="0"/>
      <c r="I221" s="0"/>
      <c r="J221" s="4"/>
      <c r="K221" s="0"/>
      <c r="L221" s="34"/>
      <c r="M221" s="110"/>
      <c r="O221" s="110"/>
      <c r="Q221" s="110"/>
      <c r="S221" s="110"/>
      <c r="T221" s="110"/>
      <c r="U221" s="110"/>
      <c r="V221" s="110"/>
      <c r="X221" s="110"/>
      <c r="Z221" s="110"/>
      <c r="AB221" s="110"/>
      <c r="AD221" s="110"/>
      <c r="BL221" s="110"/>
      <c r="BM221" s="110"/>
      <c r="BO221" s="110"/>
      <c r="BP221" s="110"/>
      <c r="BQ221" s="110"/>
      <c r="BW221" s="11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</row>
    <row r="222" customFormat="false" ht="12.75" hidden="false" customHeight="false" outlineLevel="0" collapsed="false">
      <c r="K222" s="120"/>
      <c r="L222" s="216"/>
      <c r="M222" s="110"/>
      <c r="O222" s="110"/>
      <c r="Q222" s="110"/>
      <c r="S222" s="110"/>
      <c r="T222" s="110"/>
      <c r="U222" s="110"/>
      <c r="V222" s="110"/>
      <c r="X222" s="110"/>
      <c r="Z222" s="110"/>
      <c r="AB222" s="110"/>
      <c r="AD222" s="110"/>
      <c r="BL222" s="110"/>
      <c r="BM222" s="110"/>
      <c r="BO222" s="110"/>
      <c r="BP222" s="110"/>
      <c r="BQ222" s="110"/>
      <c r="BW222" s="11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</row>
    <row r="223" customFormat="false" ht="12.75" hidden="false" customHeight="false" outlineLevel="0" collapsed="false">
      <c r="K223" s="120"/>
      <c r="L223" s="216"/>
      <c r="M223" s="110"/>
      <c r="O223" s="110"/>
      <c r="Q223" s="110"/>
      <c r="S223" s="110"/>
      <c r="T223" s="110"/>
      <c r="U223" s="110"/>
      <c r="V223" s="110"/>
      <c r="X223" s="110"/>
      <c r="Z223" s="110"/>
      <c r="AB223" s="110"/>
      <c r="AD223" s="110"/>
      <c r="BL223" s="110"/>
      <c r="BM223" s="110"/>
      <c r="BO223" s="110"/>
      <c r="BP223" s="110"/>
      <c r="BQ223" s="110"/>
      <c r="BW223" s="11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</row>
    <row r="224" customFormat="false" ht="12.75" hidden="false" customHeight="false" outlineLevel="0" collapsed="false">
      <c r="K224" s="120"/>
      <c r="L224" s="216"/>
      <c r="M224" s="110"/>
      <c r="O224" s="110"/>
      <c r="Q224" s="110"/>
      <c r="S224" s="110"/>
      <c r="T224" s="110"/>
      <c r="U224" s="110"/>
      <c r="V224" s="110"/>
      <c r="X224" s="110"/>
      <c r="Z224" s="110"/>
      <c r="AB224" s="110"/>
      <c r="AD224" s="110"/>
      <c r="BL224" s="110"/>
      <c r="BM224" s="110"/>
      <c r="BO224" s="110"/>
      <c r="BP224" s="110"/>
      <c r="BQ224" s="110"/>
      <c r="BW224" s="11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</row>
    <row r="225" customFormat="false" ht="12.75" hidden="false" customHeight="false" outlineLevel="0" collapsed="false">
      <c r="K225" s="120"/>
      <c r="L225" s="216"/>
      <c r="M225" s="110"/>
      <c r="O225" s="110"/>
      <c r="Q225" s="110"/>
      <c r="S225" s="110"/>
      <c r="T225" s="110"/>
      <c r="U225" s="110"/>
      <c r="V225" s="110"/>
      <c r="X225" s="110"/>
      <c r="Z225" s="110"/>
      <c r="AB225" s="110"/>
      <c r="AD225" s="110"/>
      <c r="BL225" s="110"/>
      <c r="BM225" s="110"/>
      <c r="BO225" s="110"/>
      <c r="BP225" s="110"/>
      <c r="BQ225" s="110"/>
      <c r="BW225" s="11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</row>
    <row r="226" customFormat="false" ht="12.75" hidden="false" customHeight="false" outlineLevel="0" collapsed="false">
      <c r="K226" s="120"/>
      <c r="L226" s="216"/>
      <c r="M226" s="110"/>
      <c r="O226" s="110"/>
      <c r="Q226" s="110"/>
      <c r="S226" s="110"/>
      <c r="T226" s="110"/>
      <c r="U226" s="110"/>
      <c r="V226" s="110"/>
      <c r="X226" s="110"/>
      <c r="Z226" s="110"/>
      <c r="AB226" s="110"/>
      <c r="AD226" s="110"/>
      <c r="BL226" s="110"/>
      <c r="BM226" s="110"/>
      <c r="BO226" s="110"/>
      <c r="BP226" s="110"/>
      <c r="BQ226" s="110"/>
      <c r="BW226" s="11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</row>
    <row r="227" customFormat="false" ht="12.75" hidden="false" customHeight="false" outlineLevel="0" collapsed="false">
      <c r="K227" s="120"/>
      <c r="L227" s="216"/>
      <c r="M227" s="110"/>
      <c r="O227" s="110"/>
      <c r="Q227" s="110"/>
      <c r="S227" s="110"/>
      <c r="T227" s="110"/>
      <c r="U227" s="110"/>
      <c r="V227" s="110"/>
      <c r="X227" s="110"/>
      <c r="Z227" s="110"/>
      <c r="AB227" s="110"/>
      <c r="AD227" s="110"/>
      <c r="BL227" s="110"/>
      <c r="BM227" s="110"/>
      <c r="BO227" s="110"/>
      <c r="BP227" s="110"/>
      <c r="BQ227" s="110"/>
      <c r="BW227" s="11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</row>
    <row r="228" customFormat="false" ht="12.75" hidden="false" customHeight="false" outlineLevel="0" collapsed="false">
      <c r="K228" s="120"/>
      <c r="L228" s="216"/>
      <c r="M228" s="110"/>
      <c r="O228" s="110"/>
      <c r="Q228" s="110"/>
      <c r="S228" s="110"/>
      <c r="T228" s="110"/>
      <c r="U228" s="110"/>
      <c r="V228" s="110"/>
      <c r="X228" s="110"/>
      <c r="Z228" s="110"/>
      <c r="AB228" s="110"/>
      <c r="AD228" s="110"/>
      <c r="BL228" s="110"/>
      <c r="BM228" s="110"/>
      <c r="BO228" s="110"/>
      <c r="BP228" s="110"/>
      <c r="BQ228" s="110"/>
      <c r="BW228" s="11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</row>
    <row r="229" customFormat="false" ht="12.75" hidden="false" customHeight="false" outlineLevel="0" collapsed="false">
      <c r="K229" s="120"/>
      <c r="L229" s="216"/>
      <c r="M229" s="110"/>
      <c r="O229" s="110"/>
      <c r="Q229" s="110"/>
      <c r="S229" s="110"/>
      <c r="T229" s="110"/>
      <c r="U229" s="110"/>
      <c r="V229" s="110"/>
      <c r="X229" s="110"/>
      <c r="Z229" s="110"/>
      <c r="AB229" s="110"/>
      <c r="AD229" s="110"/>
      <c r="BL229" s="110"/>
      <c r="BM229" s="110"/>
      <c r="BO229" s="110"/>
      <c r="BP229" s="110"/>
      <c r="BQ229" s="110"/>
      <c r="BW229" s="11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</row>
    <row r="230" customFormat="false" ht="12.75" hidden="false" customHeight="false" outlineLevel="0" collapsed="false">
      <c r="K230" s="120"/>
      <c r="L230" s="216"/>
      <c r="M230" s="110"/>
      <c r="O230" s="110"/>
      <c r="Q230" s="110"/>
      <c r="S230" s="110"/>
      <c r="T230" s="110"/>
      <c r="U230" s="110"/>
      <c r="V230" s="110"/>
      <c r="X230" s="110"/>
      <c r="Z230" s="110"/>
      <c r="AB230" s="110"/>
      <c r="AD230" s="110"/>
      <c r="BL230" s="110"/>
      <c r="BM230" s="110"/>
      <c r="BO230" s="110"/>
      <c r="BP230" s="110"/>
      <c r="BQ230" s="110"/>
      <c r="BW230" s="11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</row>
    <row r="231" customFormat="false" ht="12.75" hidden="false" customHeight="false" outlineLevel="0" collapsed="false">
      <c r="K231" s="120"/>
      <c r="L231" s="216"/>
      <c r="M231" s="110"/>
      <c r="O231" s="110"/>
      <c r="Q231" s="110"/>
      <c r="S231" s="110"/>
      <c r="T231" s="110"/>
      <c r="U231" s="110"/>
      <c r="V231" s="110"/>
      <c r="X231" s="110"/>
      <c r="Z231" s="110"/>
      <c r="AB231" s="110"/>
      <c r="AD231" s="110"/>
      <c r="BL231" s="110"/>
      <c r="BM231" s="110"/>
      <c r="BO231" s="110"/>
      <c r="BP231" s="110"/>
      <c r="BQ231" s="110"/>
      <c r="BW231" s="11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2.75" hidden="false" customHeight="false" outlineLevel="0" collapsed="false">
      <c r="K232" s="120"/>
      <c r="L232" s="216"/>
    </row>
    <row r="233" customFormat="false" ht="12.75" hidden="false" customHeight="false" outlineLevel="0" collapsed="false">
      <c r="K233" s="120"/>
      <c r="L233" s="216"/>
    </row>
    <row r="234" customFormat="false" ht="12.75" hidden="false" customHeight="false" outlineLevel="0" collapsed="false">
      <c r="K234" s="120"/>
      <c r="L234" s="216"/>
    </row>
    <row r="235" customFormat="false" ht="12.75" hidden="false" customHeight="false" outlineLevel="0" collapsed="false">
      <c r="K235" s="120"/>
      <c r="L235" s="216"/>
    </row>
    <row r="236" customFormat="false" ht="12.75" hidden="false" customHeight="false" outlineLevel="0" collapsed="false">
      <c r="K236" s="120"/>
      <c r="L236" s="216"/>
    </row>
    <row r="237" customFormat="false" ht="12.75" hidden="false" customHeight="false" outlineLevel="0" collapsed="false">
      <c r="K237" s="120"/>
      <c r="L237" s="216"/>
    </row>
    <row r="238" customFormat="false" ht="12.75" hidden="false" customHeight="false" outlineLevel="0" collapsed="false">
      <c r="K238" s="120"/>
      <c r="L238" s="216"/>
    </row>
    <row r="239" customFormat="false" ht="12.75" hidden="false" customHeight="false" outlineLevel="0" collapsed="false">
      <c r="K239" s="120"/>
      <c r="L239" s="216"/>
    </row>
    <row r="240" customFormat="false" ht="12.75" hidden="false" customHeight="false" outlineLevel="0" collapsed="false">
      <c r="L240" s="34"/>
    </row>
  </sheetData>
  <printOptions headings="false" gridLines="false" gridLinesSet="true" horizontalCentered="true" verticalCentered="false"/>
  <pageMargins left="0" right="0" top="0.520138888888889" bottom="0.25" header="0.511811023622047" footer="0.511811023622047"/>
  <pageSetup paperSize="1" scale="3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9"/>
  <sheetViews>
    <sheetView showFormulas="false" showGridLines="true" showRowColHeaders="true" showZeros="true" rightToLeft="false" tabSelected="false" showOutlineSymbols="true" defaultGridColor="true" view="normal" topLeftCell="A152" colorId="64" zoomScale="80" zoomScaleNormal="80" zoomScalePageLayoutView="100" workbookViewId="0">
      <pane xSplit="17" ySplit="0" topLeftCell="R1" activePane="topRight" state="frozen"/>
      <selection pane="topLeft" activeCell="A152" activeCellId="0" sqref="A152"/>
      <selection pane="topRigh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28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2.28"/>
    <col collapsed="false" customWidth="true" hidden="fals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2.28"/>
    <col collapsed="false" customWidth="true" hidden="false" outlineLevel="0" max="19" min="19" style="119" width="0.99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7.99"/>
    <col collapsed="false" customWidth="true" hidden="true" outlineLevel="0" max="31" min="31" style="110" width="1.28"/>
    <col collapsed="false" customWidth="true" hidden="true" outlineLevel="0" max="32" min="32" style="110" width="17.99"/>
    <col collapsed="false" customWidth="true" hidden="true" outlineLevel="0" max="33" min="33" style="110" width="1.56"/>
    <col collapsed="false" customWidth="true" hidden="true" outlineLevel="0" max="34" min="34" style="110" width="17.7"/>
    <col collapsed="false" customWidth="true" hidden="true" outlineLevel="0" max="35" min="35" style="110" width="0.7"/>
    <col collapsed="false" customWidth="true" hidden="true" outlineLevel="0" max="36" min="36" style="110" width="18.28"/>
    <col collapsed="false" customWidth="true" hidden="true" outlineLevel="0" max="37" min="37" style="110" width="0.85"/>
    <col collapsed="false" customWidth="true" hidden="true" outlineLevel="0" max="38" min="38" style="110" width="20.41"/>
    <col collapsed="false" customWidth="true" hidden="true" outlineLevel="0" max="39" min="39" style="110" width="0.85"/>
    <col collapsed="false" customWidth="true" hidden="true" outlineLevel="0" max="40" min="40" style="110" width="17.85"/>
    <col collapsed="false" customWidth="true" hidden="tru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85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7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7"/>
    <col collapsed="false" customWidth="true" hidden="true" outlineLevel="0" max="55" min="55" style="0" width="0.85"/>
    <col collapsed="false" customWidth="true" hidden="true" outlineLevel="0" max="56" min="56" style="110" width="18.56"/>
    <col collapsed="false" customWidth="true" hidden="true" outlineLevel="0" max="57" min="57" style="0" width="0.85"/>
    <col collapsed="false" customWidth="true" hidden="true" outlineLevel="0" max="58" min="58" style="110" width="17.28"/>
    <col collapsed="false" customWidth="true" hidden="true" outlineLevel="0" max="59" min="59" style="110" width="0.85"/>
    <col collapsed="false" customWidth="true" hidden="true" outlineLevel="0" max="60" min="60" style="110" width="17.85"/>
    <col collapsed="false" customWidth="true" hidden="true" outlineLevel="0" max="61" min="61" style="110" width="0.85"/>
    <col collapsed="false" customWidth="true" hidden="true" outlineLevel="0" max="62" min="62" style="110" width="17.85"/>
    <col collapsed="false" customWidth="true" hidden="false" outlineLevel="0" max="63" min="63" style="110" width="1.28"/>
    <col collapsed="false" customWidth="true" hidden="true" outlineLevel="0" max="64" min="64" style="122" width="18.56"/>
    <col collapsed="false" customWidth="true" hidden="true" outlineLevel="0" max="65" min="65" style="122" width="21.56"/>
    <col collapsed="false" customWidth="true" hidden="true" outlineLevel="0" max="66" min="66" style="122" width="2.13"/>
    <col collapsed="false" customWidth="true" hidden="true" outlineLevel="0" max="67" min="67" style="122" width="21.56"/>
    <col collapsed="false" customWidth="true" hidden="true" outlineLevel="0" max="68" min="68" style="119" width="2.13"/>
    <col collapsed="false" customWidth="true" hidden="false" outlineLevel="0" max="69" min="69" style="110" width="20.85"/>
    <col collapsed="false" customWidth="true" hidden="false" outlineLevel="0" max="70" min="70" style="119" width="0.85"/>
    <col collapsed="false" customWidth="true" hidden="false" outlineLevel="0" max="71" min="71" style="122" width="19.14"/>
    <col collapsed="false" customWidth="true" hidden="false" outlineLevel="0" max="72" min="72" style="119" width="0.85"/>
    <col collapsed="false" customWidth="true" hidden="false" outlineLevel="0" max="73" min="73" style="110" width="23.85"/>
    <col collapsed="false" customWidth="true" hidden="false" outlineLevel="0" max="74" min="74" style="110" width="1.7"/>
    <col collapsed="false" customWidth="true" hidden="false" outlineLevel="0" max="75" min="75" style="110" width="20.85"/>
    <col collapsed="false" customWidth="true" hidden="false" outlineLevel="0" max="76" min="76" style="110" width="1.7"/>
    <col collapsed="false" customWidth="true" hidden="false" outlineLevel="0" max="77" min="77" style="110" width="15.85"/>
    <col collapsed="false" customWidth="true" hidden="false" outlineLevel="0" max="78" min="78" style="119" width="0.85"/>
    <col collapsed="false" customWidth="true" hidden="true" outlineLevel="0" max="79" min="79" style="119" width="75.85"/>
    <col collapsed="false" customWidth="false" hidden="false" outlineLevel="0" max="257" min="80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218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 t="s">
        <v>395</v>
      </c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D1" s="132"/>
      <c r="BF1" s="132"/>
      <c r="BG1" s="132"/>
      <c r="BH1" s="132"/>
      <c r="BI1" s="132"/>
      <c r="BJ1" s="132"/>
      <c r="BK1" s="132"/>
      <c r="BL1" s="133"/>
      <c r="BM1" s="133"/>
      <c r="BN1" s="133"/>
      <c r="BO1" s="133"/>
      <c r="BP1" s="131"/>
      <c r="BQ1" s="135"/>
      <c r="BR1" s="131"/>
      <c r="BS1" s="133"/>
      <c r="BT1" s="131"/>
      <c r="BU1" s="135"/>
      <c r="BV1" s="135"/>
      <c r="BW1" s="135"/>
      <c r="BX1" s="135"/>
      <c r="BY1" s="132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218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D2" s="132"/>
      <c r="BF2" s="132"/>
      <c r="BG2" s="132"/>
      <c r="BH2" s="132"/>
      <c r="BI2" s="132"/>
      <c r="BJ2" s="132"/>
      <c r="BK2" s="132"/>
      <c r="BL2" s="133"/>
      <c r="BM2" s="133"/>
      <c r="BN2" s="133"/>
      <c r="BO2" s="133"/>
      <c r="BP2" s="131"/>
      <c r="BQ2" s="132"/>
      <c r="BR2" s="131"/>
      <c r="BS2" s="133"/>
      <c r="BT2" s="131"/>
      <c r="BU2" s="132"/>
      <c r="BV2" s="132"/>
      <c r="BW2" s="132"/>
      <c r="BX2" s="132"/>
      <c r="BY2" s="136" t="str">
        <f aca="true">CELL("filename")</f>
        <v>'file:///mnt/12tb/@roms/datasets/enron/EDRM Enron Email Data Set v2 XML/filtered-attachments/xls/2000_Weekly_Report___112000.xls'#$Gleason</v>
      </c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118</v>
      </c>
      <c r="B3" s="125"/>
      <c r="C3" s="218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D3" s="132"/>
      <c r="BF3" s="132"/>
      <c r="BG3" s="132"/>
      <c r="BH3" s="132"/>
      <c r="BI3" s="132"/>
      <c r="BJ3" s="132"/>
      <c r="BK3" s="132"/>
      <c r="BL3" s="133"/>
      <c r="BM3" s="133"/>
      <c r="BN3" s="133"/>
      <c r="BO3" s="133"/>
      <c r="BP3" s="131"/>
      <c r="BQ3" s="141"/>
      <c r="BR3" s="131"/>
      <c r="BS3" s="133"/>
      <c r="BT3" s="131"/>
      <c r="BU3" s="141" t="n">
        <f aca="true">NOW()</f>
        <v>45926.9291517922</v>
      </c>
      <c r="BV3" s="131"/>
      <c r="BW3" s="141"/>
      <c r="BX3" s="131"/>
      <c r="BY3" s="135" t="str">
        <f aca="false">Summary!A5</f>
        <v>Revision # 68</v>
      </c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Summary!C13</f>
        <v>509</v>
      </c>
      <c r="C4" s="0"/>
      <c r="D4" s="131"/>
      <c r="E4" s="131"/>
      <c r="F4" s="131"/>
      <c r="G4" s="144"/>
      <c r="H4" s="131"/>
      <c r="I4" s="131"/>
      <c r="J4" s="144"/>
      <c r="K4" s="131"/>
      <c r="L4" s="221" t="s">
        <v>78</v>
      </c>
      <c r="M4" s="131"/>
      <c r="N4" s="133"/>
      <c r="O4" s="146" t="s">
        <v>138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33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D4" s="147" t="s">
        <v>69</v>
      </c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47" t="s">
        <v>69</v>
      </c>
      <c r="BN4" s="147"/>
      <c r="BO4" s="147" t="s">
        <v>69</v>
      </c>
      <c r="BP4" s="131"/>
      <c r="BQ4" s="148"/>
      <c r="BR4" s="131"/>
      <c r="BS4" s="147" t="s">
        <v>139</v>
      </c>
      <c r="BT4" s="131"/>
      <c r="BU4" s="148"/>
      <c r="BV4" s="131"/>
      <c r="BW4" s="148"/>
      <c r="BX4" s="131"/>
      <c r="BY4" s="148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tr">
        <f aca="false">Summary!A5</f>
        <v>Revision # 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140</v>
      </c>
      <c r="M5" s="131"/>
      <c r="N5" s="147" t="s">
        <v>141</v>
      </c>
      <c r="O5" s="146"/>
      <c r="P5" s="147" t="s">
        <v>142</v>
      </c>
      <c r="Q5" s="131"/>
      <c r="R5" s="148" t="s">
        <v>141</v>
      </c>
      <c r="S5" s="131"/>
      <c r="T5" s="147" t="s">
        <v>72</v>
      </c>
      <c r="U5" s="134"/>
      <c r="V5" s="147" t="s">
        <v>143</v>
      </c>
      <c r="W5" s="133"/>
      <c r="X5" s="147" t="s">
        <v>143</v>
      </c>
      <c r="Y5" s="133"/>
      <c r="Z5" s="147" t="s">
        <v>143</v>
      </c>
      <c r="AA5" s="133"/>
      <c r="AB5" s="147" t="s">
        <v>143</v>
      </c>
      <c r="AC5" s="133"/>
      <c r="AD5" s="147" t="s">
        <v>143</v>
      </c>
      <c r="AE5" s="133"/>
      <c r="AF5" s="147" t="s">
        <v>143</v>
      </c>
      <c r="AG5" s="133"/>
      <c r="AH5" s="147" t="s">
        <v>143</v>
      </c>
      <c r="AI5" s="133"/>
      <c r="AJ5" s="147" t="s">
        <v>143</v>
      </c>
      <c r="AK5" s="133"/>
      <c r="AL5" s="147" t="s">
        <v>143</v>
      </c>
      <c r="AM5" s="133"/>
      <c r="AN5" s="147" t="s">
        <v>143</v>
      </c>
      <c r="AO5" s="133"/>
      <c r="AP5" s="147" t="s">
        <v>143</v>
      </c>
      <c r="AQ5" s="133"/>
      <c r="AR5" s="147" t="s">
        <v>143</v>
      </c>
      <c r="AS5" s="133"/>
      <c r="AT5" s="147" t="s">
        <v>143</v>
      </c>
      <c r="AU5" s="133"/>
      <c r="AV5" s="147" t="s">
        <v>143</v>
      </c>
      <c r="AW5" s="147"/>
      <c r="AX5" s="147" t="s">
        <v>143</v>
      </c>
      <c r="AY5" s="147"/>
      <c r="AZ5" s="147" t="s">
        <v>143</v>
      </c>
      <c r="BA5" s="147"/>
      <c r="BB5" s="147" t="s">
        <v>143</v>
      </c>
      <c r="BD5" s="147" t="s">
        <v>143</v>
      </c>
      <c r="BF5" s="147" t="s">
        <v>143</v>
      </c>
      <c r="BG5" s="147"/>
      <c r="BH5" s="147" t="s">
        <v>143</v>
      </c>
      <c r="BI5" s="147"/>
      <c r="BJ5" s="147" t="s">
        <v>143</v>
      </c>
      <c r="BK5" s="147"/>
      <c r="BL5" s="147" t="s">
        <v>143</v>
      </c>
      <c r="BM5" s="147" t="s">
        <v>143</v>
      </c>
      <c r="BN5" s="147"/>
      <c r="BO5" s="147" t="s">
        <v>143</v>
      </c>
      <c r="BP5" s="131"/>
      <c r="BQ5" s="148" t="s">
        <v>72</v>
      </c>
      <c r="BR5" s="131"/>
      <c r="BS5" s="147" t="s">
        <v>142</v>
      </c>
      <c r="BT5" s="131"/>
      <c r="BU5" s="148" t="s">
        <v>144</v>
      </c>
      <c r="BV5" s="131"/>
      <c r="BW5" s="148" t="s">
        <v>145</v>
      </c>
      <c r="BX5" s="131"/>
      <c r="BY5" s="148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147</v>
      </c>
      <c r="D6" s="131"/>
      <c r="E6" s="151" t="s">
        <v>148</v>
      </c>
      <c r="F6" s="131"/>
      <c r="G6" s="151" t="s">
        <v>149</v>
      </c>
      <c r="H6" s="131"/>
      <c r="I6" s="151" t="s">
        <v>150</v>
      </c>
      <c r="J6" s="152"/>
      <c r="K6" s="131"/>
      <c r="L6" s="153" t="s">
        <v>151</v>
      </c>
      <c r="M6" s="131"/>
      <c r="N6" s="154" t="s">
        <v>152</v>
      </c>
      <c r="O6" s="146"/>
      <c r="P6" s="154" t="s">
        <v>153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s">
        <v>396</v>
      </c>
      <c r="AM6" s="145"/>
      <c r="AN6" s="153" t="n">
        <v>36433</v>
      </c>
      <c r="AO6" s="145"/>
      <c r="AP6" s="153" t="n">
        <v>36464</v>
      </c>
      <c r="AQ6" s="145"/>
      <c r="AR6" s="153" t="n">
        <v>36494</v>
      </c>
      <c r="AS6" s="145"/>
      <c r="AT6" s="153" t="n">
        <v>36525</v>
      </c>
      <c r="AU6" s="145"/>
      <c r="AV6" s="153" t="n">
        <v>36556</v>
      </c>
      <c r="AW6" s="150"/>
      <c r="AX6" s="153" t="n">
        <v>36585</v>
      </c>
      <c r="AY6" s="150"/>
      <c r="AZ6" s="153" t="n">
        <v>36616</v>
      </c>
      <c r="BA6" s="150"/>
      <c r="BB6" s="153" t="n">
        <v>36646</v>
      </c>
      <c r="BD6" s="153" t="n">
        <v>36677</v>
      </c>
      <c r="BF6" s="153" t="n">
        <v>36707</v>
      </c>
      <c r="BG6" s="150"/>
      <c r="BH6" s="153" t="n">
        <v>36738</v>
      </c>
      <c r="BI6" s="150"/>
      <c r="BJ6" s="153" t="n">
        <v>36769</v>
      </c>
      <c r="BK6" s="150"/>
      <c r="BL6" s="153" t="n">
        <v>36799</v>
      </c>
      <c r="BM6" s="153" t="n">
        <v>36830</v>
      </c>
      <c r="BN6" s="153"/>
      <c r="BO6" s="153" t="n">
        <v>36860</v>
      </c>
      <c r="BP6" s="131"/>
      <c r="BQ6" s="156" t="s">
        <v>154</v>
      </c>
      <c r="BR6" s="131"/>
      <c r="BS6" s="153" t="s">
        <v>153</v>
      </c>
      <c r="BT6" s="131"/>
      <c r="BU6" s="156" t="s">
        <v>155</v>
      </c>
      <c r="BV6" s="131"/>
      <c r="BW6" s="156" t="s">
        <v>156</v>
      </c>
      <c r="BX6" s="131"/>
      <c r="BY6" s="156" t="s">
        <v>157</v>
      </c>
      <c r="BZ6" s="131"/>
      <c r="CA6" s="156" t="s">
        <v>158</v>
      </c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'[1]'!E9</f>
        <v>#N/A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11/17/00</v>
      </c>
      <c r="U7" s="134"/>
      <c r="V7" s="147" t="str">
        <f aca="false">+Summary!$O$4</f>
        <v> As of 11/17/00</v>
      </c>
      <c r="W7" s="133"/>
      <c r="X7" s="147" t="str">
        <f aca="false">+Summary!$O$4</f>
        <v> As of 11/17/00</v>
      </c>
      <c r="Y7" s="133"/>
      <c r="Z7" s="147" t="str">
        <f aca="false">+Summary!$O$4</f>
        <v> As of 11/17/00</v>
      </c>
      <c r="AA7" s="133"/>
      <c r="AB7" s="147" t="str">
        <f aca="false">+Summary!$O$4</f>
        <v> As of 11/17/00</v>
      </c>
      <c r="AC7" s="133"/>
      <c r="AD7" s="147" t="str">
        <f aca="false">+Summary!$O$4</f>
        <v> As of 11/17/00</v>
      </c>
      <c r="AE7" s="133"/>
      <c r="AF7" s="147" t="str">
        <f aca="false">+Summary!$O$4</f>
        <v> As of 11/17/00</v>
      </c>
      <c r="AG7" s="133"/>
      <c r="AH7" s="147" t="str">
        <f aca="false">+Summary!$O$4</f>
        <v> As of 11/17/00</v>
      </c>
      <c r="AI7" s="133"/>
      <c r="AJ7" s="147" t="str">
        <f aca="false">+Summary!$O$4</f>
        <v> As of 11/17/00</v>
      </c>
      <c r="AK7" s="133"/>
      <c r="AL7" s="147" t="str">
        <f aca="false">+Summary!$O$4</f>
        <v> As of 11/17/00</v>
      </c>
      <c r="AM7" s="133"/>
      <c r="AN7" s="147" t="str">
        <f aca="false">+Summary!$O$4</f>
        <v> As of 11/17/00</v>
      </c>
      <c r="AO7" s="133"/>
      <c r="AP7" s="147" t="str">
        <f aca="false">+Summary!$O$4</f>
        <v> As of 11/17/00</v>
      </c>
      <c r="AQ7" s="133"/>
      <c r="AR7" s="147" t="str">
        <f aca="false">+Summary!$O$4</f>
        <v> As of 11/17/00</v>
      </c>
      <c r="AS7" s="133"/>
      <c r="AT7" s="147" t="str">
        <f aca="false">+Summary!$O$4</f>
        <v> As of 11/17/00</v>
      </c>
      <c r="AU7" s="133"/>
      <c r="AV7" s="147" t="str">
        <f aca="false">+Summary!$O$4</f>
        <v> As of 11/17/00</v>
      </c>
      <c r="AW7" s="147"/>
      <c r="AX7" s="147" t="str">
        <f aca="false">+Summary!$O$4</f>
        <v> As of 11/17/00</v>
      </c>
      <c r="AY7" s="147"/>
      <c r="AZ7" s="147" t="str">
        <f aca="false">+Summary!$O$4</f>
        <v> As of 11/17/00</v>
      </c>
      <c r="BA7" s="147"/>
      <c r="BB7" s="147" t="str">
        <f aca="false">BS7</f>
        <v> As of 11/17/00</v>
      </c>
      <c r="BD7" s="147" t="str">
        <f aca="false">+Summary!$O$4</f>
        <v> As of 11/17/00</v>
      </c>
      <c r="BF7" s="147" t="str">
        <f aca="false">+Summary!$O$4</f>
        <v> As of 11/17/00</v>
      </c>
      <c r="BG7" s="147"/>
      <c r="BH7" s="147" t="str">
        <f aca="false">+Summary!$O$4</f>
        <v> As of 11/17/00</v>
      </c>
      <c r="BI7" s="147"/>
      <c r="BJ7" s="147" t="str">
        <f aca="false">+Summary!$O$4</f>
        <v> As of 11/17/00</v>
      </c>
      <c r="BK7" s="147"/>
      <c r="BL7" s="147" t="str">
        <f aca="false">+Summary!$O$4</f>
        <v> As of 11/17/00</v>
      </c>
      <c r="BM7" s="147" t="str">
        <f aca="false">+Summary!$O$4</f>
        <v> As of 11/17/00</v>
      </c>
      <c r="BN7" s="147"/>
      <c r="BO7" s="147" t="str">
        <f aca="false">+Summary!$O$4</f>
        <v> As of 11/17/00</v>
      </c>
      <c r="BP7" s="131"/>
      <c r="BQ7" s="148" t="str">
        <f aca="false">+Summary!$O$4</f>
        <v> As of 11/17/00</v>
      </c>
      <c r="BR7" s="131"/>
      <c r="BS7" s="159" t="str">
        <f aca="false">+Summary!$O$4</f>
        <v> As of 11/17/00</v>
      </c>
      <c r="BT7" s="131"/>
      <c r="BU7" s="148"/>
      <c r="BV7" s="131"/>
      <c r="BW7" s="148"/>
      <c r="BX7" s="131"/>
      <c r="BY7" s="148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159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L8" s="110"/>
      <c r="BM8" s="110"/>
      <c r="BN8" s="110"/>
      <c r="BO8" s="110"/>
      <c r="BP8" s="110"/>
      <c r="BR8" s="110"/>
      <c r="BS8" s="110"/>
      <c r="BT8" s="110"/>
      <c r="BZ8" s="110"/>
    </row>
    <row r="9" customFormat="false" ht="12.75" hidden="false" customHeight="false" outlineLevel="0" collapsed="false">
      <c r="A9" s="164"/>
      <c r="B9" s="161" t="s">
        <v>310</v>
      </c>
      <c r="C9" s="0"/>
      <c r="D9" s="0"/>
      <c r="E9" s="0"/>
      <c r="F9" s="0"/>
      <c r="G9" s="0"/>
      <c r="H9" s="0"/>
      <c r="I9" s="0"/>
      <c r="J9" s="4" t="s">
        <v>141</v>
      </c>
      <c r="K9" s="0"/>
      <c r="L9" s="34" t="s">
        <v>151</v>
      </c>
      <c r="M9" s="110"/>
      <c r="N9" s="110" t="n">
        <v>0</v>
      </c>
      <c r="O9" s="110"/>
      <c r="P9" s="110" t="n">
        <v>0</v>
      </c>
      <c r="Q9" s="110"/>
      <c r="R9" s="110" t="n">
        <v>62145000</v>
      </c>
      <c r="S9" s="110"/>
      <c r="T9" s="110" t="n">
        <v>0</v>
      </c>
      <c r="U9" s="110"/>
      <c r="V9" s="110" t="n">
        <v>0</v>
      </c>
      <c r="X9" s="110" t="n">
        <v>0</v>
      </c>
      <c r="Z9" s="110" t="n">
        <v>0</v>
      </c>
      <c r="AB9" s="110" t="n">
        <v>0</v>
      </c>
      <c r="AD9" s="110" t="n">
        <v>0</v>
      </c>
      <c r="AF9" s="110" t="n">
        <v>0</v>
      </c>
      <c r="AH9" s="110" t="n">
        <v>0</v>
      </c>
      <c r="AJ9" s="110" t="n">
        <v>0</v>
      </c>
      <c r="AL9" s="110" t="n">
        <v>56349430</v>
      </c>
      <c r="AN9" s="110" t="n">
        <v>0</v>
      </c>
      <c r="AP9" s="110" t="n">
        <v>1282310</v>
      </c>
      <c r="AR9" s="110" t="n">
        <v>144155</v>
      </c>
      <c r="AT9" s="110" t="n">
        <v>0</v>
      </c>
      <c r="AV9" s="110" t="n">
        <v>0</v>
      </c>
      <c r="AX9" s="110" t="n">
        <v>0</v>
      </c>
      <c r="AZ9" s="110" t="n">
        <v>1240525</v>
      </c>
      <c r="BB9" s="110" t="n">
        <v>0</v>
      </c>
      <c r="BD9" s="110" t="n">
        <v>1735000.05</v>
      </c>
      <c r="BF9" s="110" t="n">
        <f aca="false">1633000+1025570</f>
        <v>2658570</v>
      </c>
      <c r="BH9" s="110" t="n">
        <v>0</v>
      </c>
      <c r="BJ9" s="110" t="n">
        <v>0</v>
      </c>
      <c r="BL9" s="110" t="n">
        <v>0</v>
      </c>
      <c r="BM9" s="110" t="n">
        <v>0</v>
      </c>
      <c r="BN9" s="110"/>
      <c r="BO9" s="110" t="n">
        <v>0</v>
      </c>
      <c r="BP9" s="110"/>
      <c r="BQ9" s="110" t="n">
        <f aca="false">SUM(T9:BP9)</f>
        <v>63409990.05</v>
      </c>
      <c r="BR9" s="110"/>
      <c r="BS9" s="110" t="n">
        <f aca="false">62515521-R9</f>
        <v>370521</v>
      </c>
      <c r="BT9" s="110"/>
      <c r="BU9" s="110" t="n">
        <f aca="false">IF(+R9-BQ9+BS9&gt;0,R9-BQ9+BS9,0)</f>
        <v>0</v>
      </c>
      <c r="BW9" s="110" t="n">
        <f aca="false">+BQ9+BU9</f>
        <v>63409990.05</v>
      </c>
      <c r="BY9" s="110" t="n">
        <f aca="false">+R9-BW9</f>
        <v>-1264990.05</v>
      </c>
      <c r="BZ9" s="110"/>
    </row>
    <row r="10" customFormat="false" ht="12.75" hidden="false" customHeight="false" outlineLevel="0" collapsed="false">
      <c r="A10" s="164"/>
      <c r="B10" s="161" t="s">
        <v>311</v>
      </c>
      <c r="C10" s="0"/>
      <c r="D10" s="0"/>
      <c r="E10" s="0"/>
      <c r="F10" s="0"/>
      <c r="G10" s="0"/>
      <c r="H10" s="0"/>
      <c r="I10" s="0"/>
      <c r="J10" s="4" t="s">
        <v>141</v>
      </c>
      <c r="K10" s="0"/>
      <c r="L10" s="34" t="s">
        <v>151</v>
      </c>
      <c r="M10" s="110"/>
      <c r="N10" s="110" t="n">
        <v>0</v>
      </c>
      <c r="O10" s="110"/>
      <c r="P10" s="110" t="n">
        <v>0</v>
      </c>
      <c r="Q10" s="110"/>
      <c r="R10" s="110" t="n">
        <v>31185000</v>
      </c>
      <c r="S10" s="110"/>
      <c r="T10" s="110" t="n">
        <v>0</v>
      </c>
      <c r="U10" s="110"/>
      <c r="V10" s="110" t="n">
        <v>0</v>
      </c>
      <c r="X10" s="110" t="n">
        <v>0</v>
      </c>
      <c r="Z10" s="110"/>
      <c r="AB10" s="110"/>
      <c r="AD10" s="110"/>
      <c r="AF10" s="110" t="n">
        <v>0</v>
      </c>
      <c r="AH10" s="110" t="n">
        <v>0</v>
      </c>
      <c r="AJ10" s="110" t="n">
        <v>0</v>
      </c>
      <c r="AL10" s="110" t="n">
        <v>29625750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 t="n">
        <v>0</v>
      </c>
      <c r="BN10" s="110"/>
      <c r="BO10" s="110" t="n">
        <v>0</v>
      </c>
      <c r="BP10" s="110"/>
      <c r="BQ10" s="110" t="n">
        <f aca="false">SUM(T10:BP10)</f>
        <v>29625750</v>
      </c>
      <c r="BR10" s="110"/>
      <c r="BS10" s="110" t="n">
        <f aca="false">32649500-R10</f>
        <v>1464500</v>
      </c>
      <c r="BT10" s="110"/>
      <c r="BU10" s="110" t="n">
        <f aca="false">IF(+R10-BQ10+BS10&gt;0,R10-BQ10+BS10,0)</f>
        <v>3023750</v>
      </c>
      <c r="BW10" s="110" t="n">
        <f aca="false">+BQ10+BU10</f>
        <v>32649500</v>
      </c>
      <c r="BY10" s="110" t="n">
        <f aca="false">+R10-BW10</f>
        <v>-1464500</v>
      </c>
      <c r="BZ10" s="110"/>
    </row>
    <row r="11" customFormat="false" ht="12.75" hidden="true" customHeight="false" outlineLevel="0" collapsed="false">
      <c r="A11" s="164"/>
      <c r="B11" s="161" t="s">
        <v>312</v>
      </c>
      <c r="C11" s="0"/>
      <c r="D11" s="0"/>
      <c r="E11" s="0"/>
      <c r="F11" s="0"/>
      <c r="G11" s="0"/>
      <c r="H11" s="0"/>
      <c r="I11" s="0"/>
      <c r="J11" s="4" t="s">
        <v>141</v>
      </c>
      <c r="K11" s="0"/>
      <c r="L11" s="34" t="s">
        <v>151</v>
      </c>
      <c r="M11" s="110"/>
      <c r="N11" s="110" t="n">
        <v>0</v>
      </c>
      <c r="O11" s="110"/>
      <c r="P11" s="110" t="n">
        <v>0</v>
      </c>
      <c r="Q11" s="110"/>
      <c r="R11" s="110" t="n">
        <f aca="false">+N11+P11</f>
        <v>0</v>
      </c>
      <c r="S11" s="110"/>
      <c r="T11" s="110" t="n">
        <v>0</v>
      </c>
      <c r="U11" s="110"/>
      <c r="V11" s="110" t="n">
        <v>0</v>
      </c>
      <c r="X11" s="110" t="n">
        <v>0</v>
      </c>
      <c r="Z11" s="110" t="n">
        <v>0</v>
      </c>
      <c r="AB11" s="110" t="n">
        <v>0</v>
      </c>
      <c r="AD11" s="110" t="n">
        <v>0</v>
      </c>
      <c r="AF11" s="110" t="n">
        <v>0</v>
      </c>
      <c r="AH11" s="110" t="n">
        <v>0</v>
      </c>
      <c r="AJ11" s="110" t="n">
        <v>0</v>
      </c>
      <c r="AN11" s="110" t="n">
        <v>0</v>
      </c>
      <c r="AP11" s="110" t="n">
        <v>0</v>
      </c>
      <c r="AR11" s="110" t="n">
        <v>0</v>
      </c>
      <c r="AT11" s="110" t="n">
        <v>0</v>
      </c>
      <c r="AV11" s="110" t="n">
        <v>0</v>
      </c>
      <c r="AX11" s="110" t="n">
        <v>0</v>
      </c>
      <c r="AZ11" s="110" t="n">
        <v>0</v>
      </c>
      <c r="BB11" s="110" t="n">
        <v>0</v>
      </c>
      <c r="BD11" s="110" t="n">
        <v>0</v>
      </c>
      <c r="BF11" s="110" t="n">
        <v>0</v>
      </c>
      <c r="BH11" s="110" t="n">
        <v>0</v>
      </c>
      <c r="BJ11" s="110" t="n">
        <v>0</v>
      </c>
      <c r="BL11" s="110" t="n">
        <v>0</v>
      </c>
      <c r="BM11" s="110" t="n">
        <v>0</v>
      </c>
      <c r="BN11" s="110"/>
      <c r="BO11" s="110" t="n">
        <v>0</v>
      </c>
      <c r="BP11" s="110"/>
      <c r="BQ11" s="110" t="n">
        <f aca="false">SUM(T11:BP11)</f>
        <v>0</v>
      </c>
      <c r="BR11" s="110"/>
      <c r="BS11" s="110" t="n">
        <v>0</v>
      </c>
      <c r="BT11" s="110"/>
      <c r="BU11" s="110" t="n">
        <f aca="false">IF(+R11-BQ11+BS11&gt;0,R11-BQ11+BS11,0)</f>
        <v>0</v>
      </c>
      <c r="BW11" s="110" t="n">
        <f aca="false">+BQ11+BU11</f>
        <v>0</v>
      </c>
      <c r="BY11" s="110" t="n">
        <f aca="false">+R11-BW11</f>
        <v>0</v>
      </c>
      <c r="BZ11" s="110"/>
    </row>
    <row r="12" customFormat="false" ht="12.75" hidden="true" customHeight="false" outlineLevel="0" collapsed="false">
      <c r="A12" s="164"/>
      <c r="B12" s="161" t="s">
        <v>313</v>
      </c>
      <c r="C12" s="0"/>
      <c r="D12" s="0"/>
      <c r="E12" s="0"/>
      <c r="F12" s="0"/>
      <c r="G12" s="0"/>
      <c r="H12" s="0"/>
      <c r="I12" s="0"/>
      <c r="J12" s="4" t="s">
        <v>141</v>
      </c>
      <c r="K12" s="0"/>
      <c r="L12" s="34" t="s">
        <v>151</v>
      </c>
      <c r="M12" s="110"/>
      <c r="N12" s="110" t="n">
        <v>0</v>
      </c>
      <c r="O12" s="110"/>
      <c r="P12" s="110" t="n">
        <v>0</v>
      </c>
      <c r="Q12" s="110"/>
      <c r="R12" s="110" t="n">
        <f aca="false">+N12+P12</f>
        <v>0</v>
      </c>
      <c r="S12" s="110"/>
      <c r="T12" s="110" t="n">
        <v>0</v>
      </c>
      <c r="U12" s="110"/>
      <c r="V12" s="110" t="n">
        <v>0</v>
      </c>
      <c r="X12" s="110" t="n">
        <v>0</v>
      </c>
      <c r="Z12" s="110" t="n">
        <v>0</v>
      </c>
      <c r="AB12" s="110" t="n">
        <v>0</v>
      </c>
      <c r="AD12" s="110" t="n">
        <v>0</v>
      </c>
      <c r="AF12" s="110" t="n">
        <v>0</v>
      </c>
      <c r="AH12" s="110" t="n">
        <v>0</v>
      </c>
      <c r="AJ12" s="110" t="n">
        <v>0</v>
      </c>
      <c r="AN12" s="110" t="n">
        <v>0</v>
      </c>
      <c r="AP12" s="110" t="n">
        <v>0</v>
      </c>
      <c r="AR12" s="110" t="n">
        <v>0</v>
      </c>
      <c r="AT12" s="110" t="n">
        <v>0</v>
      </c>
      <c r="AV12" s="110" t="n">
        <v>0</v>
      </c>
      <c r="AX12" s="110" t="n">
        <v>0</v>
      </c>
      <c r="AZ12" s="110" t="n">
        <v>0</v>
      </c>
      <c r="BB12" s="110" t="n">
        <v>0</v>
      </c>
      <c r="BD12" s="110" t="n">
        <v>0</v>
      </c>
      <c r="BF12" s="110" t="n">
        <v>0</v>
      </c>
      <c r="BH12" s="110" t="n">
        <v>0</v>
      </c>
      <c r="BJ12" s="110" t="n">
        <v>0</v>
      </c>
      <c r="BL12" s="110" t="n">
        <v>0</v>
      </c>
      <c r="BM12" s="110" t="n">
        <v>0</v>
      </c>
      <c r="BN12" s="110"/>
      <c r="BO12" s="110" t="n">
        <v>0</v>
      </c>
      <c r="BP12" s="110"/>
      <c r="BQ12" s="110" t="n">
        <f aca="false">SUM(T12:BP12)</f>
        <v>0</v>
      </c>
      <c r="BR12" s="110"/>
      <c r="BS12" s="110" t="n">
        <v>0</v>
      </c>
      <c r="BT12" s="110"/>
      <c r="BU12" s="110" t="n">
        <f aca="false">IF(+R12-BQ12+BS12&gt;0,R12-BQ12+BS12,0)</f>
        <v>0</v>
      </c>
      <c r="BW12" s="110" t="n">
        <f aca="false">+BQ12+BU12</f>
        <v>0</v>
      </c>
      <c r="BY12" s="110" t="n">
        <f aca="false">+R12-BW12</f>
        <v>0</v>
      </c>
      <c r="BZ12" s="110"/>
    </row>
    <row r="13" customFormat="false" ht="12.75" hidden="true" customHeight="false" outlineLevel="0" collapsed="false">
      <c r="A13" s="164"/>
      <c r="B13" s="161" t="s">
        <v>314</v>
      </c>
      <c r="C13" s="0"/>
      <c r="D13" s="0"/>
      <c r="E13" s="0"/>
      <c r="F13" s="0"/>
      <c r="G13" s="0"/>
      <c r="H13" s="0"/>
      <c r="I13" s="0"/>
      <c r="J13" s="4" t="s">
        <v>141</v>
      </c>
      <c r="K13" s="0"/>
      <c r="L13" s="34" t="s">
        <v>151</v>
      </c>
      <c r="M13" s="110"/>
      <c r="N13" s="110" t="n">
        <v>0</v>
      </c>
      <c r="O13" s="110"/>
      <c r="P13" s="110" t="n">
        <v>0</v>
      </c>
      <c r="Q13" s="110"/>
      <c r="R13" s="110" t="n">
        <f aca="false">+N13+P13</f>
        <v>0</v>
      </c>
      <c r="S13" s="110"/>
      <c r="T13" s="110" t="n">
        <v>0</v>
      </c>
      <c r="U13" s="110"/>
      <c r="V13" s="110" t="n">
        <v>0</v>
      </c>
      <c r="X13" s="110" t="n">
        <v>0</v>
      </c>
      <c r="Z13" s="110" t="n">
        <v>0</v>
      </c>
      <c r="AB13" s="110" t="n">
        <v>0</v>
      </c>
      <c r="AD13" s="110" t="n">
        <v>0</v>
      </c>
      <c r="AF13" s="110" t="n">
        <v>0</v>
      </c>
      <c r="AH13" s="110" t="n">
        <v>0</v>
      </c>
      <c r="AJ13" s="110" t="n">
        <v>0</v>
      </c>
      <c r="AN13" s="110" t="n">
        <v>0</v>
      </c>
      <c r="AP13" s="110" t="n">
        <v>0</v>
      </c>
      <c r="AR13" s="110" t="n">
        <v>0</v>
      </c>
      <c r="AT13" s="110" t="n">
        <v>0</v>
      </c>
      <c r="AV13" s="110" t="n">
        <v>0</v>
      </c>
      <c r="AX13" s="110" t="n">
        <v>0</v>
      </c>
      <c r="AZ13" s="110" t="n">
        <v>0</v>
      </c>
      <c r="BB13" s="110" t="n">
        <v>0</v>
      </c>
      <c r="BD13" s="110" t="n">
        <v>0</v>
      </c>
      <c r="BF13" s="110" t="n">
        <v>0</v>
      </c>
      <c r="BH13" s="110" t="n">
        <v>0</v>
      </c>
      <c r="BJ13" s="110" t="n">
        <v>0</v>
      </c>
      <c r="BL13" s="110" t="n">
        <v>0</v>
      </c>
      <c r="BM13" s="110" t="n">
        <v>0</v>
      </c>
      <c r="BN13" s="110"/>
      <c r="BO13" s="110" t="n">
        <v>0</v>
      </c>
      <c r="BP13" s="110"/>
      <c r="BQ13" s="110" t="n">
        <f aca="false">SUM(T13:BP13)</f>
        <v>0</v>
      </c>
      <c r="BR13" s="110"/>
      <c r="BS13" s="110" t="n">
        <v>0</v>
      </c>
      <c r="BT13" s="110"/>
      <c r="BU13" s="110" t="n">
        <f aca="false">IF(+R13-BQ13+BS13&gt;0,R13-BQ13+BS13,0)</f>
        <v>0</v>
      </c>
      <c r="BW13" s="110" t="n">
        <f aca="false">+BQ13+BU13</f>
        <v>0</v>
      </c>
      <c r="BY13" s="110" t="n">
        <f aca="false">+R13-BW13</f>
        <v>0</v>
      </c>
      <c r="BZ13" s="110"/>
    </row>
    <row r="14" customFormat="false" ht="12.75" hidden="false" customHeight="false" outlineLevel="0" collapsed="false">
      <c r="A14" s="164"/>
      <c r="B14" s="161" t="s">
        <v>128</v>
      </c>
      <c r="C14" s="0"/>
      <c r="D14" s="0"/>
      <c r="E14" s="0"/>
      <c r="F14" s="0"/>
      <c r="G14" s="0"/>
      <c r="H14" s="0"/>
      <c r="I14" s="0"/>
      <c r="J14" s="4" t="s">
        <v>141</v>
      </c>
      <c r="K14" s="0"/>
      <c r="L14" s="34" t="s">
        <v>151</v>
      </c>
      <c r="M14" s="110"/>
      <c r="N14" s="110" t="n">
        <v>93330000</v>
      </c>
      <c r="O14" s="110"/>
      <c r="P14" s="110" t="n">
        <v>0</v>
      </c>
      <c r="Q14" s="110"/>
      <c r="R14" s="110" t="n">
        <v>250000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J14" s="110" t="n">
        <v>0</v>
      </c>
      <c r="AL14" s="110" t="n">
        <v>107199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f aca="false">323838+443389.2</f>
        <v>767227.2</v>
      </c>
      <c r="BH14" s="110" t="n">
        <v>0</v>
      </c>
      <c r="BJ14" s="110" t="n">
        <v>0</v>
      </c>
      <c r="BL14" s="110" t="n">
        <v>0</v>
      </c>
      <c r="BM14" s="110" t="n">
        <v>0</v>
      </c>
      <c r="BN14" s="110"/>
      <c r="BO14" s="110" t="n">
        <v>0</v>
      </c>
      <c r="BP14" s="110"/>
      <c r="BQ14" s="110" t="n">
        <f aca="false">SUM(T14:BP14)</f>
        <v>874426.2</v>
      </c>
      <c r="BR14" s="110"/>
      <c r="BS14" s="110" t="n">
        <f aca="false">59734+767227+46974+39315-250000</f>
        <v>663250</v>
      </c>
      <c r="BT14" s="110"/>
      <c r="BU14" s="110" t="n">
        <f aca="false">IF(+R14-BQ14+BS14&gt;0,R14-BQ14+BS14,0)</f>
        <v>38823.8000000001</v>
      </c>
      <c r="BW14" s="110" t="n">
        <f aca="false">+BQ14+BU14</f>
        <v>913250</v>
      </c>
      <c r="BY14" s="110" t="n">
        <f aca="false">+R14-BW14</f>
        <v>-663250</v>
      </c>
      <c r="BZ14" s="110"/>
    </row>
    <row r="15" customFormat="false" ht="12.75" hidden="false" customHeight="false" outlineLevel="0" collapsed="false">
      <c r="A15" s="164"/>
      <c r="B15" s="161"/>
      <c r="C15" s="0"/>
      <c r="D15" s="0"/>
      <c r="E15" s="0"/>
      <c r="F15" s="0"/>
      <c r="G15" s="0"/>
      <c r="H15" s="0"/>
      <c r="I15" s="0"/>
      <c r="J15" s="4"/>
      <c r="K15" s="0"/>
      <c r="L15" s="34"/>
      <c r="M15" s="110"/>
      <c r="O15" s="110"/>
      <c r="Q15" s="110"/>
      <c r="S15" s="110"/>
      <c r="T15" s="110"/>
      <c r="U15" s="110"/>
      <c r="V15" s="110"/>
      <c r="X15" s="110"/>
      <c r="Z15" s="110"/>
      <c r="AB15" s="110"/>
      <c r="AD15" s="110"/>
      <c r="BL15" s="110"/>
      <c r="BM15" s="110"/>
      <c r="BN15" s="110"/>
      <c r="BO15" s="110"/>
      <c r="BP15" s="110"/>
      <c r="BR15" s="110"/>
      <c r="BS15" s="110"/>
      <c r="BT15" s="110"/>
      <c r="BU15" s="110" t="n">
        <f aca="false">IF(+R15-BQ15+BS15&gt;0,R15-BQ15+BS15,0)</f>
        <v>0</v>
      </c>
      <c r="BY15" s="110" t="n">
        <f aca="false">+R15-BW15</f>
        <v>0</v>
      </c>
      <c r="BZ15" s="110"/>
    </row>
    <row r="16" customFormat="false" ht="12.75" hidden="false" customHeight="false" outlineLevel="0" collapsed="false">
      <c r="A16" s="164"/>
      <c r="B16" s="161" t="s">
        <v>315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N16" s="165" t="n">
        <f aca="false">SUM(N9:N15)</f>
        <v>93330000</v>
      </c>
      <c r="O16" s="110"/>
      <c r="P16" s="165" t="n">
        <f aca="false">SUM(P9:P15)</f>
        <v>0</v>
      </c>
      <c r="Q16" s="110"/>
      <c r="R16" s="165" t="n">
        <f aca="false">SUM(R9:R15)</f>
        <v>93580000</v>
      </c>
      <c r="S16" s="110"/>
      <c r="T16" s="165" t="n">
        <f aca="false">SUM(T9:T15)</f>
        <v>0</v>
      </c>
      <c r="U16" s="110"/>
      <c r="V16" s="165" t="n">
        <f aca="false">SUM(V9:V15)</f>
        <v>0</v>
      </c>
      <c r="X16" s="165" t="n">
        <f aca="false">SUM(X9:X15)</f>
        <v>0</v>
      </c>
      <c r="Z16" s="165" t="n">
        <f aca="false">SUM(Z9:Z15)</f>
        <v>0</v>
      </c>
      <c r="AB16" s="165" t="n">
        <f aca="false">SUM(AB9:AB15)</f>
        <v>0</v>
      </c>
      <c r="AD16" s="165" t="n">
        <f aca="false">SUM(AD9:AD15)</f>
        <v>0</v>
      </c>
      <c r="AF16" s="165" t="n">
        <f aca="false">SUM(AF9:AF15)</f>
        <v>0</v>
      </c>
      <c r="AH16" s="165" t="n">
        <f aca="false">SUM(AH9:AH15)</f>
        <v>0</v>
      </c>
      <c r="AJ16" s="165" t="n">
        <f aca="false">SUM(AJ9:AJ15)</f>
        <v>0</v>
      </c>
      <c r="AL16" s="165" t="n">
        <f aca="false">SUM(AL9:AL15)</f>
        <v>86082379</v>
      </c>
      <c r="AM16" s="165"/>
      <c r="AN16" s="165" t="n">
        <f aca="false">SUM(AN9:AN15)</f>
        <v>0</v>
      </c>
      <c r="AP16" s="165" t="n">
        <f aca="false">SUM(AP9:AP15)</f>
        <v>1282310</v>
      </c>
      <c r="AR16" s="165" t="n">
        <f aca="false">SUM(AR9:AR15)</f>
        <v>144155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1240525</v>
      </c>
      <c r="BB16" s="165" t="n">
        <f aca="false">SUM(BB9:BB15)</f>
        <v>0</v>
      </c>
      <c r="BD16" s="165" t="n">
        <f aca="false">SUM(BD9:BD15)</f>
        <v>1735000.05</v>
      </c>
      <c r="BF16" s="165" t="n">
        <f aca="false">SUM(BF9:BF15)</f>
        <v>3425797.2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65" t="n">
        <f aca="false">SUM(BM9:BM15)</f>
        <v>0</v>
      </c>
      <c r="BN16" s="165"/>
      <c r="BO16" s="165" t="n">
        <f aca="false">SUM(BO9:BO15)</f>
        <v>0</v>
      </c>
      <c r="BP16" s="110"/>
      <c r="BQ16" s="165" t="n">
        <f aca="false">SUM(BQ9:BQ15)</f>
        <v>93910166.25</v>
      </c>
      <c r="BR16" s="110"/>
      <c r="BS16" s="165" t="n">
        <f aca="false">SUM(BS9:BS15)</f>
        <v>2498271</v>
      </c>
      <c r="BT16" s="110"/>
      <c r="BU16" s="165" t="n">
        <f aca="false">SUM(BU9:BU15)</f>
        <v>3062573.8</v>
      </c>
      <c r="BW16" s="165" t="n">
        <f aca="false">SUM(BW9:BW15)</f>
        <v>96972740.05</v>
      </c>
      <c r="BY16" s="165" t="n">
        <f aca="false">SUM(BY9:BY15)</f>
        <v>-3392740.05</v>
      </c>
      <c r="BZ16" s="110"/>
    </row>
    <row r="17" customFormat="false" ht="12.75" hidden="false" customHeight="false" outlineLevel="0" collapsed="false">
      <c r="A17" s="164"/>
      <c r="B17" s="161"/>
      <c r="C17" s="0"/>
      <c r="D17" s="0"/>
      <c r="E17" s="0"/>
      <c r="F17" s="0"/>
      <c r="G17" s="0"/>
      <c r="H17" s="0"/>
      <c r="I17" s="0"/>
      <c r="J17" s="4"/>
      <c r="K17" s="0"/>
      <c r="L17" s="34"/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L17" s="110"/>
      <c r="BM17" s="110"/>
      <c r="BN17" s="110"/>
      <c r="BO17" s="110"/>
      <c r="BP17" s="110"/>
      <c r="BR17" s="110"/>
      <c r="BS17" s="110"/>
      <c r="BT17" s="110"/>
      <c r="BZ17" s="110"/>
    </row>
    <row r="18" customFormat="false" ht="12.75" hidden="true" customHeight="false" outlineLevel="0" collapsed="false">
      <c r="A18" s="164"/>
      <c r="B18" s="161" t="s">
        <v>162</v>
      </c>
      <c r="C18" s="0"/>
      <c r="D18" s="0"/>
      <c r="E18" s="0"/>
      <c r="F18" s="0"/>
      <c r="G18" s="0"/>
      <c r="H18" s="0"/>
      <c r="I18" s="0"/>
      <c r="J18" s="4"/>
      <c r="K18" s="0"/>
      <c r="L18" s="34" t="s">
        <v>151</v>
      </c>
      <c r="M18" s="110"/>
      <c r="N18" s="110" t="n">
        <v>0</v>
      </c>
      <c r="O18" s="110"/>
      <c r="P18" s="110" t="n">
        <v>0</v>
      </c>
      <c r="Q18" s="110"/>
      <c r="R18" s="110" t="n">
        <f aca="false">+N18+P18</f>
        <v>0</v>
      </c>
      <c r="S18" s="110"/>
      <c r="T18" s="110" t="n">
        <v>0</v>
      </c>
      <c r="U18" s="110"/>
      <c r="V18" s="110" t="n">
        <v>0</v>
      </c>
      <c r="X18" s="110" t="n">
        <v>0</v>
      </c>
      <c r="Z18" s="110" t="n">
        <v>0</v>
      </c>
      <c r="AB18" s="110" t="n">
        <v>0</v>
      </c>
      <c r="AD18" s="110" t="n">
        <v>0</v>
      </c>
      <c r="AF18" s="110" t="n">
        <v>0</v>
      </c>
      <c r="AH18" s="110" t="n">
        <v>0</v>
      </c>
      <c r="AJ18" s="110" t="n">
        <v>0</v>
      </c>
      <c r="AN18" s="110" t="n">
        <v>0</v>
      </c>
      <c r="AP18" s="110" t="n">
        <v>0</v>
      </c>
      <c r="AR18" s="110" t="n">
        <v>0</v>
      </c>
      <c r="AT18" s="110" t="n">
        <v>0</v>
      </c>
      <c r="AV18" s="110" t="n">
        <v>0</v>
      </c>
      <c r="AX18" s="110" t="n">
        <v>0</v>
      </c>
      <c r="AZ18" s="110" t="n">
        <v>0</v>
      </c>
      <c r="BB18" s="110" t="n">
        <v>0</v>
      </c>
      <c r="BD18" s="110" t="n">
        <v>0</v>
      </c>
      <c r="BF18" s="110" t="n">
        <v>0</v>
      </c>
      <c r="BH18" s="110" t="n">
        <v>0</v>
      </c>
      <c r="BJ18" s="110" t="n">
        <v>0</v>
      </c>
      <c r="BL18" s="110" t="n">
        <v>0</v>
      </c>
      <c r="BM18" s="110" t="n">
        <v>0</v>
      </c>
      <c r="BN18" s="110"/>
      <c r="BO18" s="110" t="n">
        <v>0</v>
      </c>
      <c r="BP18" s="110"/>
      <c r="BQ18" s="110" t="n">
        <f aca="false">SUM(T18:BP18)</f>
        <v>0</v>
      </c>
      <c r="BR18" s="110"/>
      <c r="BS18" s="110" t="n">
        <v>0</v>
      </c>
      <c r="BT18" s="110"/>
      <c r="BU18" s="110" t="n">
        <f aca="false">+R18-BQ18+BS18</f>
        <v>0</v>
      </c>
      <c r="BW18" s="110" t="n">
        <f aca="false">+BQ18+BU18</f>
        <v>0</v>
      </c>
      <c r="BY18" s="110" t="n">
        <f aca="false">+R18-BW18</f>
        <v>0</v>
      </c>
      <c r="BZ18" s="110"/>
    </row>
    <row r="19" customFormat="false" ht="12.75" hidden="false" customHeight="false" outlineLevel="0" collapsed="false">
      <c r="A19" s="164"/>
      <c r="B19" s="161" t="s">
        <v>163</v>
      </c>
      <c r="C19" s="0"/>
      <c r="D19" s="0"/>
      <c r="E19" s="0"/>
      <c r="F19" s="0"/>
      <c r="G19" s="0"/>
      <c r="H19" s="0"/>
      <c r="I19" s="0"/>
      <c r="J19" s="4" t="s">
        <v>141</v>
      </c>
      <c r="K19" s="0"/>
      <c r="L19" s="34" t="s">
        <v>151</v>
      </c>
      <c r="M19" s="110"/>
      <c r="N19" s="110" t="n">
        <v>0</v>
      </c>
      <c r="O19" s="110"/>
      <c r="P19" s="110" t="n">
        <v>0</v>
      </c>
      <c r="Q19" s="110"/>
      <c r="R19" s="110" t="n">
        <v>5885811</v>
      </c>
      <c r="S19" s="110"/>
      <c r="T19" s="110" t="n">
        <v>0</v>
      </c>
      <c r="U19" s="110"/>
      <c r="V19" s="110" t="n">
        <v>0</v>
      </c>
      <c r="X19" s="110" t="n">
        <v>0</v>
      </c>
      <c r="Z19" s="110" t="n">
        <v>0</v>
      </c>
      <c r="AB19" s="110" t="n">
        <v>0</v>
      </c>
      <c r="AD19" s="110" t="n">
        <v>0</v>
      </c>
      <c r="AF19" s="110" t="n">
        <v>0</v>
      </c>
      <c r="AL19" s="110" t="n">
        <v>1177162</v>
      </c>
      <c r="AN19" s="110" t="n">
        <v>0</v>
      </c>
      <c r="AP19" s="110" t="n">
        <v>0</v>
      </c>
      <c r="AT19" s="110" t="n">
        <v>1765743.3</v>
      </c>
      <c r="AV19" s="110" t="n">
        <f aca="false">569673+1196070.3</f>
        <v>1765743.3</v>
      </c>
      <c r="AX19" s="110" t="n">
        <v>0</v>
      </c>
      <c r="AZ19" s="110" t="n">
        <f aca="false">2354324-1765743</f>
        <v>588581</v>
      </c>
      <c r="BB19" s="110" t="n">
        <v>382350</v>
      </c>
      <c r="BD19" s="110" t="n">
        <v>588581.1</v>
      </c>
      <c r="BF19" s="110" t="n">
        <v>0</v>
      </c>
      <c r="BH19" s="110" t="n">
        <v>0</v>
      </c>
      <c r="BJ19" s="110" t="n">
        <v>0</v>
      </c>
      <c r="BL19" s="110" t="n">
        <v>0</v>
      </c>
      <c r="BM19" s="110" t="n">
        <v>0</v>
      </c>
      <c r="BN19" s="110"/>
      <c r="BO19" s="110" t="n">
        <v>0</v>
      </c>
      <c r="BP19" s="110"/>
      <c r="BQ19" s="110" t="n">
        <f aca="false">SUM(T19:BP19)</f>
        <v>6268160.7</v>
      </c>
      <c r="BR19" s="110"/>
      <c r="BS19" s="110" t="n">
        <f aca="false">220650+161700</f>
        <v>382350</v>
      </c>
      <c r="BT19" s="110"/>
      <c r="BU19" s="110" t="n">
        <f aca="false">IF(+R19-BQ19+BS19&gt;0,R19-BQ19+BS19,0)</f>
        <v>0.300000000745058</v>
      </c>
      <c r="BW19" s="110" t="n">
        <f aca="false">+BQ19+BU19</f>
        <v>6268161</v>
      </c>
      <c r="BY19" s="110" t="n">
        <f aca="false">+R19-BW19</f>
        <v>-382350</v>
      </c>
      <c r="BZ19" s="110"/>
    </row>
    <row r="20" customFormat="false" ht="12.75" hidden="false" customHeight="false" outlineLevel="0" collapsed="false">
      <c r="A20" s="164"/>
      <c r="B20" s="161" t="s">
        <v>164</v>
      </c>
      <c r="C20" s="0"/>
      <c r="D20" s="0"/>
      <c r="E20" s="0"/>
      <c r="F20" s="0"/>
      <c r="G20" s="0"/>
      <c r="H20" s="0"/>
      <c r="I20" s="0"/>
      <c r="J20" s="4" t="s">
        <v>141</v>
      </c>
      <c r="K20" s="0"/>
      <c r="L20" s="34" t="s">
        <v>151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AR20" s="110" t="n">
        <v>58500</v>
      </c>
      <c r="BL20" s="110"/>
      <c r="BM20" s="110"/>
      <c r="BN20" s="110"/>
      <c r="BO20" s="110"/>
      <c r="BP20" s="110"/>
      <c r="BQ20" s="110" t="n">
        <f aca="false">SUM(T20:BP20)</f>
        <v>58500</v>
      </c>
      <c r="BR20" s="110"/>
      <c r="BS20" s="110"/>
      <c r="BT20" s="110"/>
      <c r="BU20" s="110" t="n">
        <f aca="false">IF(+R20-BQ20+BS20&gt;0,R20-BQ20+BS20,0)</f>
        <v>0</v>
      </c>
      <c r="BW20" s="110" t="n">
        <f aca="false">+BQ20+BU20</f>
        <v>58500</v>
      </c>
      <c r="BY20" s="110" t="n">
        <f aca="false">+R20-BW20</f>
        <v>-58500</v>
      </c>
      <c r="BZ20" s="110"/>
    </row>
    <row r="21" customFormat="false" ht="12.75" hidden="false" customHeight="false" outlineLevel="0" collapsed="false">
      <c r="A21" s="164"/>
      <c r="B21" s="161" t="s">
        <v>165</v>
      </c>
      <c r="C21" s="0"/>
      <c r="D21" s="0"/>
      <c r="E21" s="0"/>
      <c r="F21" s="0"/>
      <c r="G21" s="0"/>
      <c r="H21" s="0"/>
      <c r="I21" s="0"/>
      <c r="J21" s="4" t="s">
        <v>141</v>
      </c>
      <c r="K21" s="0"/>
      <c r="L21" s="34" t="s">
        <v>151</v>
      </c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L21" s="110"/>
      <c r="BM21" s="110"/>
      <c r="BN21" s="110"/>
      <c r="BO21" s="110"/>
      <c r="BP21" s="110"/>
      <c r="BQ21" s="110" t="n">
        <f aca="false">SUM(T21:BP21)</f>
        <v>0</v>
      </c>
      <c r="BR21" s="110"/>
      <c r="BS21" s="110"/>
      <c r="BT21" s="110"/>
      <c r="BU21" s="110" t="n">
        <f aca="false">IF(+R21-BQ21+BS21&gt;0,R21-BQ21+BS21,0)</f>
        <v>0</v>
      </c>
      <c r="BW21" s="110" t="n">
        <f aca="false">+BQ21+BU21</f>
        <v>0</v>
      </c>
      <c r="BY21" s="110" t="n">
        <f aca="false">+R21-BW21</f>
        <v>0</v>
      </c>
      <c r="BZ21" s="110"/>
    </row>
    <row r="22" customFormat="false" ht="12.75" hidden="false" customHeight="false" outlineLevel="0" collapsed="false">
      <c r="A22" s="164"/>
      <c r="B22" s="161" t="s">
        <v>166</v>
      </c>
      <c r="C22" s="0"/>
      <c r="D22" s="0"/>
      <c r="E22" s="0"/>
      <c r="F22" s="0"/>
      <c r="G22" s="0"/>
      <c r="H22" s="0"/>
      <c r="I22" s="0"/>
      <c r="J22" s="4" t="s">
        <v>141</v>
      </c>
      <c r="K22" s="0"/>
      <c r="L22" s="34" t="s">
        <v>151</v>
      </c>
      <c r="M22" s="110"/>
      <c r="O22" s="110"/>
      <c r="Q22" s="110"/>
      <c r="S22" s="110"/>
      <c r="T22" s="110"/>
      <c r="U22" s="110"/>
      <c r="V22" s="110"/>
      <c r="X22" s="110"/>
      <c r="Z22" s="110"/>
      <c r="AB22" s="110"/>
      <c r="AD22" s="110"/>
      <c r="BL22" s="110"/>
      <c r="BM22" s="110"/>
      <c r="BN22" s="110"/>
      <c r="BO22" s="110"/>
      <c r="BP22" s="110"/>
      <c r="BQ22" s="110" t="n">
        <f aca="false">SUM(T22:BP22)</f>
        <v>0</v>
      </c>
      <c r="BR22" s="110"/>
      <c r="BS22" s="110"/>
      <c r="BT22" s="110"/>
      <c r="BU22" s="110" t="n">
        <f aca="false">IF(+R22-BQ22+BS22&gt;0,R22-BQ22+BS22,0)</f>
        <v>0</v>
      </c>
      <c r="BW22" s="110" t="n">
        <f aca="false">+BQ22+BU22</f>
        <v>0</v>
      </c>
      <c r="BY22" s="110" t="n">
        <f aca="false">+R22-BW22</f>
        <v>0</v>
      </c>
      <c r="BZ22" s="110"/>
    </row>
    <row r="23" customFormat="false" ht="12.75" hidden="false" customHeight="false" outlineLevel="0" collapsed="false">
      <c r="A23" s="164"/>
      <c r="B23" s="161" t="s">
        <v>167</v>
      </c>
      <c r="C23" s="0"/>
      <c r="D23" s="0"/>
      <c r="E23" s="0"/>
      <c r="F23" s="0"/>
      <c r="G23" s="0"/>
      <c r="H23" s="0"/>
      <c r="I23" s="0"/>
      <c r="J23" s="4" t="s">
        <v>141</v>
      </c>
      <c r="K23" s="0"/>
      <c r="L23" s="34" t="s">
        <v>151</v>
      </c>
      <c r="M23" s="110"/>
      <c r="O23" s="110"/>
      <c r="Q23" s="110"/>
      <c r="S23" s="110"/>
      <c r="T23" s="110"/>
      <c r="U23" s="110"/>
      <c r="V23" s="110"/>
      <c r="X23" s="110"/>
      <c r="Z23" s="110"/>
      <c r="AB23" s="110"/>
      <c r="AD23" s="110"/>
      <c r="BL23" s="110"/>
      <c r="BM23" s="110"/>
      <c r="BN23" s="110"/>
      <c r="BO23" s="110"/>
      <c r="BP23" s="110"/>
      <c r="BQ23" s="110" t="n">
        <f aca="false">SUM(T23:BP23)</f>
        <v>0</v>
      </c>
      <c r="BR23" s="110"/>
      <c r="BS23" s="110"/>
      <c r="BT23" s="110"/>
      <c r="BU23" s="110" t="n">
        <f aca="false">IF(+R23-BQ23+BS23&gt;0,R23-BQ23+BS23,0)</f>
        <v>0</v>
      </c>
      <c r="BW23" s="110" t="n">
        <f aca="false">+BQ23+BU23</f>
        <v>0</v>
      </c>
      <c r="BY23" s="110" t="n">
        <f aca="false">+R23-BW23</f>
        <v>0</v>
      </c>
      <c r="BZ23" s="110"/>
    </row>
    <row r="24" customFormat="false" ht="12.75" hidden="true" customHeight="false" outlineLevel="0" collapsed="false">
      <c r="A24" s="164"/>
      <c r="B24" s="161"/>
      <c r="C24" s="0"/>
      <c r="D24" s="0"/>
      <c r="E24" s="0"/>
      <c r="F24" s="0"/>
      <c r="G24" s="0"/>
      <c r="H24" s="0"/>
      <c r="I24" s="0"/>
      <c r="J24" s="4" t="s">
        <v>141</v>
      </c>
      <c r="K24" s="0"/>
      <c r="L24" s="34"/>
      <c r="M24" s="110"/>
      <c r="O24" s="110"/>
      <c r="Q24" s="110"/>
      <c r="S24" s="110"/>
      <c r="T24" s="110"/>
      <c r="U24" s="110"/>
      <c r="V24" s="110"/>
      <c r="X24" s="110"/>
      <c r="Z24" s="110"/>
      <c r="AB24" s="110"/>
      <c r="AD24" s="110"/>
      <c r="BL24" s="110"/>
      <c r="BM24" s="110"/>
      <c r="BN24" s="110"/>
      <c r="BO24" s="110"/>
      <c r="BP24" s="110"/>
      <c r="BQ24" s="110" t="n">
        <f aca="false">SUM(T24:BP24)</f>
        <v>0</v>
      </c>
      <c r="BR24" s="110"/>
      <c r="BS24" s="110"/>
      <c r="BT24" s="110"/>
      <c r="BU24" s="110" t="n">
        <f aca="false">IF(+R24-BQ24+BS24&gt;0,R24-BQ24+BS24,0)</f>
        <v>0</v>
      </c>
      <c r="BW24" s="110" t="n">
        <f aca="false">+BQ24+BU24</f>
        <v>0</v>
      </c>
      <c r="BY24" s="110" t="n">
        <f aca="false">+R24-BW24</f>
        <v>0</v>
      </c>
      <c r="BZ24" s="110"/>
    </row>
    <row r="25" customFormat="false" ht="12.75" hidden="true" customHeight="false" outlineLevel="0" collapsed="false">
      <c r="A25" s="164"/>
      <c r="B25" s="161" t="s">
        <v>168</v>
      </c>
      <c r="C25" s="0"/>
      <c r="D25" s="0"/>
      <c r="E25" s="0"/>
      <c r="F25" s="0"/>
      <c r="G25" s="0"/>
      <c r="H25" s="0"/>
      <c r="I25" s="0"/>
      <c r="J25" s="4" t="s">
        <v>141</v>
      </c>
      <c r="K25" s="0"/>
      <c r="L25" s="34" t="s">
        <v>151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 t="n">
        <v>0</v>
      </c>
      <c r="BN25" s="110"/>
      <c r="BO25" s="110" t="n">
        <v>0</v>
      </c>
      <c r="BP25" s="110"/>
      <c r="BQ25" s="110" t="n">
        <f aca="false">SUM(T25:BP25)</f>
        <v>0</v>
      </c>
      <c r="BR25" s="110"/>
      <c r="BS25" s="110" t="n">
        <v>0</v>
      </c>
      <c r="BT25" s="110"/>
      <c r="BU25" s="110" t="n">
        <f aca="false">IF(+R25-BQ25+BS25&gt;0,R25-BQ25+BS25,0)</f>
        <v>0</v>
      </c>
      <c r="BW25" s="110" t="n">
        <f aca="false">+BQ25+BU25</f>
        <v>0</v>
      </c>
      <c r="BY25" s="110" t="n">
        <f aca="false">+R25-BW25</f>
        <v>0</v>
      </c>
      <c r="BZ25" s="110"/>
    </row>
    <row r="26" customFormat="false" ht="12.75" hidden="true" customHeight="false" outlineLevel="0" collapsed="false">
      <c r="A26" s="164"/>
      <c r="B26" s="161" t="s">
        <v>169</v>
      </c>
      <c r="C26" s="0"/>
      <c r="D26" s="0"/>
      <c r="E26" s="0"/>
      <c r="F26" s="0"/>
      <c r="G26" s="0"/>
      <c r="H26" s="0"/>
      <c r="I26" s="0"/>
      <c r="J26" s="4" t="s">
        <v>141</v>
      </c>
      <c r="K26" s="0"/>
      <c r="L26" s="34" t="s">
        <v>151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 t="n">
        <v>0</v>
      </c>
      <c r="BN26" s="110"/>
      <c r="BO26" s="110" t="n">
        <v>0</v>
      </c>
      <c r="BP26" s="110"/>
      <c r="BQ26" s="110" t="n">
        <f aca="false">SUM(T26:BP26)</f>
        <v>0</v>
      </c>
      <c r="BR26" s="110"/>
      <c r="BS26" s="110" t="n">
        <v>0</v>
      </c>
      <c r="BT26" s="110"/>
      <c r="BU26" s="110" t="n">
        <f aca="false">IF(+R26-BQ26+BS26&gt;0,R26-BQ26+BS26,0)</f>
        <v>0</v>
      </c>
      <c r="BW26" s="110" t="n">
        <f aca="false">+BQ26+BU26</f>
        <v>0</v>
      </c>
      <c r="BY26" s="110" t="n">
        <f aca="false">+R26-BW26</f>
        <v>0</v>
      </c>
      <c r="BZ26" s="110"/>
    </row>
    <row r="27" customFormat="false" ht="12.75" hidden="true" customHeight="false" outlineLevel="0" collapsed="false">
      <c r="A27" s="164"/>
      <c r="B27" s="161" t="s">
        <v>170</v>
      </c>
      <c r="C27" s="0"/>
      <c r="D27" s="0"/>
      <c r="E27" s="0"/>
      <c r="F27" s="0"/>
      <c r="G27" s="0"/>
      <c r="H27" s="0"/>
      <c r="I27" s="0"/>
      <c r="J27" s="4" t="s">
        <v>141</v>
      </c>
      <c r="K27" s="0"/>
      <c r="L27" s="34" t="s">
        <v>151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 t="n">
        <v>0</v>
      </c>
      <c r="BN27" s="110"/>
      <c r="BO27" s="110" t="n">
        <v>0</v>
      </c>
      <c r="BP27" s="110"/>
      <c r="BQ27" s="110" t="n">
        <f aca="false">SUM(T27:BP27)</f>
        <v>0</v>
      </c>
      <c r="BR27" s="110"/>
      <c r="BS27" s="110" t="n">
        <v>0</v>
      </c>
      <c r="BT27" s="110"/>
      <c r="BU27" s="110" t="n">
        <f aca="false">IF(+R27-BQ27+BS27&gt;0,R27-BQ27+BS27,0)</f>
        <v>0</v>
      </c>
      <c r="BW27" s="110" t="n">
        <f aca="false">+BQ27+BU27</f>
        <v>0</v>
      </c>
      <c r="BY27" s="110" t="n">
        <f aca="false">+R27-BW27</f>
        <v>0</v>
      </c>
      <c r="BZ27" s="110"/>
    </row>
    <row r="28" customFormat="false" ht="12.75" hidden="true" customHeight="false" outlineLevel="0" collapsed="false">
      <c r="A28" s="164"/>
      <c r="B28" s="161" t="s">
        <v>171</v>
      </c>
      <c r="C28" s="0"/>
      <c r="D28" s="0"/>
      <c r="E28" s="0"/>
      <c r="F28" s="0"/>
      <c r="G28" s="0"/>
      <c r="H28" s="0"/>
      <c r="I28" s="0"/>
      <c r="J28" s="4" t="s">
        <v>141</v>
      </c>
      <c r="K28" s="0"/>
      <c r="L28" s="34" t="s">
        <v>151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 t="n">
        <v>0</v>
      </c>
      <c r="BN28" s="110"/>
      <c r="BO28" s="110" t="n">
        <v>0</v>
      </c>
      <c r="BP28" s="110"/>
      <c r="BQ28" s="110" t="n">
        <f aca="false">SUM(T28:BP28)</f>
        <v>0</v>
      </c>
      <c r="BR28" s="110"/>
      <c r="BS28" s="110" t="n">
        <v>0</v>
      </c>
      <c r="BT28" s="110"/>
      <c r="BU28" s="110" t="n">
        <f aca="false">IF(+R28-BQ28+BS28&gt;0,R28-BQ28+BS28,0)</f>
        <v>0</v>
      </c>
      <c r="BW28" s="110" t="n">
        <f aca="false">+BQ28+BU28</f>
        <v>0</v>
      </c>
      <c r="BY28" s="110" t="n">
        <f aca="false">+R28-BW28</f>
        <v>0</v>
      </c>
      <c r="BZ28" s="110"/>
    </row>
    <row r="29" customFormat="false" ht="12.75" hidden="true" customHeight="false" outlineLevel="0" collapsed="false">
      <c r="A29" s="164"/>
      <c r="B29" s="161" t="s">
        <v>172</v>
      </c>
      <c r="C29" s="0"/>
      <c r="D29" s="0"/>
      <c r="E29" s="0"/>
      <c r="F29" s="0"/>
      <c r="G29" s="0"/>
      <c r="H29" s="0"/>
      <c r="I29" s="0"/>
      <c r="J29" s="4" t="s">
        <v>141</v>
      </c>
      <c r="K29" s="0"/>
      <c r="L29" s="34" t="s">
        <v>151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 t="n">
        <v>0</v>
      </c>
      <c r="BN29" s="110"/>
      <c r="BO29" s="110" t="n">
        <v>0</v>
      </c>
      <c r="BP29" s="110"/>
      <c r="BQ29" s="110" t="n">
        <f aca="false">SUM(T29:BP29)</f>
        <v>0</v>
      </c>
      <c r="BR29" s="110"/>
      <c r="BS29" s="110" t="n">
        <v>0</v>
      </c>
      <c r="BT29" s="110"/>
      <c r="BU29" s="110" t="n">
        <f aca="false">IF(+R29-BQ29+BS29&gt;0,R29-BQ29+BS29,0)</f>
        <v>0</v>
      </c>
      <c r="BW29" s="110" t="n">
        <f aca="false">+BQ29+BU29</f>
        <v>0</v>
      </c>
      <c r="BY29" s="110" t="n">
        <f aca="false">+R29-BW29</f>
        <v>0</v>
      </c>
      <c r="BZ29" s="110"/>
    </row>
    <row r="30" customFormat="false" ht="12.75" hidden="true" customHeight="false" outlineLevel="0" collapsed="false">
      <c r="A30" s="166"/>
      <c r="B30" s="161" t="s">
        <v>173</v>
      </c>
      <c r="C30" s="0"/>
      <c r="D30" s="0"/>
      <c r="E30" s="0"/>
      <c r="F30" s="0"/>
      <c r="G30" s="0"/>
      <c r="H30" s="0"/>
      <c r="I30" s="0"/>
      <c r="J30" s="4" t="s">
        <v>141</v>
      </c>
      <c r="K30" s="0"/>
      <c r="L30" s="34" t="s">
        <v>151</v>
      </c>
      <c r="M30" s="110"/>
      <c r="N30" s="110" t="n">
        <v>0</v>
      </c>
      <c r="O30" s="110"/>
      <c r="P30" s="110" t="n">
        <v>0</v>
      </c>
      <c r="Q30" s="110"/>
      <c r="R30" s="110" t="n">
        <f aca="false">+N30+P30</f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 t="n">
        <v>0</v>
      </c>
      <c r="AF30" s="110" t="n">
        <v>0</v>
      </c>
      <c r="AH30" s="110" t="n">
        <v>0</v>
      </c>
      <c r="AJ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 t="n">
        <v>0</v>
      </c>
      <c r="BN30" s="110"/>
      <c r="BO30" s="110" t="n">
        <v>0</v>
      </c>
      <c r="BP30" s="110"/>
      <c r="BQ30" s="110" t="n">
        <f aca="false">SUM(T30:BP30)</f>
        <v>0</v>
      </c>
      <c r="BR30" s="110"/>
      <c r="BS30" s="110" t="n">
        <v>0</v>
      </c>
      <c r="BT30" s="110"/>
      <c r="BU30" s="110" t="n">
        <f aca="false">IF(+R30-BQ30+BS30&gt;0,R30-BQ30+BS30,0)</f>
        <v>0</v>
      </c>
      <c r="BW30" s="110" t="n">
        <f aca="false">+BQ30+BU30</f>
        <v>0</v>
      </c>
      <c r="BY30" s="110" t="n">
        <f aca="false">+R30-BW30</f>
        <v>0</v>
      </c>
      <c r="BZ30" s="110"/>
    </row>
    <row r="31" customFormat="false" ht="12.75" hidden="true" customHeight="false" outlineLevel="0" collapsed="false">
      <c r="A31" s="166"/>
      <c r="B31" s="161" t="s">
        <v>174</v>
      </c>
      <c r="C31" s="0"/>
      <c r="D31" s="0"/>
      <c r="E31" s="0"/>
      <c r="F31" s="0"/>
      <c r="G31" s="0"/>
      <c r="H31" s="0"/>
      <c r="I31" s="0"/>
      <c r="J31" s="4" t="s">
        <v>141</v>
      </c>
      <c r="K31" s="0"/>
      <c r="L31" s="34" t="s">
        <v>151</v>
      </c>
      <c r="M31" s="110"/>
      <c r="N31" s="110" t="n">
        <v>0</v>
      </c>
      <c r="O31" s="110"/>
      <c r="P31" s="110" t="n">
        <v>0</v>
      </c>
      <c r="Q31" s="110"/>
      <c r="R31" s="110" t="n">
        <f aca="false">+N31+P31</f>
        <v>0</v>
      </c>
      <c r="S31" s="110"/>
      <c r="T31" s="110" t="n">
        <v>0</v>
      </c>
      <c r="U31" s="110"/>
      <c r="V31" s="110" t="n">
        <v>0</v>
      </c>
      <c r="X31" s="110" t="n">
        <v>0</v>
      </c>
      <c r="Z31" s="110" t="n">
        <v>0</v>
      </c>
      <c r="AB31" s="110" t="n">
        <v>0</v>
      </c>
      <c r="AD31" s="110" t="n">
        <v>0</v>
      </c>
      <c r="AF31" s="110" t="n">
        <v>0</v>
      </c>
      <c r="AH31" s="110" t="n">
        <v>0</v>
      </c>
      <c r="AJ31" s="110" t="n">
        <v>0</v>
      </c>
      <c r="AN31" s="110" t="n">
        <v>0</v>
      </c>
      <c r="AP31" s="110" t="n">
        <v>0</v>
      </c>
      <c r="AR31" s="110" t="n">
        <v>0</v>
      </c>
      <c r="AT31" s="110" t="n">
        <v>0</v>
      </c>
      <c r="AV31" s="110" t="n">
        <v>0</v>
      </c>
      <c r="AX31" s="110" t="n">
        <v>0</v>
      </c>
      <c r="AZ31" s="110" t="n">
        <v>0</v>
      </c>
      <c r="BB31" s="110" t="n">
        <v>0</v>
      </c>
      <c r="BD31" s="110" t="n">
        <v>0</v>
      </c>
      <c r="BF31" s="110" t="n">
        <v>0</v>
      </c>
      <c r="BH31" s="110" t="n">
        <v>0</v>
      </c>
      <c r="BJ31" s="110" t="n">
        <v>0</v>
      </c>
      <c r="BL31" s="110" t="n">
        <v>0</v>
      </c>
      <c r="BM31" s="110" t="n">
        <v>0</v>
      </c>
      <c r="BN31" s="110"/>
      <c r="BO31" s="110" t="n">
        <v>0</v>
      </c>
      <c r="BP31" s="110"/>
      <c r="BQ31" s="110" t="n">
        <f aca="false">SUM(T31:BP31)</f>
        <v>0</v>
      </c>
      <c r="BR31" s="110"/>
      <c r="BS31" s="110" t="n">
        <v>0</v>
      </c>
      <c r="BT31" s="110"/>
      <c r="BU31" s="110" t="n">
        <f aca="false">IF(+R31-BQ31+BS31&gt;0,R31-BQ31+BS31,0)</f>
        <v>0</v>
      </c>
      <c r="BW31" s="110" t="n">
        <f aca="false">+BQ31+BU31</f>
        <v>0</v>
      </c>
      <c r="BY31" s="110" t="n">
        <f aca="false">+R31-BW31</f>
        <v>0</v>
      </c>
      <c r="BZ31" s="110"/>
    </row>
    <row r="32" customFormat="false" ht="12.75" hidden="true" customHeight="false" outlineLevel="0" collapsed="false">
      <c r="A32" s="164"/>
      <c r="B32" s="161" t="s">
        <v>175</v>
      </c>
      <c r="C32" s="18"/>
      <c r="D32" s="18"/>
      <c r="E32" s="18"/>
      <c r="F32" s="18"/>
      <c r="G32" s="18"/>
      <c r="H32" s="18"/>
      <c r="I32" s="18"/>
      <c r="J32" s="4" t="s">
        <v>141</v>
      </c>
      <c r="K32" s="18"/>
      <c r="L32" s="34" t="s">
        <v>151</v>
      </c>
      <c r="M32" s="110"/>
      <c r="N32" s="110" t="n">
        <v>0</v>
      </c>
      <c r="O32" s="110"/>
      <c r="P32" s="110" t="n">
        <v>0</v>
      </c>
      <c r="Q32" s="110"/>
      <c r="R32" s="110" t="n">
        <f aca="false">+N32+P32</f>
        <v>0</v>
      </c>
      <c r="S32" s="110"/>
      <c r="T32" s="110" t="n">
        <v>0</v>
      </c>
      <c r="U32" s="110"/>
      <c r="V32" s="110" t="n">
        <v>0</v>
      </c>
      <c r="X32" s="110" t="n">
        <v>0</v>
      </c>
      <c r="Z32" s="110" t="n">
        <v>0</v>
      </c>
      <c r="AB32" s="110" t="n">
        <v>0</v>
      </c>
      <c r="AD32" s="110" t="n">
        <v>0</v>
      </c>
      <c r="AF32" s="110" t="n">
        <v>0</v>
      </c>
      <c r="AH32" s="110" t="n">
        <v>0</v>
      </c>
      <c r="AJ32" s="110" t="n">
        <v>0</v>
      </c>
      <c r="AN32" s="110" t="n">
        <v>0</v>
      </c>
      <c r="AP32" s="110" t="n">
        <v>0</v>
      </c>
      <c r="AR32" s="110" t="n">
        <v>0</v>
      </c>
      <c r="AT32" s="110" t="n">
        <v>0</v>
      </c>
      <c r="AV32" s="110" t="n">
        <v>0</v>
      </c>
      <c r="AX32" s="110" t="n">
        <v>0</v>
      </c>
      <c r="AZ32" s="110" t="n">
        <v>0</v>
      </c>
      <c r="BB32" s="110" t="n">
        <v>0</v>
      </c>
      <c r="BD32" s="110" t="n">
        <v>0</v>
      </c>
      <c r="BF32" s="110" t="n">
        <v>0</v>
      </c>
      <c r="BH32" s="110" t="n">
        <v>0</v>
      </c>
      <c r="BJ32" s="110" t="n">
        <v>0</v>
      </c>
      <c r="BL32" s="110" t="n">
        <v>0</v>
      </c>
      <c r="BM32" s="110" t="n">
        <v>0</v>
      </c>
      <c r="BN32" s="110"/>
      <c r="BO32" s="110" t="n">
        <v>0</v>
      </c>
      <c r="BP32" s="110"/>
      <c r="BQ32" s="110" t="n">
        <f aca="false">SUM(T32:BP32)</f>
        <v>0</v>
      </c>
      <c r="BR32" s="110"/>
      <c r="BS32" s="110" t="n">
        <v>0</v>
      </c>
      <c r="BT32" s="110"/>
      <c r="BU32" s="110" t="n">
        <f aca="false">IF(+R32-BQ32+BS32&gt;0,R32-BQ32+BS32,0)</f>
        <v>0</v>
      </c>
      <c r="BW32" s="110" t="n">
        <f aca="false">+BQ32+BU32</f>
        <v>0</v>
      </c>
      <c r="BY32" s="110" t="n">
        <f aca="false">+R32-BW32</f>
        <v>0</v>
      </c>
      <c r="BZ32" s="110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</row>
    <row r="33" customFormat="false" ht="12.75" hidden="false" customHeight="false" outlineLevel="0" collapsed="false">
      <c r="A33" s="164"/>
      <c r="B33" s="161" t="s">
        <v>128</v>
      </c>
      <c r="C33" s="0"/>
      <c r="D33" s="0"/>
      <c r="E33" s="0"/>
      <c r="F33" s="0"/>
      <c r="G33" s="0"/>
      <c r="H33" s="0"/>
      <c r="I33" s="0"/>
      <c r="J33" s="4" t="s">
        <v>141</v>
      </c>
      <c r="K33" s="0"/>
      <c r="L33" s="34" t="s">
        <v>151</v>
      </c>
      <c r="M33" s="110"/>
      <c r="N33" s="110" t="n">
        <v>0</v>
      </c>
      <c r="O33" s="110"/>
      <c r="P33" s="110" t="n">
        <v>0</v>
      </c>
      <c r="Q33" s="110"/>
      <c r="R33" s="110" t="n">
        <v>0</v>
      </c>
      <c r="S33" s="110"/>
      <c r="T33" s="110" t="n">
        <v>0</v>
      </c>
      <c r="U33" s="110"/>
      <c r="V33" s="110" t="n">
        <v>0</v>
      </c>
      <c r="X33" s="110" t="n">
        <v>0</v>
      </c>
      <c r="Z33" s="110" t="n">
        <v>0</v>
      </c>
      <c r="AB33" s="110" t="n">
        <v>0</v>
      </c>
      <c r="AD33" s="110" t="n">
        <v>0</v>
      </c>
      <c r="AF33" s="110" t="n">
        <v>0</v>
      </c>
      <c r="AH33" s="110" t="n">
        <v>0</v>
      </c>
      <c r="AJ33" s="110" t="n">
        <v>0</v>
      </c>
      <c r="AN33" s="110" t="n">
        <v>0</v>
      </c>
      <c r="AP33" s="110" t="n">
        <v>0</v>
      </c>
      <c r="AR33" s="110" t="n">
        <v>0</v>
      </c>
      <c r="AT33" s="110" t="n">
        <v>8000</v>
      </c>
      <c r="AV33" s="110" t="n">
        <v>130800</v>
      </c>
      <c r="AX33" s="110" t="n">
        <v>0</v>
      </c>
      <c r="AZ33" s="110" t="n">
        <v>0</v>
      </c>
      <c r="BB33" s="110" t="n">
        <v>0</v>
      </c>
      <c r="BD33" s="110" t="n">
        <v>0</v>
      </c>
      <c r="BF33" s="110" t="n">
        <v>0</v>
      </c>
      <c r="BH33" s="110" t="n">
        <v>0</v>
      </c>
      <c r="BJ33" s="110" t="n">
        <v>0</v>
      </c>
      <c r="BL33" s="110" t="n">
        <v>0</v>
      </c>
      <c r="BM33" s="110" t="n">
        <v>0</v>
      </c>
      <c r="BN33" s="110"/>
      <c r="BO33" s="110" t="n">
        <v>0</v>
      </c>
      <c r="BP33" s="110"/>
      <c r="BQ33" s="110" t="n">
        <f aca="false">SUM(T33:BP33)</f>
        <v>138800</v>
      </c>
      <c r="BR33" s="110"/>
      <c r="BS33" s="110" t="n">
        <v>0</v>
      </c>
      <c r="BT33" s="110"/>
      <c r="BU33" s="110" t="n">
        <f aca="false">IF(+R33-BQ33+BS33&gt;0,R33-BQ33+BS33,0)</f>
        <v>0</v>
      </c>
      <c r="BW33" s="110" t="n">
        <f aca="false">+BQ33+BU33</f>
        <v>138800</v>
      </c>
      <c r="BY33" s="110" t="n">
        <f aca="false">+R33-BW33</f>
        <v>-138800</v>
      </c>
      <c r="BZ33" s="110"/>
    </row>
    <row r="34" customFormat="false" ht="12.75" hidden="false" customHeight="false" outlineLevel="0" collapsed="false">
      <c r="A34" s="164"/>
      <c r="B34" s="161"/>
      <c r="C34" s="0"/>
      <c r="D34" s="0"/>
      <c r="E34" s="0"/>
      <c r="F34" s="0"/>
      <c r="G34" s="0"/>
      <c r="H34" s="0"/>
      <c r="I34" s="0"/>
      <c r="J34" s="4"/>
      <c r="K34" s="0"/>
      <c r="L34" s="34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BL34" s="110"/>
      <c r="BM34" s="110"/>
      <c r="BN34" s="110"/>
      <c r="BO34" s="110"/>
      <c r="BP34" s="110"/>
      <c r="BR34" s="110"/>
      <c r="BS34" s="110"/>
      <c r="BT34" s="110"/>
      <c r="BU34" s="110" t="n">
        <f aca="false">IF(+R34-BQ34+BS34&gt;0,R34-BQ34+BS34,0)</f>
        <v>0</v>
      </c>
      <c r="BW34" s="110" t="n">
        <f aca="false">+BQ34+BU34</f>
        <v>0</v>
      </c>
      <c r="BY34" s="110" t="n">
        <f aca="false">+R34-BW34</f>
        <v>0</v>
      </c>
      <c r="BZ34" s="110"/>
    </row>
    <row r="35" customFormat="false" ht="12.75" hidden="false" customHeight="false" outlineLevel="0" collapsed="false">
      <c r="A35" s="164"/>
      <c r="B35" s="161" t="s">
        <v>176</v>
      </c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N35" s="165" t="n">
        <f aca="false">SUM(N18:N34)</f>
        <v>0</v>
      </c>
      <c r="O35" s="110"/>
      <c r="P35" s="165" t="n">
        <f aca="false">SUM(P18:P34)</f>
        <v>0</v>
      </c>
      <c r="Q35" s="110"/>
      <c r="R35" s="165" t="n">
        <f aca="false">SUM(R18:R34)</f>
        <v>5885811</v>
      </c>
      <c r="S35" s="110"/>
      <c r="T35" s="165" t="n">
        <f aca="false">SUM(T18:T34)</f>
        <v>0</v>
      </c>
      <c r="U35" s="110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0</v>
      </c>
      <c r="AJ35" s="165" t="n">
        <f aca="false">SUM(AJ18:AJ34)</f>
        <v>0</v>
      </c>
      <c r="AL35" s="165" t="n">
        <f aca="false">SUM(AL18:AL34)</f>
        <v>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58500</v>
      </c>
      <c r="AT35" s="165" t="n">
        <f aca="false">SUM(AT18:AT34)</f>
        <v>1773743.3</v>
      </c>
      <c r="AV35" s="165" t="n">
        <f aca="false">SUM(AV18:AV34)</f>
        <v>1896543.3</v>
      </c>
      <c r="AX35" s="165" t="n">
        <f aca="false">SUM(AX18:AX34)</f>
        <v>0</v>
      </c>
      <c r="AZ35" s="165" t="n">
        <f aca="false">SUM(AZ18:AZ34)</f>
        <v>588581</v>
      </c>
      <c r="BB35" s="165" t="n">
        <f aca="false">SUM(BB18:BB34)</f>
        <v>382350</v>
      </c>
      <c r="BD35" s="165" t="n">
        <f aca="false">SUM(BD18:BD34)</f>
        <v>588581.1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65" t="n">
        <f aca="false">SUM(BM18:BM34)</f>
        <v>0</v>
      </c>
      <c r="BN35" s="165"/>
      <c r="BO35" s="165" t="n">
        <f aca="false">SUM(BO18:BO34)</f>
        <v>0</v>
      </c>
      <c r="BP35" s="110"/>
      <c r="BQ35" s="165" t="n">
        <f aca="false">SUM(BQ18:BQ34)</f>
        <v>6465460.7</v>
      </c>
      <c r="BR35" s="110"/>
      <c r="BS35" s="165" t="n">
        <f aca="false">SUM(BS18:BS34)</f>
        <v>382350</v>
      </c>
      <c r="BT35" s="110"/>
      <c r="BU35" s="165" t="n">
        <f aca="false">SUM(BU18:BU34)</f>
        <v>0.300000000745058</v>
      </c>
      <c r="BW35" s="165" t="n">
        <f aca="false">SUM(BW18:BW34)</f>
        <v>6465461</v>
      </c>
      <c r="BY35" s="165" t="n">
        <f aca="false">SUM(BY18:BY34)</f>
        <v>-579650</v>
      </c>
      <c r="BZ35" s="110"/>
    </row>
    <row r="36" customFormat="false" ht="12.75" hidden="false" customHeight="false" outlineLevel="0" collapsed="false">
      <c r="A36" s="164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L36" s="110"/>
      <c r="BM36" s="110"/>
      <c r="BN36" s="110"/>
      <c r="BO36" s="110"/>
      <c r="BP36" s="110"/>
      <c r="BR36" s="110"/>
      <c r="BS36" s="110"/>
      <c r="BT36" s="110"/>
      <c r="BZ36" s="110"/>
    </row>
    <row r="37" customFormat="false" ht="12.75" hidden="false" customHeight="false" outlineLevel="0" collapsed="false">
      <c r="A37" s="167"/>
      <c r="B37" s="168" t="s">
        <v>177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99465811</v>
      </c>
      <c r="S37" s="172"/>
      <c r="T37" s="172" t="n">
        <f aca="false">+T35+T16</f>
        <v>0</v>
      </c>
      <c r="U37" s="172"/>
      <c r="V37" s="172" t="n">
        <f aca="false">+V35+V16</f>
        <v>0</v>
      </c>
      <c r="W37" s="172"/>
      <c r="X37" s="172" t="n">
        <f aca="false">+X35+X16</f>
        <v>0</v>
      </c>
      <c r="Y37" s="172"/>
      <c r="Z37" s="172" t="n">
        <f aca="false">+Z35+Z16</f>
        <v>0</v>
      </c>
      <c r="AA37" s="172"/>
      <c r="AB37" s="172" t="n">
        <f aca="false">+AB35+AB16</f>
        <v>0</v>
      </c>
      <c r="AC37" s="172"/>
      <c r="AD37" s="172" t="n">
        <f aca="false">+AD35+AD16</f>
        <v>0</v>
      </c>
      <c r="AE37" s="172"/>
      <c r="AF37" s="172" t="n">
        <f aca="false">+AF35+AF16</f>
        <v>0</v>
      </c>
      <c r="AG37" s="172"/>
      <c r="AH37" s="172" t="n">
        <f aca="false">+AH35+AH16</f>
        <v>0</v>
      </c>
      <c r="AI37" s="172"/>
      <c r="AJ37" s="172" t="n">
        <f aca="false">+AJ35+AJ16</f>
        <v>0</v>
      </c>
      <c r="AK37" s="172"/>
      <c r="AL37" s="172" t="n">
        <f aca="false">+AL35+AL16</f>
        <v>87259541</v>
      </c>
      <c r="AM37" s="172"/>
      <c r="AN37" s="172" t="n">
        <f aca="false">+AN35+AN16</f>
        <v>0</v>
      </c>
      <c r="AO37" s="172"/>
      <c r="AP37" s="172" t="n">
        <f aca="false">+AP35+AP16</f>
        <v>1282310</v>
      </c>
      <c r="AQ37" s="172"/>
      <c r="AR37" s="172" t="n">
        <f aca="false">+AR35+AR16</f>
        <v>202655</v>
      </c>
      <c r="AS37" s="172"/>
      <c r="AT37" s="172" t="n">
        <f aca="false">+AT35+AT16</f>
        <v>1773743.3</v>
      </c>
      <c r="AU37" s="172"/>
      <c r="AV37" s="172" t="n">
        <f aca="false">+AV35+AV16</f>
        <v>1896543.3</v>
      </c>
      <c r="AW37" s="172"/>
      <c r="AX37" s="172" t="n">
        <f aca="false">+AX35+AX16</f>
        <v>0</v>
      </c>
      <c r="AY37" s="172"/>
      <c r="AZ37" s="172" t="n">
        <f aca="false">+AZ35+AZ16</f>
        <v>1829106</v>
      </c>
      <c r="BA37" s="172"/>
      <c r="BB37" s="172" t="n">
        <f aca="false">+BB35+BB16</f>
        <v>382350</v>
      </c>
      <c r="BD37" s="172" t="n">
        <f aca="false">+BD35+BD16</f>
        <v>2323581.15</v>
      </c>
      <c r="BF37" s="172" t="n">
        <f aca="false">+BF35+BF16</f>
        <v>3425797.2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 t="n">
        <f aca="false">+BM35+BM16</f>
        <v>0</v>
      </c>
      <c r="BN37" s="172"/>
      <c r="BO37" s="172" t="n">
        <f aca="false">+BO35+BO16</f>
        <v>0</v>
      </c>
      <c r="BP37" s="172"/>
      <c r="BQ37" s="172" t="n">
        <f aca="false">+BQ35+BQ16</f>
        <v>100375626.95</v>
      </c>
      <c r="BR37" s="172"/>
      <c r="BS37" s="172" t="n">
        <f aca="false">+BS35+BS16</f>
        <v>2880621</v>
      </c>
      <c r="BT37" s="172"/>
      <c r="BU37" s="172" t="n">
        <f aca="false">+BU35+BU16</f>
        <v>3062574.1</v>
      </c>
      <c r="BV37" s="172"/>
      <c r="BW37" s="172" t="n">
        <f aca="false">+BW35+BW16</f>
        <v>103438201.05</v>
      </c>
      <c r="BX37" s="172"/>
      <c r="BY37" s="172" t="n">
        <f aca="false">+BY35+BY16</f>
        <v>-3972390.05</v>
      </c>
      <c r="BZ37" s="172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164"/>
      <c r="B38" s="173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BL38" s="110"/>
      <c r="BM38" s="110"/>
      <c r="BN38" s="110"/>
      <c r="BO38" s="110"/>
      <c r="BP38" s="110"/>
      <c r="BR38" s="110"/>
      <c r="BS38" s="110"/>
      <c r="BT38" s="110"/>
      <c r="BZ38" s="110"/>
    </row>
    <row r="39" customFormat="false" ht="12.75" hidden="false" customHeight="false" outlineLevel="0" collapsed="false">
      <c r="A39" s="164"/>
      <c r="B39" s="161"/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BL39" s="110"/>
      <c r="BM39" s="110"/>
      <c r="BN39" s="110"/>
      <c r="BO39" s="110"/>
      <c r="BP39" s="110"/>
      <c r="BR39" s="110"/>
      <c r="BS39" s="110"/>
      <c r="BT39" s="110"/>
      <c r="BZ39" s="110"/>
    </row>
    <row r="40" customFormat="false" ht="12.75" hidden="false" customHeight="false" outlineLevel="0" collapsed="false">
      <c r="A40" s="160" t="s">
        <v>178</v>
      </c>
      <c r="B40" s="161"/>
      <c r="C40" s="0"/>
      <c r="D40" s="0"/>
      <c r="E40" s="0"/>
      <c r="F40" s="0"/>
      <c r="G40" s="0"/>
      <c r="H40" s="0"/>
      <c r="I40" s="0"/>
      <c r="J40" s="4"/>
      <c r="K40" s="0"/>
      <c r="L40" s="34"/>
      <c r="M40" s="110"/>
      <c r="O40" s="110"/>
      <c r="Q40" s="110"/>
      <c r="S40" s="110"/>
      <c r="T40" s="110"/>
      <c r="U40" s="110"/>
      <c r="V40" s="110"/>
      <c r="X40" s="110"/>
      <c r="Z40" s="110"/>
      <c r="AB40" s="110"/>
      <c r="AD40" s="110"/>
      <c r="AI40" s="0"/>
      <c r="AK40" s="0"/>
      <c r="AM40" s="0"/>
      <c r="BL40" s="110"/>
      <c r="BM40" s="110"/>
      <c r="BN40" s="110"/>
      <c r="BO40" s="110"/>
      <c r="BP40" s="110"/>
      <c r="BR40" s="110"/>
      <c r="BS40" s="110"/>
      <c r="BT40" s="110"/>
      <c r="BY40" s="119"/>
    </row>
    <row r="41" customFormat="false" ht="12.75" hidden="false" customHeight="false" outlineLevel="0" collapsed="false">
      <c r="A41" s="164"/>
      <c r="B41" s="161"/>
      <c r="C41" s="0"/>
      <c r="D41" s="0"/>
      <c r="E41" s="0"/>
      <c r="F41" s="0"/>
      <c r="G41" s="0"/>
      <c r="H41" s="0"/>
      <c r="I41" s="0"/>
      <c r="J41" s="4"/>
      <c r="K41" s="0"/>
      <c r="L41" s="34"/>
      <c r="M41" s="110"/>
      <c r="O41" s="110"/>
      <c r="Q41" s="110"/>
      <c r="S41" s="110"/>
      <c r="T41" s="110" t="n">
        <v>0</v>
      </c>
      <c r="U41" s="110"/>
      <c r="V41" s="110" t="n">
        <v>0</v>
      </c>
      <c r="X41" s="110" t="n">
        <v>0</v>
      </c>
      <c r="Z41" s="110" t="n">
        <v>0</v>
      </c>
      <c r="AB41" s="110" t="n">
        <v>0</v>
      </c>
      <c r="AD41" s="110" t="n">
        <v>0</v>
      </c>
      <c r="AF41" s="110" t="n">
        <v>0</v>
      </c>
      <c r="AH41" s="110" t="n">
        <v>0</v>
      </c>
      <c r="AI41" s="0"/>
      <c r="AJ41" s="110" t="n">
        <v>0</v>
      </c>
      <c r="AK41" s="0"/>
      <c r="AL41" s="110" t="n">
        <v>0</v>
      </c>
      <c r="AM41" s="0"/>
      <c r="AN41" s="110" t="n">
        <v>0</v>
      </c>
      <c r="AP41" s="110" t="n">
        <v>0</v>
      </c>
      <c r="AR41" s="110" t="n">
        <v>0</v>
      </c>
      <c r="AT41" s="110" t="n">
        <v>0</v>
      </c>
      <c r="AV41" s="110" t="n">
        <v>0</v>
      </c>
      <c r="AX41" s="110" t="n">
        <v>0</v>
      </c>
      <c r="AZ41" s="110" t="n">
        <v>0</v>
      </c>
      <c r="BB41" s="110" t="n">
        <v>0</v>
      </c>
      <c r="BD41" s="110" t="n">
        <v>0</v>
      </c>
      <c r="BF41" s="110" t="n">
        <v>0</v>
      </c>
      <c r="BH41" s="110" t="n">
        <v>0</v>
      </c>
      <c r="BJ41" s="110" t="n">
        <v>0</v>
      </c>
      <c r="BL41" s="110"/>
      <c r="BM41" s="110"/>
      <c r="BN41" s="110"/>
      <c r="BO41" s="110"/>
      <c r="BP41" s="110"/>
      <c r="BR41" s="110"/>
      <c r="BS41" s="110"/>
      <c r="BT41" s="110"/>
      <c r="BY41" s="119"/>
    </row>
    <row r="42" customFormat="false" ht="12.75" hidden="false" customHeight="false" outlineLevel="0" collapsed="false">
      <c r="A42" s="164"/>
      <c r="B42" s="239" t="s">
        <v>179</v>
      </c>
      <c r="C42" s="0"/>
      <c r="D42" s="0"/>
      <c r="E42" s="0"/>
      <c r="F42" s="0"/>
      <c r="G42" s="0"/>
      <c r="H42" s="0"/>
      <c r="I42" s="0"/>
      <c r="J42" s="4"/>
      <c r="K42" s="0"/>
      <c r="L42" s="34"/>
      <c r="M42" s="110"/>
      <c r="O42" s="110"/>
      <c r="Q42" s="110"/>
      <c r="S42" s="110"/>
      <c r="T42" s="110"/>
      <c r="U42" s="110"/>
      <c r="V42" s="110"/>
      <c r="X42" s="110"/>
      <c r="Z42" s="110"/>
      <c r="AB42" s="110"/>
      <c r="AD42" s="110"/>
      <c r="AI42" s="0"/>
      <c r="AK42" s="0"/>
      <c r="AM42" s="0"/>
      <c r="BL42" s="110"/>
      <c r="BM42" s="110"/>
      <c r="BN42" s="110"/>
      <c r="BO42" s="110"/>
      <c r="BP42" s="110"/>
      <c r="BR42" s="110"/>
      <c r="BS42" s="110"/>
      <c r="BT42" s="110"/>
      <c r="BY42" s="119"/>
    </row>
    <row r="43" customFormat="false" ht="13.5" hidden="false" customHeight="false" outlineLevel="0" collapsed="false">
      <c r="A43" s="164"/>
      <c r="B43" s="175" t="s">
        <v>180</v>
      </c>
      <c r="C43" s="0"/>
      <c r="D43" s="0"/>
      <c r="E43" s="0"/>
      <c r="F43" s="0"/>
      <c r="G43" s="0"/>
      <c r="H43" s="0"/>
      <c r="I43" s="0"/>
      <c r="J43" s="4" t="s">
        <v>181</v>
      </c>
      <c r="K43" s="0"/>
      <c r="L43" s="34" t="s">
        <v>151</v>
      </c>
      <c r="M43" s="110"/>
      <c r="O43" s="110"/>
      <c r="Q43" s="110"/>
      <c r="R43" s="240" t="n">
        <v>1493645</v>
      </c>
      <c r="S43" s="110"/>
      <c r="T43" s="110"/>
      <c r="U43" s="110"/>
      <c r="V43" s="110"/>
      <c r="X43" s="110"/>
      <c r="Z43" s="110"/>
      <c r="AB43" s="110"/>
      <c r="AD43" s="110"/>
      <c r="AI43" s="0"/>
      <c r="AK43" s="0"/>
      <c r="AM43" s="0"/>
      <c r="AR43" s="110" t="n">
        <v>11452</v>
      </c>
      <c r="AV43" s="110" t="n">
        <f aca="false">104705-11452</f>
        <v>93253</v>
      </c>
      <c r="AZ43" s="110" t="n">
        <f aca="false">490688-104705</f>
        <v>385983</v>
      </c>
      <c r="BH43" s="110" t="n">
        <f aca="false">1344184-490688</f>
        <v>853496</v>
      </c>
      <c r="BL43" s="0"/>
      <c r="BM43" s="0"/>
      <c r="BN43" s="0"/>
      <c r="BO43" s="0"/>
      <c r="BP43" s="110"/>
      <c r="BQ43" s="110" t="n">
        <f aca="false">SUM(T43:BP43)</f>
        <v>1344184</v>
      </c>
      <c r="BR43" s="110"/>
      <c r="BS43" s="110" t="n">
        <f aca="false">1508635-1493645</f>
        <v>14990</v>
      </c>
      <c r="BT43" s="110"/>
      <c r="BU43" s="110" t="n">
        <f aca="false">IF(+R43-AR43+BS43&gt;0,R43-AR43+BS43,0)</f>
        <v>1497183</v>
      </c>
      <c r="BW43" s="110" t="n">
        <f aca="false">+AR43+BU43</f>
        <v>1508635</v>
      </c>
      <c r="BY43" s="110" t="n">
        <f aca="false">+R43-BW43</f>
        <v>-14990</v>
      </c>
    </row>
    <row r="44" customFormat="false" ht="13.5" hidden="false" customHeight="false" outlineLevel="0" collapsed="false">
      <c r="A44" s="164"/>
      <c r="B44" s="175" t="s">
        <v>182</v>
      </c>
      <c r="C44" s="0"/>
      <c r="D44" s="0"/>
      <c r="E44" s="0"/>
      <c r="F44" s="0"/>
      <c r="G44" s="0"/>
      <c r="H44" s="0"/>
      <c r="I44" s="0"/>
      <c r="J44" s="4" t="s">
        <v>181</v>
      </c>
      <c r="K44" s="0"/>
      <c r="L44" s="34" t="s">
        <v>151</v>
      </c>
      <c r="M44" s="110"/>
      <c r="O44" s="110"/>
      <c r="Q44" s="110"/>
      <c r="R44" s="240" t="n">
        <v>1564045</v>
      </c>
      <c r="S44" s="110"/>
      <c r="T44" s="110"/>
      <c r="U44" s="110"/>
      <c r="V44" s="110"/>
      <c r="X44" s="110"/>
      <c r="Z44" s="110"/>
      <c r="AB44" s="110"/>
      <c r="AD44" s="110"/>
      <c r="AI44" s="0"/>
      <c r="AK44" s="0"/>
      <c r="AM44" s="0"/>
      <c r="AR44" s="110" t="n">
        <f aca="false">43084+12404</f>
        <v>55488</v>
      </c>
      <c r="AV44" s="110" t="n">
        <f aca="false">101222-43084+6007</f>
        <v>64145</v>
      </c>
      <c r="AZ44" s="110" t="n">
        <f aca="false">454688-119633</f>
        <v>335055</v>
      </c>
      <c r="BH44" s="110" t="n">
        <f aca="false">1597694-454688</f>
        <v>1143006</v>
      </c>
      <c r="BL44" s="0"/>
      <c r="BM44" s="0"/>
      <c r="BN44" s="0"/>
      <c r="BO44" s="0"/>
      <c r="BP44" s="110"/>
      <c r="BQ44" s="110" t="n">
        <f aca="false">SUM(T44:BP44)</f>
        <v>1597694</v>
      </c>
      <c r="BR44" s="110"/>
      <c r="BS44" s="110" t="n">
        <f aca="false">2075718-1564045</f>
        <v>511673</v>
      </c>
      <c r="BT44" s="110"/>
      <c r="BU44" s="110" t="n">
        <f aca="false">IF(+R44-AR44+BS44&gt;0,R44-AR44+BS44,0)</f>
        <v>2020230</v>
      </c>
      <c r="BW44" s="110" t="n">
        <f aca="false">+AR44+BU44</f>
        <v>2075718</v>
      </c>
      <c r="BY44" s="110" t="n">
        <f aca="false">+R44-BW44</f>
        <v>-511673</v>
      </c>
    </row>
    <row r="45" customFormat="false" ht="13.5" hidden="false" customHeight="false" outlineLevel="0" collapsed="false">
      <c r="A45" s="164"/>
      <c r="B45" s="175" t="s">
        <v>183</v>
      </c>
      <c r="C45" s="0"/>
      <c r="D45" s="0"/>
      <c r="E45" s="0"/>
      <c r="F45" s="0"/>
      <c r="G45" s="0"/>
      <c r="H45" s="0"/>
      <c r="I45" s="0"/>
      <c r="J45" s="4" t="s">
        <v>181</v>
      </c>
      <c r="K45" s="0"/>
      <c r="L45" s="34" t="s">
        <v>151</v>
      </c>
      <c r="M45" s="110"/>
      <c r="O45" s="110"/>
      <c r="Q45" s="110"/>
      <c r="R45" s="240" t="n">
        <v>11021245</v>
      </c>
      <c r="S45" s="110"/>
      <c r="T45" s="110"/>
      <c r="U45" s="110"/>
      <c r="V45" s="110"/>
      <c r="X45" s="110"/>
      <c r="Z45" s="110"/>
      <c r="AB45" s="110"/>
      <c r="AD45" s="110"/>
      <c r="AI45" s="0"/>
      <c r="AK45" s="0"/>
      <c r="AM45" s="0"/>
      <c r="AR45" s="110" t="n">
        <f aca="false">12159+19967+81333+95392+14212+60494</f>
        <v>283557</v>
      </c>
      <c r="AV45" s="110" t="n">
        <f aca="false">255585-12159+144018+47209+57725+37856+633442+59744</f>
        <v>1223420</v>
      </c>
      <c r="AZ45" s="241" t="n">
        <f aca="false">2452211-1506977</f>
        <v>945234</v>
      </c>
      <c r="BH45" s="110" t="n">
        <f aca="false">3634383-2452211</f>
        <v>1182172</v>
      </c>
      <c r="BL45" s="0"/>
      <c r="BM45" s="0"/>
      <c r="BN45" s="0"/>
      <c r="BO45" s="0"/>
      <c r="BP45" s="110"/>
      <c r="BQ45" s="110" t="n">
        <f aca="false">SUM(T45:BP45)</f>
        <v>3634383</v>
      </c>
      <c r="BR45" s="110"/>
      <c r="BS45" s="110" t="n">
        <f aca="false">11814208-11021245</f>
        <v>792963</v>
      </c>
      <c r="BT45" s="110"/>
      <c r="BU45" s="110" t="n">
        <f aca="false">IF(+R45-AR45+BS45&gt;0,R45-AR45+BS45,0)</f>
        <v>11530651</v>
      </c>
      <c r="BW45" s="110" t="n">
        <f aca="false">+AR45+BU45</f>
        <v>11814208</v>
      </c>
      <c r="BY45" s="110" t="n">
        <f aca="false">+R45-BW45</f>
        <v>-792963</v>
      </c>
    </row>
    <row r="46" customFormat="false" ht="13.5" hidden="false" customHeight="false" outlineLevel="0" collapsed="false">
      <c r="A46" s="164"/>
      <c r="B46" s="175" t="s">
        <v>184</v>
      </c>
      <c r="C46" s="0"/>
      <c r="D46" s="0"/>
      <c r="E46" s="0"/>
      <c r="F46" s="0"/>
      <c r="G46" s="0"/>
      <c r="H46" s="0"/>
      <c r="I46" s="0"/>
      <c r="J46" s="4" t="s">
        <v>181</v>
      </c>
      <c r="K46" s="0"/>
      <c r="L46" s="34" t="s">
        <v>151</v>
      </c>
      <c r="M46" s="110"/>
      <c r="N46" s="110" t="n">
        <v>0</v>
      </c>
      <c r="O46" s="110"/>
      <c r="P46" s="110" t="n">
        <v>0</v>
      </c>
      <c r="Q46" s="110"/>
      <c r="R46" s="240" t="n">
        <v>538785</v>
      </c>
      <c r="S46" s="110"/>
      <c r="T46" s="110" t="n">
        <v>0</v>
      </c>
      <c r="U46" s="110"/>
      <c r="V46" s="110" t="n">
        <v>0</v>
      </c>
      <c r="X46" s="110" t="n">
        <v>0</v>
      </c>
      <c r="Z46" s="110" t="n">
        <v>0</v>
      </c>
      <c r="AB46" s="110" t="n">
        <v>0</v>
      </c>
      <c r="AD46" s="110" t="n">
        <v>0</v>
      </c>
      <c r="AF46" s="110" t="n">
        <v>0</v>
      </c>
      <c r="AH46" s="110" t="n">
        <v>0</v>
      </c>
      <c r="AI46" s="0"/>
      <c r="AJ46" s="110" t="n">
        <v>0</v>
      </c>
      <c r="AK46" s="0"/>
      <c r="AL46" s="110" t="n">
        <v>0</v>
      </c>
      <c r="AM46" s="0"/>
      <c r="AN46" s="110" t="n">
        <v>0</v>
      </c>
      <c r="AP46" s="110" t="n">
        <v>0</v>
      </c>
      <c r="AR46" s="110" t="n">
        <v>58714</v>
      </c>
      <c r="AT46" s="110" t="n">
        <v>0</v>
      </c>
      <c r="AV46" s="110" t="n">
        <f aca="false">97285-58714</f>
        <v>38571</v>
      </c>
      <c r="AX46" s="110" t="n">
        <v>0</v>
      </c>
      <c r="AZ46" s="110" t="n">
        <f aca="false">272628-97285</f>
        <v>175343</v>
      </c>
      <c r="BB46" s="110" t="n">
        <v>0</v>
      </c>
      <c r="BD46" s="110" t="n">
        <v>0</v>
      </c>
      <c r="BH46" s="110" t="n">
        <f aca="false">464879-272628</f>
        <v>192251</v>
      </c>
      <c r="BJ46" s="110" t="n">
        <v>0</v>
      </c>
      <c r="BL46" s="0"/>
      <c r="BM46" s="0"/>
      <c r="BN46" s="0"/>
      <c r="BO46" s="0"/>
      <c r="BP46" s="110"/>
      <c r="BQ46" s="110" t="n">
        <f aca="false">SUM(T46:BP46)</f>
        <v>464879</v>
      </c>
      <c r="BR46" s="110"/>
      <c r="BS46" s="110" t="n">
        <f aca="false">592469-538785</f>
        <v>53684</v>
      </c>
      <c r="BT46" s="110"/>
      <c r="BU46" s="110" t="n">
        <f aca="false">IF(+R46-AR46+BS46&gt;0,R46-AR46+BS46,0)</f>
        <v>533755</v>
      </c>
      <c r="BW46" s="110" t="n">
        <f aca="false">+AR46+BU46</f>
        <v>592469</v>
      </c>
      <c r="BY46" s="110" t="n">
        <f aca="false">+R46-BW46</f>
        <v>-53684</v>
      </c>
    </row>
    <row r="47" customFormat="false" ht="13.5" hidden="false" customHeight="false" outlineLevel="0" collapsed="false">
      <c r="A47" s="164"/>
      <c r="B47" s="175" t="s">
        <v>185</v>
      </c>
      <c r="C47" s="0"/>
      <c r="D47" s="0"/>
      <c r="E47" s="0"/>
      <c r="F47" s="0"/>
      <c r="G47" s="0"/>
      <c r="H47" s="0"/>
      <c r="I47" s="0"/>
      <c r="J47" s="4" t="s">
        <v>181</v>
      </c>
      <c r="K47" s="0"/>
      <c r="L47" s="34" t="s">
        <v>151</v>
      </c>
      <c r="M47" s="110"/>
      <c r="N47" s="110" t="n">
        <v>0</v>
      </c>
      <c r="O47" s="110"/>
      <c r="P47" s="110" t="n">
        <v>0</v>
      </c>
      <c r="Q47" s="110"/>
      <c r="R47" s="240" t="n">
        <v>150000</v>
      </c>
      <c r="S47" s="110"/>
      <c r="T47" s="110" t="n">
        <v>0</v>
      </c>
      <c r="U47" s="110"/>
      <c r="V47" s="110" t="n">
        <v>0</v>
      </c>
      <c r="X47" s="110" t="n">
        <v>0</v>
      </c>
      <c r="Z47" s="110" t="n">
        <v>0</v>
      </c>
      <c r="AB47" s="110" t="n">
        <v>0</v>
      </c>
      <c r="AD47" s="110" t="n">
        <v>0</v>
      </c>
      <c r="AF47" s="110" t="n">
        <v>0</v>
      </c>
      <c r="AH47" s="110" t="n">
        <v>0</v>
      </c>
      <c r="AI47" s="0"/>
      <c r="AJ47" s="110" t="n">
        <v>0</v>
      </c>
      <c r="AK47" s="0"/>
      <c r="AL47" s="110" t="n">
        <v>0</v>
      </c>
      <c r="AM47" s="0"/>
      <c r="AN47" s="110" t="n">
        <v>0</v>
      </c>
      <c r="AP47" s="110" t="n">
        <v>0</v>
      </c>
      <c r="AR47" s="110" t="n">
        <v>11607</v>
      </c>
      <c r="AT47" s="110" t="n">
        <v>0</v>
      </c>
      <c r="AV47" s="110" t="n">
        <f aca="false">77250-11607</f>
        <v>65643</v>
      </c>
      <c r="AX47" s="110" t="n">
        <v>0</v>
      </c>
      <c r="AZ47" s="110" t="n">
        <f aca="false">57394-77250</f>
        <v>-19856</v>
      </c>
      <c r="BB47" s="110" t="n">
        <v>0</v>
      </c>
      <c r="BD47" s="110" t="n">
        <v>0</v>
      </c>
      <c r="BH47" s="110" t="n">
        <f aca="false">137472-57394</f>
        <v>80078</v>
      </c>
      <c r="BJ47" s="110" t="n">
        <v>0</v>
      </c>
      <c r="BL47" s="0"/>
      <c r="BM47" s="0"/>
      <c r="BN47" s="0"/>
      <c r="BO47" s="0"/>
      <c r="BP47" s="110"/>
      <c r="BQ47" s="110" t="n">
        <f aca="false">SUM(T47:BP47)</f>
        <v>137472</v>
      </c>
      <c r="BR47" s="110"/>
      <c r="BS47" s="110" t="n">
        <v>0</v>
      </c>
      <c r="BT47" s="110"/>
      <c r="BU47" s="110" t="n">
        <f aca="false">IF(+R47-AR47+BS47&gt;0,R47-AR47+BS47,0)</f>
        <v>138393</v>
      </c>
      <c r="BW47" s="110" t="n">
        <f aca="false">+AR47+BU47</f>
        <v>150000</v>
      </c>
      <c r="BY47" s="110" t="n">
        <f aca="false">+R47-BW47</f>
        <v>0</v>
      </c>
    </row>
    <row r="48" customFormat="false" ht="13.5" hidden="false" customHeight="false" outlineLevel="0" collapsed="false">
      <c r="A48" s="164"/>
      <c r="B48" s="175" t="s">
        <v>186</v>
      </c>
      <c r="C48" s="0"/>
      <c r="D48" s="0"/>
      <c r="E48" s="0"/>
      <c r="F48" s="0"/>
      <c r="G48" s="0"/>
      <c r="H48" s="0"/>
      <c r="I48" s="0"/>
      <c r="J48" s="4" t="s">
        <v>181</v>
      </c>
      <c r="K48" s="0"/>
      <c r="L48" s="34" t="s">
        <v>151</v>
      </c>
      <c r="M48" s="110"/>
      <c r="N48" s="110" t="n">
        <v>0</v>
      </c>
      <c r="O48" s="110"/>
      <c r="P48" s="110" t="n">
        <v>0</v>
      </c>
      <c r="Q48" s="110"/>
      <c r="R48" s="240" t="n">
        <v>0</v>
      </c>
      <c r="S48" s="110"/>
      <c r="T48" s="110" t="n">
        <v>0</v>
      </c>
      <c r="U48" s="110"/>
      <c r="V48" s="110" t="n">
        <v>0</v>
      </c>
      <c r="X48" s="110" t="n">
        <v>0</v>
      </c>
      <c r="Z48" s="110" t="n">
        <v>0</v>
      </c>
      <c r="AB48" s="110" t="n">
        <v>0</v>
      </c>
      <c r="AD48" s="110" t="n">
        <v>0</v>
      </c>
      <c r="AF48" s="110" t="n">
        <v>0</v>
      </c>
      <c r="AH48" s="110" t="n">
        <v>0</v>
      </c>
      <c r="AI48" s="0"/>
      <c r="AJ48" s="110" t="n">
        <v>0</v>
      </c>
      <c r="AK48" s="0"/>
      <c r="AL48" s="110" t="n">
        <v>0</v>
      </c>
      <c r="AM48" s="0"/>
      <c r="AN48" s="110" t="n">
        <v>0</v>
      </c>
      <c r="AP48" s="110" t="n">
        <v>0</v>
      </c>
      <c r="AR48" s="110" t="n">
        <v>0</v>
      </c>
      <c r="AT48" s="110" t="n">
        <v>0</v>
      </c>
      <c r="AV48" s="110" t="n">
        <v>0</v>
      </c>
      <c r="AX48" s="110" t="n">
        <v>0</v>
      </c>
      <c r="AZ48" s="110" t="n">
        <v>0</v>
      </c>
      <c r="BB48" s="110" t="n">
        <v>0</v>
      </c>
      <c r="BD48" s="110" t="n">
        <v>0</v>
      </c>
      <c r="BF48" s="110" t="n">
        <v>0</v>
      </c>
      <c r="BH48" s="110" t="n">
        <v>0</v>
      </c>
      <c r="BJ48" s="110" t="n">
        <v>0</v>
      </c>
      <c r="BL48" s="110"/>
      <c r="BM48" s="110"/>
      <c r="BN48" s="110"/>
      <c r="BO48" s="110"/>
      <c r="BP48" s="110"/>
      <c r="BQ48" s="110" t="n">
        <f aca="false">SUM(T48:BP48)</f>
        <v>0</v>
      </c>
      <c r="BR48" s="110"/>
      <c r="BS48" s="110" t="n">
        <v>421112</v>
      </c>
      <c r="BT48" s="110"/>
      <c r="BU48" s="110" t="n">
        <f aca="false">IF(+R48-BQ48+BS48&gt;0,R48-BQ48+BS48,0)</f>
        <v>421112</v>
      </c>
      <c r="BW48" s="110" t="n">
        <f aca="false">+BQ48+BU48</f>
        <v>421112</v>
      </c>
      <c r="BY48" s="110" t="n">
        <f aca="false">+R48-BW48</f>
        <v>-421112</v>
      </c>
    </row>
    <row r="49" customFormat="false" ht="13.5" hidden="false" customHeight="false" outlineLevel="0" collapsed="false">
      <c r="A49" s="164"/>
      <c r="B49" s="175" t="s">
        <v>187</v>
      </c>
      <c r="C49" s="0"/>
      <c r="D49" s="0"/>
      <c r="E49" s="0"/>
      <c r="F49" s="0"/>
      <c r="G49" s="0"/>
      <c r="H49" s="0"/>
      <c r="I49" s="0"/>
      <c r="J49" s="4"/>
      <c r="K49" s="0"/>
      <c r="L49" s="34" t="s">
        <v>151</v>
      </c>
      <c r="M49" s="110"/>
      <c r="N49" s="110" t="n">
        <v>0</v>
      </c>
      <c r="O49" s="110"/>
      <c r="P49" s="110" t="n">
        <v>0</v>
      </c>
      <c r="Q49" s="110"/>
      <c r="R49" s="240" t="n">
        <v>-2832</v>
      </c>
      <c r="S49" s="110"/>
      <c r="T49" s="110" t="n">
        <v>0</v>
      </c>
      <c r="U49" s="110"/>
      <c r="V49" s="110" t="n">
        <v>0</v>
      </c>
      <c r="X49" s="110" t="n">
        <v>0</v>
      </c>
      <c r="Z49" s="110" t="n">
        <v>0</v>
      </c>
      <c r="AB49" s="110" t="n">
        <v>0</v>
      </c>
      <c r="AD49" s="110" t="n">
        <v>0</v>
      </c>
      <c r="AF49" s="110" t="n">
        <v>0</v>
      </c>
      <c r="AH49" s="110" t="n">
        <v>0</v>
      </c>
      <c r="AI49" s="0"/>
      <c r="AJ49" s="110" t="n">
        <v>0</v>
      </c>
      <c r="AK49" s="0"/>
      <c r="AL49" s="110" t="n">
        <v>0</v>
      </c>
      <c r="AM49" s="0"/>
      <c r="AN49" s="110" t="n">
        <v>0</v>
      </c>
      <c r="AP49" s="110" t="n">
        <v>0</v>
      </c>
      <c r="AR49" s="110" t="n">
        <v>0</v>
      </c>
      <c r="AT49" s="110" t="n">
        <v>0</v>
      </c>
      <c r="AV49" s="110" t="n">
        <v>0</v>
      </c>
      <c r="AX49" s="110" t="n">
        <v>0</v>
      </c>
      <c r="AZ49" s="110" t="n">
        <v>0</v>
      </c>
      <c r="BB49" s="110" t="n">
        <v>0</v>
      </c>
      <c r="BD49" s="110" t="n">
        <v>0</v>
      </c>
      <c r="BF49" s="110" t="n">
        <v>0</v>
      </c>
      <c r="BH49" s="110" t="n">
        <v>0</v>
      </c>
      <c r="BJ49" s="110" t="n">
        <v>0</v>
      </c>
      <c r="BL49" s="110"/>
      <c r="BM49" s="110"/>
      <c r="BN49" s="110"/>
      <c r="BO49" s="110"/>
      <c r="BP49" s="110"/>
      <c r="BQ49" s="110" t="n">
        <f aca="false">SUM(T49:BP49)</f>
        <v>0</v>
      </c>
      <c r="BR49" s="110"/>
      <c r="BS49" s="110"/>
      <c r="BT49" s="110"/>
      <c r="BU49" s="110" t="n">
        <f aca="false">IF(+R49-BQ49+BS49&gt;0,R49-BQ49+BS49,0)</f>
        <v>0</v>
      </c>
      <c r="BW49" s="110" t="n">
        <f aca="false">+BQ49+BU49</f>
        <v>0</v>
      </c>
      <c r="BY49" s="110" t="n">
        <f aca="false">+R49-BW49</f>
        <v>-2832</v>
      </c>
    </row>
    <row r="50" customFormat="false" ht="13.5" hidden="false" customHeight="false" outlineLevel="0" collapsed="false">
      <c r="A50" s="164"/>
      <c r="B50" s="175" t="s">
        <v>217</v>
      </c>
      <c r="C50" s="0"/>
      <c r="D50" s="0"/>
      <c r="E50" s="0"/>
      <c r="F50" s="0"/>
      <c r="G50" s="0"/>
      <c r="H50" s="0"/>
      <c r="I50" s="0"/>
      <c r="J50" s="4"/>
      <c r="K50" s="0"/>
      <c r="L50" s="34"/>
      <c r="M50" s="110"/>
      <c r="O50" s="110"/>
      <c r="Q50" s="110"/>
      <c r="R50" s="240"/>
      <c r="S50" s="110"/>
      <c r="T50" s="110"/>
      <c r="U50" s="110"/>
      <c r="V50" s="110"/>
      <c r="X50" s="110"/>
      <c r="Z50" s="110"/>
      <c r="AB50" s="110"/>
      <c r="AD50" s="110"/>
      <c r="AI50" s="0"/>
      <c r="AK50" s="0"/>
      <c r="AM50" s="0"/>
      <c r="AZ50" s="110" t="n">
        <v>34274</v>
      </c>
      <c r="BH50" s="110" t="n">
        <v>104120</v>
      </c>
      <c r="BL50" s="110"/>
      <c r="BM50" s="110"/>
      <c r="BN50" s="110"/>
      <c r="BO50" s="110"/>
      <c r="BP50" s="110"/>
      <c r="BQ50" s="110" t="n">
        <f aca="false">SUM(T50:BP50)</f>
        <v>138394</v>
      </c>
      <c r="BR50" s="110"/>
      <c r="BS50" s="110" t="n">
        <v>0</v>
      </c>
      <c r="BT50" s="110"/>
      <c r="BU50" s="110" t="n">
        <f aca="false">IF(+R50-BQ50+BS50&gt;0,R50-BQ50+BS50,0)</f>
        <v>0</v>
      </c>
      <c r="BW50" s="110" t="n">
        <f aca="false">+BQ50+BU50</f>
        <v>138394</v>
      </c>
      <c r="BY50" s="110" t="n">
        <f aca="false">+R50-BW50</f>
        <v>-138394</v>
      </c>
    </row>
    <row r="51" customFormat="false" ht="13.5" hidden="false" customHeight="false" outlineLevel="0" collapsed="false">
      <c r="A51" s="164"/>
      <c r="B51" s="175" t="s">
        <v>397</v>
      </c>
      <c r="C51" s="0"/>
      <c r="D51" s="0"/>
      <c r="E51" s="0"/>
      <c r="F51" s="0"/>
      <c r="G51" s="0"/>
      <c r="H51" s="0"/>
      <c r="I51" s="0"/>
      <c r="J51" s="4"/>
      <c r="K51" s="0"/>
      <c r="L51" s="34"/>
      <c r="M51" s="110"/>
      <c r="O51" s="110"/>
      <c r="Q51" s="110"/>
      <c r="S51" s="110"/>
      <c r="T51" s="110"/>
      <c r="U51" s="110"/>
      <c r="V51" s="110"/>
      <c r="X51" s="110"/>
      <c r="Z51" s="110"/>
      <c r="AB51" s="110"/>
      <c r="AD51" s="110"/>
      <c r="AI51" s="0"/>
      <c r="AK51" s="0"/>
      <c r="AM51" s="0"/>
      <c r="AV51" s="110" t="n">
        <v>19839</v>
      </c>
      <c r="AZ51" s="110" t="n">
        <f aca="false">61465-19839</f>
        <v>41626</v>
      </c>
      <c r="BH51" s="110" t="n">
        <f aca="false">32425+454136</f>
        <v>486561</v>
      </c>
      <c r="BL51" s="110"/>
      <c r="BM51" s="110"/>
      <c r="BN51" s="110"/>
      <c r="BO51" s="110"/>
      <c r="BP51" s="110"/>
      <c r="BQ51" s="110" t="n">
        <f aca="false">SUM(T51:BP51)</f>
        <v>548026</v>
      </c>
      <c r="BR51" s="110"/>
      <c r="BS51" s="110" t="n">
        <v>0</v>
      </c>
      <c r="BT51" s="110"/>
      <c r="BU51" s="110" t="n">
        <f aca="false">IF(+R51-BQ51+BS51&gt;0,R51-BQ51+BS51,0)</f>
        <v>0</v>
      </c>
      <c r="BW51" s="110" t="n">
        <f aca="false">+BQ51+BU51</f>
        <v>548026</v>
      </c>
      <c r="BY51" s="110" t="n">
        <f aca="false">+R51-BW51</f>
        <v>-548026</v>
      </c>
    </row>
    <row r="52" customFormat="false" ht="13.5" hidden="false" customHeight="false" outlineLevel="0" collapsed="false">
      <c r="A52" s="164"/>
      <c r="B52" s="175" t="s">
        <v>398</v>
      </c>
      <c r="C52" s="0"/>
      <c r="D52" s="0"/>
      <c r="E52" s="0"/>
      <c r="F52" s="0"/>
      <c r="G52" s="0"/>
      <c r="H52" s="0"/>
      <c r="I52" s="0"/>
      <c r="J52" s="4"/>
      <c r="K52" s="0"/>
      <c r="L52" s="34"/>
      <c r="M52" s="110"/>
      <c r="O52" s="110"/>
      <c r="Q52" s="110"/>
      <c r="S52" s="110"/>
      <c r="T52" s="110"/>
      <c r="U52" s="110"/>
      <c r="V52" s="110"/>
      <c r="X52" s="110"/>
      <c r="Z52" s="110"/>
      <c r="AB52" s="110"/>
      <c r="AD52" s="110"/>
      <c r="AI52" s="0"/>
      <c r="AK52" s="0"/>
      <c r="AM52" s="0"/>
      <c r="AV52" s="110" t="n">
        <v>264288</v>
      </c>
      <c r="AZ52" s="110" t="n">
        <f aca="false">281729-264288</f>
        <v>17441</v>
      </c>
      <c r="BL52" s="110"/>
      <c r="BM52" s="110"/>
      <c r="BN52" s="110"/>
      <c r="BO52" s="110"/>
      <c r="BP52" s="110"/>
      <c r="BQ52" s="110" t="n">
        <f aca="false">SUM(T52:BP52)</f>
        <v>281729</v>
      </c>
      <c r="BR52" s="110"/>
      <c r="BS52" s="110" t="n">
        <v>263743</v>
      </c>
      <c r="BT52" s="110"/>
      <c r="BU52" s="110" t="n">
        <f aca="false">IF(+R52-BQ52+BS52&gt;0,R52-BQ52+BS52,0)</f>
        <v>0</v>
      </c>
      <c r="BW52" s="110" t="n">
        <f aca="false">+BQ52+BU52</f>
        <v>281729</v>
      </c>
      <c r="BY52" s="110" t="n">
        <f aca="false">+R52-BW52</f>
        <v>-281729</v>
      </c>
    </row>
    <row r="53" customFormat="false" ht="13.5" hidden="false" customHeight="false" outlineLevel="0" collapsed="false">
      <c r="A53" s="164"/>
      <c r="B53" s="175"/>
      <c r="C53" s="0"/>
      <c r="D53" s="0"/>
      <c r="E53" s="0"/>
      <c r="F53" s="0"/>
      <c r="G53" s="0"/>
      <c r="H53" s="0"/>
      <c r="I53" s="0"/>
      <c r="J53" s="4"/>
      <c r="K53" s="0"/>
      <c r="L53" s="34" t="s">
        <v>151</v>
      </c>
      <c r="M53" s="110"/>
      <c r="N53" s="110" t="n">
        <v>0</v>
      </c>
      <c r="O53" s="110"/>
      <c r="P53" s="110" t="n">
        <v>0</v>
      </c>
      <c r="Q53" s="110"/>
      <c r="S53" s="110"/>
      <c r="T53" s="110" t="n">
        <v>0</v>
      </c>
      <c r="U53" s="110"/>
      <c r="V53" s="110" t="n">
        <v>0</v>
      </c>
      <c r="X53" s="110" t="n">
        <v>0</v>
      </c>
      <c r="Z53" s="110" t="n">
        <v>0</v>
      </c>
      <c r="AB53" s="110" t="n">
        <v>0</v>
      </c>
      <c r="AD53" s="110" t="n">
        <v>0</v>
      </c>
      <c r="AF53" s="110" t="n">
        <v>0</v>
      </c>
      <c r="AH53" s="110" t="n">
        <v>0</v>
      </c>
      <c r="AI53" s="0"/>
      <c r="AJ53" s="110" t="n">
        <v>0</v>
      </c>
      <c r="AK53" s="0"/>
      <c r="AL53" s="110" t="n">
        <v>0</v>
      </c>
      <c r="AM53" s="0"/>
      <c r="AN53" s="110" t="n">
        <v>0</v>
      </c>
      <c r="AP53" s="110" t="n">
        <v>0</v>
      </c>
      <c r="AR53" s="110" t="n">
        <v>0</v>
      </c>
      <c r="AT53" s="110" t="n">
        <v>0</v>
      </c>
      <c r="AV53" s="110" t="n">
        <v>0</v>
      </c>
      <c r="AX53" s="110" t="n">
        <v>0</v>
      </c>
      <c r="AZ53" s="110" t="n">
        <v>0</v>
      </c>
      <c r="BB53" s="110" t="n">
        <v>0</v>
      </c>
      <c r="BD53" s="110" t="n">
        <v>0</v>
      </c>
      <c r="BF53" s="110" t="n">
        <v>0</v>
      </c>
      <c r="BH53" s="110" t="n">
        <v>0</v>
      </c>
      <c r="BJ53" s="110" t="n">
        <v>0</v>
      </c>
      <c r="BL53" s="110"/>
      <c r="BM53" s="110"/>
      <c r="BN53" s="110"/>
      <c r="BO53" s="110"/>
      <c r="BP53" s="110"/>
      <c r="BQ53" s="110" t="n">
        <f aca="false">SUM(T53:BP53)</f>
        <v>0</v>
      </c>
      <c r="BR53" s="110"/>
      <c r="BS53" s="110"/>
      <c r="BT53" s="110"/>
      <c r="BU53" s="110" t="n">
        <f aca="false">IF(+R53-BQ53+BS53&gt;0,R53-BQ53+BS53,0)</f>
        <v>0</v>
      </c>
      <c r="BW53" s="110" t="n">
        <f aca="false">+BQ53+BU53</f>
        <v>0</v>
      </c>
      <c r="BY53" s="110" t="n">
        <f aca="false">+R53-BW53</f>
        <v>0</v>
      </c>
    </row>
    <row r="54" customFormat="false" ht="12.75" hidden="false" customHeight="false" outlineLevel="0" collapsed="false">
      <c r="A54" s="177"/>
      <c r="B54" s="178" t="s">
        <v>188</v>
      </c>
      <c r="C54" s="2"/>
      <c r="D54" s="2"/>
      <c r="E54" s="2"/>
      <c r="F54" s="2"/>
      <c r="G54" s="2"/>
      <c r="H54" s="2"/>
      <c r="I54" s="2"/>
      <c r="J54" s="3"/>
      <c r="K54" s="2"/>
      <c r="L54" s="179" t="s">
        <v>151</v>
      </c>
      <c r="M54" s="24"/>
      <c r="N54" s="24" t="n">
        <v>0</v>
      </c>
      <c r="O54" s="24"/>
      <c r="P54" s="24" t="n">
        <v>0</v>
      </c>
      <c r="Q54" s="24"/>
      <c r="R54" s="24" t="n">
        <f aca="false">SUM(R43:R53)</f>
        <v>14764888</v>
      </c>
      <c r="S54" s="24" t="n">
        <f aca="false">SUM(S43:S53)</f>
        <v>0</v>
      </c>
      <c r="T54" s="24" t="n">
        <f aca="false">SUM(T43:T53)</f>
        <v>0</v>
      </c>
      <c r="U54" s="24" t="n">
        <f aca="false">SUM(U43:U53)</f>
        <v>0</v>
      </c>
      <c r="V54" s="24" t="n">
        <f aca="false">SUM(V43:V53)</f>
        <v>0</v>
      </c>
      <c r="W54" s="24" t="n">
        <f aca="false">SUM(W43:W53)</f>
        <v>0</v>
      </c>
      <c r="X54" s="24" t="n">
        <f aca="false">SUM(X43:X53)</f>
        <v>0</v>
      </c>
      <c r="Y54" s="24" t="n">
        <f aca="false">SUM(Y43:Y53)</f>
        <v>0</v>
      </c>
      <c r="Z54" s="24" t="n">
        <f aca="false">SUM(Z43:Z53)</f>
        <v>0</v>
      </c>
      <c r="AA54" s="24" t="n">
        <f aca="false">SUM(AA43:AA53)</f>
        <v>0</v>
      </c>
      <c r="AB54" s="24" t="n">
        <f aca="false">SUM(AB43:AB53)</f>
        <v>0</v>
      </c>
      <c r="AC54" s="24" t="n">
        <f aca="false">SUM(AC43:AC53)</f>
        <v>0</v>
      </c>
      <c r="AD54" s="24" t="n">
        <f aca="false">SUM(AD43:AD53)</f>
        <v>0</v>
      </c>
      <c r="AE54" s="24" t="n">
        <f aca="false">SUM(AE43:AE53)</f>
        <v>0</v>
      </c>
      <c r="AF54" s="24" t="n">
        <f aca="false">SUM(AF43:AF53)</f>
        <v>0</v>
      </c>
      <c r="AG54" s="24" t="n">
        <f aca="false">SUM(AG43:AG53)</f>
        <v>0</v>
      </c>
      <c r="AH54" s="24" t="n">
        <f aca="false">SUM(AH43:AH53)</f>
        <v>0</v>
      </c>
      <c r="AI54" s="24"/>
      <c r="AJ54" s="24" t="n">
        <f aca="false">SUM(AJ43:AJ53)</f>
        <v>0</v>
      </c>
      <c r="AK54" s="24"/>
      <c r="AL54" s="24" t="n">
        <f aca="false">SUM(AL43:AL53)</f>
        <v>0</v>
      </c>
      <c r="AM54" s="24"/>
      <c r="AN54" s="24" t="n">
        <f aca="false">SUM(AN43:AN53)</f>
        <v>0</v>
      </c>
      <c r="AO54" s="24"/>
      <c r="AP54" s="24" t="n">
        <f aca="false">SUM(AP43:AP53)</f>
        <v>0</v>
      </c>
      <c r="AQ54" s="24"/>
      <c r="AR54" s="24" t="n">
        <f aca="false">SUM(AR43:AR53)</f>
        <v>420818</v>
      </c>
      <c r="AS54" s="24" t="n">
        <f aca="false">SUM(AS43:AS53)</f>
        <v>0</v>
      </c>
      <c r="AT54" s="24" t="n">
        <f aca="false">SUM(AT43:AT53)</f>
        <v>0</v>
      </c>
      <c r="AU54" s="24" t="n">
        <f aca="false">SUM(AU43:AU53)</f>
        <v>0</v>
      </c>
      <c r="AV54" s="24" t="n">
        <f aca="false">SUM(AV43:AV53)</f>
        <v>1769159</v>
      </c>
      <c r="AW54" s="24" t="n">
        <f aca="false">SUM(AW43:AW53)</f>
        <v>0</v>
      </c>
      <c r="AX54" s="24" t="n">
        <f aca="false">SUM(AX43:AX53)</f>
        <v>0</v>
      </c>
      <c r="AY54" s="24" t="n">
        <f aca="false">SUM(AY43:AY53)</f>
        <v>0</v>
      </c>
      <c r="AZ54" s="24" t="n">
        <f aca="false">SUM(AZ43:AZ53)</f>
        <v>1915100</v>
      </c>
      <c r="BA54" s="24" t="n">
        <f aca="false">SUM(BA43:BA53)</f>
        <v>0</v>
      </c>
      <c r="BB54" s="24" t="n">
        <f aca="false">SUM(BB43:BB53)</f>
        <v>0</v>
      </c>
      <c r="BD54" s="24" t="n">
        <f aca="false">SUM(BD43:BD53)</f>
        <v>0</v>
      </c>
      <c r="BF54" s="24" t="n">
        <f aca="false">SUM(BF43:BF53)</f>
        <v>0</v>
      </c>
      <c r="BG54" s="24" t="n">
        <f aca="false">SUM(BG43:BG53)</f>
        <v>0</v>
      </c>
      <c r="BH54" s="24" t="n">
        <f aca="false">SUM(BH43:BH53)</f>
        <v>4041684</v>
      </c>
      <c r="BI54" s="24" t="n">
        <f aca="false">SUM(BI43:BI53)</f>
        <v>0</v>
      </c>
      <c r="BJ54" s="24" t="n">
        <f aca="false">SUM(BJ43:BJ53)</f>
        <v>0</v>
      </c>
      <c r="BK54" s="24" t="n">
        <f aca="false">SUM(BK43:BK53)</f>
        <v>0</v>
      </c>
      <c r="BL54" s="24" t="n">
        <f aca="false">SUM(BL43:BL53)</f>
        <v>0</v>
      </c>
      <c r="BM54" s="24" t="n">
        <f aca="false">SUM(BM43:BM53)</f>
        <v>0</v>
      </c>
      <c r="BN54" s="24"/>
      <c r="BO54" s="24" t="n">
        <f aca="false">SUM(BO43:BO53)</f>
        <v>0</v>
      </c>
      <c r="BP54" s="24" t="n">
        <f aca="false">SUM(BP43:BP53)</f>
        <v>0</v>
      </c>
      <c r="BQ54" s="24" t="n">
        <f aca="false">SUM(BQ43:BQ53)</f>
        <v>8146761</v>
      </c>
      <c r="BR54" s="24" t="n">
        <f aca="false">SUM(BR43:BR53)</f>
        <v>0</v>
      </c>
      <c r="BS54" s="24" t="n">
        <f aca="false">SUM(BS43:BS53)</f>
        <v>2058165</v>
      </c>
      <c r="BT54" s="24" t="n">
        <f aca="false">SUM(BT43:BT53)</f>
        <v>0</v>
      </c>
      <c r="BU54" s="24" t="n">
        <f aca="false">SUM(BU43:BU53)</f>
        <v>16141324</v>
      </c>
      <c r="BV54" s="24" t="n">
        <f aca="false">SUM(BV43:BV53)</f>
        <v>0</v>
      </c>
      <c r="BW54" s="24" t="n">
        <f aca="false">SUM(BW43:BW53)</f>
        <v>17530291</v>
      </c>
      <c r="BX54" s="24"/>
      <c r="BY54" s="24" t="n">
        <f aca="false">+R54-BW54</f>
        <v>-2765403</v>
      </c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64"/>
      <c r="B55" s="242"/>
      <c r="C55" s="0"/>
      <c r="D55" s="0"/>
      <c r="E55" s="0"/>
      <c r="F55" s="0"/>
      <c r="G55" s="0"/>
      <c r="H55" s="0"/>
      <c r="I55" s="0"/>
      <c r="J55" s="4"/>
      <c r="K55" s="0"/>
      <c r="L55" s="34"/>
      <c r="M55" s="110"/>
      <c r="O55" s="110"/>
      <c r="Q55" s="110"/>
      <c r="S55" s="110"/>
      <c r="T55" s="110"/>
      <c r="U55" s="110"/>
      <c r="V55" s="110"/>
      <c r="X55" s="110"/>
      <c r="Z55" s="110"/>
      <c r="AB55" s="110"/>
      <c r="AD55" s="110"/>
      <c r="AI55" s="0"/>
      <c r="AK55" s="0"/>
      <c r="AM55" s="0"/>
      <c r="BL55" s="110"/>
      <c r="BM55" s="110"/>
      <c r="BN55" s="110"/>
      <c r="BO55" s="110"/>
      <c r="BP55" s="110"/>
      <c r="BR55" s="110"/>
      <c r="BS55" s="110"/>
      <c r="BT55" s="110"/>
      <c r="BY55" s="119"/>
    </row>
    <row r="56" customFormat="false" ht="12.75" hidden="false" customHeight="false" outlineLevel="0" collapsed="false">
      <c r="B56" s="2" t="s">
        <v>189</v>
      </c>
      <c r="C56" s="0"/>
      <c r="D56" s="0"/>
      <c r="E56" s="0"/>
      <c r="F56" s="0"/>
      <c r="G56" s="0"/>
      <c r="H56" s="0"/>
      <c r="I56" s="0"/>
      <c r="J56" s="4"/>
      <c r="K56" s="0"/>
      <c r="L56" s="34"/>
      <c r="M56" s="110"/>
      <c r="O56" s="110"/>
      <c r="Q56" s="110"/>
      <c r="S56" s="110"/>
      <c r="T56" s="110"/>
      <c r="U56" s="110"/>
      <c r="V56" s="110"/>
      <c r="X56" s="110"/>
      <c r="Z56" s="110"/>
      <c r="AB56" s="110"/>
      <c r="AD56" s="110"/>
      <c r="AI56" s="0"/>
      <c r="AK56" s="0"/>
      <c r="AM56" s="0"/>
      <c r="BL56" s="110"/>
      <c r="BM56" s="110"/>
      <c r="BN56" s="110"/>
      <c r="BO56" s="110"/>
      <c r="BP56" s="110"/>
      <c r="BR56" s="110"/>
      <c r="BS56" s="110"/>
      <c r="BT56" s="110"/>
      <c r="BY56" s="119"/>
    </row>
    <row r="57" customFormat="false" ht="13.5" hidden="false" customHeight="false" outlineLevel="0" collapsed="false">
      <c r="A57" s="18"/>
      <c r="B57" s="175" t="s">
        <v>190</v>
      </c>
      <c r="C57" s="0"/>
      <c r="D57" s="0"/>
      <c r="E57" s="0"/>
      <c r="F57" s="0"/>
      <c r="G57" s="0"/>
      <c r="H57" s="0"/>
      <c r="I57" s="0"/>
      <c r="J57" s="4" t="s">
        <v>181</v>
      </c>
      <c r="K57" s="0"/>
      <c r="L57" s="34"/>
      <c r="M57" s="110"/>
      <c r="O57" s="110"/>
      <c r="Q57" s="110"/>
      <c r="R57" s="240" t="n">
        <v>200485</v>
      </c>
      <c r="S57" s="110"/>
      <c r="T57" s="110"/>
      <c r="U57" s="110"/>
      <c r="V57" s="110"/>
      <c r="X57" s="110"/>
      <c r="Z57" s="110"/>
      <c r="AB57" s="110"/>
      <c r="AD57" s="110"/>
      <c r="AI57" s="0"/>
      <c r="AK57" s="0"/>
      <c r="AM57" s="0"/>
      <c r="AV57" s="110" t="n">
        <v>557</v>
      </c>
      <c r="AZ57" s="110" t="n">
        <f aca="false">117841-557</f>
        <v>117284</v>
      </c>
      <c r="BH57" s="110" t="n">
        <f aca="false">288544-117841</f>
        <v>170703</v>
      </c>
      <c r="BL57" s="110"/>
      <c r="BM57" s="110"/>
      <c r="BN57" s="110"/>
      <c r="BO57" s="110"/>
      <c r="BP57" s="110"/>
      <c r="BQ57" s="110" t="n">
        <f aca="false">SUM(T57:BP57)</f>
        <v>288544</v>
      </c>
      <c r="BR57" s="110"/>
      <c r="BS57" s="110"/>
      <c r="BT57" s="110"/>
      <c r="BU57" s="110" t="n">
        <f aca="false">IF(+R57-BQ57+BS57&gt;0,R57-BQ57+BS57,0)</f>
        <v>0</v>
      </c>
      <c r="BW57" s="110" t="n">
        <f aca="false">+BQ57+BU57</f>
        <v>288544</v>
      </c>
      <c r="BY57" s="110" t="n">
        <f aca="false">+R57-BW57</f>
        <v>-88059</v>
      </c>
    </row>
    <row r="58" customFormat="false" ht="13.5" hidden="false" customHeight="false" outlineLevel="0" collapsed="false">
      <c r="A58" s="18"/>
      <c r="B58" s="175" t="s">
        <v>191</v>
      </c>
      <c r="C58" s="0"/>
      <c r="D58" s="0"/>
      <c r="E58" s="0"/>
      <c r="F58" s="0"/>
      <c r="G58" s="0"/>
      <c r="H58" s="0"/>
      <c r="I58" s="0"/>
      <c r="J58" s="4" t="s">
        <v>181</v>
      </c>
      <c r="K58" s="0"/>
      <c r="L58" s="34"/>
      <c r="M58" s="110"/>
      <c r="O58" s="110"/>
      <c r="Q58" s="110"/>
      <c r="R58" s="240" t="n">
        <v>3824394</v>
      </c>
      <c r="S58" s="110"/>
      <c r="T58" s="110"/>
      <c r="U58" s="110"/>
      <c r="V58" s="110"/>
      <c r="X58" s="110"/>
      <c r="Z58" s="110"/>
      <c r="AB58" s="110"/>
      <c r="AD58" s="110"/>
      <c r="AI58" s="0"/>
      <c r="AK58" s="0"/>
      <c r="AM58" s="0"/>
      <c r="AR58" s="110" t="n">
        <v>84021</v>
      </c>
      <c r="AV58" s="110" t="n">
        <v>224712</v>
      </c>
      <c r="AZ58" s="110" t="n">
        <f aca="false">2894530-308733</f>
        <v>2585797</v>
      </c>
      <c r="BH58" s="110" t="n">
        <f aca="false">3204369-2894530</f>
        <v>309839</v>
      </c>
      <c r="BL58" s="110"/>
      <c r="BM58" s="110"/>
      <c r="BN58" s="110"/>
      <c r="BO58" s="110"/>
      <c r="BP58" s="110"/>
      <c r="BQ58" s="110" t="n">
        <f aca="false">SUM(T58:BP58)</f>
        <v>3204369</v>
      </c>
      <c r="BR58" s="110"/>
      <c r="BS58" s="110" t="n">
        <f aca="false">3006669-3824394</f>
        <v>-817725</v>
      </c>
      <c r="BT58" s="110"/>
      <c r="BU58" s="110" t="n">
        <f aca="false">IF(+R58-BQ58+BS58&gt;0,R58-BQ58+BS58,0)</f>
        <v>0</v>
      </c>
      <c r="BW58" s="110" t="n">
        <f aca="false">+BQ58+BU58</f>
        <v>3204369</v>
      </c>
      <c r="BY58" s="110" t="n">
        <f aca="false">+R58-BW58</f>
        <v>620025</v>
      </c>
    </row>
    <row r="59" customFormat="false" ht="13.5" hidden="false" customHeight="false" outlineLevel="0" collapsed="false">
      <c r="A59" s="18"/>
      <c r="B59" s="175" t="s">
        <v>192</v>
      </c>
      <c r="C59" s="0"/>
      <c r="D59" s="0"/>
      <c r="E59" s="0"/>
      <c r="F59" s="0"/>
      <c r="G59" s="0"/>
      <c r="H59" s="0"/>
      <c r="I59" s="0"/>
      <c r="J59" s="4" t="s">
        <v>181</v>
      </c>
      <c r="K59" s="0"/>
      <c r="L59" s="34"/>
      <c r="M59" s="110"/>
      <c r="O59" s="110"/>
      <c r="Q59" s="110"/>
      <c r="R59" s="240" t="n">
        <v>789260</v>
      </c>
      <c r="S59" s="110"/>
      <c r="T59" s="110"/>
      <c r="U59" s="110"/>
      <c r="V59" s="110"/>
      <c r="X59" s="110"/>
      <c r="Z59" s="110"/>
      <c r="AB59" s="110"/>
      <c r="AD59" s="110"/>
      <c r="AI59" s="0"/>
      <c r="AK59" s="0"/>
      <c r="AM59" s="0"/>
      <c r="AZ59" s="110" t="n">
        <v>276231</v>
      </c>
      <c r="BH59" s="110" t="n">
        <f aca="false">682994-276231</f>
        <v>406763</v>
      </c>
      <c r="BL59" s="110"/>
      <c r="BM59" s="110"/>
      <c r="BN59" s="110"/>
      <c r="BO59" s="110"/>
      <c r="BP59" s="110"/>
      <c r="BQ59" s="110" t="n">
        <f aca="false">SUM(T59:BP59)</f>
        <v>682994</v>
      </c>
      <c r="BR59" s="110"/>
      <c r="BS59" s="110" t="n">
        <v>0</v>
      </c>
      <c r="BT59" s="110"/>
      <c r="BU59" s="110" t="n">
        <f aca="false">IF(+R59-BQ59+BS59&gt;0,R59-BQ59+BS59,0)</f>
        <v>106266</v>
      </c>
      <c r="BW59" s="110" t="n">
        <f aca="false">+BQ59+BU59</f>
        <v>789260</v>
      </c>
      <c r="BY59" s="110" t="n">
        <f aca="false">+R59-BW59</f>
        <v>0</v>
      </c>
    </row>
    <row r="60" customFormat="false" ht="13.5" hidden="false" customHeight="false" outlineLevel="0" collapsed="false">
      <c r="A60" s="18"/>
      <c r="B60" s="175" t="s">
        <v>193</v>
      </c>
      <c r="C60" s="0"/>
      <c r="D60" s="0"/>
      <c r="E60" s="0"/>
      <c r="F60" s="0"/>
      <c r="G60" s="0"/>
      <c r="H60" s="0"/>
      <c r="I60" s="0"/>
      <c r="J60" s="4" t="s">
        <v>181</v>
      </c>
      <c r="K60" s="0"/>
      <c r="L60" s="34"/>
      <c r="M60" s="110"/>
      <c r="O60" s="110"/>
      <c r="Q60" s="110"/>
      <c r="R60" s="240" t="n">
        <v>482700</v>
      </c>
      <c r="S60" s="110"/>
      <c r="T60" s="110"/>
      <c r="U60" s="110"/>
      <c r="V60" s="110"/>
      <c r="X60" s="110"/>
      <c r="Z60" s="110"/>
      <c r="AB60" s="110"/>
      <c r="AD60" s="110"/>
      <c r="AI60" s="0"/>
      <c r="AK60" s="0"/>
      <c r="AM60" s="0"/>
      <c r="AZ60" s="110" t="n">
        <v>174035</v>
      </c>
      <c r="BH60" s="110" t="n">
        <f aca="false">406264-174035</f>
        <v>232229</v>
      </c>
      <c r="BL60" s="110"/>
      <c r="BM60" s="110"/>
      <c r="BN60" s="110"/>
      <c r="BO60" s="110"/>
      <c r="BP60" s="110"/>
      <c r="BQ60" s="110" t="n">
        <f aca="false">SUM(T60:BP60)</f>
        <v>406264</v>
      </c>
      <c r="BR60" s="110"/>
      <c r="BS60" s="110" t="n">
        <f aca="false">442495-482700</f>
        <v>-40205</v>
      </c>
      <c r="BT60" s="110"/>
      <c r="BU60" s="110" t="n">
        <f aca="false">IF(+R60-BQ60+BS60&gt;0,R60-BQ60+BS60,0)</f>
        <v>36231</v>
      </c>
      <c r="BW60" s="110" t="n">
        <f aca="false">+BQ60+BU60</f>
        <v>442495</v>
      </c>
      <c r="BY60" s="110" t="n">
        <f aca="false">+R60-BW60</f>
        <v>40205</v>
      </c>
    </row>
    <row r="61" customFormat="false" ht="13.5" hidden="false" customHeight="false" outlineLevel="0" collapsed="false">
      <c r="A61" s="18"/>
      <c r="B61" s="175" t="s">
        <v>352</v>
      </c>
      <c r="C61" s="0"/>
      <c r="D61" s="0"/>
      <c r="E61" s="0"/>
      <c r="F61" s="0"/>
      <c r="G61" s="0"/>
      <c r="H61" s="0"/>
      <c r="I61" s="0"/>
      <c r="J61" s="4" t="s">
        <v>181</v>
      </c>
      <c r="K61" s="0"/>
      <c r="L61" s="34"/>
      <c r="M61" s="110"/>
      <c r="O61" s="110"/>
      <c r="Q61" s="110"/>
      <c r="R61" s="240" t="n">
        <v>0</v>
      </c>
      <c r="S61" s="110"/>
      <c r="T61" s="110"/>
      <c r="U61" s="110"/>
      <c r="V61" s="110"/>
      <c r="X61" s="110"/>
      <c r="Z61" s="110"/>
      <c r="AB61" s="110"/>
      <c r="AD61" s="110"/>
      <c r="AI61" s="0"/>
      <c r="AK61" s="0"/>
      <c r="AM61" s="0"/>
      <c r="AZ61" s="110" t="n">
        <v>20223</v>
      </c>
      <c r="BH61" s="110" t="n">
        <f aca="false">20421-20223</f>
        <v>198</v>
      </c>
      <c r="BL61" s="110"/>
      <c r="BM61" s="110"/>
      <c r="BN61" s="110"/>
      <c r="BO61" s="110"/>
      <c r="BP61" s="110"/>
      <c r="BQ61" s="110" t="n">
        <f aca="false">SUM(T61:BP61)</f>
        <v>20421</v>
      </c>
      <c r="BR61" s="110"/>
      <c r="BS61" s="110" t="n">
        <v>0</v>
      </c>
      <c r="BT61" s="110"/>
      <c r="BU61" s="110" t="n">
        <f aca="false">IF(+R61-BQ61+BS61&gt;0,R61-BQ61+BS61,0)</f>
        <v>0</v>
      </c>
      <c r="BW61" s="110" t="n">
        <f aca="false">+BQ61+BU61</f>
        <v>20421</v>
      </c>
      <c r="BY61" s="110" t="n">
        <f aca="false">+R61-BW61</f>
        <v>-20421</v>
      </c>
    </row>
    <row r="62" customFormat="false" ht="13.5" hidden="false" customHeight="false" outlineLevel="0" collapsed="false">
      <c r="A62" s="18"/>
      <c r="B62" s="175"/>
      <c r="C62" s="0"/>
      <c r="D62" s="0"/>
      <c r="E62" s="0"/>
      <c r="F62" s="0"/>
      <c r="G62" s="0"/>
      <c r="H62" s="0"/>
      <c r="I62" s="0"/>
      <c r="J62" s="4"/>
      <c r="K62" s="0"/>
      <c r="L62" s="34"/>
      <c r="M62" s="110"/>
      <c r="O62" s="110"/>
      <c r="Q62" s="110"/>
      <c r="R62" s="240"/>
      <c r="S62" s="110"/>
      <c r="T62" s="110"/>
      <c r="U62" s="110"/>
      <c r="V62" s="110"/>
      <c r="X62" s="110"/>
      <c r="Z62" s="110"/>
      <c r="AB62" s="110"/>
      <c r="AD62" s="110"/>
      <c r="AI62" s="0"/>
      <c r="AK62" s="0"/>
      <c r="AM62" s="0"/>
      <c r="BL62" s="110"/>
      <c r="BM62" s="110"/>
      <c r="BN62" s="110"/>
      <c r="BO62" s="110"/>
      <c r="BP62" s="110"/>
      <c r="BR62" s="110"/>
      <c r="BS62" s="110"/>
      <c r="BT62" s="110"/>
    </row>
    <row r="63" customFormat="false" ht="12.75" hidden="false" customHeight="false" outlineLevel="0" collapsed="false">
      <c r="A63" s="174"/>
      <c r="B63" s="178" t="s">
        <v>194</v>
      </c>
      <c r="C63" s="2"/>
      <c r="D63" s="2"/>
      <c r="E63" s="2"/>
      <c r="F63" s="2"/>
      <c r="G63" s="2"/>
      <c r="H63" s="2"/>
      <c r="I63" s="2"/>
      <c r="J63" s="3"/>
      <c r="K63" s="2"/>
      <c r="L63" s="179" t="s">
        <v>151</v>
      </c>
      <c r="M63" s="24"/>
      <c r="N63" s="24" t="n">
        <v>0</v>
      </c>
      <c r="O63" s="24"/>
      <c r="P63" s="24" t="n">
        <v>0</v>
      </c>
      <c r="Q63" s="24"/>
      <c r="R63" s="24" t="n">
        <f aca="false">SUM(R57:R61)</f>
        <v>5296839</v>
      </c>
      <c r="S63" s="24" t="n">
        <f aca="false">SUM(S57:S61)</f>
        <v>0</v>
      </c>
      <c r="T63" s="24" t="n">
        <f aca="false">SUM(T57:T61)</f>
        <v>0</v>
      </c>
      <c r="U63" s="24" t="n">
        <f aca="false">SUM(U57:U61)</f>
        <v>0</v>
      </c>
      <c r="V63" s="24" t="n">
        <f aca="false">SUM(V57:V61)</f>
        <v>0</v>
      </c>
      <c r="W63" s="24" t="n">
        <f aca="false">SUM(W57:W61)</f>
        <v>0</v>
      </c>
      <c r="X63" s="24" t="n">
        <f aca="false">SUM(X57:X61)</f>
        <v>0</v>
      </c>
      <c r="Y63" s="24" t="n">
        <f aca="false">SUM(Y57:Y61)</f>
        <v>0</v>
      </c>
      <c r="Z63" s="24" t="n">
        <f aca="false">SUM(Z57:Z61)</f>
        <v>0</v>
      </c>
      <c r="AA63" s="24" t="n">
        <f aca="false">SUM(AA57:AA61)</f>
        <v>0</v>
      </c>
      <c r="AB63" s="24" t="n">
        <f aca="false">SUM(AB57:AB61)</f>
        <v>0</v>
      </c>
      <c r="AC63" s="24" t="n">
        <f aca="false">SUM(AC57:AC61)</f>
        <v>0</v>
      </c>
      <c r="AD63" s="24" t="n">
        <f aca="false">SUM(AD57:AD61)</f>
        <v>0</v>
      </c>
      <c r="AE63" s="24" t="n">
        <f aca="false">SUM(AE57:AE61)</f>
        <v>0</v>
      </c>
      <c r="AF63" s="24" t="n">
        <f aca="false">SUM(AF57:AF61)</f>
        <v>0</v>
      </c>
      <c r="AG63" s="24" t="n">
        <f aca="false">SUM(AG57:AG61)</f>
        <v>0</v>
      </c>
      <c r="AH63" s="24" t="n">
        <f aca="false">SUM(AH57:AH61)</f>
        <v>0</v>
      </c>
      <c r="AI63" s="24"/>
      <c r="AJ63" s="24" t="n">
        <f aca="false">SUM(AJ57:AJ61)</f>
        <v>0</v>
      </c>
      <c r="AK63" s="24"/>
      <c r="AL63" s="24" t="n">
        <f aca="false">SUM(AL57:AL61)</f>
        <v>0</v>
      </c>
      <c r="AM63" s="24"/>
      <c r="AN63" s="24" t="n">
        <f aca="false">SUM(AN57:AN61)</f>
        <v>0</v>
      </c>
      <c r="AO63" s="24"/>
      <c r="AP63" s="24" t="n">
        <f aca="false">SUM(AP57:AP61)</f>
        <v>0</v>
      </c>
      <c r="AQ63" s="24"/>
      <c r="AR63" s="24" t="n">
        <f aca="false">SUM(AR57:AR61)</f>
        <v>84021</v>
      </c>
      <c r="AS63" s="24" t="n">
        <f aca="false">SUM(AS57:AS61)</f>
        <v>0</v>
      </c>
      <c r="AT63" s="24" t="n">
        <f aca="false">SUM(AT57:AT61)</f>
        <v>0</v>
      </c>
      <c r="AU63" s="24" t="n">
        <f aca="false">SUM(AU57:AU61)</f>
        <v>0</v>
      </c>
      <c r="AV63" s="24" t="n">
        <f aca="false">SUM(AV57:AV61)</f>
        <v>225269</v>
      </c>
      <c r="AW63" s="24" t="n">
        <f aca="false">SUM(AW57:AW61)</f>
        <v>0</v>
      </c>
      <c r="AX63" s="24" t="n">
        <f aca="false">SUM(AX57:AX61)</f>
        <v>0</v>
      </c>
      <c r="AY63" s="24" t="n">
        <f aca="false">SUM(AY57:AY61)</f>
        <v>0</v>
      </c>
      <c r="AZ63" s="24" t="n">
        <f aca="false">SUM(AZ57:AZ61)</f>
        <v>3173570</v>
      </c>
      <c r="BA63" s="24" t="n">
        <f aca="false">SUM(BA57:BA61)</f>
        <v>0</v>
      </c>
      <c r="BB63" s="24" t="n">
        <f aca="false">SUM(BB57:BB61)</f>
        <v>0</v>
      </c>
      <c r="BD63" s="24" t="n">
        <f aca="false">SUM(BD57:BD61)</f>
        <v>0</v>
      </c>
      <c r="BF63" s="24" t="n">
        <f aca="false">SUM(BF57:BF61)</f>
        <v>0</v>
      </c>
      <c r="BG63" s="24" t="n">
        <f aca="false">SUM(BG57:BG61)</f>
        <v>0</v>
      </c>
      <c r="BH63" s="24" t="n">
        <f aca="false">SUM(BH57:BH61)</f>
        <v>1119732</v>
      </c>
      <c r="BI63" s="24" t="n">
        <f aca="false">SUM(BI57:BI61)</f>
        <v>0</v>
      </c>
      <c r="BJ63" s="24" t="n">
        <f aca="false">SUM(BJ57:BJ61)</f>
        <v>0</v>
      </c>
      <c r="BK63" s="24" t="n">
        <f aca="false">SUM(BK57:BK61)</f>
        <v>0</v>
      </c>
      <c r="BL63" s="24" t="n">
        <f aca="false">SUM(BL57:BL61)</f>
        <v>0</v>
      </c>
      <c r="BM63" s="24" t="n">
        <f aca="false">SUM(BM57:BM61)</f>
        <v>0</v>
      </c>
      <c r="BN63" s="24"/>
      <c r="BO63" s="24" t="n">
        <f aca="false">SUM(BO57:BO61)</f>
        <v>0</v>
      </c>
      <c r="BP63" s="24" t="n">
        <f aca="false">SUM(BP57:BP61)</f>
        <v>0</v>
      </c>
      <c r="BQ63" s="24" t="n">
        <f aca="false">SUM(BQ57:BQ61)</f>
        <v>4602592</v>
      </c>
      <c r="BR63" s="24" t="n">
        <f aca="false">SUM(BR57:BR61)</f>
        <v>0</v>
      </c>
      <c r="BS63" s="24" t="n">
        <f aca="false">SUM(BS57:BS61)</f>
        <v>-857930</v>
      </c>
      <c r="BT63" s="24" t="n">
        <f aca="false">SUM(BT57:BT61)</f>
        <v>0</v>
      </c>
      <c r="BU63" s="24" t="n">
        <f aca="false">SUM(BU57:BU61)</f>
        <v>142497</v>
      </c>
      <c r="BV63" s="24" t="n">
        <f aca="false">SUM(BV57:BV61)</f>
        <v>0</v>
      </c>
      <c r="BW63" s="24" t="n">
        <f aca="false">SUM(BW57:BW61)</f>
        <v>4745089</v>
      </c>
      <c r="BX63" s="24"/>
      <c r="BY63" s="24" t="n">
        <f aca="false">+R63-BW63</f>
        <v>551750</v>
      </c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174"/>
      <c r="B64" s="178"/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D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74"/>
      <c r="B65" s="243" t="s">
        <v>195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D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196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240" t="n">
        <f aca="false">1350641+871112</f>
        <v>2221753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10" t="n">
        <v>204588</v>
      </c>
      <c r="AS66" s="24"/>
      <c r="AT66" s="24"/>
      <c r="AU66" s="24"/>
      <c r="AV66" s="110" t="n">
        <f aca="false">2389052-204588</f>
        <v>2184464</v>
      </c>
      <c r="AW66" s="24"/>
      <c r="AX66" s="24"/>
      <c r="AY66" s="24"/>
      <c r="AZ66" s="110" t="n">
        <f aca="false">2924606+28224-2389052</f>
        <v>563778</v>
      </c>
      <c r="BA66" s="24"/>
      <c r="BB66" s="24"/>
      <c r="BD66" s="24"/>
      <c r="BF66" s="24"/>
      <c r="BG66" s="24"/>
      <c r="BH66" s="24" t="n">
        <f aca="false">3055302-2952830+272495+20694-249699</f>
        <v>145962</v>
      </c>
      <c r="BI66" s="24"/>
      <c r="BJ66" s="24"/>
      <c r="BK66" s="24"/>
      <c r="BL66" s="24"/>
      <c r="BM66" s="24"/>
      <c r="BN66" s="24"/>
      <c r="BO66" s="24"/>
      <c r="BP66" s="24"/>
      <c r="BQ66" s="110" t="n">
        <f aca="false">SUM(T66:BP66)</f>
        <v>3098792</v>
      </c>
      <c r="BR66" s="24"/>
      <c r="BS66" s="110" t="n">
        <v>0</v>
      </c>
      <c r="BT66" s="110"/>
      <c r="BU66" s="110" t="n">
        <f aca="false">IF(+R66-BQ66+BS66&gt;0,R66-BQ66+BS66,0)</f>
        <v>0</v>
      </c>
      <c r="BW66" s="110" t="n">
        <f aca="false">+BQ66+BU66</f>
        <v>3098792</v>
      </c>
      <c r="BX66" s="24"/>
      <c r="BY66" s="110" t="n">
        <f aca="false">+R66-BW66</f>
        <v>-877039</v>
      </c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199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240" t="n">
        <v>363307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24"/>
      <c r="AS67" s="24"/>
      <c r="AT67" s="24"/>
      <c r="AU67" s="24"/>
      <c r="AV67" s="110" t="n">
        <f aca="false">13499</f>
        <v>13499</v>
      </c>
      <c r="AW67" s="24"/>
      <c r="AX67" s="24"/>
      <c r="AY67" s="24"/>
      <c r="AZ67" s="110" t="n">
        <f aca="false">735944-13499</f>
        <v>722445</v>
      </c>
      <c r="BA67" s="24"/>
      <c r="BB67" s="24"/>
      <c r="BD67" s="24"/>
      <c r="BF67" s="24"/>
      <c r="BG67" s="24"/>
      <c r="BH67" s="24" t="n">
        <f aca="false">1007521-735944</f>
        <v>271577</v>
      </c>
      <c r="BI67" s="24"/>
      <c r="BJ67" s="24"/>
      <c r="BK67" s="24"/>
      <c r="BL67" s="24"/>
      <c r="BM67" s="24"/>
      <c r="BN67" s="24"/>
      <c r="BO67" s="24"/>
      <c r="BP67" s="24"/>
      <c r="BQ67" s="110" t="n">
        <f aca="false">SUM(T67:BP67)</f>
        <v>1007521</v>
      </c>
      <c r="BR67" s="24"/>
      <c r="BS67" s="110" t="n">
        <f aca="false">508478-363263</f>
        <v>145215</v>
      </c>
      <c r="BT67" s="110"/>
      <c r="BU67" s="110" t="n">
        <f aca="false">IF(+R67-BQ67+BS67&gt;0,R67-BQ67+BS67,0)</f>
        <v>0</v>
      </c>
      <c r="BW67" s="110" t="n">
        <f aca="false">+BQ67+BU67</f>
        <v>1007521</v>
      </c>
      <c r="BX67" s="24"/>
      <c r="BY67" s="110" t="n">
        <f aca="false">+R67-BW67</f>
        <v>-644214</v>
      </c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198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240" t="n">
        <v>272375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24"/>
      <c r="AS68" s="24"/>
      <c r="AT68" s="24"/>
      <c r="AU68" s="24"/>
      <c r="AV68" s="110" t="n">
        <v>122734</v>
      </c>
      <c r="AW68" s="24"/>
      <c r="AX68" s="24"/>
      <c r="AY68" s="24"/>
      <c r="AZ68" s="110" t="n">
        <f aca="false">198522-122734</f>
        <v>75788</v>
      </c>
      <c r="BA68" s="24"/>
      <c r="BB68" s="24"/>
      <c r="BD68" s="24"/>
      <c r="BF68" s="24"/>
      <c r="BG68" s="24"/>
      <c r="BH68" s="24" t="n">
        <f aca="false">230143-198522</f>
        <v>31621</v>
      </c>
      <c r="BI68" s="24"/>
      <c r="BJ68" s="24"/>
      <c r="BK68" s="24"/>
      <c r="BL68" s="24"/>
      <c r="BM68" s="24"/>
      <c r="BN68" s="24"/>
      <c r="BO68" s="24"/>
      <c r="BP68" s="24"/>
      <c r="BQ68" s="110" t="n">
        <f aca="false">SUM(T68:BP68)</f>
        <v>230143</v>
      </c>
      <c r="BR68" s="24"/>
      <c r="BS68" s="110"/>
      <c r="BT68" s="110"/>
      <c r="BU68" s="110" t="n">
        <f aca="false">IF(+R68-BQ68+BS68&gt;0,R68-BQ68+BS68,0)</f>
        <v>42232</v>
      </c>
      <c r="BW68" s="110" t="n">
        <f aca="false">+BQ68+BU68</f>
        <v>272375</v>
      </c>
      <c r="BX68" s="24"/>
      <c r="BY68" s="110" t="n">
        <f aca="false">+R68-BW68</f>
        <v>0</v>
      </c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200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240" t="n">
        <v>294546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24"/>
      <c r="AS69" s="24"/>
      <c r="AT69" s="24"/>
      <c r="AU69" s="24"/>
      <c r="AW69" s="24"/>
      <c r="AX69" s="24"/>
      <c r="AY69" s="24"/>
      <c r="AZ69" s="110" t="n">
        <v>555814</v>
      </c>
      <c r="BA69" s="24"/>
      <c r="BB69" s="24"/>
      <c r="BD69" s="24"/>
      <c r="BF69" s="24"/>
      <c r="BG69" s="24"/>
      <c r="BH69" s="24" t="n">
        <f aca="false">599775-555814</f>
        <v>43961</v>
      </c>
      <c r="BI69" s="24"/>
      <c r="BJ69" s="24"/>
      <c r="BK69" s="24"/>
      <c r="BL69" s="24"/>
      <c r="BM69" s="24"/>
      <c r="BN69" s="24"/>
      <c r="BO69" s="24"/>
      <c r="BP69" s="24"/>
      <c r="BQ69" s="110" t="n">
        <f aca="false">SUM(T69:BP69)</f>
        <v>599775</v>
      </c>
      <c r="BR69" s="24"/>
      <c r="BS69" s="110" t="n">
        <f aca="false">374050-294546</f>
        <v>79504</v>
      </c>
      <c r="BT69" s="110"/>
      <c r="BU69" s="110" t="n">
        <f aca="false">IF(+R69-BQ69+BS69&gt;0,R69-BQ69+BS69,0)</f>
        <v>0</v>
      </c>
      <c r="BW69" s="110" t="n">
        <f aca="false">+BQ69+BU69</f>
        <v>599775</v>
      </c>
      <c r="BX69" s="24"/>
      <c r="BY69" s="110" t="n">
        <f aca="false">+R69-BW69</f>
        <v>-305229</v>
      </c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201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240" t="n">
        <v>172231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24"/>
      <c r="AS70" s="24"/>
      <c r="AT70" s="24"/>
      <c r="AU70" s="24"/>
      <c r="AV70" s="110" t="n">
        <v>116875</v>
      </c>
      <c r="AW70" s="24"/>
      <c r="AX70" s="24"/>
      <c r="AY70" s="24"/>
      <c r="AZ70" s="110" t="n">
        <f aca="false">259344-116875</f>
        <v>142469</v>
      </c>
      <c r="BA70" s="24"/>
      <c r="BB70" s="24"/>
      <c r="BD70" s="24"/>
      <c r="BF70" s="24"/>
      <c r="BG70" s="24"/>
      <c r="BH70" s="24" t="n">
        <f aca="false">266441-259344</f>
        <v>7097</v>
      </c>
      <c r="BI70" s="24"/>
      <c r="BJ70" s="24"/>
      <c r="BK70" s="24"/>
      <c r="BL70" s="24"/>
      <c r="BM70" s="24"/>
      <c r="BN70" s="24"/>
      <c r="BO70" s="24"/>
      <c r="BP70" s="24"/>
      <c r="BQ70" s="110" t="n">
        <f aca="false">SUM(T70:BP70)</f>
        <v>266441</v>
      </c>
      <c r="BR70" s="24"/>
      <c r="BS70" s="110" t="n">
        <v>0</v>
      </c>
      <c r="BT70" s="110"/>
      <c r="BU70" s="110" t="n">
        <f aca="false">IF(+R70-BQ70+BS70&gt;0,R70-BQ70+BS70,0)</f>
        <v>0</v>
      </c>
      <c r="BW70" s="110" t="n">
        <f aca="false">+BQ70+BU70</f>
        <v>266441</v>
      </c>
      <c r="BX70" s="24"/>
      <c r="BY70" s="110" t="n">
        <f aca="false">+R70-BW70</f>
        <v>-94210</v>
      </c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202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240" t="n">
        <v>1115136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R71" s="24"/>
      <c r="AS71" s="24"/>
      <c r="AT71" s="24"/>
      <c r="AU71" s="24"/>
      <c r="AV71" s="110" t="n">
        <f aca="false">29294+12922</f>
        <v>42216</v>
      </c>
      <c r="AW71" s="24"/>
      <c r="AX71" s="24"/>
      <c r="AY71" s="24"/>
      <c r="AZ71" s="110" t="n">
        <f aca="false">1404467-42216</f>
        <v>1362251</v>
      </c>
      <c r="BA71" s="24"/>
      <c r="BB71" s="24"/>
      <c r="BD71" s="24"/>
      <c r="BF71" s="24"/>
      <c r="BG71" s="24"/>
      <c r="BH71" s="24" t="n">
        <f aca="false">1843466-1404467</f>
        <v>438999</v>
      </c>
      <c r="BI71" s="24"/>
      <c r="BJ71" s="24"/>
      <c r="BK71" s="24"/>
      <c r="BL71" s="24"/>
      <c r="BM71" s="24"/>
      <c r="BN71" s="24"/>
      <c r="BO71" s="24"/>
      <c r="BP71" s="24"/>
      <c r="BQ71" s="110" t="n">
        <f aca="false">SUM(T71:BP71)</f>
        <v>1843466</v>
      </c>
      <c r="BR71" s="24"/>
      <c r="BS71" s="110" t="n">
        <f aca="false">1569522-1115136</f>
        <v>454386</v>
      </c>
      <c r="BT71" s="110"/>
      <c r="BU71" s="110" t="n">
        <f aca="false">IF(+R71-BQ71+BS71&gt;0,R71-BQ71+BS71,0)</f>
        <v>0</v>
      </c>
      <c r="BW71" s="110" t="n">
        <f aca="false">+BQ71+BU71</f>
        <v>1843466</v>
      </c>
      <c r="BX71" s="24"/>
      <c r="BY71" s="110" t="n">
        <f aca="false">+R71-BW71</f>
        <v>-728330</v>
      </c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203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240" t="n">
        <v>751110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R72" s="24"/>
      <c r="AS72" s="24"/>
      <c r="AT72" s="24"/>
      <c r="AU72" s="24"/>
      <c r="AV72" s="110" t="n">
        <v>286589</v>
      </c>
      <c r="AW72" s="24"/>
      <c r="AX72" s="24"/>
      <c r="AY72" s="24"/>
      <c r="AZ72" s="110" t="n">
        <f aca="false">577419-286589</f>
        <v>290830</v>
      </c>
      <c r="BA72" s="24"/>
      <c r="BB72" s="24"/>
      <c r="BD72" s="24"/>
      <c r="BF72" s="24"/>
      <c r="BG72" s="24"/>
      <c r="BH72" s="24" t="n">
        <f aca="false">645350-577419</f>
        <v>67931</v>
      </c>
      <c r="BI72" s="24"/>
      <c r="BJ72" s="24"/>
      <c r="BK72" s="24"/>
      <c r="BL72" s="24"/>
      <c r="BM72" s="24"/>
      <c r="BN72" s="24"/>
      <c r="BO72" s="24"/>
      <c r="BP72" s="24"/>
      <c r="BQ72" s="110" t="n">
        <f aca="false">SUM(T72:BP72)</f>
        <v>645350</v>
      </c>
      <c r="BR72" s="24"/>
      <c r="BS72" s="110"/>
      <c r="BT72" s="110"/>
      <c r="BU72" s="110" t="n">
        <f aca="false">IF(+R72-BQ72+BS72&gt;0,R72-BQ72+BS72,0)</f>
        <v>105760</v>
      </c>
      <c r="BW72" s="110" t="n">
        <f aca="false">+BQ72+BU72</f>
        <v>751110</v>
      </c>
      <c r="BX72" s="24"/>
      <c r="BY72" s="110" t="n">
        <f aca="false">+R72-BW72</f>
        <v>0</v>
      </c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204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240" t="n">
        <v>79049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R73" s="24"/>
      <c r="AS73" s="24"/>
      <c r="AT73" s="24"/>
      <c r="AU73" s="24"/>
      <c r="AV73" s="110" t="n">
        <v>0</v>
      </c>
      <c r="AW73" s="24"/>
      <c r="AX73" s="24"/>
      <c r="AY73" s="24"/>
      <c r="AZ73" s="110" t="n">
        <v>22214</v>
      </c>
      <c r="BA73" s="24"/>
      <c r="BB73" s="24"/>
      <c r="BD73" s="24"/>
      <c r="BF73" s="24"/>
      <c r="BG73" s="24"/>
      <c r="BH73" s="24" t="n">
        <f aca="false">97281-22214</f>
        <v>75067</v>
      </c>
      <c r="BI73" s="24"/>
      <c r="BJ73" s="24"/>
      <c r="BK73" s="24"/>
      <c r="BL73" s="24"/>
      <c r="BM73" s="24"/>
      <c r="BN73" s="24"/>
      <c r="BO73" s="24"/>
      <c r="BP73" s="24"/>
      <c r="BQ73" s="110" t="n">
        <f aca="false">SUM(T73:BP73)</f>
        <v>97281</v>
      </c>
      <c r="BR73" s="24"/>
      <c r="BS73" s="110" t="n">
        <f aca="false">108008-79049</f>
        <v>28959</v>
      </c>
      <c r="BT73" s="110"/>
      <c r="BU73" s="110" t="n">
        <f aca="false">IF(+R73-BQ73+BS73&gt;0,R73-BQ73+BS73,0)</f>
        <v>10727</v>
      </c>
      <c r="BW73" s="110" t="n">
        <f aca="false">+BQ73+BU73</f>
        <v>108008</v>
      </c>
      <c r="BX73" s="24"/>
      <c r="BY73" s="110" t="n">
        <f aca="false">+R73-BW73</f>
        <v>-28959</v>
      </c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205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240" t="n">
        <v>43500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24"/>
      <c r="AS74" s="24"/>
      <c r="AT74" s="24"/>
      <c r="AU74" s="24"/>
      <c r="AV74" s="110" t="n">
        <v>11125</v>
      </c>
      <c r="AW74" s="24"/>
      <c r="AX74" s="24"/>
      <c r="AY74" s="24"/>
      <c r="AZ74" s="110" t="n">
        <f aca="false">15847-11125</f>
        <v>4722</v>
      </c>
      <c r="BA74" s="24"/>
      <c r="BB74" s="24"/>
      <c r="BD74" s="24"/>
      <c r="BF74" s="24"/>
      <c r="BG74" s="24"/>
      <c r="BH74" s="24" t="n">
        <f aca="false">27594-15847</f>
        <v>11747</v>
      </c>
      <c r="BI74" s="24"/>
      <c r="BJ74" s="24"/>
      <c r="BK74" s="24"/>
      <c r="BL74" s="24"/>
      <c r="BM74" s="24"/>
      <c r="BN74" s="24"/>
      <c r="BO74" s="24"/>
      <c r="BP74" s="24"/>
      <c r="BQ74" s="110" t="n">
        <f aca="false">SUM(T74:BP74)</f>
        <v>27594</v>
      </c>
      <c r="BR74" s="24"/>
      <c r="BS74" s="110"/>
      <c r="BT74" s="110"/>
      <c r="BU74" s="110" t="n">
        <f aca="false">IF(+R74-BQ74+BS74&gt;0,R74-BQ74+BS74,0)</f>
        <v>15906</v>
      </c>
      <c r="BW74" s="110" t="n">
        <f aca="false">+BQ74+BU74</f>
        <v>43500</v>
      </c>
      <c r="BX74" s="24"/>
      <c r="BY74" s="110" t="n">
        <f aca="false">+R74-BW74</f>
        <v>0</v>
      </c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399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240" t="n">
        <v>81956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R75" s="24"/>
      <c r="AS75" s="24"/>
      <c r="AT75" s="24"/>
      <c r="AU75" s="24"/>
      <c r="AV75" s="110" t="n">
        <v>1183</v>
      </c>
      <c r="AW75" s="24"/>
      <c r="AX75" s="24"/>
      <c r="AY75" s="24"/>
      <c r="AZ75" s="110" t="n">
        <f aca="false">29878-1183</f>
        <v>28695</v>
      </c>
      <c r="BA75" s="24"/>
      <c r="BB75" s="24"/>
      <c r="BD75" s="24"/>
      <c r="BF75" s="24"/>
      <c r="BG75" s="24"/>
      <c r="BH75" s="24" t="n">
        <f aca="false">141341-29878</f>
        <v>111463</v>
      </c>
      <c r="BI75" s="24"/>
      <c r="BJ75" s="24"/>
      <c r="BK75" s="24"/>
      <c r="BL75" s="24"/>
      <c r="BM75" s="24"/>
      <c r="BN75" s="24"/>
      <c r="BO75" s="24"/>
      <c r="BP75" s="24"/>
      <c r="BQ75" s="110" t="n">
        <f aca="false">SUM(T75:BP75)</f>
        <v>141341</v>
      </c>
      <c r="BR75" s="24"/>
      <c r="BS75" s="110" t="n">
        <f aca="false">101800-81956</f>
        <v>19844</v>
      </c>
      <c r="BT75" s="110"/>
      <c r="BU75" s="110" t="n">
        <f aca="false">IF(+R75-BQ75+BS75&gt;0,R75-BQ75+BS75,0)</f>
        <v>0</v>
      </c>
      <c r="BW75" s="110" t="n">
        <f aca="false">+BQ75+BU75</f>
        <v>141341</v>
      </c>
      <c r="BX75" s="24"/>
      <c r="BY75" s="110" t="n">
        <f aca="false">+R75-BW75</f>
        <v>-59385</v>
      </c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207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240" t="n">
        <v>217350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R76" s="24"/>
      <c r="AS76" s="24"/>
      <c r="AT76" s="24"/>
      <c r="AU76" s="24"/>
      <c r="AW76" s="24"/>
      <c r="AX76" s="24"/>
      <c r="AY76" s="24"/>
      <c r="BA76" s="24"/>
      <c r="BB76" s="24"/>
      <c r="BD76" s="24"/>
      <c r="BF76" s="24"/>
      <c r="BG76" s="24"/>
      <c r="BH76" s="24" t="n">
        <v>3351</v>
      </c>
      <c r="BI76" s="24"/>
      <c r="BJ76" s="24"/>
      <c r="BK76" s="24"/>
      <c r="BL76" s="24"/>
      <c r="BM76" s="24"/>
      <c r="BN76" s="24"/>
      <c r="BO76" s="24"/>
      <c r="BP76" s="24"/>
      <c r="BQ76" s="110" t="n">
        <f aca="false">SUM(T76:BP76)</f>
        <v>3351</v>
      </c>
      <c r="BR76" s="24"/>
      <c r="BS76" s="110"/>
      <c r="BT76" s="110"/>
      <c r="BU76" s="110" t="n">
        <f aca="false">IF(+R76-BQ76+BS76&gt;0,R76-BQ76+BS76,0)</f>
        <v>213999</v>
      </c>
      <c r="BW76" s="110" t="n">
        <f aca="false">+BQ76+BU76</f>
        <v>217350</v>
      </c>
      <c r="BX76" s="24"/>
      <c r="BY76" s="110" t="n">
        <f aca="false">+R76-BW76</f>
        <v>0</v>
      </c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208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240" t="n">
        <v>199748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R77" s="24"/>
      <c r="AS77" s="24"/>
      <c r="AT77" s="24"/>
      <c r="AU77" s="24"/>
      <c r="AV77" s="110" t="n">
        <v>0</v>
      </c>
      <c r="AW77" s="24"/>
      <c r="AX77" s="24"/>
      <c r="AY77" s="24"/>
      <c r="AZ77" s="110" t="n">
        <v>9122</v>
      </c>
      <c r="BA77" s="24"/>
      <c r="BB77" s="24"/>
      <c r="BD77" s="24"/>
      <c r="BF77" s="24"/>
      <c r="BG77" s="24"/>
      <c r="BH77" s="24" t="n">
        <f aca="false">658070-9122</f>
        <v>648948</v>
      </c>
      <c r="BI77" s="24"/>
      <c r="BJ77" s="24"/>
      <c r="BK77" s="24"/>
      <c r="BL77" s="24"/>
      <c r="BM77" s="24"/>
      <c r="BN77" s="24"/>
      <c r="BO77" s="24"/>
      <c r="BP77" s="24"/>
      <c r="BQ77" s="110" t="n">
        <f aca="false">SUM(T77:BP77)</f>
        <v>658070</v>
      </c>
      <c r="BR77" s="24"/>
      <c r="BS77" s="110" t="n">
        <f aca="false">200656-199748</f>
        <v>908</v>
      </c>
      <c r="BT77" s="110"/>
      <c r="BU77" s="110" t="n">
        <f aca="false">IF(+R77-BQ77+BS77&gt;0,R77-BQ77+BS77,0)</f>
        <v>0</v>
      </c>
      <c r="BW77" s="110" t="n">
        <f aca="false">+BQ77+BU77</f>
        <v>658070</v>
      </c>
      <c r="BX77" s="24"/>
      <c r="BY77" s="110" t="n">
        <f aca="false">+R77-BW77</f>
        <v>-458322</v>
      </c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400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0" t="n">
        <v>390000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24"/>
      <c r="AU78" s="24"/>
      <c r="AV78" s="110" t="n">
        <v>11300</v>
      </c>
      <c r="AW78" s="24"/>
      <c r="AX78" s="24"/>
      <c r="AY78" s="24"/>
      <c r="AZ78" s="110" t="n">
        <f aca="false">184450-11300</f>
        <v>173150</v>
      </c>
      <c r="BA78" s="24"/>
      <c r="BB78" s="24"/>
      <c r="BD78" s="24"/>
      <c r="BF78" s="24"/>
      <c r="BG78" s="24"/>
      <c r="BH78" s="24" t="n">
        <f aca="false">202295-184450</f>
        <v>17845</v>
      </c>
      <c r="BI78" s="24"/>
      <c r="BJ78" s="24"/>
      <c r="BK78" s="24"/>
      <c r="BL78" s="24"/>
      <c r="BM78" s="24"/>
      <c r="BN78" s="24"/>
      <c r="BO78" s="24"/>
      <c r="BP78" s="24"/>
      <c r="BQ78" s="110" t="n">
        <f aca="false">SUM(T78:BP78)</f>
        <v>202295</v>
      </c>
      <c r="BR78" s="24"/>
      <c r="BS78" s="110"/>
      <c r="BT78" s="110"/>
      <c r="BU78" s="110" t="n">
        <f aca="false">IF(+R78-BQ78+BS78&gt;0,R78-BQ78+BS78,0)</f>
        <v>187705</v>
      </c>
      <c r="BW78" s="110" t="n">
        <f aca="false">+BQ78+BU78</f>
        <v>390000</v>
      </c>
      <c r="BX78" s="24"/>
      <c r="BY78" s="110" t="n">
        <f aca="false">+R78-BW78</f>
        <v>0</v>
      </c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3.5" hidden="false" customHeight="false" outlineLevel="0" collapsed="false">
      <c r="A79" s="174"/>
      <c r="B79" s="181" t="s">
        <v>210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0" t="n">
        <v>290544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110" t="n">
        <v>958</v>
      </c>
      <c r="AW79" s="24"/>
      <c r="AX79" s="24"/>
      <c r="AY79" s="24"/>
      <c r="AZ79" s="110" t="n">
        <f aca="false">21684-958</f>
        <v>20726</v>
      </c>
      <c r="BA79" s="24"/>
      <c r="BB79" s="24"/>
      <c r="BD79" s="24"/>
      <c r="BF79" s="24"/>
      <c r="BG79" s="24"/>
      <c r="BH79" s="24" t="n">
        <f aca="false">267349-21684</f>
        <v>245665</v>
      </c>
      <c r="BI79" s="24"/>
      <c r="BJ79" s="24"/>
      <c r="BK79" s="24"/>
      <c r="BL79" s="24"/>
      <c r="BM79" s="24"/>
      <c r="BN79" s="24"/>
      <c r="BO79" s="24"/>
      <c r="BP79" s="24"/>
      <c r="BQ79" s="110" t="n">
        <f aca="false">SUM(T79:BP79)</f>
        <v>267349</v>
      </c>
      <c r="BR79" s="24"/>
      <c r="BS79" s="110" t="n">
        <f aca="false">369817-290544</f>
        <v>79273</v>
      </c>
      <c r="BT79" s="110"/>
      <c r="BU79" s="110" t="n">
        <f aca="false">IF(+R79-BQ79+BS79&gt;0,R79-BQ79+BS79,0)</f>
        <v>102468</v>
      </c>
      <c r="BW79" s="110" t="n">
        <f aca="false">+BQ79+BU79</f>
        <v>369817</v>
      </c>
      <c r="BX79" s="24"/>
      <c r="BY79" s="110" t="n">
        <f aca="false">+R79-BW79</f>
        <v>-79273</v>
      </c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3.5" hidden="false" customHeight="false" outlineLevel="0" collapsed="false">
      <c r="A80" s="174"/>
      <c r="B80" s="181" t="s">
        <v>211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0" t="n">
        <v>1025638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"/>
      <c r="AJ80" s="24"/>
      <c r="AK80" s="2"/>
      <c r="AL80" s="24"/>
      <c r="AM80" s="2"/>
      <c r="AN80" s="24"/>
      <c r="AO80" s="24"/>
      <c r="AP80" s="24"/>
      <c r="AQ80" s="24"/>
      <c r="AR80" s="24"/>
      <c r="AS80" s="24"/>
      <c r="AT80" s="24"/>
      <c r="AU80" s="24"/>
      <c r="AW80" s="24"/>
      <c r="AX80" s="24"/>
      <c r="AY80" s="24"/>
      <c r="AZ80" s="110" t="n">
        <v>148038</v>
      </c>
      <c r="BA80" s="24"/>
      <c r="BB80" s="24"/>
      <c r="BD80" s="24"/>
      <c r="BF80" s="24"/>
      <c r="BG80" s="24"/>
      <c r="BH80" s="24" t="n">
        <f aca="false">2254200-148038</f>
        <v>2106162</v>
      </c>
      <c r="BI80" s="24"/>
      <c r="BJ80" s="24"/>
      <c r="BK80" s="24"/>
      <c r="BL80" s="24"/>
      <c r="BM80" s="24"/>
      <c r="BN80" s="24"/>
      <c r="BO80" s="24"/>
      <c r="BP80" s="24"/>
      <c r="BQ80" s="110" t="n">
        <f aca="false">SUM(T80:BP80)</f>
        <v>2254200</v>
      </c>
      <c r="BR80" s="24"/>
      <c r="BS80" s="110" t="n">
        <f aca="false">1887865-1025638</f>
        <v>862227</v>
      </c>
      <c r="BT80" s="110"/>
      <c r="BU80" s="110" t="n">
        <f aca="false">IF(+R80-BQ80+BS80&gt;0,R80-BQ80+BS80,0)</f>
        <v>0</v>
      </c>
      <c r="BW80" s="110" t="n">
        <f aca="false">+BQ80+BU80</f>
        <v>2254200</v>
      </c>
      <c r="BX80" s="24"/>
      <c r="BY80" s="110" t="n">
        <f aca="false">+R80-BW80</f>
        <v>-1228562</v>
      </c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3.5" hidden="false" customHeight="false" outlineLevel="0" collapsed="false">
      <c r="A81" s="174"/>
      <c r="B81" s="181" t="s">
        <v>401</v>
      </c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0" t="n">
        <v>347524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W81" s="24"/>
      <c r="AX81" s="24"/>
      <c r="AY81" s="24"/>
      <c r="BA81" s="24"/>
      <c r="BB81" s="24"/>
      <c r="BD81" s="24"/>
      <c r="BF81" s="24"/>
      <c r="BG81" s="24"/>
      <c r="BH81" s="24" t="n">
        <v>70748</v>
      </c>
      <c r="BI81" s="24"/>
      <c r="BJ81" s="24"/>
      <c r="BK81" s="24"/>
      <c r="BL81" s="24"/>
      <c r="BM81" s="24"/>
      <c r="BN81" s="24"/>
      <c r="BO81" s="24"/>
      <c r="BP81" s="24"/>
      <c r="BQ81" s="110" t="n">
        <f aca="false">SUM(T81:BP81)</f>
        <v>70748</v>
      </c>
      <c r="BR81" s="24"/>
      <c r="BS81" s="110" t="n">
        <f aca="false">382731-347524</f>
        <v>35207</v>
      </c>
      <c r="BT81" s="110"/>
      <c r="BU81" s="110" t="n">
        <f aca="false">IF(+R81-BQ81+BS81&gt;0,R81-BQ81+BS81,0)</f>
        <v>311983</v>
      </c>
      <c r="BW81" s="110" t="n">
        <f aca="false">+BQ81+BU81</f>
        <v>382731</v>
      </c>
      <c r="BX81" s="24"/>
      <c r="BY81" s="110" t="n">
        <f aca="false">+R81-BW81</f>
        <v>-35207</v>
      </c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3.5" hidden="false" customHeight="false" outlineLevel="0" collapsed="false">
      <c r="A82" s="174"/>
      <c r="B82" s="181" t="s">
        <v>213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0" t="n">
        <f aca="false">405981+158966</f>
        <v>564947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W82" s="24"/>
      <c r="AX82" s="24"/>
      <c r="AY82" s="24"/>
      <c r="AZ82" s="110" t="n">
        <v>0</v>
      </c>
      <c r="BA82" s="24"/>
      <c r="BB82" s="24"/>
      <c r="BD82" s="24"/>
      <c r="BF82" s="24"/>
      <c r="BG82" s="24"/>
      <c r="BH82" s="24" t="n">
        <f aca="false">367355+297298</f>
        <v>664653</v>
      </c>
      <c r="BI82" s="24"/>
      <c r="BJ82" s="24"/>
      <c r="BK82" s="24"/>
      <c r="BL82" s="24"/>
      <c r="BM82" s="24"/>
      <c r="BN82" s="24"/>
      <c r="BO82" s="24"/>
      <c r="BP82" s="24"/>
      <c r="BQ82" s="110" t="n">
        <f aca="false">SUM(T82:BP82)</f>
        <v>664653</v>
      </c>
      <c r="BR82" s="24"/>
      <c r="BS82" s="110" t="n">
        <v>0</v>
      </c>
      <c r="BT82" s="110"/>
      <c r="BU82" s="110" t="n">
        <f aca="false">IF(+R82-BQ82+BS82&gt;0,R82-BQ82+BS82,0)</f>
        <v>0</v>
      </c>
      <c r="BW82" s="110" t="n">
        <f aca="false">+BQ82+BU82</f>
        <v>664653</v>
      </c>
      <c r="BX82" s="24"/>
      <c r="BY82" s="110" t="n">
        <f aca="false">+R82-BW82</f>
        <v>-99706</v>
      </c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1" t="s">
        <v>214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240" t="n">
        <v>3436815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24"/>
      <c r="AU83" s="24"/>
      <c r="AV83" s="110" t="n">
        <v>1953</v>
      </c>
      <c r="AW83" s="24"/>
      <c r="AX83" s="24"/>
      <c r="AY83" s="24"/>
      <c r="AZ83" s="110" t="n">
        <f aca="false">684606-1953</f>
        <v>682653</v>
      </c>
      <c r="BA83" s="24"/>
      <c r="BB83" s="24"/>
      <c r="BD83" s="24"/>
      <c r="BF83" s="24"/>
      <c r="BG83" s="24"/>
      <c r="BH83" s="24" t="n">
        <f aca="false">4758976-684606</f>
        <v>4074370</v>
      </c>
      <c r="BI83" s="24"/>
      <c r="BJ83" s="24"/>
      <c r="BK83" s="24"/>
      <c r="BL83" s="24"/>
      <c r="BM83" s="24"/>
      <c r="BN83" s="24"/>
      <c r="BO83" s="24"/>
      <c r="BP83" s="24"/>
      <c r="BQ83" s="110" t="n">
        <f aca="false">SUM(T83:BP83)</f>
        <v>4758976</v>
      </c>
      <c r="BR83" s="24"/>
      <c r="BS83" s="110" t="n">
        <f aca="false">4361334-3436815</f>
        <v>924519</v>
      </c>
      <c r="BT83" s="110"/>
      <c r="BU83" s="110" t="n">
        <f aca="false">IF(+R83-BQ83+BS83&gt;0,R83-BQ83+BS83,0)</f>
        <v>0</v>
      </c>
      <c r="BW83" s="110" t="n">
        <f aca="false">+BQ83+BU83</f>
        <v>4758976</v>
      </c>
      <c r="BX83" s="24"/>
      <c r="BY83" s="110" t="n">
        <f aca="false">+R83-BW83</f>
        <v>-1322161</v>
      </c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81" t="s">
        <v>402</v>
      </c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0" t="n">
        <v>582144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W84" s="24"/>
      <c r="AX84" s="24"/>
      <c r="AY84" s="24"/>
      <c r="AZ84" s="110" t="n">
        <v>72428</v>
      </c>
      <c r="BA84" s="24"/>
      <c r="BB84" s="24"/>
      <c r="BD84" s="24"/>
      <c r="BF84" s="24"/>
      <c r="BG84" s="24"/>
      <c r="BH84" s="24" t="n">
        <f aca="false">786230-72428</f>
        <v>713802</v>
      </c>
      <c r="BI84" s="24"/>
      <c r="BJ84" s="24"/>
      <c r="BK84" s="24"/>
      <c r="BL84" s="24"/>
      <c r="BM84" s="24"/>
      <c r="BN84" s="24"/>
      <c r="BO84" s="24"/>
      <c r="BP84" s="24"/>
      <c r="BQ84" s="110" t="n">
        <f aca="false">SUM(T84:BP84)</f>
        <v>786230</v>
      </c>
      <c r="BR84" s="24"/>
      <c r="BS84" s="110" t="n">
        <f aca="false">836221-582144</f>
        <v>254077</v>
      </c>
      <c r="BT84" s="110"/>
      <c r="BU84" s="110" t="n">
        <f aca="false">IF(+R84-BQ84+BS84&gt;0,R84-BQ84+BS84,0)</f>
        <v>49991</v>
      </c>
      <c r="BW84" s="110" t="n">
        <f aca="false">+BQ84+BU84</f>
        <v>836221</v>
      </c>
      <c r="BX84" s="24"/>
      <c r="BY84" s="110" t="n">
        <f aca="false">+R84-BW84</f>
        <v>-254077</v>
      </c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244"/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"/>
      <c r="AJ85" s="24"/>
      <c r="AK85" s="2"/>
      <c r="AL85" s="24"/>
      <c r="AM85" s="2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D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110" t="n">
        <f aca="false">IF(+R85-BQ85+BS85&gt;0,R85-BQ85+BS85,0)</f>
        <v>0</v>
      </c>
      <c r="BW85" s="110" t="n">
        <f aca="false">+BQ85+BU85</f>
        <v>0</v>
      </c>
      <c r="BX85" s="24"/>
      <c r="BY85" s="110" t="n">
        <f aca="false">+R85-BW85</f>
        <v>0</v>
      </c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178" t="s">
        <v>220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 t="n">
        <f aca="false">SUM(R66:R85)</f>
        <v>12449673</v>
      </c>
      <c r="S86" s="24" t="n">
        <f aca="false">SUM(S66:S85)</f>
        <v>0</v>
      </c>
      <c r="T86" s="24" t="n">
        <f aca="false">SUM(T66:T85)</f>
        <v>0</v>
      </c>
      <c r="U86" s="24" t="n">
        <f aca="false">SUM(U66:U85)</f>
        <v>0</v>
      </c>
      <c r="V86" s="24" t="n">
        <f aca="false">SUM(V66:V85)</f>
        <v>0</v>
      </c>
      <c r="W86" s="24" t="n">
        <f aca="false">SUM(W66:W85)</f>
        <v>0</v>
      </c>
      <c r="X86" s="24" t="n">
        <f aca="false">SUM(X66:X85)</f>
        <v>0</v>
      </c>
      <c r="Y86" s="24" t="n">
        <f aca="false">SUM(Y66:Y85)</f>
        <v>0</v>
      </c>
      <c r="Z86" s="24" t="n">
        <f aca="false">SUM(Z66:Z85)</f>
        <v>0</v>
      </c>
      <c r="AA86" s="24" t="n">
        <f aca="false">SUM(AA66:AA85)</f>
        <v>0</v>
      </c>
      <c r="AB86" s="24" t="n">
        <f aca="false">SUM(AB66:AB85)</f>
        <v>0</v>
      </c>
      <c r="AC86" s="24" t="n">
        <f aca="false">SUM(AC66:AC85)</f>
        <v>0</v>
      </c>
      <c r="AD86" s="24" t="n">
        <f aca="false">SUM(AD66:AD85)</f>
        <v>0</v>
      </c>
      <c r="AE86" s="24" t="n">
        <f aca="false">SUM(AE66:AE85)</f>
        <v>0</v>
      </c>
      <c r="AF86" s="24" t="n">
        <f aca="false">SUM(AF66:AF85)</f>
        <v>0</v>
      </c>
      <c r="AG86" s="24" t="n">
        <f aca="false">SUM(AG66:AG85)</f>
        <v>0</v>
      </c>
      <c r="AH86" s="24" t="n">
        <f aca="false">SUM(AH66:AH85)</f>
        <v>0</v>
      </c>
      <c r="AI86" s="24"/>
      <c r="AJ86" s="24" t="n">
        <f aca="false">SUM(AJ66:AJ85)</f>
        <v>0</v>
      </c>
      <c r="AK86" s="24"/>
      <c r="AL86" s="24" t="n">
        <f aca="false">SUM(AL66:AL85)</f>
        <v>0</v>
      </c>
      <c r="AM86" s="24"/>
      <c r="AN86" s="24" t="n">
        <f aca="false">SUM(AN66:AN85)</f>
        <v>0</v>
      </c>
      <c r="AO86" s="24"/>
      <c r="AP86" s="24" t="n">
        <f aca="false">SUM(AP66:AP85)</f>
        <v>0</v>
      </c>
      <c r="AQ86" s="24"/>
      <c r="AR86" s="24" t="n">
        <f aca="false">SUM(AR66:AR85)</f>
        <v>204588</v>
      </c>
      <c r="AS86" s="24" t="n">
        <f aca="false">SUM(AS66:AS85)</f>
        <v>0</v>
      </c>
      <c r="AT86" s="24" t="n">
        <f aca="false">SUM(AT66:AT85)</f>
        <v>0</v>
      </c>
      <c r="AU86" s="24" t="n">
        <f aca="false">SUM(AU66:AU85)</f>
        <v>0</v>
      </c>
      <c r="AV86" s="24" t="n">
        <f aca="false">SUM(AV66:AV85)</f>
        <v>2792896</v>
      </c>
      <c r="AW86" s="24" t="n">
        <f aca="false">SUM(AW66:AW85)</f>
        <v>0</v>
      </c>
      <c r="AX86" s="24" t="n">
        <f aca="false">SUM(AX66:AX85)</f>
        <v>0</v>
      </c>
      <c r="AY86" s="24" t="n">
        <f aca="false">SUM(AY66:AY85)</f>
        <v>0</v>
      </c>
      <c r="AZ86" s="24" t="n">
        <f aca="false">SUM(AZ66:AZ85)</f>
        <v>4875123</v>
      </c>
      <c r="BA86" s="24" t="n">
        <f aca="false">SUM(BA66:BA85)</f>
        <v>0</v>
      </c>
      <c r="BB86" s="24" t="n">
        <f aca="false">SUM(BB66:BB85)</f>
        <v>0</v>
      </c>
      <c r="BD86" s="24" t="n">
        <f aca="false">SUM(BD66:BD85)</f>
        <v>0</v>
      </c>
      <c r="BF86" s="24" t="n">
        <f aca="false">SUM(BF66:BF85)</f>
        <v>0</v>
      </c>
      <c r="BG86" s="24" t="n">
        <f aca="false">SUM(BG66:BG85)</f>
        <v>0</v>
      </c>
      <c r="BH86" s="24" t="n">
        <f aca="false">SUM(BH66:BH85)</f>
        <v>9750969</v>
      </c>
      <c r="BI86" s="24" t="n">
        <f aca="false">SUM(BI66:BI85)</f>
        <v>0</v>
      </c>
      <c r="BJ86" s="24" t="n">
        <f aca="false">SUM(BJ66:BJ85)</f>
        <v>0</v>
      </c>
      <c r="BK86" s="24" t="n">
        <f aca="false">SUM(BK66:BK85)</f>
        <v>0</v>
      </c>
      <c r="BL86" s="24" t="n">
        <f aca="false">SUM(BL66:BL85)</f>
        <v>0</v>
      </c>
      <c r="BM86" s="24" t="n">
        <f aca="false">SUM(BM66:BM85)</f>
        <v>0</v>
      </c>
      <c r="BN86" s="24"/>
      <c r="BO86" s="24" t="n">
        <f aca="false">SUM(BO66:BO85)</f>
        <v>0</v>
      </c>
      <c r="BP86" s="24" t="n">
        <f aca="false">SUM(BP66:BP85)</f>
        <v>0</v>
      </c>
      <c r="BQ86" s="24" t="n">
        <f aca="false">SUM(BQ66:BQ85)</f>
        <v>17623576</v>
      </c>
      <c r="BR86" s="24" t="n">
        <f aca="false">SUM(BR66:BR85)</f>
        <v>0</v>
      </c>
      <c r="BS86" s="24" t="n">
        <f aca="false">SUM(BS66:BS85)</f>
        <v>2884119</v>
      </c>
      <c r="BT86" s="24" t="n">
        <f aca="false">SUM(BT66:BT85)</f>
        <v>0</v>
      </c>
      <c r="BU86" s="24" t="n">
        <f aca="false">SUM(BU66:BU85)</f>
        <v>1040771</v>
      </c>
      <c r="BV86" s="24" t="n">
        <f aca="false">SUM(BV66:BV85)</f>
        <v>0</v>
      </c>
      <c r="BW86" s="24" t="n">
        <f aca="false">SUM(BW66:BW85)</f>
        <v>18664347</v>
      </c>
      <c r="BX86" s="24" t="n">
        <f aca="false">SUM(BX66:BX85)</f>
        <v>0</v>
      </c>
      <c r="BY86" s="24" t="n">
        <f aca="false">+R86-BW86</f>
        <v>-6214674</v>
      </c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178"/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"/>
      <c r="AJ87" s="24"/>
      <c r="AK87" s="2"/>
      <c r="AL87" s="24"/>
      <c r="AM87" s="2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D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245" t="s">
        <v>221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D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3.5" hidden="false" customHeight="false" outlineLevel="0" collapsed="false">
      <c r="A89" s="174"/>
      <c r="B89" s="183" t="s">
        <v>222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240" t="n">
        <v>9230000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"/>
      <c r="AJ89" s="24"/>
      <c r="AK89" s="2"/>
      <c r="AL89" s="24"/>
      <c r="AM89" s="2"/>
      <c r="AN89" s="24"/>
      <c r="AO89" s="24"/>
      <c r="AP89" s="24"/>
      <c r="AQ89" s="24"/>
      <c r="AR89" s="24"/>
      <c r="AS89" s="24"/>
      <c r="AT89" s="24"/>
      <c r="AU89" s="24"/>
      <c r="AV89" s="110" t="n">
        <v>848349</v>
      </c>
      <c r="AW89" s="24"/>
      <c r="AX89" s="24"/>
      <c r="AY89" s="24"/>
      <c r="AZ89" s="110" t="n">
        <f aca="false">8708878-848349</f>
        <v>7860529</v>
      </c>
      <c r="BA89" s="24"/>
      <c r="BB89" s="24"/>
      <c r="BD89" s="24"/>
      <c r="BF89" s="24"/>
      <c r="BG89" s="24"/>
      <c r="BH89" s="24" t="n">
        <f aca="false">12182028-8708878</f>
        <v>3473150</v>
      </c>
      <c r="BI89" s="24"/>
      <c r="BJ89" s="24"/>
      <c r="BK89" s="24"/>
      <c r="BL89" s="24"/>
      <c r="BM89" s="24"/>
      <c r="BN89" s="24"/>
      <c r="BO89" s="24"/>
      <c r="BP89" s="24"/>
      <c r="BQ89" s="110" t="n">
        <f aca="false">SUM(T89:BP89)</f>
        <v>12182028</v>
      </c>
      <c r="BR89" s="24"/>
      <c r="BS89" s="110" t="n">
        <f aca="false">12136758-9230000</f>
        <v>2906758</v>
      </c>
      <c r="BT89" s="110"/>
      <c r="BU89" s="110" t="n">
        <f aca="false">IF(+R89-BQ89+BS89&gt;0,R89-BQ89+BS89,0)</f>
        <v>0</v>
      </c>
      <c r="BW89" s="110" t="n">
        <f aca="false">+BQ89+BU89</f>
        <v>12182028</v>
      </c>
      <c r="BX89" s="24"/>
      <c r="BY89" s="110" t="n">
        <f aca="false">+R89-BW89</f>
        <v>-2952028</v>
      </c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3.5" hidden="false" customHeight="false" outlineLevel="0" collapsed="false">
      <c r="A90" s="174"/>
      <c r="B90" s="175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D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74"/>
      <c r="B91" s="242" t="s">
        <v>223</v>
      </c>
      <c r="C91" s="2"/>
      <c r="D91" s="2"/>
      <c r="E91" s="2"/>
      <c r="F91" s="2"/>
      <c r="G91" s="2"/>
      <c r="H91" s="2"/>
      <c r="I91" s="2"/>
      <c r="J91" s="3"/>
      <c r="K91" s="2"/>
      <c r="L91" s="179"/>
      <c r="M91" s="24"/>
      <c r="N91" s="24"/>
      <c r="O91" s="24"/>
      <c r="P91" s="24"/>
      <c r="Q91" s="24"/>
      <c r="R91" s="24" t="n">
        <f aca="false">SUM(R89:R90)</f>
        <v>9230000</v>
      </c>
      <c r="S91" s="24" t="n">
        <f aca="false">SUM(S89:S90)</f>
        <v>0</v>
      </c>
      <c r="T91" s="24" t="n">
        <f aca="false">SUM(T89:T90)</f>
        <v>0</v>
      </c>
      <c r="U91" s="24" t="n">
        <f aca="false">SUM(U89:U90)</f>
        <v>0</v>
      </c>
      <c r="V91" s="24" t="n">
        <f aca="false">SUM(V89:V90)</f>
        <v>0</v>
      </c>
      <c r="W91" s="24" t="n">
        <f aca="false">SUM(W89:W90)</f>
        <v>0</v>
      </c>
      <c r="X91" s="24" t="n">
        <f aca="false">SUM(X89:X90)</f>
        <v>0</v>
      </c>
      <c r="Y91" s="24" t="n">
        <f aca="false">SUM(Y89:Y90)</f>
        <v>0</v>
      </c>
      <c r="Z91" s="24" t="n">
        <f aca="false">SUM(Z89:Z90)</f>
        <v>0</v>
      </c>
      <c r="AA91" s="24" t="n">
        <f aca="false">SUM(AA89:AA90)</f>
        <v>0</v>
      </c>
      <c r="AB91" s="24" t="n">
        <f aca="false">SUM(AB89:AB90)</f>
        <v>0</v>
      </c>
      <c r="AC91" s="24" t="n">
        <f aca="false">SUM(AC89:AC90)</f>
        <v>0</v>
      </c>
      <c r="AD91" s="24" t="n">
        <f aca="false">SUM(AD89:AD90)</f>
        <v>0</v>
      </c>
      <c r="AE91" s="24" t="n">
        <f aca="false">SUM(AE89:AE90)</f>
        <v>0</v>
      </c>
      <c r="AF91" s="24" t="n">
        <f aca="false">SUM(AF89:AF90)</f>
        <v>0</v>
      </c>
      <c r="AG91" s="24" t="n">
        <f aca="false">SUM(AG89:AG90)</f>
        <v>0</v>
      </c>
      <c r="AH91" s="24" t="n">
        <f aca="false">SUM(AH89:AH90)</f>
        <v>0</v>
      </c>
      <c r="AI91" s="24"/>
      <c r="AJ91" s="24" t="n">
        <f aca="false">SUM(AJ89:AJ90)</f>
        <v>0</v>
      </c>
      <c r="AK91" s="24"/>
      <c r="AL91" s="24" t="n">
        <f aca="false">SUM(AL89:AL90)</f>
        <v>0</v>
      </c>
      <c r="AM91" s="24"/>
      <c r="AN91" s="24" t="n">
        <f aca="false">SUM(AN89:AN90)</f>
        <v>0</v>
      </c>
      <c r="AO91" s="24"/>
      <c r="AP91" s="24" t="n">
        <f aca="false">SUM(AP89:AP90)</f>
        <v>0</v>
      </c>
      <c r="AQ91" s="24"/>
      <c r="AR91" s="24" t="n">
        <f aca="false">SUM(AR89:AR90)</f>
        <v>0</v>
      </c>
      <c r="AS91" s="24" t="n">
        <f aca="false">SUM(AS89:AS90)</f>
        <v>0</v>
      </c>
      <c r="AT91" s="24" t="n">
        <f aca="false">SUM(AT89:AT90)</f>
        <v>0</v>
      </c>
      <c r="AU91" s="24" t="n">
        <f aca="false">SUM(AU89:AU90)</f>
        <v>0</v>
      </c>
      <c r="AV91" s="24" t="n">
        <f aca="false">SUM(AV89:AV90)</f>
        <v>848349</v>
      </c>
      <c r="AW91" s="24" t="n">
        <f aca="false">SUM(AW89:AW90)</f>
        <v>0</v>
      </c>
      <c r="AX91" s="24" t="n">
        <f aca="false">SUM(AX89:AX90)</f>
        <v>0</v>
      </c>
      <c r="AY91" s="24" t="n">
        <f aca="false">SUM(AY89:AY90)</f>
        <v>0</v>
      </c>
      <c r="AZ91" s="24" t="n">
        <f aca="false">SUM(AZ89:AZ90)</f>
        <v>7860529</v>
      </c>
      <c r="BA91" s="24" t="n">
        <f aca="false">SUM(BA89:BA90)</f>
        <v>0</v>
      </c>
      <c r="BB91" s="24" t="n">
        <f aca="false">SUM(BB89:BB90)</f>
        <v>0</v>
      </c>
      <c r="BD91" s="24" t="n">
        <f aca="false">SUM(BD89:BD90)</f>
        <v>0</v>
      </c>
      <c r="BF91" s="24" t="n">
        <f aca="false">SUM(BF89:BF90)</f>
        <v>0</v>
      </c>
      <c r="BG91" s="24" t="n">
        <f aca="false">SUM(BG89:BG90)</f>
        <v>0</v>
      </c>
      <c r="BH91" s="24" t="n">
        <f aca="false">SUM(BH89:BH90)</f>
        <v>3473150</v>
      </c>
      <c r="BI91" s="24" t="n">
        <f aca="false">SUM(BI89:BI90)</f>
        <v>0</v>
      </c>
      <c r="BJ91" s="24" t="n">
        <f aca="false">SUM(BJ89:BJ90)</f>
        <v>0</v>
      </c>
      <c r="BK91" s="24" t="n">
        <f aca="false">SUM(BK89:BK90)</f>
        <v>0</v>
      </c>
      <c r="BL91" s="24" t="n">
        <f aca="false">SUM(BL89:BL90)</f>
        <v>0</v>
      </c>
      <c r="BM91" s="24" t="n">
        <f aca="false">SUM(BM89:BM90)</f>
        <v>0</v>
      </c>
      <c r="BN91" s="24"/>
      <c r="BO91" s="24" t="n">
        <f aca="false">SUM(BO89:BO90)</f>
        <v>0</v>
      </c>
      <c r="BP91" s="24" t="n">
        <f aca="false">SUM(BP89:BP90)</f>
        <v>0</v>
      </c>
      <c r="BQ91" s="24" t="n">
        <f aca="false">SUM(BQ89:BQ90)</f>
        <v>12182028</v>
      </c>
      <c r="BR91" s="24" t="n">
        <f aca="false">SUM(BR89:BR90)</f>
        <v>0</v>
      </c>
      <c r="BS91" s="24" t="n">
        <f aca="false">SUM(BS89:BS90)</f>
        <v>2906758</v>
      </c>
      <c r="BT91" s="24" t="n">
        <f aca="false">SUM(BT89:BT90)</f>
        <v>0</v>
      </c>
      <c r="BU91" s="24" t="n">
        <f aca="false">SUM(BU89:BU90)</f>
        <v>0</v>
      </c>
      <c r="BV91" s="24" t="n">
        <f aca="false">SUM(BV89:BV90)</f>
        <v>0</v>
      </c>
      <c r="BW91" s="24" t="n">
        <f aca="false">SUM(BW89:BW90)</f>
        <v>12182028</v>
      </c>
      <c r="BX91" s="24"/>
      <c r="BY91" s="24" t="n">
        <f aca="false">+R91-BW91</f>
        <v>-2952028</v>
      </c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174"/>
      <c r="B92" s="242"/>
      <c r="C92" s="2"/>
      <c r="D92" s="2"/>
      <c r="E92" s="2"/>
      <c r="F92" s="2"/>
      <c r="G92" s="2"/>
      <c r="H92" s="2"/>
      <c r="I92" s="2"/>
      <c r="J92" s="3"/>
      <c r="K92" s="2"/>
      <c r="L92" s="179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D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174"/>
      <c r="B93" s="161" t="s">
        <v>340</v>
      </c>
      <c r="C93" s="2"/>
      <c r="D93" s="2"/>
      <c r="E93" s="2"/>
      <c r="F93" s="2"/>
      <c r="G93" s="2"/>
      <c r="H93" s="2"/>
      <c r="I93" s="2"/>
      <c r="J93" s="3"/>
      <c r="K93" s="2"/>
      <c r="L93" s="179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 t="n">
        <v>-250000</v>
      </c>
      <c r="AU93" s="24"/>
      <c r="AV93" s="24"/>
      <c r="AW93" s="24"/>
      <c r="AX93" s="24"/>
      <c r="AY93" s="24"/>
      <c r="AZ93" s="24"/>
      <c r="BA93" s="24"/>
      <c r="BB93" s="24"/>
      <c r="BD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110" t="n">
        <f aca="false">SUM(T93:BP93)</f>
        <v>-250000</v>
      </c>
      <c r="BR93" s="24"/>
      <c r="BS93" s="24" t="n">
        <v>0</v>
      </c>
      <c r="BT93" s="24"/>
      <c r="BV93" s="24"/>
      <c r="BW93" s="110" t="n">
        <v>0</v>
      </c>
      <c r="BX93" s="24"/>
      <c r="BY93" s="110" t="n">
        <f aca="false">+R93-BW93</f>
        <v>0</v>
      </c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174"/>
      <c r="B94" s="242"/>
      <c r="C94" s="2"/>
      <c r="D94" s="2"/>
      <c r="E94" s="2"/>
      <c r="F94" s="2"/>
      <c r="G94" s="2"/>
      <c r="H94" s="2"/>
      <c r="I94" s="2"/>
      <c r="J94" s="3"/>
      <c r="K94" s="2"/>
      <c r="L94" s="179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D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174"/>
      <c r="B95" s="245" t="s">
        <v>403</v>
      </c>
      <c r="C95" s="2"/>
      <c r="D95" s="2"/>
      <c r="E95" s="2"/>
      <c r="F95" s="2"/>
      <c r="G95" s="2"/>
      <c r="H95" s="2"/>
      <c r="I95" s="2"/>
      <c r="J95" s="3"/>
      <c r="K95" s="2"/>
      <c r="L95" s="179"/>
      <c r="M95" s="24"/>
      <c r="N95" s="24"/>
      <c r="O95" s="24"/>
      <c r="P95" s="24"/>
      <c r="Q95" s="24"/>
      <c r="R95" s="24" t="n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 t="n">
        <f aca="false">6054031.56-709427</f>
        <v>5344604.56</v>
      </c>
      <c r="AS95" s="24"/>
      <c r="AT95" s="24"/>
      <c r="AU95" s="24"/>
      <c r="AV95" s="110" t="n">
        <f aca="false">-5344605+5295206-291068</f>
        <v>-340467</v>
      </c>
      <c r="AW95" s="24"/>
      <c r="AX95" s="24" t="n">
        <v>6512226</v>
      </c>
      <c r="AY95" s="24"/>
      <c r="AZ95" s="24" t="n">
        <v>-9645865</v>
      </c>
      <c r="BA95" s="24"/>
      <c r="BB95" s="24" t="n">
        <v>7581129</v>
      </c>
      <c r="BD95" s="24"/>
      <c r="BF95" s="24" t="n">
        <f aca="false">8254970+2743470+249699-250000</f>
        <v>10998139</v>
      </c>
      <c r="BG95" s="24"/>
      <c r="BH95" s="24" t="n">
        <f aca="false">-18385535+1302930</f>
        <v>-17082605</v>
      </c>
      <c r="BI95" s="24"/>
      <c r="BJ95" s="24"/>
      <c r="BK95" s="24"/>
      <c r="BL95" s="24"/>
      <c r="BM95" s="24"/>
      <c r="BN95" s="24"/>
      <c r="BO95" s="24"/>
      <c r="BP95" s="24"/>
      <c r="BQ95" s="110" t="n">
        <f aca="false">SUM(T95:BP95)</f>
        <v>3367161.56</v>
      </c>
      <c r="BR95" s="24"/>
      <c r="BS95" s="24" t="n">
        <f aca="false">-50096668+46735000</f>
        <v>-3361668</v>
      </c>
      <c r="BT95" s="24"/>
      <c r="BU95" s="24"/>
      <c r="BV95" s="24"/>
      <c r="BW95" s="110" t="n">
        <f aca="false">-52871755+46735000</f>
        <v>-6136755</v>
      </c>
      <c r="BX95" s="24"/>
      <c r="BY95" s="110" t="n">
        <f aca="false">+R95-BW95</f>
        <v>6136755</v>
      </c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174"/>
      <c r="B96" s="178"/>
      <c r="C96" s="2"/>
      <c r="D96" s="2"/>
      <c r="E96" s="2"/>
      <c r="F96" s="2"/>
      <c r="G96" s="2"/>
      <c r="H96" s="2"/>
      <c r="I96" s="2"/>
      <c r="J96" s="3"/>
      <c r="K96" s="2"/>
      <c r="L96" s="179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"/>
      <c r="AJ96" s="24"/>
      <c r="AK96" s="2"/>
      <c r="AL96" s="24"/>
      <c r="AM96" s="2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D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84"/>
      <c r="B97" s="185" t="s">
        <v>227</v>
      </c>
      <c r="C97" s="186"/>
      <c r="D97" s="186"/>
      <c r="E97" s="186"/>
      <c r="F97" s="186"/>
      <c r="G97" s="186"/>
      <c r="H97" s="186"/>
      <c r="I97" s="186"/>
      <c r="J97" s="187"/>
      <c r="K97" s="186"/>
      <c r="L97" s="188"/>
      <c r="M97" s="189"/>
      <c r="N97" s="190" t="n">
        <f aca="false">SUM(N41:N96)</f>
        <v>0</v>
      </c>
      <c r="O97" s="189"/>
      <c r="P97" s="190" t="n">
        <f aca="false">SUM(P41:P96)</f>
        <v>0</v>
      </c>
      <c r="Q97" s="189"/>
      <c r="R97" s="190" t="n">
        <f aca="false">R91+R86+R63+R54+R95</f>
        <v>41741400</v>
      </c>
      <c r="S97" s="190" t="n">
        <f aca="false">S91+S86+S63+S54+S95</f>
        <v>0</v>
      </c>
      <c r="T97" s="190" t="n">
        <f aca="false">T91+T86+T63+T54+T95</f>
        <v>0</v>
      </c>
      <c r="U97" s="190" t="n">
        <f aca="false">U91+U86+U63+U54+U95</f>
        <v>0</v>
      </c>
      <c r="V97" s="190" t="n">
        <f aca="false">V91+V86+V63+V54+V95</f>
        <v>0</v>
      </c>
      <c r="W97" s="190" t="n">
        <f aca="false">W91+W86+W63+W54+W95</f>
        <v>0</v>
      </c>
      <c r="X97" s="190" t="n">
        <f aca="false">X91+X86+X63+X54+X95</f>
        <v>0</v>
      </c>
      <c r="Y97" s="190" t="n">
        <f aca="false">Y91+Y86+Y63+Y54+Y95</f>
        <v>0</v>
      </c>
      <c r="Z97" s="190" t="n">
        <f aca="false">Z91+Z86+Z63+Z54+Z95</f>
        <v>0</v>
      </c>
      <c r="AA97" s="190" t="n">
        <f aca="false">AA91+AA86+AA63+AA54+AA95</f>
        <v>0</v>
      </c>
      <c r="AB97" s="190" t="n">
        <f aca="false">AB91+AB86+AB63+AB54+AB95</f>
        <v>0</v>
      </c>
      <c r="AC97" s="190" t="n">
        <f aca="false">AC91+AC86+AC63+AC54+AC95</f>
        <v>0</v>
      </c>
      <c r="AD97" s="190" t="n">
        <f aca="false">AD91+AD86+AD63+AD54+AD95</f>
        <v>0</v>
      </c>
      <c r="AE97" s="190" t="n">
        <f aca="false">AE91+AE86+AE63+AE54+AE95</f>
        <v>0</v>
      </c>
      <c r="AF97" s="190" t="n">
        <f aca="false">AF91+AF86+AF63+AF54+AF95</f>
        <v>0</v>
      </c>
      <c r="AG97" s="190" t="n">
        <f aca="false">AG91+AG86+AG63+AG54+AG95</f>
        <v>0</v>
      </c>
      <c r="AH97" s="190" t="n">
        <f aca="false">AH91+AH86+AH63+AH54+AH95</f>
        <v>0</v>
      </c>
      <c r="AI97" s="190"/>
      <c r="AJ97" s="190" t="n">
        <f aca="false">AJ91+AJ86+AJ63+AJ54+AJ95</f>
        <v>0</v>
      </c>
      <c r="AK97" s="190"/>
      <c r="AL97" s="190" t="n">
        <f aca="false">AL91+AL86+AL63+AL54+AL95</f>
        <v>0</v>
      </c>
      <c r="AM97" s="190"/>
      <c r="AN97" s="190" t="n">
        <f aca="false">AN91+AN86+AN63+AN54+AN95</f>
        <v>0</v>
      </c>
      <c r="AO97" s="190"/>
      <c r="AP97" s="190" t="n">
        <f aca="false">AP91+AP86+AP63+AP54+AP95</f>
        <v>0</v>
      </c>
      <c r="AQ97" s="190"/>
      <c r="AR97" s="190" t="n">
        <f aca="false">AR91+AR86+AR63+AR54+AR95</f>
        <v>6054031.56</v>
      </c>
      <c r="AS97" s="190" t="n">
        <f aca="false">AS91+AS86+AS63+AS54+AS95</f>
        <v>0</v>
      </c>
      <c r="AT97" s="190" t="n">
        <f aca="false">AT91+AT86+AT63+AT54+AT95+AT93</f>
        <v>-250000</v>
      </c>
      <c r="AU97" s="190" t="n">
        <f aca="false">AU91+AU86+AU63+AU54+AU95+AU93</f>
        <v>0</v>
      </c>
      <c r="AV97" s="190" t="n">
        <f aca="false">AV91+AV86+AV63+AV54+AV95+AV93</f>
        <v>5295206</v>
      </c>
      <c r="AW97" s="190" t="n">
        <f aca="false">AW91+AW86+AW63+AW54+AW95+AW93</f>
        <v>0</v>
      </c>
      <c r="AX97" s="190" t="n">
        <f aca="false">AX91+AX86+AX63+AX54+AX95+AX93</f>
        <v>6512226</v>
      </c>
      <c r="AY97" s="190" t="n">
        <f aca="false">AY91+AY86+AY63+AY54+AY95+AY93</f>
        <v>0</v>
      </c>
      <c r="AZ97" s="190" t="n">
        <f aca="false">AZ91+AZ86+AZ63+AZ54+AZ95+AZ93</f>
        <v>8178457</v>
      </c>
      <c r="BA97" s="190" t="n">
        <f aca="false">BA91+BA86+BA63+BA54+BA95+BA93</f>
        <v>0</v>
      </c>
      <c r="BB97" s="190" t="n">
        <f aca="false">BB91+BB86+BB63+BB54+BB95+BB93</f>
        <v>7581129</v>
      </c>
      <c r="BC97" s="190" t="n">
        <f aca="false">BC91+BC86+BC63+BC54+BC95+BC93</f>
        <v>0</v>
      </c>
      <c r="BD97" s="190" t="n">
        <f aca="false">BD91+BD86+BD63+BD54+BD95+BD93</f>
        <v>0</v>
      </c>
      <c r="BE97" s="190" t="n">
        <f aca="false">BE91+BE86+BE63+BE54+BE95+BE93</f>
        <v>0</v>
      </c>
      <c r="BF97" s="190" t="n">
        <f aca="false">BF91+BF86+BF63+BF54+BF95+BF93</f>
        <v>10998139</v>
      </c>
      <c r="BG97" s="190" t="n">
        <f aca="false">BG91+BG86+BG63+BG54+BG95+BG93</f>
        <v>0</v>
      </c>
      <c r="BH97" s="190" t="n">
        <f aca="false">BH91+BH86+BH63+BH54+BH95+BH93</f>
        <v>1302930</v>
      </c>
      <c r="BI97" s="190" t="n">
        <f aca="false">BI91+BI86+BI63+BI54+BI95+BI93</f>
        <v>0</v>
      </c>
      <c r="BJ97" s="190" t="n">
        <f aca="false">BJ91+BJ86+BJ63+BJ54+BJ95+BJ93</f>
        <v>0</v>
      </c>
      <c r="BK97" s="190" t="n">
        <f aca="false">BK91+BK86+BK63+BK54+BK95+BK93</f>
        <v>0</v>
      </c>
      <c r="BL97" s="190" t="n">
        <f aca="false">BL91+BL86+BL63+BL54+BL95+BL93</f>
        <v>0</v>
      </c>
      <c r="BM97" s="190" t="n">
        <f aca="false">BM91+BM86+BM63+BM54+BM95+BM93</f>
        <v>0</v>
      </c>
      <c r="BN97" s="190"/>
      <c r="BO97" s="190" t="n">
        <f aca="false">BO91+BO86+BO63+BO54+BO95+BO93</f>
        <v>0</v>
      </c>
      <c r="BP97" s="190" t="n">
        <f aca="false">BP91+BP86+BP63+BP54+BP95+BP93</f>
        <v>0</v>
      </c>
      <c r="BQ97" s="190" t="n">
        <f aca="false">BQ91+BQ86+BQ63+BQ54+BQ95+BQ93</f>
        <v>45672118.56</v>
      </c>
      <c r="BR97" s="190" t="n">
        <f aca="false">BR91+BR86+BR63+BR54+BR95+BR93</f>
        <v>0</v>
      </c>
      <c r="BS97" s="190" t="n">
        <f aca="false">BS91+BS86+BS63+BS54+BS95+BS93</f>
        <v>3629444</v>
      </c>
      <c r="BT97" s="190" t="n">
        <f aca="false">BT91+BT86+BT63+BT54+BT95+BT93</f>
        <v>0</v>
      </c>
      <c r="BU97" s="190" t="n">
        <f aca="false">BW97-BQ97</f>
        <v>1312881.44</v>
      </c>
      <c r="BV97" s="190" t="n">
        <f aca="false">BV91+BV86+BV63+BV54+BV95+BV93</f>
        <v>0</v>
      </c>
      <c r="BW97" s="190" t="n">
        <f aca="false">BW91+BW86+BW63+BW54+BW95+BW93</f>
        <v>46985000</v>
      </c>
      <c r="BX97" s="190" t="n">
        <f aca="false">BX91+BX86+BX63+BX54+BX95+BX93</f>
        <v>0</v>
      </c>
      <c r="BY97" s="190" t="n">
        <f aca="false">BY91+BY86+BY63+BY54+BY95+BY93</f>
        <v>-5243600</v>
      </c>
      <c r="BZ97" s="190" t="n">
        <f aca="false">BZ91+BZ86+BZ63+BZ54+BZ95+BZ93</f>
        <v>0</v>
      </c>
      <c r="CA97" s="186"/>
      <c r="CB97" s="186"/>
      <c r="CC97" s="186"/>
      <c r="CD97" s="186"/>
      <c r="CE97" s="186"/>
      <c r="CF97" s="186"/>
      <c r="CG97" s="186"/>
      <c r="CH97" s="186"/>
      <c r="CI97" s="186"/>
      <c r="CJ97" s="186"/>
      <c r="CK97" s="186"/>
      <c r="CL97" s="186"/>
      <c r="CM97" s="186"/>
      <c r="CN97" s="186"/>
      <c r="CO97" s="186"/>
      <c r="CP97" s="186"/>
      <c r="CQ97" s="186"/>
      <c r="CR97" s="186"/>
      <c r="CS97" s="186"/>
      <c r="CT97" s="186"/>
      <c r="CU97" s="186"/>
      <c r="CV97" s="186"/>
      <c r="CW97" s="186"/>
      <c r="CX97" s="186"/>
      <c r="CY97" s="186"/>
      <c r="CZ97" s="186"/>
      <c r="DA97" s="186"/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6"/>
      <c r="DM97" s="186"/>
      <c r="DN97" s="186"/>
      <c r="DO97" s="186"/>
      <c r="DP97" s="186"/>
      <c r="DQ97" s="186"/>
      <c r="DR97" s="186"/>
      <c r="DS97" s="186"/>
      <c r="DT97" s="186"/>
      <c r="DU97" s="186"/>
      <c r="DV97" s="186"/>
      <c r="DW97" s="186"/>
      <c r="DX97" s="186"/>
      <c r="DY97" s="186"/>
      <c r="DZ97" s="186"/>
      <c r="EA97" s="186"/>
      <c r="EB97" s="186"/>
      <c r="EC97" s="186"/>
      <c r="ED97" s="186"/>
      <c r="EE97" s="186"/>
      <c r="EF97" s="186"/>
      <c r="EG97" s="186"/>
      <c r="EH97" s="186"/>
      <c r="EI97" s="186"/>
      <c r="EJ97" s="186"/>
      <c r="EK97" s="186"/>
      <c r="EL97" s="186"/>
      <c r="EM97" s="186"/>
      <c r="EN97" s="186"/>
      <c r="EO97" s="186"/>
      <c r="EP97" s="186"/>
      <c r="EQ97" s="186"/>
      <c r="ER97" s="186"/>
      <c r="ES97" s="186"/>
      <c r="ET97" s="186"/>
      <c r="EU97" s="186"/>
      <c r="EV97" s="186"/>
      <c r="EW97" s="186"/>
      <c r="EX97" s="186"/>
      <c r="EY97" s="186"/>
      <c r="EZ97" s="186"/>
      <c r="FA97" s="186"/>
      <c r="FB97" s="186"/>
      <c r="FC97" s="186"/>
      <c r="FD97" s="186"/>
      <c r="FE97" s="186"/>
      <c r="FF97" s="186"/>
      <c r="FG97" s="186"/>
      <c r="FH97" s="186"/>
      <c r="FI97" s="186"/>
      <c r="FJ97" s="186"/>
      <c r="FK97" s="186"/>
      <c r="FL97" s="186"/>
      <c r="FM97" s="186"/>
      <c r="FN97" s="186"/>
      <c r="FO97" s="186"/>
      <c r="FP97" s="186"/>
      <c r="FQ97" s="186"/>
      <c r="FR97" s="186"/>
      <c r="FS97" s="186"/>
      <c r="FT97" s="186"/>
      <c r="FU97" s="186"/>
      <c r="FV97" s="186"/>
      <c r="FW97" s="186"/>
      <c r="FX97" s="186"/>
      <c r="FY97" s="186"/>
      <c r="FZ97" s="186"/>
      <c r="GA97" s="186"/>
      <c r="GB97" s="186"/>
      <c r="GC97" s="186"/>
      <c r="GD97" s="186"/>
      <c r="GE97" s="186"/>
      <c r="GF97" s="186"/>
      <c r="GG97" s="186"/>
      <c r="GH97" s="186"/>
      <c r="GI97" s="186"/>
      <c r="GJ97" s="186"/>
      <c r="GK97" s="186"/>
      <c r="GL97" s="186"/>
      <c r="GM97" s="186"/>
      <c r="GN97" s="186"/>
      <c r="GO97" s="186"/>
      <c r="GP97" s="186"/>
      <c r="GQ97" s="186"/>
      <c r="GR97" s="186"/>
      <c r="GS97" s="186"/>
      <c r="GT97" s="186"/>
      <c r="GU97" s="186"/>
      <c r="GV97" s="186"/>
      <c r="GW97" s="186"/>
      <c r="GX97" s="186"/>
      <c r="GY97" s="186"/>
      <c r="GZ97" s="186"/>
      <c r="HA97" s="186"/>
      <c r="HB97" s="186"/>
      <c r="HC97" s="186"/>
      <c r="HD97" s="186"/>
      <c r="HE97" s="186"/>
      <c r="HF97" s="186"/>
      <c r="HG97" s="186"/>
      <c r="HH97" s="186"/>
      <c r="HI97" s="186"/>
      <c r="HJ97" s="186"/>
      <c r="HK97" s="186"/>
      <c r="HL97" s="186"/>
      <c r="HM97" s="186"/>
      <c r="HN97" s="186"/>
      <c r="HO97" s="186"/>
      <c r="HP97" s="186"/>
      <c r="HQ97" s="186"/>
      <c r="HR97" s="186"/>
      <c r="HS97" s="186"/>
      <c r="HT97" s="186"/>
      <c r="HU97" s="186"/>
      <c r="HV97" s="186"/>
      <c r="HW97" s="186"/>
      <c r="HX97" s="186"/>
      <c r="HY97" s="186"/>
      <c r="HZ97" s="186"/>
      <c r="IA97" s="186"/>
      <c r="IB97" s="186"/>
      <c r="IC97" s="186"/>
      <c r="ID97" s="186"/>
      <c r="IE97" s="186"/>
      <c r="IF97" s="186"/>
      <c r="IG97" s="186"/>
      <c r="IH97" s="186"/>
      <c r="II97" s="186"/>
      <c r="IJ97" s="186"/>
      <c r="IK97" s="186"/>
      <c r="IL97" s="186"/>
      <c r="IM97" s="186"/>
      <c r="IN97" s="186"/>
      <c r="IO97" s="186"/>
      <c r="IP97" s="186"/>
      <c r="IQ97" s="186"/>
      <c r="IR97" s="186"/>
      <c r="IS97" s="186"/>
      <c r="IT97" s="186"/>
      <c r="IU97" s="186"/>
      <c r="IV97" s="186"/>
      <c r="IW97" s="186"/>
    </row>
    <row r="98" customFormat="false" ht="12.75" hidden="false" customHeight="false" outlineLevel="0" collapsed="false">
      <c r="A98" s="164"/>
      <c r="B98" s="161"/>
      <c r="C98" s="0"/>
      <c r="D98" s="0"/>
      <c r="E98" s="0"/>
      <c r="F98" s="0"/>
      <c r="G98" s="0"/>
      <c r="H98" s="0"/>
      <c r="I98" s="0"/>
      <c r="J98" s="4"/>
      <c r="K98" s="0"/>
      <c r="L98" s="34"/>
      <c r="M98" s="110"/>
      <c r="O98" s="110"/>
      <c r="Q98" s="110"/>
      <c r="S98" s="110"/>
      <c r="T98" s="110"/>
      <c r="U98" s="110"/>
      <c r="V98" s="110"/>
      <c r="X98" s="110"/>
      <c r="Z98" s="110"/>
      <c r="AB98" s="110"/>
      <c r="AD98" s="110"/>
      <c r="BH98" s="110" t="n">
        <f aca="false">BH97-1302930</f>
        <v>0</v>
      </c>
      <c r="BL98" s="110"/>
      <c r="BM98" s="110"/>
      <c r="BN98" s="110"/>
      <c r="BO98" s="110"/>
      <c r="BP98" s="110"/>
      <c r="BQ98" s="110" t="n">
        <f aca="false">BQ97+250000</f>
        <v>45922118.56</v>
      </c>
      <c r="BR98" s="110"/>
      <c r="BS98" s="110"/>
      <c r="BT98" s="110"/>
      <c r="BW98" s="110" t="n">
        <f aca="false">BW97+250000</f>
        <v>47235000</v>
      </c>
      <c r="BZ98" s="110"/>
    </row>
    <row r="99" customFormat="false" ht="12.75" hidden="false" customHeight="false" outlineLevel="0" collapsed="false">
      <c r="A99" s="160" t="s">
        <v>228</v>
      </c>
      <c r="B99" s="118"/>
      <c r="C99" s="0"/>
      <c r="D99" s="0"/>
      <c r="E99" s="0"/>
      <c r="F99" s="0"/>
      <c r="G99" s="0"/>
      <c r="H99" s="0"/>
      <c r="I99" s="0"/>
      <c r="J99" s="4"/>
      <c r="K99" s="0"/>
      <c r="L99" s="34"/>
      <c r="M99" s="110"/>
      <c r="O99" s="110"/>
      <c r="Q99" s="110"/>
      <c r="S99" s="110"/>
      <c r="T99" s="110"/>
      <c r="U99" s="110"/>
      <c r="V99" s="110"/>
      <c r="X99" s="110"/>
      <c r="Z99" s="110"/>
      <c r="AB99" s="110"/>
      <c r="AD99" s="110"/>
      <c r="BL99" s="110"/>
      <c r="BM99" s="110"/>
      <c r="BN99" s="110"/>
      <c r="BO99" s="110"/>
      <c r="BP99" s="110"/>
      <c r="BR99" s="110"/>
      <c r="BS99" s="110"/>
      <c r="BT99" s="110"/>
      <c r="BZ99" s="110"/>
    </row>
    <row r="100" customFormat="false" ht="12.75" hidden="false" customHeight="false" outlineLevel="0" collapsed="false">
      <c r="A100" s="161"/>
      <c r="B100" s="161" t="s">
        <v>229</v>
      </c>
      <c r="C100" s="0"/>
      <c r="D100" s="0"/>
      <c r="E100" s="0"/>
      <c r="F100" s="0"/>
      <c r="G100" s="0"/>
      <c r="H100" s="0"/>
      <c r="I100" s="0"/>
      <c r="J100" s="4" t="s">
        <v>230</v>
      </c>
      <c r="K100" s="0"/>
      <c r="L100" s="34" t="s">
        <v>151</v>
      </c>
      <c r="M100" s="110"/>
      <c r="N100" s="110" t="n">
        <v>0</v>
      </c>
      <c r="O100" s="110"/>
      <c r="P100" s="110" t="n">
        <v>0</v>
      </c>
      <c r="Q100" s="110"/>
      <c r="R100" s="110" t="n">
        <v>929800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L100" s="110" t="n">
        <v>232450</v>
      </c>
      <c r="AN100" s="110" t="n">
        <v>0</v>
      </c>
      <c r="AP100" s="110" t="n">
        <v>77483.34</v>
      </c>
      <c r="AR100" s="110" t="n">
        <v>77483.33</v>
      </c>
      <c r="AT100" s="110" t="n">
        <v>77483.33</v>
      </c>
      <c r="AV100" s="110" t="n">
        <v>77483.34</v>
      </c>
      <c r="AX100" s="110" t="n">
        <v>77483.34</v>
      </c>
      <c r="AZ100" s="110" t="n">
        <v>77483.33</v>
      </c>
      <c r="BB100" s="110" t="n">
        <v>77483</v>
      </c>
      <c r="BD100" s="110" t="n">
        <v>77483.33</v>
      </c>
      <c r="BF100" s="110" t="n">
        <v>77483.33</v>
      </c>
      <c r="BH100" s="110" t="n">
        <v>0</v>
      </c>
      <c r="BJ100" s="110" t="n">
        <v>0</v>
      </c>
      <c r="BL100" s="110" t="n">
        <f aca="false">7096+6741</f>
        <v>13837</v>
      </c>
      <c r="BM100" s="110" t="n">
        <v>0</v>
      </c>
      <c r="BN100" s="110"/>
      <c r="BO100" s="110" t="n">
        <v>0</v>
      </c>
      <c r="BP100" s="110"/>
      <c r="BQ100" s="110" t="n">
        <f aca="false">SUM(T100:BP100)</f>
        <v>943636.67</v>
      </c>
      <c r="BR100" s="110"/>
      <c r="BS100" s="110" t="n">
        <v>0</v>
      </c>
      <c r="BT100" s="110"/>
      <c r="BU100" s="110" t="n">
        <f aca="false">IF(+R100-BQ100+BS100&gt;0,R100-BQ100+BS100,0)</f>
        <v>0</v>
      </c>
      <c r="BW100" s="110" t="n">
        <f aca="false">+BQ100+BU100</f>
        <v>943636.67</v>
      </c>
      <c r="BY100" s="110" t="n">
        <f aca="false">+R100-BW100</f>
        <v>-13836.67</v>
      </c>
      <c r="BZ100" s="110"/>
    </row>
    <row r="101" customFormat="false" ht="12.75" hidden="false" customHeight="false" outlineLevel="0" collapsed="false">
      <c r="A101" s="161"/>
      <c r="B101" s="161" t="s">
        <v>231</v>
      </c>
      <c r="C101" s="0"/>
      <c r="D101" s="0"/>
      <c r="E101" s="0"/>
      <c r="F101" s="0"/>
      <c r="G101" s="0"/>
      <c r="H101" s="0"/>
      <c r="I101" s="0"/>
      <c r="J101" s="4" t="s">
        <v>231</v>
      </c>
      <c r="K101" s="0"/>
      <c r="L101" s="34" t="s">
        <v>151</v>
      </c>
      <c r="M101" s="110"/>
      <c r="N101" s="110" t="n">
        <v>0</v>
      </c>
      <c r="O101" s="110"/>
      <c r="P101" s="110" t="n">
        <v>0</v>
      </c>
      <c r="Q101" s="110"/>
      <c r="R101" s="110" t="n">
        <v>2840700</v>
      </c>
      <c r="S101" s="110"/>
      <c r="T101" s="110" t="n">
        <v>0</v>
      </c>
      <c r="U101" s="110"/>
      <c r="V101" s="110" t="n">
        <v>0</v>
      </c>
      <c r="X101" s="110" t="n">
        <v>0</v>
      </c>
      <c r="Z101" s="110" t="n">
        <v>0</v>
      </c>
      <c r="AB101" s="110" t="n">
        <v>0</v>
      </c>
      <c r="AD101" s="110" t="n">
        <v>0</v>
      </c>
      <c r="AF101" s="110" t="n">
        <v>0</v>
      </c>
      <c r="AH101" s="110" t="n">
        <v>0</v>
      </c>
      <c r="AJ101" s="110" t="n">
        <v>0</v>
      </c>
      <c r="AL101" s="110" t="n">
        <v>710172</v>
      </c>
      <c r="AN101" s="110" t="n">
        <v>0</v>
      </c>
      <c r="AP101" s="110" t="n">
        <v>236722.33</v>
      </c>
      <c r="AR101" s="110" t="n">
        <v>236722.33</v>
      </c>
      <c r="AT101" s="110" t="n">
        <v>236722</v>
      </c>
      <c r="AV101" s="110" t="n">
        <v>236722</v>
      </c>
      <c r="AX101" s="110" t="n">
        <v>236722</v>
      </c>
      <c r="AZ101" s="110" t="n">
        <v>236722</v>
      </c>
      <c r="BB101" s="110" t="n">
        <v>236722</v>
      </c>
      <c r="BD101" s="110" t="n">
        <v>236722</v>
      </c>
      <c r="BF101" s="110" t="n">
        <v>236722</v>
      </c>
      <c r="BH101" s="110" t="n">
        <v>0</v>
      </c>
      <c r="BJ101" s="110" t="n">
        <v>0</v>
      </c>
      <c r="BL101" s="110" t="n">
        <v>0</v>
      </c>
      <c r="BM101" s="110" t="n">
        <v>0</v>
      </c>
      <c r="BN101" s="110"/>
      <c r="BO101" s="110" t="n">
        <v>0</v>
      </c>
      <c r="BP101" s="110"/>
      <c r="BQ101" s="110" t="n">
        <f aca="false">SUM(T101:BP101)</f>
        <v>2840670.66</v>
      </c>
      <c r="BR101" s="110"/>
      <c r="BS101" s="110" t="n">
        <v>-29</v>
      </c>
      <c r="BT101" s="110"/>
      <c r="BU101" s="110" t="n">
        <f aca="false">IF(+R101-BQ101+BS101&gt;0,R101-BQ101+BS101,0)</f>
        <v>0.339999999850988</v>
      </c>
      <c r="BW101" s="110" t="n">
        <f aca="false">+BQ101+BU101</f>
        <v>2840671</v>
      </c>
      <c r="BY101" s="110" t="n">
        <f aca="false">+R101-BW101</f>
        <v>29</v>
      </c>
      <c r="BZ101" s="110"/>
    </row>
    <row r="102" customFormat="false" ht="12.75" hidden="false" customHeight="false" outlineLevel="0" collapsed="false">
      <c r="A102" s="161"/>
      <c r="B102" s="161" t="s">
        <v>232</v>
      </c>
      <c r="C102" s="0"/>
      <c r="D102" s="0"/>
      <c r="E102" s="0"/>
      <c r="F102" s="0"/>
      <c r="G102" s="0"/>
      <c r="H102" s="0"/>
      <c r="I102" s="0"/>
      <c r="J102" s="4" t="s">
        <v>230</v>
      </c>
      <c r="K102" s="0"/>
      <c r="L102" s="34" t="s">
        <v>151</v>
      </c>
      <c r="M102" s="110"/>
      <c r="N102" s="110" t="n">
        <v>0</v>
      </c>
      <c r="O102" s="110"/>
      <c r="P102" s="110" t="n">
        <v>0</v>
      </c>
      <c r="Q102" s="110"/>
      <c r="R102" s="110" t="n">
        <v>0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0</v>
      </c>
      <c r="AH102" s="110" t="n">
        <v>0</v>
      </c>
      <c r="AJ102" s="110" t="n">
        <v>0</v>
      </c>
      <c r="AN102" s="110" t="n">
        <v>0</v>
      </c>
      <c r="AP102" s="110" t="n">
        <v>0</v>
      </c>
      <c r="AR102" s="110" t="n">
        <v>0</v>
      </c>
      <c r="AT102" s="110" t="n">
        <v>0</v>
      </c>
      <c r="AV102" s="110" t="n">
        <v>0</v>
      </c>
      <c r="AX102" s="110" t="n">
        <v>0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0</v>
      </c>
      <c r="BL102" s="110" t="n">
        <v>0</v>
      </c>
      <c r="BM102" s="110" t="n">
        <v>0</v>
      </c>
      <c r="BN102" s="110"/>
      <c r="BO102" s="110" t="n">
        <v>0</v>
      </c>
      <c r="BP102" s="110"/>
      <c r="BQ102" s="110" t="n">
        <f aca="false">SUM(T102:BP102)</f>
        <v>0</v>
      </c>
      <c r="BR102" s="110"/>
      <c r="BS102" s="110" t="n">
        <v>0</v>
      </c>
      <c r="BT102" s="110"/>
      <c r="BU102" s="110" t="n">
        <f aca="false">IF(+R102-BQ102+BS102&gt;0,R102-BQ102+BS102,0)</f>
        <v>0</v>
      </c>
      <c r="BW102" s="110" t="n">
        <f aca="false">+BQ102+BU102</f>
        <v>0</v>
      </c>
      <c r="BY102" s="110" t="n">
        <f aca="false">+R102-BW102</f>
        <v>0</v>
      </c>
      <c r="BZ102" s="110"/>
    </row>
    <row r="103" customFormat="false" ht="12.75" hidden="false" customHeight="false" outlineLevel="0" collapsed="false">
      <c r="A103" s="161"/>
      <c r="B103" s="161" t="s">
        <v>233</v>
      </c>
      <c r="C103" s="0"/>
      <c r="D103" s="0"/>
      <c r="E103" s="0"/>
      <c r="F103" s="0"/>
      <c r="G103" s="0"/>
      <c r="H103" s="0"/>
      <c r="I103" s="0"/>
      <c r="J103" s="4" t="s">
        <v>230</v>
      </c>
      <c r="K103" s="0"/>
      <c r="L103" s="34" t="s">
        <v>151</v>
      </c>
      <c r="M103" s="110"/>
      <c r="N103" s="110" t="n">
        <v>0</v>
      </c>
      <c r="O103" s="110"/>
      <c r="P103" s="110" t="n">
        <v>0</v>
      </c>
      <c r="Q103" s="110"/>
      <c r="R103" s="110" t="n">
        <f aca="false">+N103+P103</f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J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L103" s="110" t="n">
        <v>0</v>
      </c>
      <c r="BM103" s="110" t="n">
        <v>0</v>
      </c>
      <c r="BN103" s="110"/>
      <c r="BO103" s="110" t="n">
        <v>0</v>
      </c>
      <c r="BP103" s="110"/>
      <c r="BQ103" s="110" t="n">
        <f aca="false">SUM(T103:BP103)</f>
        <v>0</v>
      </c>
      <c r="BR103" s="110"/>
      <c r="BS103" s="110" t="n">
        <v>0</v>
      </c>
      <c r="BT103" s="110"/>
      <c r="BU103" s="110" t="n">
        <f aca="false">IF(+R103-BQ103+BS103&gt;0,R103-BQ103+BS103,0)</f>
        <v>0</v>
      </c>
      <c r="BW103" s="110" t="n">
        <f aca="false">+BQ103+BU103</f>
        <v>0</v>
      </c>
      <c r="BY103" s="110" t="n">
        <f aca="false">+R103-BW103</f>
        <v>0</v>
      </c>
      <c r="BZ103" s="110"/>
    </row>
    <row r="104" customFormat="false" ht="12.75" hidden="false" customHeight="false" outlineLevel="0" collapsed="false">
      <c r="A104" s="161"/>
      <c r="B104" s="161" t="s">
        <v>234</v>
      </c>
      <c r="C104" s="18"/>
      <c r="D104" s="18"/>
      <c r="E104" s="18"/>
      <c r="F104" s="18"/>
      <c r="G104" s="18"/>
      <c r="H104" s="18"/>
      <c r="I104" s="18"/>
      <c r="J104" s="229" t="s">
        <v>230</v>
      </c>
      <c r="K104" s="18"/>
      <c r="L104" s="34" t="s">
        <v>151</v>
      </c>
      <c r="M104" s="110"/>
      <c r="N104" s="110" t="n">
        <v>0</v>
      </c>
      <c r="O104" s="110"/>
      <c r="P104" s="110" t="n">
        <v>0</v>
      </c>
      <c r="Q104" s="110"/>
      <c r="R104" s="110" t="n">
        <f aca="false">+N104+P104</f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J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L104" s="110" t="n">
        <v>0</v>
      </c>
      <c r="BM104" s="110" t="n">
        <v>0</v>
      </c>
      <c r="BN104" s="110"/>
      <c r="BO104" s="110" t="n">
        <v>0</v>
      </c>
      <c r="BP104" s="110"/>
      <c r="BQ104" s="110" t="n">
        <f aca="false">SUM(T104:BP104)</f>
        <v>0</v>
      </c>
      <c r="BR104" s="110"/>
      <c r="BS104" s="110" t="n">
        <v>0</v>
      </c>
      <c r="BT104" s="110"/>
      <c r="BU104" s="110" t="n">
        <f aca="false">IF(+R104-BQ104+BS104&gt;0,R104-BQ104+BS104,0)</f>
        <v>0</v>
      </c>
      <c r="BW104" s="110" t="n">
        <f aca="false">+BQ104+BU104</f>
        <v>0</v>
      </c>
      <c r="BY104" s="110" t="n">
        <f aca="false">+R104-BW104</f>
        <v>0</v>
      </c>
      <c r="BZ104" s="110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  <c r="EU104" s="118"/>
      <c r="EV104" s="118"/>
      <c r="EW104" s="118"/>
      <c r="EX104" s="118"/>
      <c r="EY104" s="118"/>
      <c r="EZ104" s="118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  <c r="FQ104" s="118"/>
      <c r="FR104" s="118"/>
      <c r="FS104" s="118"/>
      <c r="FT104" s="118"/>
      <c r="FU104" s="118"/>
      <c r="FV104" s="118"/>
      <c r="FW104" s="118"/>
      <c r="FX104" s="118"/>
      <c r="FY104" s="118"/>
      <c r="FZ104" s="118"/>
      <c r="GA104" s="118"/>
      <c r="GB104" s="118"/>
      <c r="GC104" s="118"/>
      <c r="GD104" s="118"/>
      <c r="GE104" s="118"/>
      <c r="GF104" s="118"/>
      <c r="GG104" s="118"/>
      <c r="GH104" s="118"/>
      <c r="GI104" s="118"/>
      <c r="GJ104" s="118"/>
      <c r="GK104" s="118"/>
      <c r="GL104" s="118"/>
      <c r="GM104" s="118"/>
      <c r="GN104" s="118"/>
      <c r="GO104" s="118"/>
      <c r="GP104" s="118"/>
      <c r="GQ104" s="118"/>
      <c r="GR104" s="118"/>
      <c r="GS104" s="118"/>
      <c r="GT104" s="118"/>
      <c r="GU104" s="118"/>
      <c r="GV104" s="118"/>
      <c r="GW104" s="118"/>
      <c r="GX104" s="118"/>
      <c r="GY104" s="118"/>
      <c r="GZ104" s="118"/>
      <c r="HA104" s="118"/>
      <c r="HB104" s="118"/>
      <c r="HC104" s="118"/>
      <c r="HD104" s="118"/>
      <c r="HE104" s="118"/>
      <c r="HF104" s="118"/>
      <c r="HG104" s="118"/>
      <c r="HH104" s="118"/>
      <c r="HI104" s="118"/>
      <c r="HJ104" s="118"/>
      <c r="HK104" s="118"/>
      <c r="HL104" s="118"/>
      <c r="HM104" s="118"/>
      <c r="HN104" s="118"/>
      <c r="HO104" s="118"/>
      <c r="HP104" s="118"/>
      <c r="HQ104" s="118"/>
      <c r="HR104" s="118"/>
      <c r="HS104" s="118"/>
      <c r="HT104" s="118"/>
      <c r="HU104" s="118"/>
      <c r="HV104" s="118"/>
      <c r="HW104" s="118"/>
      <c r="HX104" s="118"/>
      <c r="HY104" s="118"/>
      <c r="HZ104" s="118"/>
      <c r="IA104" s="118"/>
      <c r="IB104" s="118"/>
      <c r="IC104" s="118"/>
      <c r="ID104" s="118"/>
      <c r="IE104" s="118"/>
      <c r="IF104" s="118"/>
      <c r="IG104" s="118"/>
      <c r="IH104" s="118"/>
      <c r="II104" s="118"/>
      <c r="IJ104" s="118"/>
      <c r="IK104" s="118"/>
      <c r="IL104" s="118"/>
      <c r="IM104" s="118"/>
      <c r="IN104" s="118"/>
      <c r="IO104" s="118"/>
      <c r="IP104" s="118"/>
      <c r="IQ104" s="118"/>
      <c r="IR104" s="118"/>
      <c r="IS104" s="118"/>
      <c r="IT104" s="118"/>
      <c r="IU104" s="118"/>
      <c r="IV104" s="118"/>
      <c r="IW104" s="118"/>
    </row>
    <row r="105" customFormat="false" ht="12.75" hidden="false" customHeight="false" outlineLevel="0" collapsed="false">
      <c r="A105" s="161"/>
      <c r="C105" s="0"/>
      <c r="D105" s="0"/>
      <c r="E105" s="0"/>
      <c r="F105" s="0"/>
      <c r="G105" s="0"/>
      <c r="H105" s="0"/>
      <c r="I105" s="0"/>
      <c r="J105" s="4"/>
      <c r="K105" s="0"/>
      <c r="L105" s="34" t="s">
        <v>151</v>
      </c>
      <c r="M105" s="110"/>
      <c r="N105" s="110" t="n">
        <v>0</v>
      </c>
      <c r="O105" s="110"/>
      <c r="P105" s="110" t="n">
        <v>0</v>
      </c>
      <c r="Q105" s="110"/>
      <c r="R105" s="110" t="n">
        <f aca="false">+N105+P105</f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J105" s="110" t="n">
        <v>0</v>
      </c>
      <c r="AN105" s="110" t="n">
        <v>0</v>
      </c>
      <c r="AP105" s="110" t="n">
        <v>0</v>
      </c>
      <c r="AR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L105" s="110" t="n">
        <v>0</v>
      </c>
      <c r="BM105" s="110" t="n">
        <v>0</v>
      </c>
      <c r="BN105" s="110"/>
      <c r="BO105" s="110" t="n">
        <v>0</v>
      </c>
      <c r="BP105" s="110"/>
      <c r="BQ105" s="110" t="n">
        <f aca="false">SUM(T105:BP105)</f>
        <v>0</v>
      </c>
      <c r="BR105" s="110"/>
      <c r="BS105" s="110" t="n">
        <v>0</v>
      </c>
      <c r="BT105" s="110"/>
      <c r="BU105" s="110" t="n">
        <v>0</v>
      </c>
      <c r="BW105" s="24" t="n">
        <f aca="false">+BQ105+BU105</f>
        <v>0</v>
      </c>
      <c r="BY105" s="110" t="n">
        <f aca="false">+R105-BW105</f>
        <v>0</v>
      </c>
      <c r="BZ105" s="110"/>
    </row>
    <row r="106" customFormat="false" ht="12.75" hidden="false" customHeight="false" outlineLevel="0" collapsed="false">
      <c r="A106" s="161"/>
      <c r="B106" s="161"/>
      <c r="C106" s="0"/>
      <c r="D106" s="0"/>
      <c r="E106" s="0"/>
      <c r="F106" s="0"/>
      <c r="G106" s="0"/>
      <c r="H106" s="0"/>
      <c r="I106" s="0"/>
      <c r="J106" s="4"/>
      <c r="K106" s="0"/>
      <c r="L106" s="34"/>
      <c r="M106" s="110"/>
      <c r="O106" s="110"/>
      <c r="Q106" s="110"/>
      <c r="S106" s="110"/>
      <c r="T106" s="110"/>
      <c r="U106" s="110"/>
      <c r="V106" s="110"/>
      <c r="X106" s="110"/>
      <c r="Z106" s="110"/>
      <c r="AB106" s="110"/>
      <c r="AD106" s="110"/>
      <c r="BL106" s="110"/>
      <c r="BM106" s="110"/>
      <c r="BN106" s="110"/>
      <c r="BO106" s="110"/>
      <c r="BP106" s="110"/>
      <c r="BR106" s="110"/>
      <c r="BS106" s="110"/>
      <c r="BT106" s="110"/>
      <c r="BU106" s="110" t="n">
        <f aca="false">IF(+R106-BQ106+BS106&gt;0,R106-BQ106+BS106,0)</f>
        <v>0</v>
      </c>
      <c r="BZ106" s="110"/>
    </row>
    <row r="107" customFormat="false" ht="12.75" hidden="false" customHeight="false" outlineLevel="0" collapsed="false">
      <c r="A107" s="167"/>
      <c r="B107" s="168" t="s">
        <v>235</v>
      </c>
      <c r="C107" s="169"/>
      <c r="D107" s="169"/>
      <c r="E107" s="169"/>
      <c r="F107" s="169"/>
      <c r="G107" s="169"/>
      <c r="H107" s="169"/>
      <c r="I107" s="169"/>
      <c r="J107" s="170"/>
      <c r="K107" s="169"/>
      <c r="L107" s="171"/>
      <c r="M107" s="172"/>
      <c r="N107" s="193" t="n">
        <f aca="false">SUM(N100:N106)</f>
        <v>0</v>
      </c>
      <c r="O107" s="172"/>
      <c r="P107" s="193" t="n">
        <f aca="false">SUM(P100:P106)</f>
        <v>0</v>
      </c>
      <c r="Q107" s="172"/>
      <c r="R107" s="193" t="n">
        <f aca="false">SUM(R100:R106)</f>
        <v>3770500</v>
      </c>
      <c r="S107" s="172"/>
      <c r="T107" s="193" t="n">
        <f aca="false">SUM(T100:T106)</f>
        <v>0</v>
      </c>
      <c r="U107" s="172"/>
      <c r="V107" s="193" t="n">
        <f aca="false">SUM(V100:V106)</f>
        <v>0</v>
      </c>
      <c r="W107" s="172"/>
      <c r="X107" s="193" t="n">
        <f aca="false">SUM(X100:X106)</f>
        <v>0</v>
      </c>
      <c r="Y107" s="172"/>
      <c r="Z107" s="193" t="n">
        <f aca="false">SUM(Z100:Z106)</f>
        <v>0</v>
      </c>
      <c r="AA107" s="172"/>
      <c r="AB107" s="193" t="n">
        <f aca="false">SUM(AB100:AB106)</f>
        <v>0</v>
      </c>
      <c r="AC107" s="172"/>
      <c r="AD107" s="193" t="n">
        <f aca="false">SUM(AD100:AD106)</f>
        <v>0</v>
      </c>
      <c r="AE107" s="172"/>
      <c r="AF107" s="193" t="n">
        <f aca="false">SUM(AF100:AF106)</f>
        <v>0</v>
      </c>
      <c r="AG107" s="172"/>
      <c r="AH107" s="193" t="n">
        <f aca="false">SUM(AH100:AH106)</f>
        <v>0</v>
      </c>
      <c r="AI107" s="172"/>
      <c r="AJ107" s="193" t="n">
        <f aca="false">SUM(AJ100:AJ106)</f>
        <v>0</v>
      </c>
      <c r="AK107" s="172"/>
      <c r="AL107" s="193" t="n">
        <f aca="false">SUM(AL100:AL106)</f>
        <v>942622</v>
      </c>
      <c r="AM107" s="193"/>
      <c r="AN107" s="193" t="n">
        <f aca="false">SUM(AN100:AN106)</f>
        <v>0</v>
      </c>
      <c r="AO107" s="172"/>
      <c r="AP107" s="193" t="n">
        <f aca="false">SUM(AP100:AP106)</f>
        <v>314205.67</v>
      </c>
      <c r="AQ107" s="172"/>
      <c r="AR107" s="193" t="n">
        <f aca="false">SUM(AR100:AR106)</f>
        <v>314205.66</v>
      </c>
      <c r="AS107" s="172"/>
      <c r="AT107" s="193" t="n">
        <f aca="false">SUM(AT100:AT106)</f>
        <v>314205.33</v>
      </c>
      <c r="AU107" s="172"/>
      <c r="AV107" s="193" t="n">
        <f aca="false">SUM(AV100:AV106)</f>
        <v>314205.34</v>
      </c>
      <c r="AW107" s="172"/>
      <c r="AX107" s="193" t="n">
        <f aca="false">SUM(AX100:AX106)</f>
        <v>314205.34</v>
      </c>
      <c r="AY107" s="172"/>
      <c r="AZ107" s="193" t="n">
        <f aca="false">SUM(AZ100:AZ106)</f>
        <v>314205.33</v>
      </c>
      <c r="BA107" s="172"/>
      <c r="BB107" s="193" t="n">
        <f aca="false">SUM(BB100:BB106)</f>
        <v>314205</v>
      </c>
      <c r="BD107" s="193" t="n">
        <f aca="false">SUM(BD100:BD106)</f>
        <v>314205.33</v>
      </c>
      <c r="BF107" s="193" t="n">
        <f aca="false">SUM(BF100:BF106)</f>
        <v>314205.33</v>
      </c>
      <c r="BG107" s="172"/>
      <c r="BH107" s="193" t="n">
        <f aca="false">SUM(BH100:BH106)</f>
        <v>0</v>
      </c>
      <c r="BI107" s="172"/>
      <c r="BJ107" s="193" t="n">
        <f aca="false">SUM(BJ100:BJ106)</f>
        <v>0</v>
      </c>
      <c r="BK107" s="172"/>
      <c r="BL107" s="193" t="n">
        <f aca="false">SUM(BL100:BL106)</f>
        <v>13837</v>
      </c>
      <c r="BM107" s="193" t="n">
        <f aca="false">SUM(BM100:BM106)</f>
        <v>0</v>
      </c>
      <c r="BN107" s="193"/>
      <c r="BO107" s="193" t="n">
        <f aca="false">SUM(BO100:BO106)</f>
        <v>0</v>
      </c>
      <c r="BP107" s="172"/>
      <c r="BQ107" s="193" t="n">
        <f aca="false">SUM(BQ100:BQ106)</f>
        <v>3784307.33</v>
      </c>
      <c r="BR107" s="172"/>
      <c r="BS107" s="193" t="n">
        <f aca="false">SUM(BS100:BS106)</f>
        <v>-29</v>
      </c>
      <c r="BT107" s="172"/>
      <c r="BU107" s="193" t="n">
        <f aca="false">SUM(BU100:BU106)</f>
        <v>0.339999999850988</v>
      </c>
      <c r="BV107" s="172"/>
      <c r="BW107" s="193" t="n">
        <f aca="false">SUM(BW100:BW106)</f>
        <v>3784307.67</v>
      </c>
      <c r="BX107" s="172"/>
      <c r="BY107" s="193" t="n">
        <f aca="false">SUM(BY100:BY106)</f>
        <v>-13807.67</v>
      </c>
      <c r="BZ107" s="172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  <c r="IM107" s="169"/>
      <c r="IN107" s="169"/>
      <c r="IO107" s="169"/>
      <c r="IP107" s="169"/>
      <c r="IQ107" s="169"/>
      <c r="IR107" s="169"/>
      <c r="IS107" s="169"/>
      <c r="IT107" s="169"/>
      <c r="IU107" s="169"/>
      <c r="IV107" s="169"/>
      <c r="IW107" s="169"/>
    </row>
    <row r="108" customFormat="false" ht="12.75" hidden="false" customHeight="false" outlineLevel="0" collapsed="false">
      <c r="A108" s="18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D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77" t="s">
        <v>236</v>
      </c>
      <c r="B109" s="161"/>
      <c r="C109" s="0"/>
      <c r="D109" s="0"/>
      <c r="E109" s="0"/>
      <c r="F109" s="0"/>
      <c r="G109" s="0"/>
      <c r="H109" s="0"/>
      <c r="I109" s="0"/>
      <c r="J109" s="4"/>
      <c r="K109" s="0"/>
      <c r="L109" s="34" t="s">
        <v>151</v>
      </c>
      <c r="M109" s="110"/>
      <c r="O109" s="110"/>
      <c r="Q109" s="110"/>
      <c r="S109" s="110"/>
      <c r="T109" s="110"/>
      <c r="U109" s="110"/>
      <c r="V109" s="110"/>
      <c r="X109" s="110"/>
      <c r="Z109" s="110"/>
      <c r="AB109" s="110"/>
      <c r="AD109" s="110"/>
      <c r="BL109" s="110"/>
      <c r="BM109" s="110"/>
      <c r="BN109" s="110"/>
      <c r="BO109" s="110"/>
      <c r="BP109" s="110"/>
      <c r="BR109" s="110"/>
      <c r="BS109" s="110"/>
      <c r="BT109" s="110"/>
      <c r="BZ109" s="110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false" customHeight="false" outlineLevel="0" collapsed="false">
      <c r="A110" s="164"/>
      <c r="B110" s="161" t="s">
        <v>128</v>
      </c>
      <c r="C110" s="0"/>
      <c r="D110" s="0"/>
      <c r="E110" s="0"/>
      <c r="F110" s="0"/>
      <c r="G110" s="0"/>
      <c r="H110" s="0"/>
      <c r="I110" s="0"/>
      <c r="J110" s="4" t="s">
        <v>141</v>
      </c>
      <c r="K110" s="0"/>
      <c r="L110" s="34" t="s">
        <v>151</v>
      </c>
      <c r="M110" s="110"/>
      <c r="N110" s="110" t="n">
        <v>0</v>
      </c>
      <c r="O110" s="110"/>
      <c r="P110" s="110" t="n">
        <v>0</v>
      </c>
      <c r="Q110" s="110"/>
      <c r="R110" s="110" t="n">
        <f aca="false">+N110+P110</f>
        <v>0</v>
      </c>
      <c r="S110" s="110"/>
      <c r="T110" s="110" t="n">
        <v>0</v>
      </c>
      <c r="U110" s="110"/>
      <c r="V110" s="110" t="n">
        <v>0</v>
      </c>
      <c r="X110" s="110" t="n">
        <v>0</v>
      </c>
      <c r="Z110" s="110" t="n">
        <v>0</v>
      </c>
      <c r="AB110" s="110" t="n">
        <v>0</v>
      </c>
      <c r="AD110" s="110" t="n">
        <v>0</v>
      </c>
      <c r="AF110" s="110" t="n">
        <v>0</v>
      </c>
      <c r="AH110" s="110" t="n">
        <v>0</v>
      </c>
      <c r="AJ110" s="110" t="n">
        <v>0</v>
      </c>
      <c r="AN110" s="110" t="n">
        <v>0</v>
      </c>
      <c r="AP110" s="110" t="n">
        <v>0</v>
      </c>
      <c r="AR110" s="110" t="n">
        <v>0</v>
      </c>
      <c r="AT110" s="110" t="n">
        <v>0</v>
      </c>
      <c r="AV110" s="110" t="n">
        <v>0</v>
      </c>
      <c r="AX110" s="110" t="n">
        <v>0</v>
      </c>
      <c r="AZ110" s="110" t="n">
        <v>0</v>
      </c>
      <c r="BB110" s="110" t="n">
        <v>0</v>
      </c>
      <c r="BD110" s="110" t="n">
        <v>0</v>
      </c>
      <c r="BF110" s="110" t="n">
        <v>0</v>
      </c>
      <c r="BH110" s="110" t="n">
        <v>0</v>
      </c>
      <c r="BJ110" s="110" t="n">
        <v>0</v>
      </c>
      <c r="BL110" s="110" t="n">
        <v>0</v>
      </c>
      <c r="BM110" s="110" t="n">
        <v>0</v>
      </c>
      <c r="BN110" s="110"/>
      <c r="BO110" s="110" t="n">
        <v>0</v>
      </c>
      <c r="BP110" s="110"/>
      <c r="BQ110" s="110" t="n">
        <f aca="false">SUM(T110:BP110)</f>
        <v>0</v>
      </c>
      <c r="BR110" s="110"/>
      <c r="BS110" s="110" t="n">
        <v>0</v>
      </c>
      <c r="BT110" s="110"/>
      <c r="BU110" s="110" t="n">
        <f aca="false">IF(+R110-BQ110+BS110&gt;0,R110-BQ110+BS110,0)</f>
        <v>0</v>
      </c>
      <c r="BW110" s="110" t="n">
        <f aca="false">+BQ110+BU110</f>
        <v>0</v>
      </c>
      <c r="BY110" s="110" t="n">
        <f aca="false">+R110-BW110</f>
        <v>0</v>
      </c>
      <c r="BZ110" s="110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false" customHeight="false" outlineLevel="0" collapsed="false">
      <c r="A111" s="164"/>
      <c r="B111" s="161"/>
      <c r="C111" s="0"/>
      <c r="D111" s="0"/>
      <c r="E111" s="0"/>
      <c r="F111" s="0"/>
      <c r="G111" s="0"/>
      <c r="H111" s="0"/>
      <c r="I111" s="0"/>
      <c r="J111" s="4"/>
      <c r="K111" s="0"/>
      <c r="L111" s="34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BL111" s="110"/>
      <c r="BM111" s="110"/>
      <c r="BN111" s="110"/>
      <c r="BO111" s="110"/>
      <c r="BP111" s="110"/>
      <c r="BR111" s="110"/>
      <c r="BS111" s="110"/>
      <c r="BT111" s="110"/>
      <c r="BZ111" s="110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false" customHeight="false" outlineLevel="0" collapsed="false">
      <c r="A112" s="197"/>
      <c r="B112" s="177" t="s">
        <v>242</v>
      </c>
      <c r="C112" s="2"/>
      <c r="D112" s="2"/>
      <c r="E112" s="2"/>
      <c r="F112" s="2"/>
      <c r="G112" s="2"/>
      <c r="H112" s="2"/>
      <c r="I112" s="2"/>
      <c r="J112" s="3"/>
      <c r="K112" s="2"/>
      <c r="L112" s="179"/>
      <c r="M112" s="24"/>
      <c r="N112" s="198" t="n">
        <f aca="false">SUM(N110:N111)</f>
        <v>0</v>
      </c>
      <c r="O112" s="24"/>
      <c r="P112" s="198" t="n">
        <f aca="false">SUM(P110:P111)</f>
        <v>0</v>
      </c>
      <c r="Q112" s="24"/>
      <c r="R112" s="198" t="n">
        <f aca="false">SUM(R110:R111)</f>
        <v>0</v>
      </c>
      <c r="S112" s="24"/>
      <c r="T112" s="198" t="n">
        <f aca="false">SUM(T110:T111)</f>
        <v>0</v>
      </c>
      <c r="U112" s="24"/>
      <c r="V112" s="198" t="n">
        <f aca="false">SUM(V110:V111)</f>
        <v>0</v>
      </c>
      <c r="W112" s="24"/>
      <c r="X112" s="198" t="n">
        <f aca="false">SUM(X110:X111)</f>
        <v>0</v>
      </c>
      <c r="Y112" s="24"/>
      <c r="Z112" s="198" t="n">
        <f aca="false">SUM(Z110:Z111)</f>
        <v>0</v>
      </c>
      <c r="AA112" s="24"/>
      <c r="AB112" s="198" t="n">
        <f aca="false">SUM(AB110:AB111)</f>
        <v>0</v>
      </c>
      <c r="AC112" s="24"/>
      <c r="AD112" s="198" t="n">
        <f aca="false">SUM(AD110:AD111)</f>
        <v>0</v>
      </c>
      <c r="AE112" s="24"/>
      <c r="AF112" s="198" t="n">
        <f aca="false">SUM(AF110:AF111)</f>
        <v>0</v>
      </c>
      <c r="AG112" s="24"/>
      <c r="AH112" s="198" t="n">
        <f aca="false">SUM(AH110:AH111)</f>
        <v>0</v>
      </c>
      <c r="AI112" s="24"/>
      <c r="AJ112" s="198" t="n">
        <f aca="false">SUM(AJ110:AJ111)</f>
        <v>0</v>
      </c>
      <c r="AK112" s="24"/>
      <c r="AL112" s="198" t="n">
        <f aca="false">SUM(AL110:AL111)</f>
        <v>0</v>
      </c>
      <c r="AM112" s="198"/>
      <c r="AN112" s="198" t="n">
        <f aca="false">SUM(AN110:AN111)</f>
        <v>0</v>
      </c>
      <c r="AO112" s="24"/>
      <c r="AP112" s="198" t="n">
        <f aca="false">SUM(AP110:AP111)</f>
        <v>0</v>
      </c>
      <c r="AQ112" s="24"/>
      <c r="AR112" s="198" t="n">
        <f aca="false">SUM(AR110:AR111)</f>
        <v>0</v>
      </c>
      <c r="AS112" s="24"/>
      <c r="AT112" s="198" t="n">
        <f aca="false">SUM(AT110:AT111)</f>
        <v>0</v>
      </c>
      <c r="AU112" s="24"/>
      <c r="AV112" s="198" t="n">
        <f aca="false">SUM(AV110:AV111)</f>
        <v>0</v>
      </c>
      <c r="AW112" s="24"/>
      <c r="AX112" s="198" t="n">
        <f aca="false">SUM(AX110:AX111)</f>
        <v>0</v>
      </c>
      <c r="AY112" s="24"/>
      <c r="AZ112" s="198" t="n">
        <f aca="false">SUM(AZ110:AZ111)</f>
        <v>0</v>
      </c>
      <c r="BA112" s="24"/>
      <c r="BB112" s="198" t="n">
        <f aca="false">SUM(BB110:BB111)</f>
        <v>0</v>
      </c>
      <c r="BD112" s="198" t="n">
        <f aca="false">SUM(BD110:BD111)</f>
        <v>0</v>
      </c>
      <c r="BF112" s="198" t="n">
        <f aca="false">SUM(BF110:BF111)</f>
        <v>0</v>
      </c>
      <c r="BG112" s="24"/>
      <c r="BH112" s="198" t="n">
        <f aca="false">SUM(BH110:BH111)</f>
        <v>0</v>
      </c>
      <c r="BI112" s="24"/>
      <c r="BJ112" s="198" t="n">
        <f aca="false">SUM(BJ110:BJ111)</f>
        <v>0</v>
      </c>
      <c r="BK112" s="24"/>
      <c r="BL112" s="198" t="n">
        <f aca="false">SUM(BL110:BL111)</f>
        <v>0</v>
      </c>
      <c r="BM112" s="198" t="n">
        <f aca="false">SUM(BM110:BM111)</f>
        <v>0</v>
      </c>
      <c r="BN112" s="198"/>
      <c r="BO112" s="198" t="n">
        <f aca="false">SUM(BO110:BO111)</f>
        <v>0</v>
      </c>
      <c r="BP112" s="24"/>
      <c r="BQ112" s="198" t="n">
        <f aca="false">SUM(BQ110:BQ111)</f>
        <v>0</v>
      </c>
      <c r="BR112" s="24"/>
      <c r="BS112" s="198" t="n">
        <f aca="false">SUM(BS110:BS111)</f>
        <v>0</v>
      </c>
      <c r="BT112" s="24"/>
      <c r="BU112" s="198" t="n">
        <f aca="false">SUM(BU110:BU111)</f>
        <v>0</v>
      </c>
      <c r="BV112" s="24"/>
      <c r="BW112" s="198" t="n">
        <f aca="false">SUM(BW110:BW111)</f>
        <v>0</v>
      </c>
      <c r="BX112" s="24"/>
      <c r="BY112" s="198" t="n">
        <f aca="false">SUM(BY110:BY111)</f>
        <v>0</v>
      </c>
      <c r="BZ112" s="24"/>
      <c r="CA112" s="199"/>
      <c r="CB112" s="199"/>
      <c r="CC112" s="199"/>
      <c r="CD112" s="199"/>
      <c r="CE112" s="199"/>
      <c r="CF112" s="199"/>
      <c r="CG112" s="199"/>
      <c r="CH112" s="199"/>
      <c r="CI112" s="199"/>
      <c r="CJ112" s="199"/>
      <c r="CK112" s="199"/>
      <c r="CL112" s="199"/>
      <c r="CM112" s="199"/>
      <c r="CN112" s="199"/>
      <c r="CO112" s="199"/>
      <c r="CP112" s="199"/>
      <c r="CQ112" s="199"/>
      <c r="CR112" s="199"/>
      <c r="CS112" s="199"/>
      <c r="CT112" s="199"/>
      <c r="CU112" s="199"/>
      <c r="CV112" s="199"/>
      <c r="CW112" s="199"/>
      <c r="CX112" s="199"/>
      <c r="CY112" s="199"/>
      <c r="CZ112" s="199"/>
      <c r="DA112" s="199"/>
      <c r="DB112" s="199"/>
      <c r="DC112" s="199"/>
      <c r="DD112" s="199"/>
      <c r="DE112" s="199"/>
      <c r="DF112" s="199"/>
      <c r="DG112" s="199"/>
      <c r="DH112" s="199"/>
      <c r="DI112" s="199"/>
      <c r="DJ112" s="199"/>
      <c r="DK112" s="199"/>
      <c r="DL112" s="199"/>
      <c r="DM112" s="199"/>
      <c r="DN112" s="199"/>
      <c r="DO112" s="199"/>
      <c r="DP112" s="199"/>
      <c r="DQ112" s="199"/>
      <c r="DR112" s="199"/>
      <c r="DS112" s="199"/>
      <c r="DT112" s="199"/>
      <c r="DU112" s="199"/>
      <c r="DV112" s="199"/>
      <c r="DW112" s="199"/>
      <c r="DX112" s="199"/>
      <c r="DY112" s="199"/>
      <c r="DZ112" s="199"/>
      <c r="EA112" s="199"/>
      <c r="EB112" s="199"/>
      <c r="EC112" s="199"/>
      <c r="ED112" s="199"/>
      <c r="EE112" s="199"/>
      <c r="EF112" s="199"/>
      <c r="EG112" s="199"/>
      <c r="EH112" s="199"/>
      <c r="EI112" s="199"/>
      <c r="EJ112" s="199"/>
      <c r="EK112" s="199"/>
      <c r="EL112" s="199"/>
      <c r="EM112" s="199"/>
      <c r="EN112" s="199"/>
      <c r="EO112" s="199"/>
      <c r="EP112" s="199"/>
      <c r="EQ112" s="199"/>
      <c r="ER112" s="199"/>
      <c r="ES112" s="199"/>
      <c r="ET112" s="199"/>
      <c r="EU112" s="199"/>
      <c r="EV112" s="199"/>
      <c r="EW112" s="199"/>
      <c r="EX112" s="199"/>
      <c r="EY112" s="199"/>
      <c r="EZ112" s="199"/>
      <c r="FA112" s="199"/>
      <c r="FB112" s="199"/>
      <c r="FC112" s="199"/>
      <c r="FD112" s="199"/>
      <c r="FE112" s="199"/>
      <c r="FF112" s="199"/>
      <c r="FG112" s="199"/>
      <c r="FH112" s="199"/>
      <c r="FI112" s="199"/>
      <c r="FJ112" s="199"/>
      <c r="FK112" s="199"/>
      <c r="FL112" s="199"/>
      <c r="FM112" s="199"/>
      <c r="FN112" s="199"/>
      <c r="FO112" s="199"/>
      <c r="FP112" s="199"/>
      <c r="FQ112" s="199"/>
      <c r="FR112" s="199"/>
      <c r="FS112" s="199"/>
      <c r="FT112" s="199"/>
      <c r="FU112" s="199"/>
      <c r="FV112" s="199"/>
      <c r="FW112" s="199"/>
      <c r="FX112" s="199"/>
      <c r="FY112" s="199"/>
      <c r="FZ112" s="199"/>
      <c r="GA112" s="199"/>
      <c r="GB112" s="199"/>
      <c r="GC112" s="199"/>
      <c r="GD112" s="199"/>
      <c r="GE112" s="199"/>
      <c r="GF112" s="199"/>
      <c r="GG112" s="199"/>
      <c r="GH112" s="199"/>
      <c r="GI112" s="199"/>
      <c r="GJ112" s="199"/>
      <c r="GK112" s="199"/>
      <c r="GL112" s="199"/>
      <c r="GM112" s="199"/>
      <c r="GN112" s="199"/>
      <c r="GO112" s="199"/>
      <c r="GP112" s="199"/>
      <c r="GQ112" s="199"/>
      <c r="GR112" s="199"/>
      <c r="GS112" s="199"/>
      <c r="GT112" s="199"/>
      <c r="GU112" s="199"/>
      <c r="GV112" s="199"/>
      <c r="GW112" s="199"/>
      <c r="GX112" s="199"/>
      <c r="GY112" s="199"/>
      <c r="GZ112" s="199"/>
      <c r="HA112" s="199"/>
      <c r="HB112" s="199"/>
      <c r="HC112" s="199"/>
      <c r="HD112" s="199"/>
      <c r="HE112" s="199"/>
      <c r="HF112" s="199"/>
      <c r="HG112" s="199"/>
      <c r="HH112" s="199"/>
      <c r="HI112" s="199"/>
      <c r="HJ112" s="199"/>
      <c r="HK112" s="199"/>
      <c r="HL112" s="199"/>
      <c r="HM112" s="199"/>
      <c r="HN112" s="199"/>
      <c r="HO112" s="199"/>
      <c r="HP112" s="199"/>
      <c r="HQ112" s="199"/>
      <c r="HR112" s="199"/>
      <c r="HS112" s="199"/>
      <c r="HT112" s="199"/>
      <c r="HU112" s="199"/>
      <c r="HV112" s="199"/>
      <c r="HW112" s="199"/>
      <c r="HX112" s="199"/>
      <c r="HY112" s="199"/>
      <c r="HZ112" s="199"/>
      <c r="IA112" s="199"/>
      <c r="IB112" s="199"/>
      <c r="IC112" s="199"/>
      <c r="ID112" s="199"/>
      <c r="IE112" s="199"/>
      <c r="IF112" s="199"/>
      <c r="IG112" s="199"/>
      <c r="IH112" s="199"/>
      <c r="II112" s="199"/>
      <c r="IJ112" s="199"/>
      <c r="IK112" s="199"/>
      <c r="IL112" s="199"/>
      <c r="IM112" s="199"/>
      <c r="IN112" s="199"/>
      <c r="IO112" s="199"/>
      <c r="IP112" s="199"/>
      <c r="IQ112" s="199"/>
      <c r="IR112" s="199"/>
      <c r="IS112" s="199"/>
      <c r="IT112" s="199"/>
      <c r="IU112" s="199"/>
      <c r="IV112" s="199"/>
      <c r="IW112" s="199"/>
    </row>
    <row r="113" customFormat="false" ht="12.75" hidden="false" customHeight="false" outlineLevel="0" collapsed="false">
      <c r="A113" s="164"/>
      <c r="B113" s="161"/>
      <c r="C113" s="0"/>
      <c r="D113" s="0"/>
      <c r="E113" s="0"/>
      <c r="F113" s="0"/>
      <c r="G113" s="0"/>
      <c r="H113" s="0"/>
      <c r="I113" s="0"/>
      <c r="J113" s="4"/>
      <c r="K113" s="0"/>
      <c r="L113" s="34"/>
      <c r="M113" s="110"/>
      <c r="O113" s="110"/>
      <c r="Q113" s="110"/>
      <c r="S113" s="110"/>
      <c r="T113" s="110"/>
      <c r="U113" s="110"/>
      <c r="V113" s="110"/>
      <c r="X113" s="110"/>
      <c r="Z113" s="110"/>
      <c r="AB113" s="110"/>
      <c r="AD113" s="110"/>
      <c r="BL113" s="110"/>
      <c r="BM113" s="110"/>
      <c r="BN113" s="110"/>
      <c r="BO113" s="110"/>
      <c r="BP113" s="110"/>
      <c r="BR113" s="110"/>
      <c r="BS113" s="110"/>
      <c r="BT113" s="110"/>
      <c r="BZ113" s="110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4"/>
      <c r="DW113" s="194"/>
      <c r="DX113" s="194"/>
      <c r="DY113" s="194"/>
      <c r="DZ113" s="194"/>
      <c r="EA113" s="194"/>
      <c r="EB113" s="194"/>
      <c r="EC113" s="194"/>
      <c r="ED113" s="194"/>
      <c r="EE113" s="194"/>
      <c r="EF113" s="194"/>
      <c r="EG113" s="194"/>
      <c r="EH113" s="194"/>
      <c r="EI113" s="194"/>
      <c r="EJ113" s="194"/>
      <c r="EK113" s="194"/>
      <c r="EL113" s="194"/>
      <c r="EM113" s="194"/>
      <c r="EN113" s="194"/>
      <c r="EO113" s="194"/>
      <c r="EP113" s="194"/>
      <c r="EQ113" s="194"/>
      <c r="ER113" s="194"/>
      <c r="ES113" s="194"/>
      <c r="ET113" s="194"/>
      <c r="EU113" s="194"/>
      <c r="EV113" s="194"/>
      <c r="EW113" s="194"/>
      <c r="EX113" s="194"/>
      <c r="EY113" s="194"/>
      <c r="EZ113" s="194"/>
      <c r="FA113" s="194"/>
      <c r="FB113" s="194"/>
      <c r="FC113" s="194"/>
      <c r="FD113" s="194"/>
      <c r="FE113" s="194"/>
      <c r="FF113" s="194"/>
      <c r="FG113" s="194"/>
      <c r="FH113" s="194"/>
      <c r="FI113" s="194"/>
      <c r="FJ113" s="194"/>
      <c r="FK113" s="194"/>
      <c r="FL113" s="194"/>
      <c r="FM113" s="194"/>
      <c r="FN113" s="194"/>
      <c r="FO113" s="194"/>
      <c r="FP113" s="194"/>
      <c r="FQ113" s="194"/>
      <c r="FR113" s="194"/>
      <c r="FS113" s="194"/>
      <c r="FT113" s="194"/>
      <c r="FU113" s="194"/>
      <c r="FV113" s="194"/>
      <c r="FW113" s="194"/>
      <c r="FX113" s="194"/>
      <c r="FY113" s="194"/>
      <c r="FZ113" s="194"/>
      <c r="GA113" s="194"/>
      <c r="GB113" s="194"/>
      <c r="GC113" s="194"/>
      <c r="GD113" s="194"/>
      <c r="GE113" s="194"/>
      <c r="GF113" s="194"/>
      <c r="GG113" s="194"/>
      <c r="GH113" s="194"/>
      <c r="GI113" s="194"/>
      <c r="GJ113" s="194"/>
      <c r="GK113" s="194"/>
      <c r="GL113" s="194"/>
      <c r="GM113" s="194"/>
      <c r="GN113" s="194"/>
      <c r="GO113" s="194"/>
      <c r="GP113" s="194"/>
      <c r="GQ113" s="194"/>
      <c r="GR113" s="194"/>
      <c r="GS113" s="194"/>
      <c r="GT113" s="194"/>
      <c r="GU113" s="194"/>
      <c r="GV113" s="194"/>
      <c r="GW113" s="194"/>
      <c r="GX113" s="194"/>
      <c r="GY113" s="194"/>
      <c r="GZ113" s="194"/>
      <c r="HA113" s="194"/>
      <c r="HB113" s="194"/>
      <c r="HC113" s="194"/>
      <c r="HD113" s="194"/>
      <c r="HE113" s="194"/>
      <c r="HF113" s="194"/>
      <c r="HG113" s="194"/>
      <c r="HH113" s="194"/>
      <c r="HI113" s="194"/>
      <c r="HJ113" s="194"/>
      <c r="HK113" s="194"/>
      <c r="HL113" s="194"/>
      <c r="HM113" s="194"/>
      <c r="HN113" s="194"/>
      <c r="HO113" s="194"/>
      <c r="HP113" s="194"/>
      <c r="HQ113" s="194"/>
      <c r="HR113" s="194"/>
      <c r="HS113" s="194"/>
      <c r="HT113" s="194"/>
      <c r="HU113" s="194"/>
      <c r="HV113" s="194"/>
      <c r="HW113" s="194"/>
      <c r="HX113" s="194"/>
      <c r="HY113" s="194"/>
      <c r="HZ113" s="194"/>
      <c r="IA113" s="194"/>
      <c r="IB113" s="194"/>
      <c r="IC113" s="194"/>
      <c r="ID113" s="194"/>
      <c r="IE113" s="194"/>
      <c r="IF113" s="194"/>
      <c r="IG113" s="194"/>
      <c r="IH113" s="194"/>
      <c r="II113" s="194"/>
      <c r="IJ113" s="194"/>
      <c r="IK113" s="194"/>
      <c r="IL113" s="194"/>
      <c r="IM113" s="194"/>
      <c r="IN113" s="194"/>
      <c r="IO113" s="194"/>
      <c r="IP113" s="194"/>
      <c r="IQ113" s="194"/>
      <c r="IR113" s="194"/>
      <c r="IS113" s="194"/>
      <c r="IT113" s="194"/>
      <c r="IU113" s="194"/>
      <c r="IV113" s="194"/>
      <c r="IW113" s="194"/>
    </row>
    <row r="114" customFormat="false" ht="12.75" hidden="false" customHeight="false" outlineLevel="0" collapsed="false">
      <c r="A114" s="185" t="s">
        <v>243</v>
      </c>
      <c r="B114" s="200"/>
      <c r="C114" s="186"/>
      <c r="D114" s="186"/>
      <c r="E114" s="186"/>
      <c r="F114" s="186"/>
      <c r="G114" s="186"/>
      <c r="H114" s="186"/>
      <c r="I114" s="186"/>
      <c r="J114" s="187"/>
      <c r="K114" s="186"/>
      <c r="L114" s="188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D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89"/>
      <c r="BV114" s="189"/>
      <c r="BW114" s="189"/>
      <c r="BX114" s="189"/>
      <c r="BY114" s="189"/>
      <c r="BZ114" s="189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</row>
    <row r="115" customFormat="false" ht="12.75" hidden="true" customHeight="false" outlineLevel="0" collapsed="false">
      <c r="A115" s="177" t="s">
        <v>184</v>
      </c>
      <c r="B115" s="161"/>
      <c r="C115" s="0"/>
      <c r="D115" s="0"/>
      <c r="E115" s="0"/>
      <c r="F115" s="0"/>
      <c r="G115" s="0"/>
      <c r="H115" s="0"/>
      <c r="I115" s="0"/>
      <c r="J115" s="4"/>
      <c r="K115" s="0"/>
      <c r="L115" s="34"/>
      <c r="M115" s="110"/>
      <c r="O115" s="110"/>
      <c r="Q115" s="110"/>
      <c r="S115" s="110"/>
      <c r="T115" s="110"/>
      <c r="U115" s="110"/>
      <c r="V115" s="110"/>
      <c r="X115" s="110"/>
      <c r="Z115" s="110"/>
      <c r="AB115" s="110"/>
      <c r="AD115" s="110"/>
      <c r="BL115" s="110"/>
      <c r="BM115" s="110"/>
      <c r="BN115" s="110"/>
      <c r="BO115" s="110" t="n">
        <v>0</v>
      </c>
      <c r="BP115" s="110"/>
      <c r="BR115" s="110"/>
      <c r="BS115" s="110"/>
      <c r="BT115" s="110"/>
      <c r="BZ115" s="110"/>
      <c r="CA115" s="194"/>
      <c r="CB115" s="194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  <c r="DI115" s="194"/>
      <c r="DJ115" s="194"/>
      <c r="DK115" s="194"/>
      <c r="DL115" s="194"/>
      <c r="DM115" s="194"/>
      <c r="DN115" s="194"/>
      <c r="DO115" s="194"/>
      <c r="DP115" s="194"/>
      <c r="DQ115" s="194"/>
      <c r="DR115" s="194"/>
      <c r="DS115" s="194"/>
      <c r="DT115" s="194"/>
      <c r="DU115" s="194"/>
      <c r="DV115" s="194"/>
      <c r="DW115" s="194"/>
      <c r="DX115" s="194"/>
      <c r="DY115" s="194"/>
      <c r="DZ115" s="194"/>
      <c r="EA115" s="194"/>
      <c r="EB115" s="194"/>
      <c r="EC115" s="194"/>
      <c r="ED115" s="194"/>
      <c r="EE115" s="194"/>
      <c r="EF115" s="194"/>
      <c r="EG115" s="194"/>
      <c r="EH115" s="194"/>
      <c r="EI115" s="194"/>
      <c r="EJ115" s="194"/>
      <c r="EK115" s="194"/>
      <c r="EL115" s="194"/>
      <c r="EM115" s="194"/>
      <c r="EN115" s="194"/>
      <c r="EO115" s="194"/>
      <c r="EP115" s="194"/>
      <c r="EQ115" s="194"/>
      <c r="ER115" s="194"/>
      <c r="ES115" s="194"/>
      <c r="ET115" s="194"/>
      <c r="EU115" s="194"/>
      <c r="EV115" s="194"/>
      <c r="EW115" s="194"/>
      <c r="EX115" s="194"/>
      <c r="EY115" s="194"/>
      <c r="EZ115" s="194"/>
      <c r="FA115" s="194"/>
      <c r="FB115" s="194"/>
      <c r="FC115" s="194"/>
      <c r="FD115" s="194"/>
      <c r="FE115" s="194"/>
      <c r="FF115" s="194"/>
      <c r="FG115" s="194"/>
      <c r="FH115" s="194"/>
      <c r="FI115" s="194"/>
      <c r="FJ115" s="194"/>
      <c r="FK115" s="194"/>
      <c r="FL115" s="194"/>
      <c r="FM115" s="194"/>
      <c r="FN115" s="194"/>
      <c r="FO115" s="194"/>
      <c r="FP115" s="194"/>
      <c r="FQ115" s="194"/>
      <c r="FR115" s="194"/>
      <c r="FS115" s="194"/>
      <c r="FT115" s="194"/>
      <c r="FU115" s="194"/>
      <c r="FV115" s="194"/>
      <c r="FW115" s="194"/>
      <c r="FX115" s="194"/>
      <c r="FY115" s="194"/>
      <c r="FZ115" s="194"/>
      <c r="GA115" s="194"/>
      <c r="GB115" s="194"/>
      <c r="GC115" s="194"/>
      <c r="GD115" s="194"/>
      <c r="GE115" s="194"/>
      <c r="GF115" s="194"/>
      <c r="GG115" s="194"/>
      <c r="GH115" s="194"/>
      <c r="GI115" s="194"/>
      <c r="GJ115" s="194"/>
      <c r="GK115" s="194"/>
      <c r="GL115" s="194"/>
      <c r="GM115" s="194"/>
      <c r="GN115" s="194"/>
      <c r="GO115" s="194"/>
      <c r="GP115" s="194"/>
      <c r="GQ115" s="194"/>
      <c r="GR115" s="194"/>
      <c r="GS115" s="194"/>
      <c r="GT115" s="194"/>
      <c r="GU115" s="194"/>
      <c r="GV115" s="194"/>
      <c r="GW115" s="194"/>
      <c r="GX115" s="194"/>
      <c r="GY115" s="194"/>
      <c r="GZ115" s="194"/>
      <c r="HA115" s="194"/>
      <c r="HB115" s="194"/>
      <c r="HC115" s="194"/>
      <c r="HD115" s="194"/>
      <c r="HE115" s="194"/>
      <c r="HF115" s="194"/>
      <c r="HG115" s="194"/>
      <c r="HH115" s="194"/>
      <c r="HI115" s="194"/>
      <c r="HJ115" s="194"/>
      <c r="HK115" s="194"/>
      <c r="HL115" s="194"/>
      <c r="HM115" s="194"/>
      <c r="HN115" s="194"/>
      <c r="HO115" s="194"/>
      <c r="HP115" s="194"/>
      <c r="HQ115" s="194"/>
      <c r="HR115" s="194"/>
      <c r="HS115" s="194"/>
      <c r="HT115" s="194"/>
      <c r="HU115" s="194"/>
      <c r="HV115" s="194"/>
      <c r="HW115" s="194"/>
      <c r="HX115" s="194"/>
      <c r="HY115" s="194"/>
      <c r="HZ115" s="194"/>
      <c r="IA115" s="194"/>
      <c r="IB115" s="194"/>
      <c r="IC115" s="194"/>
      <c r="ID115" s="194"/>
      <c r="IE115" s="194"/>
      <c r="IF115" s="194"/>
      <c r="IG115" s="194"/>
      <c r="IH115" s="194"/>
      <c r="II115" s="194"/>
      <c r="IJ115" s="194"/>
      <c r="IK115" s="194"/>
      <c r="IL115" s="194"/>
      <c r="IM115" s="194"/>
      <c r="IN115" s="194"/>
      <c r="IO115" s="194"/>
      <c r="IP115" s="194"/>
      <c r="IQ115" s="194"/>
      <c r="IR115" s="194"/>
      <c r="IS115" s="194"/>
      <c r="IT115" s="194"/>
      <c r="IU115" s="194"/>
      <c r="IV115" s="194"/>
      <c r="IW115" s="194"/>
    </row>
    <row r="116" customFormat="false" ht="12.75" hidden="true" customHeight="false" outlineLevel="0" collapsed="false">
      <c r="A116" s="177"/>
      <c r="B116" s="161" t="s">
        <v>364</v>
      </c>
      <c r="C116" s="0"/>
      <c r="D116" s="0"/>
      <c r="E116" s="0"/>
      <c r="F116" s="0"/>
      <c r="G116" s="0"/>
      <c r="H116" s="0"/>
      <c r="I116" s="0"/>
      <c r="J116" s="4"/>
      <c r="K116" s="0"/>
      <c r="L116" s="34" t="s">
        <v>151</v>
      </c>
      <c r="M116" s="110"/>
      <c r="N116" s="110" t="n">
        <v>0</v>
      </c>
      <c r="O116" s="110"/>
      <c r="P116" s="110" t="n">
        <v>0</v>
      </c>
      <c r="Q116" s="110"/>
      <c r="R116" s="110" t="n">
        <f aca="false">+N116+P116</f>
        <v>0</v>
      </c>
      <c r="S116" s="110"/>
      <c r="T116" s="110" t="n">
        <v>0</v>
      </c>
      <c r="U116" s="110"/>
      <c r="V116" s="110" t="n">
        <v>0</v>
      </c>
      <c r="X116" s="110" t="n">
        <v>0</v>
      </c>
      <c r="Z116" s="110" t="n">
        <v>0</v>
      </c>
      <c r="AB116" s="110" t="n">
        <v>0</v>
      </c>
      <c r="AD116" s="110" t="n">
        <v>0</v>
      </c>
      <c r="AF116" s="110" t="n">
        <v>0</v>
      </c>
      <c r="AH116" s="110" t="n">
        <v>0</v>
      </c>
      <c r="AJ116" s="110" t="n">
        <v>0</v>
      </c>
      <c r="AN116" s="110" t="n">
        <v>0</v>
      </c>
      <c r="AP116" s="110" t="n">
        <v>0</v>
      </c>
      <c r="AR116" s="110" t="n">
        <v>0</v>
      </c>
      <c r="AT116" s="110" t="n">
        <v>0</v>
      </c>
      <c r="AV116" s="110" t="n">
        <v>0</v>
      </c>
      <c r="AX116" s="110" t="n">
        <v>0</v>
      </c>
      <c r="AZ116" s="110" t="n">
        <v>0</v>
      </c>
      <c r="BB116" s="110" t="n">
        <v>0</v>
      </c>
      <c r="BD116" s="110" t="n">
        <v>0</v>
      </c>
      <c r="BF116" s="110" t="n">
        <v>0</v>
      </c>
      <c r="BH116" s="110" t="n">
        <v>0</v>
      </c>
      <c r="BJ116" s="110" t="n">
        <v>0</v>
      </c>
      <c r="BL116" s="110" t="n">
        <v>0</v>
      </c>
      <c r="BM116" s="110" t="n">
        <v>0</v>
      </c>
      <c r="BN116" s="110"/>
      <c r="BO116" s="110" t="n">
        <v>0</v>
      </c>
      <c r="BP116" s="110"/>
      <c r="BQ116" s="110" t="n">
        <f aca="false">SUM(T116:BP116)</f>
        <v>0</v>
      </c>
      <c r="BR116" s="110"/>
      <c r="BS116" s="110" t="n">
        <v>0</v>
      </c>
      <c r="BT116" s="110"/>
      <c r="BU116" s="110" t="n">
        <f aca="false">+R116-BQ116+BS116</f>
        <v>0</v>
      </c>
      <c r="BW116" s="110" t="n">
        <f aca="false">+BQ116+BU116</f>
        <v>0</v>
      </c>
      <c r="BY116" s="110" t="n">
        <f aca="false">+R116-BW116</f>
        <v>0</v>
      </c>
      <c r="BZ116" s="110"/>
      <c r="CA116" s="194"/>
      <c r="CB116" s="194"/>
      <c r="CC116" s="194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4"/>
      <c r="CP116" s="194"/>
      <c r="CQ116" s="194"/>
      <c r="CR116" s="194"/>
      <c r="CS116" s="194"/>
      <c r="CT116" s="194"/>
      <c r="CU116" s="194"/>
      <c r="CV116" s="194"/>
      <c r="CW116" s="194"/>
      <c r="CX116" s="194"/>
      <c r="CY116" s="194"/>
      <c r="CZ116" s="194"/>
      <c r="DA116" s="194"/>
      <c r="DB116" s="194"/>
      <c r="DC116" s="194"/>
      <c r="DD116" s="194"/>
      <c r="DE116" s="194"/>
      <c r="DF116" s="194"/>
      <c r="DG116" s="194"/>
      <c r="DH116" s="194"/>
      <c r="DI116" s="194"/>
      <c r="DJ116" s="194"/>
      <c r="DK116" s="194"/>
      <c r="DL116" s="194"/>
      <c r="DM116" s="194"/>
      <c r="DN116" s="194"/>
      <c r="DO116" s="194"/>
      <c r="DP116" s="194"/>
      <c r="DQ116" s="194"/>
      <c r="DR116" s="194"/>
      <c r="DS116" s="194"/>
      <c r="DT116" s="194"/>
      <c r="DU116" s="194"/>
      <c r="DV116" s="194"/>
      <c r="DW116" s="194"/>
      <c r="DX116" s="194"/>
      <c r="DY116" s="194"/>
      <c r="DZ116" s="194"/>
      <c r="EA116" s="194"/>
      <c r="EB116" s="194"/>
      <c r="EC116" s="194"/>
      <c r="ED116" s="194"/>
      <c r="EE116" s="194"/>
      <c r="EF116" s="194"/>
      <c r="EG116" s="194"/>
      <c r="EH116" s="194"/>
      <c r="EI116" s="194"/>
      <c r="EJ116" s="194"/>
      <c r="EK116" s="194"/>
      <c r="EL116" s="194"/>
      <c r="EM116" s="194"/>
      <c r="EN116" s="194"/>
      <c r="EO116" s="194"/>
      <c r="EP116" s="194"/>
      <c r="EQ116" s="194"/>
      <c r="ER116" s="194"/>
      <c r="ES116" s="194"/>
      <c r="ET116" s="194"/>
      <c r="EU116" s="194"/>
      <c r="EV116" s="194"/>
      <c r="EW116" s="194"/>
      <c r="EX116" s="194"/>
      <c r="EY116" s="194"/>
      <c r="EZ116" s="194"/>
      <c r="FA116" s="194"/>
      <c r="FB116" s="194"/>
      <c r="FC116" s="194"/>
      <c r="FD116" s="194"/>
      <c r="FE116" s="194"/>
      <c r="FF116" s="194"/>
      <c r="FG116" s="194"/>
      <c r="FH116" s="194"/>
      <c r="FI116" s="194"/>
      <c r="FJ116" s="194"/>
      <c r="FK116" s="194"/>
      <c r="FL116" s="194"/>
      <c r="FM116" s="194"/>
      <c r="FN116" s="194"/>
      <c r="FO116" s="194"/>
      <c r="FP116" s="194"/>
      <c r="FQ116" s="194"/>
      <c r="FR116" s="194"/>
      <c r="FS116" s="194"/>
      <c r="FT116" s="194"/>
      <c r="FU116" s="194"/>
      <c r="FV116" s="194"/>
      <c r="FW116" s="194"/>
      <c r="FX116" s="194"/>
      <c r="FY116" s="194"/>
      <c r="FZ116" s="194"/>
      <c r="GA116" s="194"/>
      <c r="GB116" s="194"/>
      <c r="GC116" s="194"/>
      <c r="GD116" s="194"/>
      <c r="GE116" s="194"/>
      <c r="GF116" s="194"/>
      <c r="GG116" s="194"/>
      <c r="GH116" s="194"/>
      <c r="GI116" s="194"/>
      <c r="GJ116" s="194"/>
      <c r="GK116" s="194"/>
      <c r="GL116" s="194"/>
      <c r="GM116" s="194"/>
      <c r="GN116" s="194"/>
      <c r="GO116" s="194"/>
      <c r="GP116" s="194"/>
      <c r="GQ116" s="194"/>
      <c r="GR116" s="194"/>
      <c r="GS116" s="194"/>
      <c r="GT116" s="194"/>
      <c r="GU116" s="194"/>
      <c r="GV116" s="194"/>
      <c r="GW116" s="194"/>
      <c r="GX116" s="194"/>
      <c r="GY116" s="194"/>
      <c r="GZ116" s="194"/>
      <c r="HA116" s="194"/>
      <c r="HB116" s="194"/>
      <c r="HC116" s="194"/>
      <c r="HD116" s="194"/>
      <c r="HE116" s="194"/>
      <c r="HF116" s="194"/>
      <c r="HG116" s="194"/>
      <c r="HH116" s="194"/>
      <c r="HI116" s="194"/>
      <c r="HJ116" s="194"/>
      <c r="HK116" s="194"/>
      <c r="HL116" s="194"/>
      <c r="HM116" s="194"/>
      <c r="HN116" s="194"/>
      <c r="HO116" s="194"/>
      <c r="HP116" s="194"/>
      <c r="HQ116" s="194"/>
      <c r="HR116" s="194"/>
      <c r="HS116" s="194"/>
      <c r="HT116" s="194"/>
      <c r="HU116" s="194"/>
      <c r="HV116" s="194"/>
      <c r="HW116" s="194"/>
      <c r="HX116" s="194"/>
      <c r="HY116" s="194"/>
      <c r="HZ116" s="194"/>
      <c r="IA116" s="194"/>
      <c r="IB116" s="194"/>
      <c r="IC116" s="194"/>
      <c r="ID116" s="194"/>
      <c r="IE116" s="194"/>
      <c r="IF116" s="194"/>
      <c r="IG116" s="194"/>
      <c r="IH116" s="194"/>
      <c r="II116" s="194"/>
      <c r="IJ116" s="194"/>
      <c r="IK116" s="194"/>
      <c r="IL116" s="194"/>
      <c r="IM116" s="194"/>
      <c r="IN116" s="194"/>
      <c r="IO116" s="194"/>
      <c r="IP116" s="194"/>
      <c r="IQ116" s="194"/>
      <c r="IR116" s="194"/>
      <c r="IS116" s="194"/>
      <c r="IT116" s="194"/>
      <c r="IU116" s="194"/>
      <c r="IV116" s="194"/>
      <c r="IW116" s="194"/>
    </row>
    <row r="117" customFormat="false" ht="12.75" hidden="true" customHeight="false" outlineLevel="0" collapsed="false">
      <c r="A117" s="177"/>
      <c r="B117" s="161" t="s">
        <v>365</v>
      </c>
      <c r="C117" s="0"/>
      <c r="D117" s="0"/>
      <c r="E117" s="0"/>
      <c r="F117" s="0"/>
      <c r="G117" s="0"/>
      <c r="H117" s="0"/>
      <c r="I117" s="0"/>
      <c r="J117" s="4"/>
      <c r="K117" s="0"/>
      <c r="L117" s="34" t="s">
        <v>151</v>
      </c>
      <c r="M117" s="110"/>
      <c r="N117" s="110" t="n">
        <v>0</v>
      </c>
      <c r="O117" s="110"/>
      <c r="P117" s="110" t="n">
        <v>0</v>
      </c>
      <c r="Q117" s="110"/>
      <c r="R117" s="110" t="n">
        <f aca="false">+N117+P117</f>
        <v>0</v>
      </c>
      <c r="S117" s="110"/>
      <c r="T117" s="110" t="n">
        <v>0</v>
      </c>
      <c r="U117" s="110"/>
      <c r="V117" s="110" t="n">
        <v>0</v>
      </c>
      <c r="X117" s="110" t="n">
        <v>0</v>
      </c>
      <c r="Z117" s="110" t="n">
        <v>0</v>
      </c>
      <c r="AB117" s="110" t="n">
        <v>0</v>
      </c>
      <c r="AD117" s="110" t="n">
        <v>0</v>
      </c>
      <c r="AF117" s="110" t="n">
        <v>0</v>
      </c>
      <c r="AH117" s="110" t="n">
        <v>0</v>
      </c>
      <c r="AJ117" s="110" t="n">
        <v>0</v>
      </c>
      <c r="AN117" s="110" t="n">
        <v>0</v>
      </c>
      <c r="AP117" s="110" t="n">
        <v>0</v>
      </c>
      <c r="AR117" s="110" t="n">
        <v>0</v>
      </c>
      <c r="AT117" s="110" t="n">
        <v>0</v>
      </c>
      <c r="AV117" s="110" t="n">
        <v>0</v>
      </c>
      <c r="AX117" s="110" t="n">
        <v>0</v>
      </c>
      <c r="AZ117" s="110" t="n">
        <v>0</v>
      </c>
      <c r="BB117" s="110" t="n">
        <v>0</v>
      </c>
      <c r="BD117" s="110" t="n">
        <v>0</v>
      </c>
      <c r="BF117" s="110" t="n">
        <v>0</v>
      </c>
      <c r="BH117" s="110" t="n">
        <v>0</v>
      </c>
      <c r="BJ117" s="110" t="n">
        <v>0</v>
      </c>
      <c r="BL117" s="110" t="n">
        <v>0</v>
      </c>
      <c r="BM117" s="110" t="n">
        <v>0</v>
      </c>
      <c r="BN117" s="110"/>
      <c r="BO117" s="110" t="n">
        <v>0</v>
      </c>
      <c r="BP117" s="110"/>
      <c r="BQ117" s="110" t="n">
        <f aca="false">SUM(T117:BP117)</f>
        <v>0</v>
      </c>
      <c r="BR117" s="110"/>
      <c r="BS117" s="110" t="n">
        <v>0</v>
      </c>
      <c r="BT117" s="110"/>
      <c r="BU117" s="110" t="n">
        <f aca="false">+R117-BQ117+BS117</f>
        <v>0</v>
      </c>
      <c r="BW117" s="110" t="n">
        <f aca="false">+BQ117+BU117</f>
        <v>0</v>
      </c>
      <c r="BY117" s="110" t="n">
        <f aca="false">+R117-BW117</f>
        <v>0</v>
      </c>
      <c r="BZ117" s="110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4"/>
      <c r="DW117" s="194"/>
      <c r="DX117" s="194"/>
      <c r="DY117" s="194"/>
      <c r="DZ117" s="194"/>
      <c r="EA117" s="194"/>
      <c r="EB117" s="194"/>
      <c r="EC117" s="194"/>
      <c r="ED117" s="194"/>
      <c r="EE117" s="194"/>
      <c r="EF117" s="194"/>
      <c r="EG117" s="194"/>
      <c r="EH117" s="194"/>
      <c r="EI117" s="194"/>
      <c r="EJ117" s="194"/>
      <c r="EK117" s="194"/>
      <c r="EL117" s="194"/>
      <c r="EM117" s="194"/>
      <c r="EN117" s="194"/>
      <c r="EO117" s="194"/>
      <c r="EP117" s="194"/>
      <c r="EQ117" s="194"/>
      <c r="ER117" s="194"/>
      <c r="ES117" s="194"/>
      <c r="ET117" s="194"/>
      <c r="EU117" s="194"/>
      <c r="EV117" s="194"/>
      <c r="EW117" s="194"/>
      <c r="EX117" s="194"/>
      <c r="EY117" s="194"/>
      <c r="EZ117" s="194"/>
      <c r="FA117" s="194"/>
      <c r="FB117" s="194"/>
      <c r="FC117" s="194"/>
      <c r="FD117" s="194"/>
      <c r="FE117" s="194"/>
      <c r="FF117" s="194"/>
      <c r="FG117" s="194"/>
      <c r="FH117" s="194"/>
      <c r="FI117" s="194"/>
      <c r="FJ117" s="194"/>
      <c r="FK117" s="194"/>
      <c r="FL117" s="194"/>
      <c r="FM117" s="194"/>
      <c r="FN117" s="194"/>
      <c r="FO117" s="194"/>
      <c r="FP117" s="194"/>
      <c r="FQ117" s="194"/>
      <c r="FR117" s="194"/>
      <c r="FS117" s="194"/>
      <c r="FT117" s="194"/>
      <c r="FU117" s="194"/>
      <c r="FV117" s="194"/>
      <c r="FW117" s="194"/>
      <c r="FX117" s="194"/>
      <c r="FY117" s="194"/>
      <c r="FZ117" s="194"/>
      <c r="GA117" s="194"/>
      <c r="GB117" s="194"/>
      <c r="GC117" s="194"/>
      <c r="GD117" s="194"/>
      <c r="GE117" s="194"/>
      <c r="GF117" s="194"/>
      <c r="GG117" s="194"/>
      <c r="GH117" s="194"/>
      <c r="GI117" s="194"/>
      <c r="GJ117" s="194"/>
      <c r="GK117" s="194"/>
      <c r="GL117" s="194"/>
      <c r="GM117" s="194"/>
      <c r="GN117" s="194"/>
      <c r="GO117" s="194"/>
      <c r="GP117" s="194"/>
      <c r="GQ117" s="194"/>
      <c r="GR117" s="194"/>
      <c r="GS117" s="194"/>
      <c r="GT117" s="194"/>
      <c r="GU117" s="194"/>
      <c r="GV117" s="194"/>
      <c r="GW117" s="194"/>
      <c r="GX117" s="194"/>
      <c r="GY117" s="194"/>
      <c r="GZ117" s="194"/>
      <c r="HA117" s="194"/>
      <c r="HB117" s="194"/>
      <c r="HC117" s="194"/>
      <c r="HD117" s="194"/>
      <c r="HE117" s="194"/>
      <c r="HF117" s="194"/>
      <c r="HG117" s="194"/>
      <c r="HH117" s="194"/>
      <c r="HI117" s="194"/>
      <c r="HJ117" s="194"/>
      <c r="HK117" s="194"/>
      <c r="HL117" s="194"/>
      <c r="HM117" s="194"/>
      <c r="HN117" s="194"/>
      <c r="HO117" s="194"/>
      <c r="HP117" s="194"/>
      <c r="HQ117" s="194"/>
      <c r="HR117" s="194"/>
      <c r="HS117" s="194"/>
      <c r="HT117" s="194"/>
      <c r="HU117" s="194"/>
      <c r="HV117" s="194"/>
      <c r="HW117" s="194"/>
      <c r="HX117" s="194"/>
      <c r="HY117" s="194"/>
      <c r="HZ117" s="194"/>
      <c r="IA117" s="194"/>
      <c r="IB117" s="194"/>
      <c r="IC117" s="194"/>
      <c r="ID117" s="194"/>
      <c r="IE117" s="194"/>
      <c r="IF117" s="194"/>
      <c r="IG117" s="194"/>
      <c r="IH117" s="194"/>
      <c r="II117" s="194"/>
      <c r="IJ117" s="194"/>
      <c r="IK117" s="194"/>
      <c r="IL117" s="194"/>
      <c r="IM117" s="194"/>
      <c r="IN117" s="194"/>
      <c r="IO117" s="194"/>
      <c r="IP117" s="194"/>
      <c r="IQ117" s="194"/>
      <c r="IR117" s="194"/>
      <c r="IS117" s="194"/>
      <c r="IT117" s="194"/>
      <c r="IU117" s="194"/>
      <c r="IV117" s="194"/>
      <c r="IW117" s="194"/>
    </row>
    <row r="118" customFormat="false" ht="12.75" hidden="true" customHeight="false" outlineLevel="0" collapsed="false">
      <c r="A118" s="177"/>
      <c r="B118" s="161" t="s">
        <v>366</v>
      </c>
      <c r="C118" s="0"/>
      <c r="D118" s="0"/>
      <c r="E118" s="0"/>
      <c r="F118" s="0"/>
      <c r="G118" s="0"/>
      <c r="H118" s="0"/>
      <c r="I118" s="0"/>
      <c r="J118" s="4"/>
      <c r="K118" s="0"/>
      <c r="L118" s="34" t="s">
        <v>151</v>
      </c>
      <c r="M118" s="110"/>
      <c r="N118" s="110" t="n">
        <v>0</v>
      </c>
      <c r="O118" s="110"/>
      <c r="P118" s="110" t="n">
        <v>0</v>
      </c>
      <c r="Q118" s="110"/>
      <c r="R118" s="110" t="n">
        <f aca="false">+N118+P118</f>
        <v>0</v>
      </c>
      <c r="S118" s="110"/>
      <c r="T118" s="110" t="n">
        <v>0</v>
      </c>
      <c r="U118" s="110"/>
      <c r="V118" s="110" t="n">
        <v>0</v>
      </c>
      <c r="X118" s="110" t="n">
        <v>0</v>
      </c>
      <c r="Z118" s="110" t="n">
        <v>0</v>
      </c>
      <c r="AB118" s="110" t="n">
        <v>0</v>
      </c>
      <c r="AD118" s="110" t="n">
        <v>0</v>
      </c>
      <c r="AF118" s="110" t="n">
        <v>0</v>
      </c>
      <c r="AH118" s="110" t="n">
        <v>0</v>
      </c>
      <c r="AJ118" s="110" t="n">
        <v>0</v>
      </c>
      <c r="AN118" s="110" t="n">
        <v>0</v>
      </c>
      <c r="AP118" s="110" t="n">
        <v>0</v>
      </c>
      <c r="AR118" s="110" t="n">
        <v>0</v>
      </c>
      <c r="AT118" s="110" t="n">
        <v>0</v>
      </c>
      <c r="AV118" s="110" t="n">
        <v>0</v>
      </c>
      <c r="AX118" s="110" t="n">
        <v>0</v>
      </c>
      <c r="AZ118" s="110" t="n">
        <v>0</v>
      </c>
      <c r="BB118" s="110" t="n">
        <v>0</v>
      </c>
      <c r="BD118" s="110" t="n">
        <v>0</v>
      </c>
      <c r="BF118" s="110" t="n">
        <v>0</v>
      </c>
      <c r="BH118" s="110" t="n">
        <v>0</v>
      </c>
      <c r="BJ118" s="110" t="n">
        <v>0</v>
      </c>
      <c r="BL118" s="110" t="n">
        <v>0</v>
      </c>
      <c r="BM118" s="110" t="n">
        <v>0</v>
      </c>
      <c r="BN118" s="110"/>
      <c r="BO118" s="110" t="n">
        <v>0</v>
      </c>
      <c r="BP118" s="110"/>
      <c r="BQ118" s="110" t="n">
        <f aca="false">SUM(T118:BP118)</f>
        <v>0</v>
      </c>
      <c r="BR118" s="110"/>
      <c r="BS118" s="110" t="n">
        <v>0</v>
      </c>
      <c r="BT118" s="110"/>
      <c r="BU118" s="110" t="n">
        <f aca="false">+R118-BQ118+BS118</f>
        <v>0</v>
      </c>
      <c r="BW118" s="110" t="n">
        <f aca="false">+BQ118+BU118</f>
        <v>0</v>
      </c>
      <c r="BY118" s="110" t="n">
        <f aca="false">+R118-BW118</f>
        <v>0</v>
      </c>
      <c r="BZ118" s="110"/>
      <c r="CA118" s="194"/>
      <c r="CB118" s="194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4"/>
      <c r="DW118" s="194"/>
      <c r="DX118" s="194"/>
      <c r="DY118" s="194"/>
      <c r="DZ118" s="194"/>
      <c r="EA118" s="194"/>
      <c r="EB118" s="194"/>
      <c r="EC118" s="194"/>
      <c r="ED118" s="194"/>
      <c r="EE118" s="194"/>
      <c r="EF118" s="194"/>
      <c r="EG118" s="194"/>
      <c r="EH118" s="194"/>
      <c r="EI118" s="194"/>
      <c r="EJ118" s="194"/>
      <c r="EK118" s="194"/>
      <c r="EL118" s="194"/>
      <c r="EM118" s="194"/>
      <c r="EN118" s="194"/>
      <c r="EO118" s="194"/>
      <c r="EP118" s="194"/>
      <c r="EQ118" s="194"/>
      <c r="ER118" s="194"/>
      <c r="ES118" s="194"/>
      <c r="ET118" s="194"/>
      <c r="EU118" s="194"/>
      <c r="EV118" s="194"/>
      <c r="EW118" s="194"/>
      <c r="EX118" s="194"/>
      <c r="EY118" s="194"/>
      <c r="EZ118" s="194"/>
      <c r="FA118" s="194"/>
      <c r="FB118" s="194"/>
      <c r="FC118" s="194"/>
      <c r="FD118" s="194"/>
      <c r="FE118" s="194"/>
      <c r="FF118" s="194"/>
      <c r="FG118" s="194"/>
      <c r="FH118" s="194"/>
      <c r="FI118" s="194"/>
      <c r="FJ118" s="194"/>
      <c r="FK118" s="194"/>
      <c r="FL118" s="194"/>
      <c r="FM118" s="194"/>
      <c r="FN118" s="194"/>
      <c r="FO118" s="194"/>
      <c r="FP118" s="194"/>
      <c r="FQ118" s="194"/>
      <c r="FR118" s="194"/>
      <c r="FS118" s="194"/>
      <c r="FT118" s="194"/>
      <c r="FU118" s="194"/>
      <c r="FV118" s="194"/>
      <c r="FW118" s="194"/>
      <c r="FX118" s="194"/>
      <c r="FY118" s="194"/>
      <c r="FZ118" s="194"/>
      <c r="GA118" s="194"/>
      <c r="GB118" s="194"/>
      <c r="GC118" s="194"/>
      <c r="GD118" s="194"/>
      <c r="GE118" s="194"/>
      <c r="GF118" s="194"/>
      <c r="GG118" s="194"/>
      <c r="GH118" s="194"/>
      <c r="GI118" s="194"/>
      <c r="GJ118" s="194"/>
      <c r="GK118" s="194"/>
      <c r="GL118" s="194"/>
      <c r="GM118" s="194"/>
      <c r="GN118" s="194"/>
      <c r="GO118" s="194"/>
      <c r="GP118" s="194"/>
      <c r="GQ118" s="194"/>
      <c r="GR118" s="194"/>
      <c r="GS118" s="194"/>
      <c r="GT118" s="194"/>
      <c r="GU118" s="194"/>
      <c r="GV118" s="194"/>
      <c r="GW118" s="194"/>
      <c r="GX118" s="194"/>
      <c r="GY118" s="194"/>
      <c r="GZ118" s="194"/>
      <c r="HA118" s="194"/>
      <c r="HB118" s="194"/>
      <c r="HC118" s="194"/>
      <c r="HD118" s="194"/>
      <c r="HE118" s="194"/>
      <c r="HF118" s="194"/>
      <c r="HG118" s="194"/>
      <c r="HH118" s="194"/>
      <c r="HI118" s="194"/>
      <c r="HJ118" s="194"/>
      <c r="HK118" s="194"/>
      <c r="HL118" s="194"/>
      <c r="HM118" s="194"/>
      <c r="HN118" s="194"/>
      <c r="HO118" s="194"/>
      <c r="HP118" s="194"/>
      <c r="HQ118" s="194"/>
      <c r="HR118" s="194"/>
      <c r="HS118" s="194"/>
      <c r="HT118" s="194"/>
      <c r="HU118" s="194"/>
      <c r="HV118" s="194"/>
      <c r="HW118" s="194"/>
      <c r="HX118" s="194"/>
      <c r="HY118" s="194"/>
      <c r="HZ118" s="194"/>
      <c r="IA118" s="194"/>
      <c r="IB118" s="194"/>
      <c r="IC118" s="194"/>
      <c r="ID118" s="194"/>
      <c r="IE118" s="194"/>
      <c r="IF118" s="194"/>
      <c r="IG118" s="194"/>
      <c r="IH118" s="194"/>
      <c r="II118" s="194"/>
      <c r="IJ118" s="194"/>
      <c r="IK118" s="194"/>
      <c r="IL118" s="194"/>
      <c r="IM118" s="194"/>
      <c r="IN118" s="194"/>
      <c r="IO118" s="194"/>
      <c r="IP118" s="194"/>
      <c r="IQ118" s="194"/>
      <c r="IR118" s="194"/>
      <c r="IS118" s="194"/>
      <c r="IT118" s="194"/>
      <c r="IU118" s="194"/>
      <c r="IV118" s="194"/>
      <c r="IW118" s="194"/>
    </row>
    <row r="119" customFormat="false" ht="12.75" hidden="true" customHeight="false" outlineLevel="0" collapsed="false">
      <c r="A119" s="177"/>
      <c r="B119" s="161" t="s">
        <v>367</v>
      </c>
      <c r="C119" s="0"/>
      <c r="D119" s="0"/>
      <c r="E119" s="0"/>
      <c r="F119" s="0"/>
      <c r="G119" s="0"/>
      <c r="H119" s="0"/>
      <c r="I119" s="0"/>
      <c r="J119" s="4"/>
      <c r="K119" s="0"/>
      <c r="L119" s="34" t="s">
        <v>151</v>
      </c>
      <c r="M119" s="110"/>
      <c r="N119" s="110" t="n">
        <v>0</v>
      </c>
      <c r="O119" s="110"/>
      <c r="P119" s="110" t="n">
        <v>0</v>
      </c>
      <c r="Q119" s="110"/>
      <c r="R119" s="110" t="n">
        <f aca="false">+N119+P119</f>
        <v>0</v>
      </c>
      <c r="S119" s="110"/>
      <c r="T119" s="110" t="n">
        <v>0</v>
      </c>
      <c r="U119" s="110"/>
      <c r="V119" s="110" t="n">
        <v>0</v>
      </c>
      <c r="X119" s="110" t="n">
        <v>0</v>
      </c>
      <c r="Z119" s="110" t="n">
        <v>0</v>
      </c>
      <c r="AB119" s="110" t="n">
        <v>0</v>
      </c>
      <c r="AD119" s="110" t="n">
        <v>0</v>
      </c>
      <c r="AF119" s="110" t="n">
        <v>0</v>
      </c>
      <c r="AH119" s="110" t="n">
        <v>0</v>
      </c>
      <c r="AJ119" s="110" t="n">
        <v>0</v>
      </c>
      <c r="AN119" s="110" t="n">
        <v>0</v>
      </c>
      <c r="AP119" s="110" t="n">
        <v>0</v>
      </c>
      <c r="AR119" s="110" t="n">
        <v>0</v>
      </c>
      <c r="AT119" s="110" t="n">
        <v>0</v>
      </c>
      <c r="AV119" s="110" t="n">
        <v>0</v>
      </c>
      <c r="AX119" s="110" t="n">
        <v>0</v>
      </c>
      <c r="AZ119" s="110" t="n">
        <v>0</v>
      </c>
      <c r="BB119" s="110" t="n">
        <v>0</v>
      </c>
      <c r="BD119" s="110" t="n">
        <v>0</v>
      </c>
      <c r="BF119" s="110" t="n">
        <v>0</v>
      </c>
      <c r="BH119" s="110" t="n">
        <v>0</v>
      </c>
      <c r="BJ119" s="110" t="n">
        <v>0</v>
      </c>
      <c r="BL119" s="110" t="n">
        <v>0</v>
      </c>
      <c r="BM119" s="110" t="n">
        <v>0</v>
      </c>
      <c r="BN119" s="110"/>
      <c r="BO119" s="110" t="n">
        <v>0</v>
      </c>
      <c r="BP119" s="110"/>
      <c r="BQ119" s="110" t="n">
        <f aca="false">SUM(T119:BP119)</f>
        <v>0</v>
      </c>
      <c r="BR119" s="110"/>
      <c r="BS119" s="110" t="n">
        <v>0</v>
      </c>
      <c r="BT119" s="110"/>
      <c r="BU119" s="110" t="n">
        <f aca="false">+R119-BQ119+BS119</f>
        <v>0</v>
      </c>
      <c r="BW119" s="110" t="n">
        <f aca="false">+BQ119+BU119</f>
        <v>0</v>
      </c>
      <c r="BY119" s="110" t="n">
        <f aca="false">+R119-BW119</f>
        <v>0</v>
      </c>
      <c r="BZ119" s="110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  <c r="IW119" s="194"/>
    </row>
    <row r="120" customFormat="false" ht="12.75" hidden="true" customHeight="false" outlineLevel="0" collapsed="false">
      <c r="A120" s="177"/>
      <c r="B120" s="161" t="s">
        <v>368</v>
      </c>
      <c r="C120" s="0"/>
      <c r="D120" s="0"/>
      <c r="E120" s="0"/>
      <c r="F120" s="0"/>
      <c r="G120" s="0"/>
      <c r="H120" s="0"/>
      <c r="I120" s="0"/>
      <c r="J120" s="4"/>
      <c r="K120" s="0"/>
      <c r="L120" s="34" t="s">
        <v>151</v>
      </c>
      <c r="M120" s="110"/>
      <c r="N120" s="110" t="n">
        <v>0</v>
      </c>
      <c r="O120" s="110"/>
      <c r="P120" s="110" t="n">
        <v>0</v>
      </c>
      <c r="Q120" s="110"/>
      <c r="R120" s="110" t="n">
        <f aca="false">+N120+P120</f>
        <v>0</v>
      </c>
      <c r="S120" s="110"/>
      <c r="T120" s="110" t="n">
        <v>0</v>
      </c>
      <c r="U120" s="110"/>
      <c r="V120" s="110" t="n">
        <v>0</v>
      </c>
      <c r="X120" s="110" t="n">
        <v>0</v>
      </c>
      <c r="Z120" s="110" t="n">
        <v>0</v>
      </c>
      <c r="AB120" s="110" t="n">
        <v>0</v>
      </c>
      <c r="AD120" s="110" t="n">
        <v>0</v>
      </c>
      <c r="AF120" s="110" t="n">
        <v>0</v>
      </c>
      <c r="AH120" s="110" t="n">
        <v>0</v>
      </c>
      <c r="AJ120" s="110" t="n">
        <v>0</v>
      </c>
      <c r="AN120" s="110" t="n">
        <v>0</v>
      </c>
      <c r="AP120" s="110" t="n">
        <v>0</v>
      </c>
      <c r="AR120" s="110" t="n">
        <v>0</v>
      </c>
      <c r="AT120" s="110" t="n">
        <v>0</v>
      </c>
      <c r="AV120" s="110" t="n">
        <v>0</v>
      </c>
      <c r="AX120" s="110" t="n">
        <v>0</v>
      </c>
      <c r="AZ120" s="110" t="n">
        <v>0</v>
      </c>
      <c r="BB120" s="110" t="n">
        <v>0</v>
      </c>
      <c r="BD120" s="110" t="n">
        <v>0</v>
      </c>
      <c r="BF120" s="110" t="n">
        <v>0</v>
      </c>
      <c r="BH120" s="110" t="n">
        <v>0</v>
      </c>
      <c r="BJ120" s="110" t="n">
        <v>0</v>
      </c>
      <c r="BL120" s="110" t="n">
        <v>0</v>
      </c>
      <c r="BM120" s="110" t="n">
        <v>0</v>
      </c>
      <c r="BN120" s="110"/>
      <c r="BO120" s="110" t="n">
        <v>0</v>
      </c>
      <c r="BP120" s="110"/>
      <c r="BQ120" s="110" t="n">
        <f aca="false">SUM(T120:BP120)</f>
        <v>0</v>
      </c>
      <c r="BR120" s="110"/>
      <c r="BS120" s="110" t="n">
        <v>0</v>
      </c>
      <c r="BT120" s="110"/>
      <c r="BU120" s="110" t="n">
        <f aca="false">+R120-BQ120+BS120</f>
        <v>0</v>
      </c>
      <c r="BW120" s="110" t="n">
        <f aca="false">+BQ120+BU120</f>
        <v>0</v>
      </c>
      <c r="BY120" s="110" t="n">
        <f aca="false">+R120-BW120</f>
        <v>0</v>
      </c>
      <c r="BZ120" s="110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  <c r="IW120" s="194"/>
    </row>
    <row r="121" customFormat="false" ht="12.75" hidden="true" customHeight="false" outlineLevel="0" collapsed="false">
      <c r="A121" s="177"/>
      <c r="B121" s="161" t="s">
        <v>369</v>
      </c>
      <c r="C121" s="0"/>
      <c r="D121" s="0"/>
      <c r="E121" s="0"/>
      <c r="F121" s="0"/>
      <c r="G121" s="0"/>
      <c r="H121" s="0"/>
      <c r="I121" s="0"/>
      <c r="J121" s="4"/>
      <c r="K121" s="0"/>
      <c r="L121" s="34" t="s">
        <v>151</v>
      </c>
      <c r="M121" s="110"/>
      <c r="N121" s="110" t="n">
        <v>0</v>
      </c>
      <c r="O121" s="110"/>
      <c r="P121" s="110" t="n">
        <v>0</v>
      </c>
      <c r="Q121" s="110"/>
      <c r="R121" s="110" t="n">
        <f aca="false">+N121+P121</f>
        <v>0</v>
      </c>
      <c r="S121" s="110"/>
      <c r="T121" s="110" t="n">
        <v>0</v>
      </c>
      <c r="U121" s="110"/>
      <c r="V121" s="110" t="n">
        <v>0</v>
      </c>
      <c r="X121" s="110" t="n">
        <v>0</v>
      </c>
      <c r="Z121" s="110" t="n">
        <v>0</v>
      </c>
      <c r="AB121" s="110" t="n">
        <v>0</v>
      </c>
      <c r="AD121" s="110" t="n">
        <v>0</v>
      </c>
      <c r="AF121" s="110" t="n">
        <v>0</v>
      </c>
      <c r="AH121" s="110" t="n">
        <v>0</v>
      </c>
      <c r="AJ121" s="110" t="n">
        <v>0</v>
      </c>
      <c r="AN121" s="110" t="n">
        <v>0</v>
      </c>
      <c r="AP121" s="110" t="n">
        <v>0</v>
      </c>
      <c r="AR121" s="110" t="n">
        <v>0</v>
      </c>
      <c r="AT121" s="110" t="n">
        <v>0</v>
      </c>
      <c r="AV121" s="110" t="n">
        <v>0</v>
      </c>
      <c r="AX121" s="110" t="n">
        <v>0</v>
      </c>
      <c r="AZ121" s="110" t="n">
        <v>0</v>
      </c>
      <c r="BB121" s="110" t="n">
        <v>0</v>
      </c>
      <c r="BD121" s="110" t="n">
        <v>0</v>
      </c>
      <c r="BF121" s="110" t="n">
        <v>0</v>
      </c>
      <c r="BH121" s="110" t="n">
        <v>0</v>
      </c>
      <c r="BJ121" s="110" t="n">
        <v>0</v>
      </c>
      <c r="BL121" s="110" t="n">
        <v>0</v>
      </c>
      <c r="BM121" s="110" t="n">
        <v>0</v>
      </c>
      <c r="BN121" s="110"/>
      <c r="BO121" s="110" t="n">
        <v>0</v>
      </c>
      <c r="BP121" s="110"/>
      <c r="BQ121" s="110" t="n">
        <f aca="false">SUM(T121:BP121)</f>
        <v>0</v>
      </c>
      <c r="BR121" s="110"/>
      <c r="BS121" s="110" t="n">
        <v>0</v>
      </c>
      <c r="BT121" s="110"/>
      <c r="BU121" s="110" t="n">
        <f aca="false">+R121-BQ121+BS121</f>
        <v>0</v>
      </c>
      <c r="BW121" s="110" t="n">
        <f aca="false">+BQ121+BU121</f>
        <v>0</v>
      </c>
      <c r="BY121" s="110" t="n">
        <f aca="false">+R121-BW121</f>
        <v>0</v>
      </c>
      <c r="BZ121" s="110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4"/>
      <c r="DW121" s="194"/>
      <c r="DX121" s="194"/>
      <c r="DY121" s="194"/>
      <c r="DZ121" s="194"/>
      <c r="EA121" s="194"/>
      <c r="EB121" s="194"/>
      <c r="EC121" s="194"/>
      <c r="ED121" s="194"/>
      <c r="EE121" s="194"/>
      <c r="EF121" s="194"/>
      <c r="EG121" s="194"/>
      <c r="EH121" s="194"/>
      <c r="EI121" s="194"/>
      <c r="EJ121" s="194"/>
      <c r="EK121" s="194"/>
      <c r="EL121" s="194"/>
      <c r="EM121" s="194"/>
      <c r="EN121" s="194"/>
      <c r="EO121" s="194"/>
      <c r="EP121" s="194"/>
      <c r="EQ121" s="194"/>
      <c r="ER121" s="194"/>
      <c r="ES121" s="194"/>
      <c r="ET121" s="194"/>
      <c r="EU121" s="194"/>
      <c r="EV121" s="194"/>
      <c r="EW121" s="194"/>
      <c r="EX121" s="194"/>
      <c r="EY121" s="194"/>
      <c r="EZ121" s="194"/>
      <c r="FA121" s="194"/>
      <c r="FB121" s="194"/>
      <c r="FC121" s="194"/>
      <c r="FD121" s="194"/>
      <c r="FE121" s="194"/>
      <c r="FF121" s="194"/>
      <c r="FG121" s="194"/>
      <c r="FH121" s="194"/>
      <c r="FI121" s="194"/>
      <c r="FJ121" s="194"/>
      <c r="FK121" s="194"/>
      <c r="FL121" s="194"/>
      <c r="FM121" s="194"/>
      <c r="FN121" s="194"/>
      <c r="FO121" s="194"/>
      <c r="FP121" s="194"/>
      <c r="FQ121" s="194"/>
      <c r="FR121" s="194"/>
      <c r="FS121" s="194"/>
      <c r="FT121" s="194"/>
      <c r="FU121" s="194"/>
      <c r="FV121" s="194"/>
      <c r="FW121" s="194"/>
      <c r="FX121" s="194"/>
      <c r="FY121" s="194"/>
      <c r="FZ121" s="194"/>
      <c r="GA121" s="194"/>
      <c r="GB121" s="194"/>
      <c r="GC121" s="194"/>
      <c r="GD121" s="194"/>
      <c r="GE121" s="194"/>
      <c r="GF121" s="194"/>
      <c r="GG121" s="194"/>
      <c r="GH121" s="194"/>
      <c r="GI121" s="194"/>
      <c r="GJ121" s="194"/>
      <c r="GK121" s="194"/>
      <c r="GL121" s="194"/>
      <c r="GM121" s="194"/>
      <c r="GN121" s="194"/>
      <c r="GO121" s="194"/>
      <c r="GP121" s="194"/>
      <c r="GQ121" s="194"/>
      <c r="GR121" s="194"/>
      <c r="GS121" s="194"/>
      <c r="GT121" s="194"/>
      <c r="GU121" s="194"/>
      <c r="GV121" s="194"/>
      <c r="GW121" s="194"/>
      <c r="GX121" s="194"/>
      <c r="GY121" s="194"/>
      <c r="GZ121" s="194"/>
      <c r="HA121" s="194"/>
      <c r="HB121" s="194"/>
      <c r="HC121" s="194"/>
      <c r="HD121" s="194"/>
      <c r="HE121" s="194"/>
      <c r="HF121" s="194"/>
      <c r="HG121" s="194"/>
      <c r="HH121" s="194"/>
      <c r="HI121" s="194"/>
      <c r="HJ121" s="194"/>
      <c r="HK121" s="194"/>
      <c r="HL121" s="194"/>
      <c r="HM121" s="194"/>
      <c r="HN121" s="194"/>
      <c r="HO121" s="194"/>
      <c r="HP121" s="194"/>
      <c r="HQ121" s="194"/>
      <c r="HR121" s="194"/>
      <c r="HS121" s="194"/>
      <c r="HT121" s="194"/>
      <c r="HU121" s="194"/>
      <c r="HV121" s="194"/>
      <c r="HW121" s="194"/>
      <c r="HX121" s="194"/>
      <c r="HY121" s="194"/>
      <c r="HZ121" s="194"/>
      <c r="IA121" s="194"/>
      <c r="IB121" s="194"/>
      <c r="IC121" s="194"/>
      <c r="ID121" s="194"/>
      <c r="IE121" s="194"/>
      <c r="IF121" s="194"/>
      <c r="IG121" s="194"/>
      <c r="IH121" s="194"/>
      <c r="II121" s="194"/>
      <c r="IJ121" s="194"/>
      <c r="IK121" s="194"/>
      <c r="IL121" s="194"/>
      <c r="IM121" s="194"/>
      <c r="IN121" s="194"/>
      <c r="IO121" s="194"/>
      <c r="IP121" s="194"/>
      <c r="IQ121" s="194"/>
      <c r="IR121" s="194"/>
      <c r="IS121" s="194"/>
      <c r="IT121" s="194"/>
      <c r="IU121" s="194"/>
      <c r="IV121" s="194"/>
      <c r="IW121" s="194"/>
    </row>
    <row r="122" customFormat="false" ht="12.75" hidden="true" customHeight="false" outlineLevel="0" collapsed="false">
      <c r="A122" s="177"/>
      <c r="B122" s="161" t="s">
        <v>370</v>
      </c>
      <c r="C122" s="0"/>
      <c r="D122" s="0"/>
      <c r="E122" s="0"/>
      <c r="F122" s="0"/>
      <c r="G122" s="0"/>
      <c r="H122" s="0"/>
      <c r="I122" s="0"/>
      <c r="J122" s="4"/>
      <c r="K122" s="0"/>
      <c r="L122" s="34" t="s">
        <v>151</v>
      </c>
      <c r="M122" s="110"/>
      <c r="N122" s="110" t="n">
        <v>0</v>
      </c>
      <c r="O122" s="110"/>
      <c r="P122" s="110" t="n">
        <v>0</v>
      </c>
      <c r="Q122" s="110"/>
      <c r="R122" s="110" t="n">
        <f aca="false">+N122+P122</f>
        <v>0</v>
      </c>
      <c r="S122" s="110"/>
      <c r="T122" s="110" t="n">
        <v>0</v>
      </c>
      <c r="U122" s="110"/>
      <c r="V122" s="110" t="n">
        <v>0</v>
      </c>
      <c r="X122" s="110" t="n">
        <v>0</v>
      </c>
      <c r="Z122" s="110" t="n">
        <v>0</v>
      </c>
      <c r="AB122" s="110" t="n">
        <v>0</v>
      </c>
      <c r="AD122" s="110" t="n">
        <v>0</v>
      </c>
      <c r="AF122" s="110" t="n">
        <v>0</v>
      </c>
      <c r="AH122" s="110" t="n">
        <v>0</v>
      </c>
      <c r="AJ122" s="110" t="n">
        <v>0</v>
      </c>
      <c r="AN122" s="110" t="n">
        <v>0</v>
      </c>
      <c r="AP122" s="110" t="n">
        <v>0</v>
      </c>
      <c r="AR122" s="110" t="n">
        <v>0</v>
      </c>
      <c r="AT122" s="110" t="n">
        <v>0</v>
      </c>
      <c r="AV122" s="110" t="n">
        <v>0</v>
      </c>
      <c r="AX122" s="110" t="n">
        <v>0</v>
      </c>
      <c r="AZ122" s="110" t="n">
        <v>0</v>
      </c>
      <c r="BB122" s="110" t="n">
        <v>0</v>
      </c>
      <c r="BD122" s="110" t="n">
        <v>0</v>
      </c>
      <c r="BF122" s="110" t="n">
        <v>0</v>
      </c>
      <c r="BH122" s="110" t="n">
        <v>0</v>
      </c>
      <c r="BJ122" s="110" t="n">
        <v>0</v>
      </c>
      <c r="BL122" s="110" t="n">
        <v>0</v>
      </c>
      <c r="BM122" s="110" t="n">
        <v>0</v>
      </c>
      <c r="BN122" s="110"/>
      <c r="BO122" s="110" t="n">
        <v>0</v>
      </c>
      <c r="BP122" s="110"/>
      <c r="BQ122" s="110" t="n">
        <f aca="false">SUM(T122:BP122)</f>
        <v>0</v>
      </c>
      <c r="BR122" s="110"/>
      <c r="BS122" s="110" t="n">
        <v>0</v>
      </c>
      <c r="BT122" s="110"/>
      <c r="BU122" s="110" t="n">
        <f aca="false">+R122-BQ122+BS122</f>
        <v>0</v>
      </c>
      <c r="BW122" s="110" t="n">
        <f aca="false">+BQ122+BU122</f>
        <v>0</v>
      </c>
      <c r="BY122" s="110" t="n">
        <f aca="false">+R122-BW122</f>
        <v>0</v>
      </c>
      <c r="BZ122" s="110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  <c r="IW122" s="194"/>
    </row>
    <row r="123" customFormat="false" ht="12.75" hidden="true" customHeight="false" outlineLevel="0" collapsed="false">
      <c r="A123" s="177"/>
      <c r="B123" s="161" t="s">
        <v>371</v>
      </c>
      <c r="C123" s="0"/>
      <c r="D123" s="0"/>
      <c r="E123" s="0"/>
      <c r="F123" s="0"/>
      <c r="G123" s="0"/>
      <c r="H123" s="0"/>
      <c r="I123" s="0"/>
      <c r="J123" s="4"/>
      <c r="K123" s="0"/>
      <c r="L123" s="34" t="s">
        <v>151</v>
      </c>
      <c r="M123" s="110"/>
      <c r="N123" s="110" t="n">
        <v>0</v>
      </c>
      <c r="O123" s="110"/>
      <c r="P123" s="110" t="n">
        <v>0</v>
      </c>
      <c r="Q123" s="110"/>
      <c r="R123" s="110" t="n">
        <f aca="false">+N123+P123</f>
        <v>0</v>
      </c>
      <c r="S123" s="110"/>
      <c r="T123" s="110" t="n">
        <v>0</v>
      </c>
      <c r="U123" s="110"/>
      <c r="V123" s="110" t="n">
        <v>0</v>
      </c>
      <c r="X123" s="110" t="n">
        <v>0</v>
      </c>
      <c r="Z123" s="110" t="n">
        <v>0</v>
      </c>
      <c r="AB123" s="110" t="n">
        <v>0</v>
      </c>
      <c r="AD123" s="110" t="n">
        <v>0</v>
      </c>
      <c r="AF123" s="110" t="n">
        <v>0</v>
      </c>
      <c r="AH123" s="110" t="n">
        <v>0</v>
      </c>
      <c r="AJ123" s="110" t="n">
        <v>0</v>
      </c>
      <c r="AN123" s="110" t="n">
        <v>0</v>
      </c>
      <c r="AP123" s="110" t="n">
        <v>0</v>
      </c>
      <c r="AR123" s="110" t="n">
        <v>0</v>
      </c>
      <c r="AT123" s="110" t="n">
        <v>0</v>
      </c>
      <c r="AV123" s="110" t="n">
        <v>0</v>
      </c>
      <c r="AX123" s="110" t="n">
        <v>0</v>
      </c>
      <c r="AZ123" s="110" t="n">
        <v>0</v>
      </c>
      <c r="BB123" s="110" t="n">
        <v>0</v>
      </c>
      <c r="BD123" s="110" t="n">
        <v>0</v>
      </c>
      <c r="BF123" s="110" t="n">
        <v>0</v>
      </c>
      <c r="BH123" s="110" t="n">
        <v>0</v>
      </c>
      <c r="BJ123" s="110" t="n">
        <v>0</v>
      </c>
      <c r="BL123" s="110" t="n">
        <v>0</v>
      </c>
      <c r="BM123" s="110" t="n">
        <v>0</v>
      </c>
      <c r="BN123" s="110"/>
      <c r="BO123" s="110" t="n">
        <v>0</v>
      </c>
      <c r="BP123" s="110"/>
      <c r="BQ123" s="110" t="n">
        <f aca="false">SUM(T123:BP123)</f>
        <v>0</v>
      </c>
      <c r="BR123" s="110"/>
      <c r="BS123" s="110" t="n">
        <v>0</v>
      </c>
      <c r="BT123" s="110"/>
      <c r="BU123" s="110" t="n">
        <f aca="false">+R123-BQ123+BS123</f>
        <v>0</v>
      </c>
      <c r="BW123" s="110" t="n">
        <f aca="false">+BQ123+BU123</f>
        <v>0</v>
      </c>
      <c r="BY123" s="110" t="n">
        <f aca="false">+R123-BW123</f>
        <v>0</v>
      </c>
      <c r="BZ123" s="110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4"/>
      <c r="DW123" s="194"/>
      <c r="DX123" s="194"/>
      <c r="DY123" s="194"/>
      <c r="DZ123" s="194"/>
      <c r="EA123" s="194"/>
      <c r="EB123" s="194"/>
      <c r="EC123" s="194"/>
      <c r="ED123" s="194"/>
      <c r="EE123" s="194"/>
      <c r="EF123" s="194"/>
      <c r="EG123" s="194"/>
      <c r="EH123" s="194"/>
      <c r="EI123" s="194"/>
      <c r="EJ123" s="194"/>
      <c r="EK123" s="194"/>
      <c r="EL123" s="194"/>
      <c r="EM123" s="194"/>
      <c r="EN123" s="194"/>
      <c r="EO123" s="194"/>
      <c r="EP123" s="194"/>
      <c r="EQ123" s="194"/>
      <c r="ER123" s="194"/>
      <c r="ES123" s="194"/>
      <c r="ET123" s="194"/>
      <c r="EU123" s="194"/>
      <c r="EV123" s="194"/>
      <c r="EW123" s="194"/>
      <c r="EX123" s="194"/>
      <c r="EY123" s="194"/>
      <c r="EZ123" s="194"/>
      <c r="FA123" s="194"/>
      <c r="FB123" s="194"/>
      <c r="FC123" s="194"/>
      <c r="FD123" s="194"/>
      <c r="FE123" s="194"/>
      <c r="FF123" s="194"/>
      <c r="FG123" s="194"/>
      <c r="FH123" s="194"/>
      <c r="FI123" s="194"/>
      <c r="FJ123" s="194"/>
      <c r="FK123" s="194"/>
      <c r="FL123" s="194"/>
      <c r="FM123" s="194"/>
      <c r="FN123" s="194"/>
      <c r="FO123" s="194"/>
      <c r="FP123" s="194"/>
      <c r="FQ123" s="194"/>
      <c r="FR123" s="194"/>
      <c r="FS123" s="194"/>
      <c r="FT123" s="194"/>
      <c r="FU123" s="194"/>
      <c r="FV123" s="194"/>
      <c r="FW123" s="194"/>
      <c r="FX123" s="194"/>
      <c r="FY123" s="194"/>
      <c r="FZ123" s="194"/>
      <c r="GA123" s="194"/>
      <c r="GB123" s="194"/>
      <c r="GC123" s="194"/>
      <c r="GD123" s="194"/>
      <c r="GE123" s="194"/>
      <c r="GF123" s="194"/>
      <c r="GG123" s="194"/>
      <c r="GH123" s="194"/>
      <c r="GI123" s="194"/>
      <c r="GJ123" s="194"/>
      <c r="GK123" s="194"/>
      <c r="GL123" s="194"/>
      <c r="GM123" s="194"/>
      <c r="GN123" s="194"/>
      <c r="GO123" s="194"/>
      <c r="GP123" s="194"/>
      <c r="GQ123" s="194"/>
      <c r="GR123" s="194"/>
      <c r="GS123" s="194"/>
      <c r="GT123" s="194"/>
      <c r="GU123" s="194"/>
      <c r="GV123" s="194"/>
      <c r="GW123" s="194"/>
      <c r="GX123" s="194"/>
      <c r="GY123" s="194"/>
      <c r="GZ123" s="194"/>
      <c r="HA123" s="194"/>
      <c r="HB123" s="194"/>
      <c r="HC123" s="194"/>
      <c r="HD123" s="194"/>
      <c r="HE123" s="194"/>
      <c r="HF123" s="194"/>
      <c r="HG123" s="194"/>
      <c r="HH123" s="194"/>
      <c r="HI123" s="194"/>
      <c r="HJ123" s="194"/>
      <c r="HK123" s="194"/>
      <c r="HL123" s="194"/>
      <c r="HM123" s="194"/>
      <c r="HN123" s="194"/>
      <c r="HO123" s="194"/>
      <c r="HP123" s="194"/>
      <c r="HQ123" s="194"/>
      <c r="HR123" s="194"/>
      <c r="HS123" s="194"/>
      <c r="HT123" s="194"/>
      <c r="HU123" s="194"/>
      <c r="HV123" s="194"/>
      <c r="HW123" s="194"/>
      <c r="HX123" s="194"/>
      <c r="HY123" s="194"/>
      <c r="HZ123" s="194"/>
      <c r="IA123" s="194"/>
      <c r="IB123" s="194"/>
      <c r="IC123" s="194"/>
      <c r="ID123" s="194"/>
      <c r="IE123" s="194"/>
      <c r="IF123" s="194"/>
      <c r="IG123" s="194"/>
      <c r="IH123" s="194"/>
      <c r="II123" s="194"/>
      <c r="IJ123" s="194"/>
      <c r="IK123" s="194"/>
      <c r="IL123" s="194"/>
      <c r="IM123" s="194"/>
      <c r="IN123" s="194"/>
      <c r="IO123" s="194"/>
      <c r="IP123" s="194"/>
      <c r="IQ123" s="194"/>
      <c r="IR123" s="194"/>
      <c r="IS123" s="194"/>
      <c r="IT123" s="194"/>
      <c r="IU123" s="194"/>
      <c r="IV123" s="194"/>
      <c r="IW123" s="194"/>
    </row>
    <row r="124" customFormat="false" ht="12.75" hidden="true" customHeight="false" outlineLevel="0" collapsed="false">
      <c r="A124" s="177"/>
      <c r="B124" s="161" t="s">
        <v>372</v>
      </c>
      <c r="C124" s="18"/>
      <c r="D124" s="18"/>
      <c r="E124" s="18"/>
      <c r="F124" s="18"/>
      <c r="G124" s="18"/>
      <c r="H124" s="18"/>
      <c r="I124" s="18"/>
      <c r="J124" s="229"/>
      <c r="K124" s="18"/>
      <c r="L124" s="34" t="s">
        <v>151</v>
      </c>
      <c r="M124" s="110"/>
      <c r="N124" s="110" t="n">
        <v>0</v>
      </c>
      <c r="O124" s="110"/>
      <c r="P124" s="110" t="n">
        <v>0</v>
      </c>
      <c r="Q124" s="110"/>
      <c r="R124" s="110" t="n">
        <f aca="false">+N124+P124</f>
        <v>0</v>
      </c>
      <c r="S124" s="110"/>
      <c r="T124" s="110" t="n">
        <v>0</v>
      </c>
      <c r="U124" s="110"/>
      <c r="V124" s="110" t="n">
        <v>0</v>
      </c>
      <c r="X124" s="110" t="n">
        <v>0</v>
      </c>
      <c r="Z124" s="110" t="n">
        <v>0</v>
      </c>
      <c r="AB124" s="110" t="n">
        <v>0</v>
      </c>
      <c r="AD124" s="110" t="n">
        <v>0</v>
      </c>
      <c r="AF124" s="110" t="n">
        <v>0</v>
      </c>
      <c r="AH124" s="110" t="n">
        <v>0</v>
      </c>
      <c r="AJ124" s="110" t="n">
        <v>0</v>
      </c>
      <c r="AN124" s="110" t="n">
        <v>0</v>
      </c>
      <c r="AP124" s="110" t="n">
        <v>0</v>
      </c>
      <c r="AR124" s="110" t="n">
        <v>0</v>
      </c>
      <c r="AT124" s="110" t="n">
        <v>0</v>
      </c>
      <c r="AV124" s="110" t="n">
        <v>0</v>
      </c>
      <c r="AX124" s="110" t="n">
        <v>0</v>
      </c>
      <c r="AZ124" s="110" t="n">
        <v>0</v>
      </c>
      <c r="BB124" s="110" t="n">
        <v>0</v>
      </c>
      <c r="BD124" s="110" t="n">
        <v>0</v>
      </c>
      <c r="BF124" s="110" t="n">
        <v>0</v>
      </c>
      <c r="BH124" s="110" t="n">
        <v>0</v>
      </c>
      <c r="BJ124" s="110" t="n">
        <v>0</v>
      </c>
      <c r="BL124" s="110" t="n">
        <v>0</v>
      </c>
      <c r="BM124" s="110" t="n">
        <v>0</v>
      </c>
      <c r="BN124" s="110"/>
      <c r="BO124" s="110" t="n">
        <v>0</v>
      </c>
      <c r="BP124" s="110"/>
      <c r="BQ124" s="110" t="n">
        <f aca="false">SUM(T124:BP124)</f>
        <v>0</v>
      </c>
      <c r="BR124" s="110"/>
      <c r="BS124" s="110" t="n">
        <v>0</v>
      </c>
      <c r="BT124" s="110"/>
      <c r="BU124" s="110" t="n">
        <f aca="false">+R124-BQ124+BS124</f>
        <v>0</v>
      </c>
      <c r="BW124" s="110" t="n">
        <f aca="false">+BQ124+BU124</f>
        <v>0</v>
      </c>
      <c r="BY124" s="110" t="n">
        <f aca="false">+R124-BW124</f>
        <v>0</v>
      </c>
      <c r="BZ124" s="110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  <c r="DJ124" s="196"/>
      <c r="DK124" s="196"/>
      <c r="DL124" s="196"/>
      <c r="DM124" s="196"/>
      <c r="DN124" s="196"/>
      <c r="DO124" s="196"/>
      <c r="DP124" s="196"/>
      <c r="DQ124" s="196"/>
      <c r="DR124" s="196"/>
      <c r="DS124" s="196"/>
      <c r="DT124" s="196"/>
      <c r="DU124" s="196"/>
      <c r="DV124" s="196"/>
      <c r="DW124" s="196"/>
      <c r="DX124" s="196"/>
      <c r="DY124" s="196"/>
      <c r="DZ124" s="196"/>
      <c r="EA124" s="196"/>
      <c r="EB124" s="196"/>
      <c r="EC124" s="196"/>
      <c r="ED124" s="196"/>
      <c r="EE124" s="196"/>
      <c r="EF124" s="196"/>
      <c r="EG124" s="196"/>
      <c r="EH124" s="196"/>
      <c r="EI124" s="196"/>
      <c r="EJ124" s="196"/>
      <c r="EK124" s="196"/>
      <c r="EL124" s="196"/>
      <c r="EM124" s="196"/>
      <c r="EN124" s="196"/>
      <c r="EO124" s="196"/>
      <c r="EP124" s="196"/>
      <c r="EQ124" s="196"/>
      <c r="ER124" s="196"/>
      <c r="ES124" s="196"/>
      <c r="ET124" s="196"/>
      <c r="EU124" s="196"/>
      <c r="EV124" s="196"/>
      <c r="EW124" s="196"/>
      <c r="EX124" s="196"/>
      <c r="EY124" s="196"/>
      <c r="EZ124" s="196"/>
      <c r="FA124" s="196"/>
      <c r="FB124" s="196"/>
      <c r="FC124" s="196"/>
      <c r="FD124" s="196"/>
      <c r="FE124" s="196"/>
      <c r="FF124" s="196"/>
      <c r="FG124" s="196"/>
      <c r="FH124" s="196"/>
      <c r="FI124" s="196"/>
      <c r="FJ124" s="196"/>
      <c r="FK124" s="196"/>
      <c r="FL124" s="196"/>
      <c r="FM124" s="196"/>
      <c r="FN124" s="196"/>
      <c r="FO124" s="196"/>
      <c r="FP124" s="196"/>
      <c r="FQ124" s="196"/>
      <c r="FR124" s="196"/>
      <c r="FS124" s="196"/>
      <c r="FT124" s="196"/>
      <c r="FU124" s="196"/>
      <c r="FV124" s="196"/>
      <c r="FW124" s="196"/>
      <c r="FX124" s="196"/>
      <c r="FY124" s="196"/>
      <c r="FZ124" s="196"/>
      <c r="GA124" s="196"/>
      <c r="GB124" s="196"/>
      <c r="GC124" s="196"/>
      <c r="GD124" s="196"/>
      <c r="GE124" s="196"/>
      <c r="GF124" s="196"/>
      <c r="GG124" s="196"/>
      <c r="GH124" s="196"/>
      <c r="GI124" s="196"/>
      <c r="GJ124" s="196"/>
      <c r="GK124" s="196"/>
      <c r="GL124" s="196"/>
      <c r="GM124" s="196"/>
      <c r="GN124" s="196"/>
      <c r="GO124" s="196"/>
      <c r="GP124" s="196"/>
      <c r="GQ124" s="196"/>
      <c r="GR124" s="196"/>
      <c r="GS124" s="196"/>
      <c r="GT124" s="196"/>
      <c r="GU124" s="196"/>
      <c r="GV124" s="196"/>
      <c r="GW124" s="196"/>
      <c r="GX124" s="196"/>
      <c r="GY124" s="196"/>
      <c r="GZ124" s="196"/>
      <c r="HA124" s="196"/>
      <c r="HB124" s="196"/>
      <c r="HC124" s="196"/>
      <c r="HD124" s="196"/>
      <c r="HE124" s="196"/>
      <c r="HF124" s="196"/>
      <c r="HG124" s="196"/>
      <c r="HH124" s="196"/>
      <c r="HI124" s="196"/>
      <c r="HJ124" s="196"/>
      <c r="HK124" s="196"/>
      <c r="HL124" s="196"/>
      <c r="HM124" s="196"/>
      <c r="HN124" s="196"/>
      <c r="HO124" s="196"/>
      <c r="HP124" s="196"/>
      <c r="HQ124" s="196"/>
      <c r="HR124" s="196"/>
      <c r="HS124" s="196"/>
      <c r="HT124" s="196"/>
      <c r="HU124" s="196"/>
      <c r="HV124" s="196"/>
      <c r="HW124" s="196"/>
      <c r="HX124" s="196"/>
      <c r="HY124" s="196"/>
      <c r="HZ124" s="196"/>
      <c r="IA124" s="196"/>
      <c r="IB124" s="196"/>
      <c r="IC124" s="196"/>
      <c r="ID124" s="196"/>
      <c r="IE124" s="196"/>
      <c r="IF124" s="196"/>
      <c r="IG124" s="196"/>
      <c r="IH124" s="196"/>
      <c r="II124" s="196"/>
      <c r="IJ124" s="196"/>
      <c r="IK124" s="196"/>
      <c r="IL124" s="196"/>
      <c r="IM124" s="196"/>
      <c r="IN124" s="196"/>
      <c r="IO124" s="196"/>
      <c r="IP124" s="196"/>
      <c r="IQ124" s="196"/>
      <c r="IR124" s="196"/>
      <c r="IS124" s="196"/>
      <c r="IT124" s="196"/>
      <c r="IU124" s="196"/>
      <c r="IV124" s="196"/>
      <c r="IW124" s="196"/>
    </row>
    <row r="125" customFormat="false" ht="12.75" hidden="true" customHeight="false" outlineLevel="0" collapsed="false">
      <c r="A125" s="177"/>
      <c r="B125" s="161" t="s">
        <v>128</v>
      </c>
      <c r="C125" s="18"/>
      <c r="D125" s="18"/>
      <c r="E125" s="18"/>
      <c r="F125" s="18"/>
      <c r="G125" s="18"/>
      <c r="H125" s="18"/>
      <c r="I125" s="18"/>
      <c r="J125" s="229"/>
      <c r="K125" s="18"/>
      <c r="L125" s="34" t="s">
        <v>151</v>
      </c>
      <c r="M125" s="110"/>
      <c r="N125" s="110" t="n">
        <v>0</v>
      </c>
      <c r="O125" s="110"/>
      <c r="P125" s="110" t="n">
        <v>0</v>
      </c>
      <c r="Q125" s="110"/>
      <c r="R125" s="110" t="n">
        <f aca="false">+N125+P125</f>
        <v>0</v>
      </c>
      <c r="S125" s="110"/>
      <c r="T125" s="110" t="n">
        <v>0</v>
      </c>
      <c r="U125" s="110"/>
      <c r="V125" s="110" t="n">
        <v>0</v>
      </c>
      <c r="X125" s="110" t="n">
        <v>0</v>
      </c>
      <c r="Z125" s="110" t="n">
        <v>0</v>
      </c>
      <c r="AB125" s="110" t="n">
        <v>0</v>
      </c>
      <c r="AD125" s="110" t="n">
        <v>0</v>
      </c>
      <c r="AF125" s="110" t="n">
        <v>0</v>
      </c>
      <c r="AH125" s="110" t="n">
        <v>0</v>
      </c>
      <c r="AJ125" s="110" t="n">
        <v>0</v>
      </c>
      <c r="AN125" s="110" t="n">
        <v>0</v>
      </c>
      <c r="AP125" s="110" t="n">
        <v>0</v>
      </c>
      <c r="AR125" s="110" t="n">
        <v>0</v>
      </c>
      <c r="AT125" s="110" t="n">
        <v>0</v>
      </c>
      <c r="AV125" s="110" t="n">
        <v>0</v>
      </c>
      <c r="AX125" s="110" t="n">
        <v>0</v>
      </c>
      <c r="AZ125" s="110" t="n">
        <v>0</v>
      </c>
      <c r="BB125" s="110" t="n">
        <v>0</v>
      </c>
      <c r="BD125" s="110" t="n">
        <v>0</v>
      </c>
      <c r="BF125" s="110" t="n">
        <v>0</v>
      </c>
      <c r="BH125" s="110" t="n">
        <v>0</v>
      </c>
      <c r="BJ125" s="110" t="n">
        <v>0</v>
      </c>
      <c r="BL125" s="110" t="n">
        <v>0</v>
      </c>
      <c r="BM125" s="110" t="n">
        <v>0</v>
      </c>
      <c r="BN125" s="110"/>
      <c r="BO125" s="110" t="n">
        <v>0</v>
      </c>
      <c r="BP125" s="110"/>
      <c r="BQ125" s="110" t="n">
        <f aca="false">SUM(T125:BP125)</f>
        <v>0</v>
      </c>
      <c r="BR125" s="110"/>
      <c r="BS125" s="110" t="n">
        <v>0</v>
      </c>
      <c r="BT125" s="110"/>
      <c r="BU125" s="110" t="n">
        <f aca="false">+R125-BQ125+BS125</f>
        <v>0</v>
      </c>
      <c r="BW125" s="110" t="n">
        <f aca="false">+BQ125+BU125</f>
        <v>0</v>
      </c>
      <c r="BY125" s="110" t="n">
        <f aca="false">+R125-BW125</f>
        <v>0</v>
      </c>
      <c r="BZ125" s="110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  <c r="DJ125" s="196"/>
      <c r="DK125" s="196"/>
      <c r="DL125" s="196"/>
      <c r="DM125" s="196"/>
      <c r="DN125" s="196"/>
      <c r="DO125" s="196"/>
      <c r="DP125" s="196"/>
      <c r="DQ125" s="196"/>
      <c r="DR125" s="196"/>
      <c r="DS125" s="196"/>
      <c r="DT125" s="196"/>
      <c r="DU125" s="196"/>
      <c r="DV125" s="196"/>
      <c r="DW125" s="196"/>
      <c r="DX125" s="196"/>
      <c r="DY125" s="196"/>
      <c r="DZ125" s="196"/>
      <c r="EA125" s="196"/>
      <c r="EB125" s="196"/>
      <c r="EC125" s="196"/>
      <c r="ED125" s="196"/>
      <c r="EE125" s="196"/>
      <c r="EF125" s="196"/>
      <c r="EG125" s="196"/>
      <c r="EH125" s="196"/>
      <c r="EI125" s="196"/>
      <c r="EJ125" s="196"/>
      <c r="EK125" s="196"/>
      <c r="EL125" s="196"/>
      <c r="EM125" s="196"/>
      <c r="EN125" s="196"/>
      <c r="EO125" s="196"/>
      <c r="EP125" s="196"/>
      <c r="EQ125" s="196"/>
      <c r="ER125" s="196"/>
      <c r="ES125" s="196"/>
      <c r="ET125" s="196"/>
      <c r="EU125" s="196"/>
      <c r="EV125" s="196"/>
      <c r="EW125" s="196"/>
      <c r="EX125" s="196"/>
      <c r="EY125" s="196"/>
      <c r="EZ125" s="196"/>
      <c r="FA125" s="196"/>
      <c r="FB125" s="196"/>
      <c r="FC125" s="196"/>
      <c r="FD125" s="196"/>
      <c r="FE125" s="196"/>
      <c r="FF125" s="196"/>
      <c r="FG125" s="196"/>
      <c r="FH125" s="196"/>
      <c r="FI125" s="196"/>
      <c r="FJ125" s="196"/>
      <c r="FK125" s="196"/>
      <c r="FL125" s="196"/>
      <c r="FM125" s="196"/>
      <c r="FN125" s="196"/>
      <c r="FO125" s="196"/>
      <c r="FP125" s="196"/>
      <c r="FQ125" s="196"/>
      <c r="FR125" s="196"/>
      <c r="FS125" s="196"/>
      <c r="FT125" s="196"/>
      <c r="FU125" s="196"/>
      <c r="FV125" s="196"/>
      <c r="FW125" s="196"/>
      <c r="FX125" s="196"/>
      <c r="FY125" s="196"/>
      <c r="FZ125" s="196"/>
      <c r="GA125" s="196"/>
      <c r="GB125" s="196"/>
      <c r="GC125" s="196"/>
      <c r="GD125" s="196"/>
      <c r="GE125" s="196"/>
      <c r="GF125" s="196"/>
      <c r="GG125" s="196"/>
      <c r="GH125" s="196"/>
      <c r="GI125" s="196"/>
      <c r="GJ125" s="196"/>
      <c r="GK125" s="196"/>
      <c r="GL125" s="196"/>
      <c r="GM125" s="196"/>
      <c r="GN125" s="196"/>
      <c r="GO125" s="196"/>
      <c r="GP125" s="196"/>
      <c r="GQ125" s="196"/>
      <c r="GR125" s="196"/>
      <c r="GS125" s="196"/>
      <c r="GT125" s="196"/>
      <c r="GU125" s="196"/>
      <c r="GV125" s="196"/>
      <c r="GW125" s="196"/>
      <c r="GX125" s="196"/>
      <c r="GY125" s="196"/>
      <c r="GZ125" s="196"/>
      <c r="HA125" s="196"/>
      <c r="HB125" s="196"/>
      <c r="HC125" s="196"/>
      <c r="HD125" s="196"/>
      <c r="HE125" s="196"/>
      <c r="HF125" s="196"/>
      <c r="HG125" s="196"/>
      <c r="HH125" s="196"/>
      <c r="HI125" s="196"/>
      <c r="HJ125" s="196"/>
      <c r="HK125" s="196"/>
      <c r="HL125" s="196"/>
      <c r="HM125" s="196"/>
      <c r="HN125" s="196"/>
      <c r="HO125" s="196"/>
      <c r="HP125" s="196"/>
      <c r="HQ125" s="196"/>
      <c r="HR125" s="196"/>
      <c r="HS125" s="196"/>
      <c r="HT125" s="196"/>
      <c r="HU125" s="196"/>
      <c r="HV125" s="196"/>
      <c r="HW125" s="196"/>
      <c r="HX125" s="196"/>
      <c r="HY125" s="196"/>
      <c r="HZ125" s="196"/>
      <c r="IA125" s="196"/>
      <c r="IB125" s="196"/>
      <c r="IC125" s="196"/>
      <c r="ID125" s="196"/>
      <c r="IE125" s="196"/>
      <c r="IF125" s="196"/>
      <c r="IG125" s="196"/>
      <c r="IH125" s="196"/>
      <c r="II125" s="196"/>
      <c r="IJ125" s="196"/>
      <c r="IK125" s="196"/>
      <c r="IL125" s="196"/>
      <c r="IM125" s="196"/>
      <c r="IN125" s="196"/>
      <c r="IO125" s="196"/>
      <c r="IP125" s="196"/>
      <c r="IQ125" s="196"/>
      <c r="IR125" s="196"/>
      <c r="IS125" s="196"/>
      <c r="IT125" s="196"/>
      <c r="IU125" s="196"/>
      <c r="IV125" s="196"/>
      <c r="IW125" s="196"/>
    </row>
    <row r="126" customFormat="false" ht="12.75" hidden="true" customHeight="false" outlineLevel="0" collapsed="false">
      <c r="A126" s="177"/>
      <c r="B126" s="161"/>
      <c r="C126" s="18"/>
      <c r="D126" s="18"/>
      <c r="E126" s="18"/>
      <c r="F126" s="18"/>
      <c r="G126" s="18"/>
      <c r="H126" s="18"/>
      <c r="I126" s="18"/>
      <c r="J126" s="229"/>
      <c r="K126" s="18"/>
      <c r="L126" s="230"/>
      <c r="M126" s="110"/>
      <c r="O126" s="110"/>
      <c r="Q126" s="110"/>
      <c r="S126" s="110"/>
      <c r="T126" s="110"/>
      <c r="U126" s="110"/>
      <c r="V126" s="110"/>
      <c r="X126" s="110"/>
      <c r="Z126" s="110"/>
      <c r="AB126" s="110"/>
      <c r="AD126" s="110"/>
      <c r="BL126" s="110"/>
      <c r="BM126" s="110"/>
      <c r="BN126" s="110"/>
      <c r="BO126" s="110"/>
      <c r="BP126" s="110"/>
      <c r="BR126" s="110"/>
      <c r="BS126" s="110"/>
      <c r="BT126" s="110"/>
      <c r="BZ126" s="110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  <c r="DJ126" s="196"/>
      <c r="DK126" s="196"/>
      <c r="DL126" s="196"/>
      <c r="DM126" s="196"/>
      <c r="DN126" s="196"/>
      <c r="DO126" s="196"/>
      <c r="DP126" s="196"/>
      <c r="DQ126" s="196"/>
      <c r="DR126" s="196"/>
      <c r="DS126" s="196"/>
      <c r="DT126" s="196"/>
      <c r="DU126" s="196"/>
      <c r="DV126" s="196"/>
      <c r="DW126" s="196"/>
      <c r="DX126" s="196"/>
      <c r="DY126" s="196"/>
      <c r="DZ126" s="196"/>
      <c r="EA126" s="196"/>
      <c r="EB126" s="196"/>
      <c r="EC126" s="196"/>
      <c r="ED126" s="196"/>
      <c r="EE126" s="196"/>
      <c r="EF126" s="196"/>
      <c r="EG126" s="196"/>
      <c r="EH126" s="196"/>
      <c r="EI126" s="196"/>
      <c r="EJ126" s="196"/>
      <c r="EK126" s="196"/>
      <c r="EL126" s="196"/>
      <c r="EM126" s="196"/>
      <c r="EN126" s="196"/>
      <c r="EO126" s="196"/>
      <c r="EP126" s="196"/>
      <c r="EQ126" s="196"/>
      <c r="ER126" s="196"/>
      <c r="ES126" s="196"/>
      <c r="ET126" s="196"/>
      <c r="EU126" s="196"/>
      <c r="EV126" s="196"/>
      <c r="EW126" s="196"/>
      <c r="EX126" s="196"/>
      <c r="EY126" s="196"/>
      <c r="EZ126" s="196"/>
      <c r="FA126" s="196"/>
      <c r="FB126" s="196"/>
      <c r="FC126" s="196"/>
      <c r="FD126" s="196"/>
      <c r="FE126" s="196"/>
      <c r="FF126" s="196"/>
      <c r="FG126" s="196"/>
      <c r="FH126" s="196"/>
      <c r="FI126" s="196"/>
      <c r="FJ126" s="196"/>
      <c r="FK126" s="196"/>
      <c r="FL126" s="196"/>
      <c r="FM126" s="196"/>
      <c r="FN126" s="196"/>
      <c r="FO126" s="196"/>
      <c r="FP126" s="196"/>
      <c r="FQ126" s="196"/>
      <c r="FR126" s="196"/>
      <c r="FS126" s="196"/>
      <c r="FT126" s="196"/>
      <c r="FU126" s="196"/>
      <c r="FV126" s="196"/>
      <c r="FW126" s="196"/>
      <c r="FX126" s="196"/>
      <c r="FY126" s="196"/>
      <c r="FZ126" s="196"/>
      <c r="GA126" s="196"/>
      <c r="GB126" s="196"/>
      <c r="GC126" s="196"/>
      <c r="GD126" s="196"/>
      <c r="GE126" s="196"/>
      <c r="GF126" s="196"/>
      <c r="GG126" s="196"/>
      <c r="GH126" s="196"/>
      <c r="GI126" s="196"/>
      <c r="GJ126" s="196"/>
      <c r="GK126" s="196"/>
      <c r="GL126" s="196"/>
      <c r="GM126" s="196"/>
      <c r="GN126" s="196"/>
      <c r="GO126" s="196"/>
      <c r="GP126" s="196"/>
      <c r="GQ126" s="196"/>
      <c r="GR126" s="196"/>
      <c r="GS126" s="196"/>
      <c r="GT126" s="196"/>
      <c r="GU126" s="196"/>
      <c r="GV126" s="196"/>
      <c r="GW126" s="196"/>
      <c r="GX126" s="196"/>
      <c r="GY126" s="196"/>
      <c r="GZ126" s="196"/>
      <c r="HA126" s="196"/>
      <c r="HB126" s="196"/>
      <c r="HC126" s="196"/>
      <c r="HD126" s="196"/>
      <c r="HE126" s="196"/>
      <c r="HF126" s="196"/>
      <c r="HG126" s="196"/>
      <c r="HH126" s="196"/>
      <c r="HI126" s="196"/>
      <c r="HJ126" s="196"/>
      <c r="HK126" s="196"/>
      <c r="HL126" s="196"/>
      <c r="HM126" s="196"/>
      <c r="HN126" s="196"/>
      <c r="HO126" s="196"/>
      <c r="HP126" s="196"/>
      <c r="HQ126" s="196"/>
      <c r="HR126" s="196"/>
      <c r="HS126" s="196"/>
      <c r="HT126" s="196"/>
      <c r="HU126" s="196"/>
      <c r="HV126" s="196"/>
      <c r="HW126" s="196"/>
      <c r="HX126" s="196"/>
      <c r="HY126" s="196"/>
      <c r="HZ126" s="196"/>
      <c r="IA126" s="196"/>
      <c r="IB126" s="196"/>
      <c r="IC126" s="196"/>
      <c r="ID126" s="196"/>
      <c r="IE126" s="196"/>
      <c r="IF126" s="196"/>
      <c r="IG126" s="196"/>
      <c r="IH126" s="196"/>
      <c r="II126" s="196"/>
      <c r="IJ126" s="196"/>
      <c r="IK126" s="196"/>
      <c r="IL126" s="196"/>
      <c r="IM126" s="196"/>
      <c r="IN126" s="196"/>
      <c r="IO126" s="196"/>
      <c r="IP126" s="196"/>
      <c r="IQ126" s="196"/>
      <c r="IR126" s="196"/>
      <c r="IS126" s="196"/>
      <c r="IT126" s="196"/>
      <c r="IU126" s="196"/>
      <c r="IV126" s="196"/>
      <c r="IW126" s="196"/>
    </row>
    <row r="127" customFormat="false" ht="12.75" hidden="true" customHeight="false" outlineLevel="0" collapsed="false">
      <c r="A127" s="197"/>
      <c r="B127" s="177" t="s">
        <v>373</v>
      </c>
      <c r="C127" s="2"/>
      <c r="D127" s="2"/>
      <c r="E127" s="2"/>
      <c r="F127" s="2"/>
      <c r="G127" s="2"/>
      <c r="H127" s="2"/>
      <c r="I127" s="2"/>
      <c r="J127" s="3"/>
      <c r="K127" s="2"/>
      <c r="L127" s="179"/>
      <c r="M127" s="24"/>
      <c r="N127" s="198" t="n">
        <f aca="false">SUM(N116:N126)</f>
        <v>0</v>
      </c>
      <c r="O127" s="24"/>
      <c r="P127" s="198" t="n">
        <f aca="false">SUM(P116:P126)</f>
        <v>0</v>
      </c>
      <c r="Q127" s="24"/>
      <c r="R127" s="198" t="n">
        <f aca="false">SUM(R116:R126)</f>
        <v>0</v>
      </c>
      <c r="S127" s="24"/>
      <c r="T127" s="198" t="n">
        <f aca="false">SUM(T116:T126)</f>
        <v>0</v>
      </c>
      <c r="U127" s="24"/>
      <c r="V127" s="198" t="n">
        <f aca="false">SUM(V116:V126)</f>
        <v>0</v>
      </c>
      <c r="W127" s="24"/>
      <c r="X127" s="198" t="n">
        <f aca="false">SUM(X116:X126)</f>
        <v>0</v>
      </c>
      <c r="Y127" s="24"/>
      <c r="Z127" s="198" t="n">
        <f aca="false">SUM(Z116:Z126)</f>
        <v>0</v>
      </c>
      <c r="AA127" s="24"/>
      <c r="AB127" s="198" t="n">
        <f aca="false">SUM(AB116:AB126)</f>
        <v>0</v>
      </c>
      <c r="AC127" s="24"/>
      <c r="AD127" s="198" t="n">
        <f aca="false">SUM(AD116:AD126)</f>
        <v>0</v>
      </c>
      <c r="AE127" s="24"/>
      <c r="AF127" s="198" t="n">
        <f aca="false">SUM(AF116:AF126)</f>
        <v>0</v>
      </c>
      <c r="AG127" s="24"/>
      <c r="AH127" s="198" t="n">
        <f aca="false">SUM(AH116:AH126)</f>
        <v>0</v>
      </c>
      <c r="AI127" s="24"/>
      <c r="AJ127" s="198" t="n">
        <f aca="false">SUM(AJ116:AJ126)</f>
        <v>0</v>
      </c>
      <c r="AK127" s="24"/>
      <c r="AL127" s="198"/>
      <c r="AM127" s="24"/>
      <c r="AN127" s="198" t="n">
        <f aca="false">SUM(AN116:AN126)</f>
        <v>0</v>
      </c>
      <c r="AO127" s="24"/>
      <c r="AP127" s="198" t="n">
        <f aca="false">SUM(AP116:AP126)</f>
        <v>0</v>
      </c>
      <c r="AQ127" s="24"/>
      <c r="AR127" s="198" t="n">
        <f aca="false">SUM(AR116:AR126)</f>
        <v>0</v>
      </c>
      <c r="AS127" s="24"/>
      <c r="AT127" s="198" t="n">
        <f aca="false">SUM(AT116:AT126)</f>
        <v>0</v>
      </c>
      <c r="AU127" s="24"/>
      <c r="AV127" s="198" t="n">
        <f aca="false">SUM(AV116:AV126)</f>
        <v>0</v>
      </c>
      <c r="AW127" s="24"/>
      <c r="AX127" s="198" t="n">
        <f aca="false">SUM(AX116:AX126)</f>
        <v>0</v>
      </c>
      <c r="AY127" s="24"/>
      <c r="AZ127" s="198" t="n">
        <f aca="false">SUM(AZ116:AZ126)</f>
        <v>0</v>
      </c>
      <c r="BA127" s="24"/>
      <c r="BB127" s="198" t="n">
        <f aca="false">SUM(BB116:BB126)</f>
        <v>0</v>
      </c>
      <c r="BD127" s="198" t="n">
        <f aca="false">SUM(BD116:BD126)</f>
        <v>0</v>
      </c>
      <c r="BF127" s="198" t="n">
        <f aca="false">SUM(BF116:BF126)</f>
        <v>0</v>
      </c>
      <c r="BG127" s="24"/>
      <c r="BH127" s="198" t="n">
        <f aca="false">SUM(BH116:BH126)</f>
        <v>0</v>
      </c>
      <c r="BI127" s="24"/>
      <c r="BJ127" s="198" t="n">
        <f aca="false">SUM(BJ116:BJ126)</f>
        <v>0</v>
      </c>
      <c r="BK127" s="24"/>
      <c r="BL127" s="198" t="n">
        <f aca="false">SUM(BL116:BL126)</f>
        <v>0</v>
      </c>
      <c r="BM127" s="198" t="n">
        <f aca="false">SUM(BM116:BM126)</f>
        <v>0</v>
      </c>
      <c r="BN127" s="198"/>
      <c r="BO127" s="198" t="n">
        <f aca="false">SUM(BO116:BO126)</f>
        <v>0</v>
      </c>
      <c r="BP127" s="24"/>
      <c r="BQ127" s="198" t="n">
        <f aca="false">SUM(BQ116:BQ126)</f>
        <v>0</v>
      </c>
      <c r="BR127" s="24"/>
      <c r="BS127" s="198" t="n">
        <f aca="false">SUM(BS116:BS126)</f>
        <v>0</v>
      </c>
      <c r="BT127" s="24"/>
      <c r="BU127" s="198" t="n">
        <f aca="false">SUM(BU116:BU126)</f>
        <v>0</v>
      </c>
      <c r="BV127" s="24"/>
      <c r="BW127" s="198" t="n">
        <f aca="false">SUM(BW116:BW126)</f>
        <v>0</v>
      </c>
      <c r="BX127" s="24"/>
      <c r="BY127" s="198" t="n">
        <f aca="false">SUM(BY116:BY126)</f>
        <v>0</v>
      </c>
      <c r="BZ127" s="24"/>
      <c r="CA127" s="199"/>
      <c r="CB127" s="199"/>
      <c r="CC127" s="199"/>
      <c r="CD127" s="199"/>
      <c r="CE127" s="199"/>
      <c r="CF127" s="199"/>
      <c r="CG127" s="199"/>
      <c r="CH127" s="199"/>
      <c r="CI127" s="199"/>
      <c r="CJ127" s="199"/>
      <c r="CK127" s="199"/>
      <c r="CL127" s="199"/>
      <c r="CM127" s="199"/>
      <c r="CN127" s="199"/>
      <c r="CO127" s="199"/>
      <c r="CP127" s="199"/>
      <c r="CQ127" s="199"/>
      <c r="CR127" s="199"/>
      <c r="CS127" s="199"/>
      <c r="CT127" s="199"/>
      <c r="CU127" s="199"/>
      <c r="CV127" s="199"/>
      <c r="CW127" s="199"/>
      <c r="CX127" s="199"/>
      <c r="CY127" s="199"/>
      <c r="CZ127" s="199"/>
      <c r="DA127" s="199"/>
      <c r="DB127" s="199"/>
      <c r="DC127" s="199"/>
      <c r="DD127" s="199"/>
      <c r="DE127" s="199"/>
      <c r="DF127" s="199"/>
      <c r="DG127" s="199"/>
      <c r="DH127" s="199"/>
      <c r="DI127" s="199"/>
      <c r="DJ127" s="199"/>
      <c r="DK127" s="199"/>
      <c r="DL127" s="199"/>
      <c r="DM127" s="199"/>
      <c r="DN127" s="199"/>
      <c r="DO127" s="199"/>
      <c r="DP127" s="199"/>
      <c r="DQ127" s="199"/>
      <c r="DR127" s="199"/>
      <c r="DS127" s="199"/>
      <c r="DT127" s="199"/>
      <c r="DU127" s="199"/>
      <c r="DV127" s="199"/>
      <c r="DW127" s="199"/>
      <c r="DX127" s="199"/>
      <c r="DY127" s="199"/>
      <c r="DZ127" s="199"/>
      <c r="EA127" s="199"/>
      <c r="EB127" s="199"/>
      <c r="EC127" s="199"/>
      <c r="ED127" s="199"/>
      <c r="EE127" s="199"/>
      <c r="EF127" s="199"/>
      <c r="EG127" s="199"/>
      <c r="EH127" s="199"/>
      <c r="EI127" s="199"/>
      <c r="EJ127" s="199"/>
      <c r="EK127" s="199"/>
      <c r="EL127" s="199"/>
      <c r="EM127" s="199"/>
      <c r="EN127" s="199"/>
      <c r="EO127" s="199"/>
      <c r="EP127" s="199"/>
      <c r="EQ127" s="199"/>
      <c r="ER127" s="199"/>
      <c r="ES127" s="199"/>
      <c r="ET127" s="199"/>
      <c r="EU127" s="199"/>
      <c r="EV127" s="199"/>
      <c r="EW127" s="199"/>
      <c r="EX127" s="199"/>
      <c r="EY127" s="199"/>
      <c r="EZ127" s="199"/>
      <c r="FA127" s="199"/>
      <c r="FB127" s="199"/>
      <c r="FC127" s="199"/>
      <c r="FD127" s="199"/>
      <c r="FE127" s="199"/>
      <c r="FF127" s="199"/>
      <c r="FG127" s="199"/>
      <c r="FH127" s="199"/>
      <c r="FI127" s="199"/>
      <c r="FJ127" s="199"/>
      <c r="FK127" s="199"/>
      <c r="FL127" s="199"/>
      <c r="FM127" s="199"/>
      <c r="FN127" s="199"/>
      <c r="FO127" s="199"/>
      <c r="FP127" s="199"/>
      <c r="FQ127" s="199"/>
      <c r="FR127" s="199"/>
      <c r="FS127" s="199"/>
      <c r="FT127" s="199"/>
      <c r="FU127" s="199"/>
      <c r="FV127" s="199"/>
      <c r="FW127" s="199"/>
      <c r="FX127" s="199"/>
      <c r="FY127" s="199"/>
      <c r="FZ127" s="199"/>
      <c r="GA127" s="199"/>
      <c r="GB127" s="199"/>
      <c r="GC127" s="199"/>
      <c r="GD127" s="199"/>
      <c r="GE127" s="199"/>
      <c r="GF127" s="199"/>
      <c r="GG127" s="199"/>
      <c r="GH127" s="199"/>
      <c r="GI127" s="199"/>
      <c r="GJ127" s="199"/>
      <c r="GK127" s="199"/>
      <c r="GL127" s="199"/>
      <c r="GM127" s="199"/>
      <c r="GN127" s="199"/>
      <c r="GO127" s="199"/>
      <c r="GP127" s="199"/>
      <c r="GQ127" s="199"/>
      <c r="GR127" s="199"/>
      <c r="GS127" s="199"/>
      <c r="GT127" s="199"/>
      <c r="GU127" s="199"/>
      <c r="GV127" s="199"/>
      <c r="GW127" s="199"/>
      <c r="GX127" s="199"/>
      <c r="GY127" s="199"/>
      <c r="GZ127" s="199"/>
      <c r="HA127" s="199"/>
      <c r="HB127" s="199"/>
      <c r="HC127" s="199"/>
      <c r="HD127" s="199"/>
      <c r="HE127" s="199"/>
      <c r="HF127" s="199"/>
      <c r="HG127" s="199"/>
      <c r="HH127" s="199"/>
      <c r="HI127" s="199"/>
      <c r="HJ127" s="199"/>
      <c r="HK127" s="199"/>
      <c r="HL127" s="199"/>
      <c r="HM127" s="199"/>
      <c r="HN127" s="199"/>
      <c r="HO127" s="199"/>
      <c r="HP127" s="199"/>
      <c r="HQ127" s="199"/>
      <c r="HR127" s="199"/>
      <c r="HS127" s="199"/>
      <c r="HT127" s="199"/>
      <c r="HU127" s="199"/>
      <c r="HV127" s="199"/>
      <c r="HW127" s="199"/>
      <c r="HX127" s="199"/>
      <c r="HY127" s="199"/>
      <c r="HZ127" s="199"/>
      <c r="IA127" s="199"/>
      <c r="IB127" s="199"/>
      <c r="IC127" s="199"/>
      <c r="ID127" s="199"/>
      <c r="IE127" s="199"/>
      <c r="IF127" s="199"/>
      <c r="IG127" s="199"/>
      <c r="IH127" s="199"/>
      <c r="II127" s="199"/>
      <c r="IJ127" s="199"/>
      <c r="IK127" s="199"/>
      <c r="IL127" s="199"/>
      <c r="IM127" s="199"/>
      <c r="IN127" s="199"/>
      <c r="IO127" s="199"/>
      <c r="IP127" s="199"/>
      <c r="IQ127" s="199"/>
      <c r="IR127" s="199"/>
      <c r="IS127" s="199"/>
      <c r="IT127" s="199"/>
      <c r="IU127" s="199"/>
      <c r="IV127" s="199"/>
      <c r="IW127" s="199"/>
    </row>
    <row r="128" customFormat="false" ht="12.75" hidden="true" customHeight="false" outlineLevel="0" collapsed="false">
      <c r="A128" s="196"/>
      <c r="B128" s="164"/>
      <c r="C128" s="0"/>
      <c r="D128" s="0"/>
      <c r="E128" s="0"/>
      <c r="F128" s="0"/>
      <c r="G128" s="0"/>
      <c r="H128" s="0"/>
      <c r="I128" s="0"/>
      <c r="J128" s="4"/>
      <c r="K128" s="0"/>
      <c r="L128" s="34"/>
      <c r="M128" s="110"/>
      <c r="O128" s="110"/>
      <c r="Q128" s="110"/>
      <c r="S128" s="110"/>
      <c r="T128" s="110"/>
      <c r="U128" s="110"/>
      <c r="V128" s="110"/>
      <c r="X128" s="110"/>
      <c r="Z128" s="110"/>
      <c r="AB128" s="110"/>
      <c r="AD128" s="110"/>
      <c r="BL128" s="110"/>
      <c r="BM128" s="110"/>
      <c r="BN128" s="110"/>
      <c r="BO128" s="110"/>
      <c r="BP128" s="110"/>
      <c r="BR128" s="110"/>
      <c r="BS128" s="110"/>
      <c r="BT128" s="110"/>
      <c r="BZ128" s="110"/>
      <c r="CA128" s="194"/>
      <c r="CB128" s="194"/>
      <c r="CC128" s="194"/>
      <c r="CD128" s="194"/>
      <c r="CE128" s="194"/>
      <c r="CF128" s="194"/>
      <c r="CG128" s="194"/>
      <c r="CH128" s="194"/>
      <c r="CI128" s="194"/>
      <c r="CJ128" s="194"/>
      <c r="CK128" s="194"/>
      <c r="CL128" s="194"/>
      <c r="CM128" s="194"/>
      <c r="CN128" s="194"/>
      <c r="CO128" s="194"/>
      <c r="CP128" s="194"/>
      <c r="CQ128" s="194"/>
      <c r="CR128" s="194"/>
      <c r="CS128" s="194"/>
      <c r="CT128" s="194"/>
      <c r="CU128" s="194"/>
      <c r="CV128" s="194"/>
      <c r="CW128" s="194"/>
      <c r="CX128" s="194"/>
      <c r="CY128" s="194"/>
      <c r="CZ128" s="194"/>
      <c r="DA128" s="194"/>
      <c r="DB128" s="194"/>
      <c r="DC128" s="194"/>
      <c r="DD128" s="194"/>
      <c r="DE128" s="194"/>
      <c r="DF128" s="194"/>
      <c r="DG128" s="194"/>
      <c r="DH128" s="194"/>
      <c r="DI128" s="194"/>
      <c r="DJ128" s="194"/>
      <c r="DK128" s="194"/>
      <c r="DL128" s="194"/>
      <c r="DM128" s="194"/>
      <c r="DN128" s="194"/>
      <c r="DO128" s="194"/>
      <c r="DP128" s="194"/>
      <c r="DQ128" s="194"/>
      <c r="DR128" s="194"/>
      <c r="DS128" s="194"/>
      <c r="DT128" s="194"/>
      <c r="DU128" s="194"/>
      <c r="DV128" s="194"/>
      <c r="DW128" s="194"/>
      <c r="DX128" s="194"/>
      <c r="DY128" s="194"/>
      <c r="DZ128" s="194"/>
      <c r="EA128" s="194"/>
      <c r="EB128" s="194"/>
      <c r="EC128" s="194"/>
      <c r="ED128" s="194"/>
      <c r="EE128" s="194"/>
      <c r="EF128" s="194"/>
      <c r="EG128" s="194"/>
      <c r="EH128" s="194"/>
      <c r="EI128" s="194"/>
      <c r="EJ128" s="194"/>
      <c r="EK128" s="194"/>
      <c r="EL128" s="194"/>
      <c r="EM128" s="194"/>
      <c r="EN128" s="194"/>
      <c r="EO128" s="194"/>
      <c r="EP128" s="194"/>
      <c r="EQ128" s="194"/>
      <c r="ER128" s="194"/>
      <c r="ES128" s="194"/>
      <c r="ET128" s="194"/>
      <c r="EU128" s="194"/>
      <c r="EV128" s="194"/>
      <c r="EW128" s="194"/>
      <c r="EX128" s="194"/>
      <c r="EY128" s="194"/>
      <c r="EZ128" s="194"/>
      <c r="FA128" s="194"/>
      <c r="FB128" s="194"/>
      <c r="FC128" s="194"/>
      <c r="FD128" s="194"/>
      <c r="FE128" s="194"/>
      <c r="FF128" s="194"/>
      <c r="FG128" s="194"/>
      <c r="FH128" s="194"/>
      <c r="FI128" s="194"/>
      <c r="FJ128" s="194"/>
      <c r="FK128" s="194"/>
      <c r="FL128" s="194"/>
      <c r="FM128" s="194"/>
      <c r="FN128" s="194"/>
      <c r="FO128" s="194"/>
      <c r="FP128" s="194"/>
      <c r="FQ128" s="194"/>
      <c r="FR128" s="194"/>
      <c r="FS128" s="194"/>
      <c r="FT128" s="194"/>
      <c r="FU128" s="194"/>
      <c r="FV128" s="194"/>
      <c r="FW128" s="194"/>
      <c r="FX128" s="194"/>
      <c r="FY128" s="194"/>
      <c r="FZ128" s="194"/>
      <c r="GA128" s="194"/>
      <c r="GB128" s="194"/>
      <c r="GC128" s="194"/>
      <c r="GD128" s="194"/>
      <c r="GE128" s="194"/>
      <c r="GF128" s="194"/>
      <c r="GG128" s="194"/>
      <c r="GH128" s="194"/>
      <c r="GI128" s="194"/>
      <c r="GJ128" s="194"/>
      <c r="GK128" s="194"/>
      <c r="GL128" s="194"/>
      <c r="GM128" s="194"/>
      <c r="GN128" s="194"/>
      <c r="GO128" s="194"/>
      <c r="GP128" s="194"/>
      <c r="GQ128" s="194"/>
      <c r="GR128" s="194"/>
      <c r="GS128" s="194"/>
      <c r="GT128" s="194"/>
      <c r="GU128" s="194"/>
      <c r="GV128" s="194"/>
      <c r="GW128" s="194"/>
      <c r="GX128" s="194"/>
      <c r="GY128" s="194"/>
      <c r="GZ128" s="194"/>
      <c r="HA128" s="194"/>
      <c r="HB128" s="194"/>
      <c r="HC128" s="194"/>
      <c r="HD128" s="194"/>
      <c r="HE128" s="194"/>
      <c r="HF128" s="194"/>
      <c r="HG128" s="194"/>
      <c r="HH128" s="194"/>
      <c r="HI128" s="194"/>
      <c r="HJ128" s="194"/>
      <c r="HK128" s="194"/>
      <c r="HL128" s="194"/>
      <c r="HM128" s="194"/>
      <c r="HN128" s="194"/>
      <c r="HO128" s="194"/>
      <c r="HP128" s="194"/>
      <c r="HQ128" s="194"/>
      <c r="HR128" s="194"/>
      <c r="HS128" s="194"/>
      <c r="HT128" s="194"/>
      <c r="HU128" s="194"/>
      <c r="HV128" s="194"/>
      <c r="HW128" s="194"/>
      <c r="HX128" s="194"/>
      <c r="HY128" s="194"/>
      <c r="HZ128" s="194"/>
      <c r="IA128" s="194"/>
      <c r="IB128" s="194"/>
      <c r="IC128" s="194"/>
      <c r="ID128" s="194"/>
      <c r="IE128" s="194"/>
      <c r="IF128" s="194"/>
      <c r="IG128" s="194"/>
      <c r="IH128" s="194"/>
      <c r="II128" s="194"/>
      <c r="IJ128" s="194"/>
      <c r="IK128" s="194"/>
      <c r="IL128" s="194"/>
      <c r="IM128" s="194"/>
      <c r="IN128" s="194"/>
      <c r="IO128" s="194"/>
      <c r="IP128" s="194"/>
      <c r="IQ128" s="194"/>
      <c r="IR128" s="194"/>
      <c r="IS128" s="194"/>
      <c r="IT128" s="194"/>
      <c r="IU128" s="194"/>
      <c r="IV128" s="194"/>
      <c r="IW128" s="194"/>
    </row>
    <row r="129" customFormat="false" ht="12.75" hidden="false" customHeight="false" outlineLevel="0" collapsed="false">
      <c r="A129" s="196"/>
      <c r="B129" s="164"/>
      <c r="C129" s="0"/>
      <c r="D129" s="0"/>
      <c r="E129" s="0"/>
      <c r="F129" s="0"/>
      <c r="G129" s="0"/>
      <c r="H129" s="0"/>
      <c r="I129" s="0"/>
      <c r="J129" s="4"/>
      <c r="K129" s="0"/>
      <c r="L129" s="34"/>
      <c r="M129" s="110"/>
      <c r="O129" s="110"/>
      <c r="Q129" s="110"/>
      <c r="S129" s="110"/>
      <c r="T129" s="110"/>
      <c r="U129" s="110"/>
      <c r="V129" s="110"/>
      <c r="X129" s="110"/>
      <c r="Z129" s="110"/>
      <c r="AB129" s="110"/>
      <c r="AD129" s="110"/>
      <c r="BL129" s="110"/>
      <c r="BM129" s="110"/>
      <c r="BN129" s="110"/>
      <c r="BO129" s="110"/>
      <c r="BP129" s="110"/>
      <c r="BR129" s="110"/>
      <c r="BS129" s="110"/>
      <c r="BT129" s="110"/>
      <c r="BZ129" s="110"/>
      <c r="CA129" s="194"/>
      <c r="CB129" s="194"/>
      <c r="CC129" s="194"/>
      <c r="CD129" s="194"/>
      <c r="CE129" s="194"/>
      <c r="CF129" s="194"/>
      <c r="CG129" s="194"/>
      <c r="CH129" s="194"/>
      <c r="CI129" s="194"/>
      <c r="CJ129" s="194"/>
      <c r="CK129" s="194"/>
      <c r="CL129" s="194"/>
      <c r="CM129" s="194"/>
      <c r="CN129" s="194"/>
      <c r="CO129" s="194"/>
      <c r="CP129" s="194"/>
      <c r="CQ129" s="194"/>
      <c r="CR129" s="194"/>
      <c r="CS129" s="194"/>
      <c r="CT129" s="194"/>
      <c r="CU129" s="194"/>
      <c r="CV129" s="194"/>
      <c r="CW129" s="194"/>
      <c r="CX129" s="194"/>
      <c r="CY129" s="194"/>
      <c r="CZ129" s="194"/>
      <c r="DA129" s="194"/>
      <c r="DB129" s="194"/>
      <c r="DC129" s="194"/>
      <c r="DD129" s="194"/>
      <c r="DE129" s="194"/>
      <c r="DF129" s="194"/>
      <c r="DG129" s="194"/>
      <c r="DH129" s="194"/>
      <c r="DI129" s="194"/>
      <c r="DJ129" s="194"/>
      <c r="DK129" s="194"/>
      <c r="DL129" s="194"/>
      <c r="DM129" s="194"/>
      <c r="DN129" s="194"/>
      <c r="DO129" s="194"/>
      <c r="DP129" s="194"/>
      <c r="DQ129" s="194"/>
      <c r="DR129" s="194"/>
      <c r="DS129" s="194"/>
      <c r="DT129" s="194"/>
      <c r="DU129" s="194"/>
      <c r="DV129" s="194"/>
      <c r="DW129" s="194"/>
      <c r="DX129" s="194"/>
      <c r="DY129" s="194"/>
      <c r="DZ129" s="194"/>
      <c r="EA129" s="194"/>
      <c r="EB129" s="194"/>
      <c r="EC129" s="194"/>
      <c r="ED129" s="194"/>
      <c r="EE129" s="194"/>
      <c r="EF129" s="194"/>
      <c r="EG129" s="194"/>
      <c r="EH129" s="194"/>
      <c r="EI129" s="194"/>
      <c r="EJ129" s="194"/>
      <c r="EK129" s="194"/>
      <c r="EL129" s="194"/>
      <c r="EM129" s="194"/>
      <c r="EN129" s="194"/>
      <c r="EO129" s="194"/>
      <c r="EP129" s="194"/>
      <c r="EQ129" s="194"/>
      <c r="ER129" s="194"/>
      <c r="ES129" s="194"/>
      <c r="ET129" s="194"/>
      <c r="EU129" s="194"/>
      <c r="EV129" s="194"/>
      <c r="EW129" s="194"/>
      <c r="EX129" s="194"/>
      <c r="EY129" s="194"/>
      <c r="EZ129" s="194"/>
      <c r="FA129" s="194"/>
      <c r="FB129" s="194"/>
      <c r="FC129" s="194"/>
      <c r="FD129" s="194"/>
      <c r="FE129" s="194"/>
      <c r="FF129" s="194"/>
      <c r="FG129" s="194"/>
      <c r="FH129" s="194"/>
      <c r="FI129" s="194"/>
      <c r="FJ129" s="194"/>
      <c r="FK129" s="194"/>
      <c r="FL129" s="194"/>
      <c r="FM129" s="194"/>
      <c r="FN129" s="194"/>
      <c r="FO129" s="194"/>
      <c r="FP129" s="194"/>
      <c r="FQ129" s="194"/>
      <c r="FR129" s="194"/>
      <c r="FS129" s="194"/>
      <c r="FT129" s="194"/>
      <c r="FU129" s="194"/>
      <c r="FV129" s="194"/>
      <c r="FW129" s="194"/>
      <c r="FX129" s="194"/>
      <c r="FY129" s="194"/>
      <c r="FZ129" s="194"/>
      <c r="GA129" s="194"/>
      <c r="GB129" s="194"/>
      <c r="GC129" s="194"/>
      <c r="GD129" s="194"/>
      <c r="GE129" s="194"/>
      <c r="GF129" s="194"/>
      <c r="GG129" s="194"/>
      <c r="GH129" s="194"/>
      <c r="GI129" s="194"/>
      <c r="GJ129" s="194"/>
      <c r="GK129" s="194"/>
      <c r="GL129" s="194"/>
      <c r="GM129" s="194"/>
      <c r="GN129" s="194"/>
      <c r="GO129" s="194"/>
      <c r="GP129" s="194"/>
      <c r="GQ129" s="194"/>
      <c r="GR129" s="194"/>
      <c r="GS129" s="194"/>
      <c r="GT129" s="194"/>
      <c r="GU129" s="194"/>
      <c r="GV129" s="194"/>
      <c r="GW129" s="194"/>
      <c r="GX129" s="194"/>
      <c r="GY129" s="194"/>
      <c r="GZ129" s="194"/>
      <c r="HA129" s="194"/>
      <c r="HB129" s="194"/>
      <c r="HC129" s="194"/>
      <c r="HD129" s="194"/>
      <c r="HE129" s="194"/>
      <c r="HF129" s="194"/>
      <c r="HG129" s="194"/>
      <c r="HH129" s="194"/>
      <c r="HI129" s="194"/>
      <c r="HJ129" s="194"/>
      <c r="HK129" s="194"/>
      <c r="HL129" s="194"/>
      <c r="HM129" s="194"/>
      <c r="HN129" s="194"/>
      <c r="HO129" s="194"/>
      <c r="HP129" s="194"/>
      <c r="HQ129" s="194"/>
      <c r="HR129" s="194"/>
      <c r="HS129" s="194"/>
      <c r="HT129" s="194"/>
      <c r="HU129" s="194"/>
      <c r="HV129" s="194"/>
      <c r="HW129" s="194"/>
      <c r="HX129" s="194"/>
      <c r="HY129" s="194"/>
      <c r="HZ129" s="194"/>
      <c r="IA129" s="194"/>
      <c r="IB129" s="194"/>
      <c r="IC129" s="194"/>
      <c r="ID129" s="194"/>
      <c r="IE129" s="194"/>
      <c r="IF129" s="194"/>
      <c r="IG129" s="194"/>
      <c r="IH129" s="194"/>
      <c r="II129" s="194"/>
      <c r="IJ129" s="194"/>
      <c r="IK129" s="194"/>
      <c r="IL129" s="194"/>
      <c r="IM129" s="194"/>
      <c r="IN129" s="194"/>
      <c r="IO129" s="194"/>
      <c r="IP129" s="194"/>
      <c r="IQ129" s="194"/>
      <c r="IR129" s="194"/>
      <c r="IS129" s="194"/>
      <c r="IT129" s="194"/>
      <c r="IU129" s="194"/>
      <c r="IV129" s="194"/>
      <c r="IW129" s="194"/>
    </row>
    <row r="130" customFormat="false" ht="12.75" hidden="false" customHeight="false" outlineLevel="0" collapsed="false">
      <c r="A130" s="160" t="s">
        <v>244</v>
      </c>
      <c r="B130" s="160"/>
      <c r="C130" s="0"/>
      <c r="D130" s="0"/>
      <c r="E130" s="0"/>
      <c r="F130" s="0"/>
      <c r="G130" s="0"/>
      <c r="H130" s="0"/>
      <c r="I130" s="0"/>
      <c r="J130" s="4"/>
      <c r="K130" s="0"/>
      <c r="L130" s="34"/>
      <c r="M130" s="110"/>
      <c r="O130" s="110"/>
      <c r="Q130" s="110"/>
      <c r="S130" s="110"/>
      <c r="T130" s="110"/>
      <c r="U130" s="110"/>
      <c r="V130" s="110"/>
      <c r="X130" s="110"/>
      <c r="Z130" s="110"/>
      <c r="AB130" s="110"/>
      <c r="AD130" s="110"/>
      <c r="BL130" s="110"/>
      <c r="BM130" s="110"/>
      <c r="BN130" s="110"/>
      <c r="BO130" s="110"/>
      <c r="BP130" s="110"/>
      <c r="BR130" s="110"/>
      <c r="BS130" s="110"/>
      <c r="BT130" s="110"/>
      <c r="BZ130" s="110"/>
    </row>
    <row r="131" customFormat="false" ht="12.75" hidden="false" customHeight="false" outlineLevel="0" collapsed="false">
      <c r="A131" s="161"/>
      <c r="B131" s="161" t="s">
        <v>245</v>
      </c>
      <c r="E131" s="119"/>
      <c r="G131" s="119"/>
      <c r="I131" s="119"/>
      <c r="J131" s="120" t="s">
        <v>141</v>
      </c>
      <c r="L131" s="34" t="s">
        <v>151</v>
      </c>
      <c r="M131" s="110"/>
      <c r="N131" s="110" t="n">
        <v>0</v>
      </c>
      <c r="O131" s="110"/>
      <c r="P131" s="110" t="n">
        <v>0</v>
      </c>
      <c r="Q131" s="110"/>
      <c r="R131" s="110" t="n">
        <v>185000</v>
      </c>
      <c r="S131" s="110"/>
      <c r="T131" s="110" t="n">
        <v>0</v>
      </c>
      <c r="U131" s="110"/>
      <c r="V131" s="110" t="n">
        <v>0</v>
      </c>
      <c r="X131" s="110" t="n">
        <v>0</v>
      </c>
      <c r="Z131" s="110" t="n">
        <v>0</v>
      </c>
      <c r="AB131" s="110" t="n">
        <v>0</v>
      </c>
      <c r="AD131" s="110" t="n">
        <v>0</v>
      </c>
      <c r="AF131" s="110" t="n">
        <v>0</v>
      </c>
      <c r="AH131" s="110" t="n">
        <v>0</v>
      </c>
      <c r="AJ131" s="110" t="n">
        <v>0</v>
      </c>
      <c r="AN131" s="110" t="n">
        <v>0</v>
      </c>
      <c r="AP131" s="110" t="n">
        <v>0</v>
      </c>
      <c r="AR131" s="110" t="n">
        <v>0</v>
      </c>
      <c r="AT131" s="110" t="n">
        <v>0</v>
      </c>
      <c r="AV131" s="110" t="n">
        <v>0</v>
      </c>
      <c r="AX131" s="110" t="n">
        <v>37000</v>
      </c>
      <c r="AZ131" s="110" t="n">
        <v>37000</v>
      </c>
      <c r="BB131" s="110" t="n">
        <v>37000</v>
      </c>
      <c r="BD131" s="110" t="n">
        <v>37000</v>
      </c>
      <c r="BF131" s="110" t="n">
        <v>37000</v>
      </c>
      <c r="BH131" s="110" t="n">
        <v>0</v>
      </c>
      <c r="BJ131" s="110" t="n">
        <v>0</v>
      </c>
      <c r="BL131" s="110" t="n">
        <v>0</v>
      </c>
      <c r="BM131" s="110" t="n">
        <v>0</v>
      </c>
      <c r="BN131" s="110"/>
      <c r="BO131" s="110" t="n">
        <v>0</v>
      </c>
      <c r="BP131" s="110"/>
      <c r="BQ131" s="110" t="n">
        <f aca="false">SUM(T131:BP131)</f>
        <v>185000</v>
      </c>
      <c r="BR131" s="110"/>
      <c r="BS131" s="110" t="n">
        <v>0</v>
      </c>
      <c r="BT131" s="110"/>
      <c r="BU131" s="110" t="n">
        <f aca="false">IF(+R131-BQ131+BS131&gt;0,R131-BQ131+BS131,0)</f>
        <v>0</v>
      </c>
      <c r="BW131" s="110" t="n">
        <f aca="false">+BQ131+BU131</f>
        <v>185000</v>
      </c>
      <c r="BY131" s="110" t="n">
        <f aca="false">+R131-BW131</f>
        <v>0</v>
      </c>
      <c r="BZ131" s="110"/>
    </row>
    <row r="132" customFormat="false" ht="12.75" hidden="false" customHeight="false" outlineLevel="0" collapsed="false">
      <c r="A132" s="161"/>
      <c r="B132" s="161" t="s">
        <v>246</v>
      </c>
      <c r="E132" s="119"/>
      <c r="G132" s="119"/>
      <c r="I132" s="119"/>
      <c r="L132" s="34" t="s">
        <v>151</v>
      </c>
      <c r="M132" s="110"/>
      <c r="N132" s="110" t="n">
        <v>0</v>
      </c>
      <c r="O132" s="110"/>
      <c r="P132" s="110" t="n">
        <v>0</v>
      </c>
      <c r="Q132" s="110"/>
      <c r="R132" s="110" t="n">
        <v>723786</v>
      </c>
      <c r="S132" s="110"/>
      <c r="T132" s="110" t="n">
        <v>0</v>
      </c>
      <c r="U132" s="110"/>
      <c r="V132" s="110" t="n">
        <v>0</v>
      </c>
      <c r="X132" s="110" t="n">
        <v>0</v>
      </c>
      <c r="Z132" s="110" t="n">
        <v>0</v>
      </c>
      <c r="AB132" s="110" t="n">
        <v>0</v>
      </c>
      <c r="AD132" s="110" t="n">
        <v>0</v>
      </c>
      <c r="AF132" s="110" t="n">
        <v>0</v>
      </c>
      <c r="AH132" s="110" t="n">
        <v>0</v>
      </c>
      <c r="AJ132" s="110" t="n">
        <v>0</v>
      </c>
      <c r="AN132" s="110" t="n">
        <v>0</v>
      </c>
      <c r="AP132" s="110" t="n">
        <v>0</v>
      </c>
      <c r="AR132" s="110" t="n">
        <v>0</v>
      </c>
      <c r="AT132" s="110" t="n">
        <v>0</v>
      </c>
      <c r="AV132" s="110" t="n">
        <v>0</v>
      </c>
      <c r="AX132" s="110" t="n">
        <v>0</v>
      </c>
      <c r="AZ132" s="110" t="n">
        <f aca="false">55868.55+55613</f>
        <v>111481.55</v>
      </c>
      <c r="BB132" s="110" t="n">
        <v>138056.89</v>
      </c>
      <c r="BD132" s="110" t="n">
        <v>122389.86</v>
      </c>
      <c r="BF132" s="110" t="n">
        <v>120325.41</v>
      </c>
      <c r="BH132" s="110" t="n">
        <v>112206.42</v>
      </c>
      <c r="BJ132" s="110" t="n">
        <v>187137.03</v>
      </c>
      <c r="BL132" s="110" t="n">
        <v>106789</v>
      </c>
      <c r="BM132" s="110" t="n">
        <v>955</v>
      </c>
      <c r="BN132" s="110"/>
      <c r="BO132" s="110" t="n">
        <v>0</v>
      </c>
      <c r="BP132" s="110"/>
      <c r="BQ132" s="110" t="n">
        <f aca="false">SUM(T132:BP132)</f>
        <v>899341.16</v>
      </c>
      <c r="BR132" s="110"/>
      <c r="BS132" s="110" t="n">
        <v>0</v>
      </c>
      <c r="BT132" s="110"/>
      <c r="BU132" s="110" t="n">
        <f aca="false">IF(+R132-BQ132+BS132&gt;0,R132-BQ132+BS132,0)</f>
        <v>0</v>
      </c>
      <c r="BW132" s="110" t="n">
        <f aca="false">+BQ132+BU132</f>
        <v>899341.16</v>
      </c>
      <c r="BY132" s="110" t="n">
        <f aca="false">+R132-BW132</f>
        <v>-175555.16</v>
      </c>
      <c r="BZ132" s="110"/>
    </row>
    <row r="133" customFormat="false" ht="12.75" hidden="true" customHeight="false" outlineLevel="0" collapsed="false">
      <c r="A133" s="161"/>
      <c r="B133" s="161" t="s">
        <v>128</v>
      </c>
      <c r="E133" s="119"/>
      <c r="G133" s="119"/>
      <c r="I133" s="119"/>
      <c r="L133" s="34" t="s">
        <v>151</v>
      </c>
      <c r="M133" s="110"/>
      <c r="N133" s="110" t="n">
        <v>0</v>
      </c>
      <c r="O133" s="110"/>
      <c r="P133" s="110" t="n">
        <v>0</v>
      </c>
      <c r="Q133" s="110"/>
      <c r="R133" s="110" t="n">
        <v>0</v>
      </c>
      <c r="S133" s="110"/>
      <c r="T133" s="110" t="n">
        <v>0</v>
      </c>
      <c r="U133" s="110"/>
      <c r="V133" s="110" t="n">
        <v>0</v>
      </c>
      <c r="X133" s="110" t="n">
        <v>0</v>
      </c>
      <c r="Z133" s="110" t="n">
        <v>0</v>
      </c>
      <c r="AB133" s="110" t="n">
        <v>0</v>
      </c>
      <c r="AD133" s="110" t="n">
        <v>0</v>
      </c>
      <c r="AF133" s="110" t="n">
        <v>0</v>
      </c>
      <c r="AH133" s="110" t="n">
        <v>0</v>
      </c>
      <c r="AJ133" s="110" t="n">
        <v>0</v>
      </c>
      <c r="AN133" s="110" t="n">
        <v>0</v>
      </c>
      <c r="AP133" s="110" t="n">
        <v>0</v>
      </c>
      <c r="AR133" s="110" t="n">
        <v>0</v>
      </c>
      <c r="AT133" s="110" t="n">
        <v>0</v>
      </c>
      <c r="AV133" s="110" t="n">
        <v>0</v>
      </c>
      <c r="AX133" s="110" t="n">
        <v>0</v>
      </c>
      <c r="AZ133" s="110" t="n">
        <v>0</v>
      </c>
      <c r="BB133" s="110" t="n">
        <v>0</v>
      </c>
      <c r="BD133" s="110" t="n">
        <v>0</v>
      </c>
      <c r="BF133" s="110" t="n">
        <v>0</v>
      </c>
      <c r="BH133" s="110" t="n">
        <v>0</v>
      </c>
      <c r="BJ133" s="110" t="n">
        <v>0</v>
      </c>
      <c r="BL133" s="110" t="n">
        <v>0</v>
      </c>
      <c r="BM133" s="110" t="n">
        <v>0</v>
      </c>
      <c r="BN133" s="110"/>
      <c r="BO133" s="110" t="n">
        <v>0</v>
      </c>
      <c r="BP133" s="110"/>
      <c r="BQ133" s="110" t="n">
        <f aca="false">SUM(T133:BP133)</f>
        <v>0</v>
      </c>
      <c r="BR133" s="110"/>
      <c r="BS133" s="110" t="n">
        <v>0</v>
      </c>
      <c r="BT133" s="110"/>
      <c r="BU133" s="110" t="n">
        <f aca="false">+R133-BQ133+BS133</f>
        <v>0</v>
      </c>
      <c r="BW133" s="110" t="n">
        <f aca="false">+BQ133+BU133</f>
        <v>0</v>
      </c>
      <c r="BY133" s="110" t="n">
        <f aca="false">+R133-BW133</f>
        <v>0</v>
      </c>
      <c r="BZ133" s="110"/>
    </row>
    <row r="134" customFormat="false" ht="12.75" hidden="false" customHeight="false" outlineLevel="0" collapsed="false">
      <c r="A134" s="160"/>
      <c r="B134" s="160" t="s">
        <v>247</v>
      </c>
      <c r="C134" s="2"/>
      <c r="D134" s="2"/>
      <c r="E134" s="2"/>
      <c r="F134" s="2"/>
      <c r="G134" s="2"/>
      <c r="H134" s="2"/>
      <c r="I134" s="2"/>
      <c r="J134" s="3"/>
      <c r="K134" s="2"/>
      <c r="L134" s="179"/>
      <c r="M134" s="24"/>
      <c r="N134" s="198" t="n">
        <f aca="false">SUM(N131:N133)</f>
        <v>0</v>
      </c>
      <c r="O134" s="24"/>
      <c r="P134" s="198" t="n">
        <f aca="false">SUM(P131:P133)</f>
        <v>0</v>
      </c>
      <c r="Q134" s="24"/>
      <c r="R134" s="198" t="n">
        <f aca="false">SUM(R131:R133)</f>
        <v>908786</v>
      </c>
      <c r="S134" s="24"/>
      <c r="T134" s="198" t="n">
        <f aca="false">SUM(T131:T133)</f>
        <v>0</v>
      </c>
      <c r="U134" s="24"/>
      <c r="V134" s="198" t="n">
        <f aca="false">SUM(V131:V133)</f>
        <v>0</v>
      </c>
      <c r="W134" s="24"/>
      <c r="X134" s="198" t="n">
        <f aca="false">SUM(X131:X133)</f>
        <v>0</v>
      </c>
      <c r="Y134" s="24"/>
      <c r="Z134" s="198" t="n">
        <f aca="false">SUM(Z131:Z133)</f>
        <v>0</v>
      </c>
      <c r="AA134" s="24"/>
      <c r="AB134" s="198" t="n">
        <f aca="false">SUM(AB131:AB133)</f>
        <v>0</v>
      </c>
      <c r="AC134" s="24"/>
      <c r="AD134" s="198" t="n">
        <f aca="false">SUM(AD131:AD133)</f>
        <v>0</v>
      </c>
      <c r="AE134" s="24"/>
      <c r="AF134" s="198" t="n">
        <f aca="false">SUM(AF131:AF133)</f>
        <v>0</v>
      </c>
      <c r="AG134" s="24"/>
      <c r="AH134" s="198" t="n">
        <f aca="false">SUM(AH131:AH133)</f>
        <v>0</v>
      </c>
      <c r="AI134" s="24"/>
      <c r="AJ134" s="198" t="n">
        <f aca="false">SUM(AJ131:AJ133)</f>
        <v>0</v>
      </c>
      <c r="AK134" s="24"/>
      <c r="AL134" s="198" t="n">
        <f aca="false">SUM(AL131:AL133)</f>
        <v>0</v>
      </c>
      <c r="AM134" s="198"/>
      <c r="AN134" s="198" t="n">
        <f aca="false">SUM(AN131:AN133)</f>
        <v>0</v>
      </c>
      <c r="AO134" s="24"/>
      <c r="AP134" s="198" t="n">
        <f aca="false">SUM(AP131:AP133)</f>
        <v>0</v>
      </c>
      <c r="AQ134" s="24"/>
      <c r="AR134" s="198" t="n">
        <f aca="false">SUM(AR131:AR133)</f>
        <v>0</v>
      </c>
      <c r="AS134" s="24"/>
      <c r="AT134" s="198" t="n">
        <f aca="false">SUM(AT131:AT133)</f>
        <v>0</v>
      </c>
      <c r="AU134" s="24"/>
      <c r="AV134" s="198" t="n">
        <f aca="false">SUM(AV131:AV133)</f>
        <v>0</v>
      </c>
      <c r="AW134" s="24"/>
      <c r="AX134" s="198" t="n">
        <f aca="false">SUM(AX131:AX133)</f>
        <v>37000</v>
      </c>
      <c r="AY134" s="24"/>
      <c r="AZ134" s="198" t="n">
        <f aca="false">SUM(AZ131:AZ133)</f>
        <v>148481.55</v>
      </c>
      <c r="BA134" s="24"/>
      <c r="BB134" s="198" t="n">
        <f aca="false">SUM(BB131:BB133)</f>
        <v>175056.89</v>
      </c>
      <c r="BD134" s="198" t="n">
        <f aca="false">SUM(BD131:BD133)</f>
        <v>159389.86</v>
      </c>
      <c r="BF134" s="198" t="n">
        <f aca="false">SUM(BF131:BF133)</f>
        <v>157325.41</v>
      </c>
      <c r="BG134" s="24"/>
      <c r="BH134" s="198" t="n">
        <f aca="false">SUM(BH131:BH133)</f>
        <v>112206.42</v>
      </c>
      <c r="BI134" s="24"/>
      <c r="BJ134" s="198" t="n">
        <f aca="false">SUM(BJ131:BJ133)</f>
        <v>187137.03</v>
      </c>
      <c r="BK134" s="24"/>
      <c r="BL134" s="198" t="n">
        <f aca="false">SUM(BL131:BL133)</f>
        <v>106789</v>
      </c>
      <c r="BM134" s="198" t="n">
        <f aca="false">SUM(BM131:BM133)</f>
        <v>955</v>
      </c>
      <c r="BN134" s="198"/>
      <c r="BO134" s="198" t="n">
        <f aca="false">SUM(BO131:BO133)</f>
        <v>0</v>
      </c>
      <c r="BP134" s="24"/>
      <c r="BQ134" s="198" t="n">
        <f aca="false">SUM(BQ131:BQ133)</f>
        <v>1084341.16</v>
      </c>
      <c r="BR134" s="24"/>
      <c r="BS134" s="198" t="n">
        <f aca="false">SUM(BS131:BS133)</f>
        <v>0</v>
      </c>
      <c r="BT134" s="24"/>
      <c r="BU134" s="198" t="n">
        <f aca="false">SUM(BU131:BU133)</f>
        <v>0</v>
      </c>
      <c r="BV134" s="24"/>
      <c r="BW134" s="198" t="n">
        <f aca="false">SUM(BW131:BW133)</f>
        <v>1084341.16</v>
      </c>
      <c r="BX134" s="24"/>
      <c r="BY134" s="198" t="n">
        <f aca="false">SUM(BY131:BY133)</f>
        <v>-175555.16</v>
      </c>
      <c r="BZ134" s="24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2.75" hidden="false" customHeight="false" outlineLevel="0" collapsed="false">
      <c r="A135" s="160"/>
      <c r="B135" s="160"/>
      <c r="C135" s="2"/>
      <c r="D135" s="2"/>
      <c r="E135" s="2"/>
      <c r="F135" s="2"/>
      <c r="G135" s="2"/>
      <c r="H135" s="2"/>
      <c r="I135" s="2"/>
      <c r="J135" s="3"/>
      <c r="K135" s="2"/>
      <c r="L135" s="179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D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77" t="s">
        <v>404</v>
      </c>
      <c r="B136" s="160"/>
      <c r="C136" s="2"/>
      <c r="D136" s="2"/>
      <c r="E136" s="2"/>
      <c r="F136" s="2"/>
      <c r="G136" s="2"/>
      <c r="H136" s="2"/>
      <c r="I136" s="2"/>
      <c r="J136" s="3" t="s">
        <v>141</v>
      </c>
      <c r="K136" s="2"/>
      <c r="L136" s="179" t="s">
        <v>151</v>
      </c>
      <c r="M136" s="24"/>
      <c r="N136" s="24" t="n">
        <v>0</v>
      </c>
      <c r="O136" s="24"/>
      <c r="P136" s="24" t="n">
        <v>0</v>
      </c>
      <c r="Q136" s="24"/>
      <c r="R136" s="24" t="n">
        <v>0</v>
      </c>
      <c r="S136" s="24"/>
      <c r="T136" s="24" t="n">
        <v>0</v>
      </c>
      <c r="U136" s="24"/>
      <c r="V136" s="24" t="n">
        <v>0</v>
      </c>
      <c r="W136" s="24"/>
      <c r="X136" s="24" t="n">
        <v>0</v>
      </c>
      <c r="Y136" s="24"/>
      <c r="Z136" s="24" t="n">
        <v>0</v>
      </c>
      <c r="AA136" s="24"/>
      <c r="AB136" s="24" t="n">
        <v>0</v>
      </c>
      <c r="AC136" s="24"/>
      <c r="AD136" s="24" t="n">
        <v>0</v>
      </c>
      <c r="AE136" s="24"/>
      <c r="AF136" s="24" t="n">
        <v>0</v>
      </c>
      <c r="AG136" s="24"/>
      <c r="AH136" s="24" t="n">
        <v>0</v>
      </c>
      <c r="AI136" s="24"/>
      <c r="AJ136" s="24" t="n">
        <v>0</v>
      </c>
      <c r="AK136" s="24"/>
      <c r="AL136" s="24"/>
      <c r="AM136" s="24"/>
      <c r="AN136" s="24" t="n">
        <v>0</v>
      </c>
      <c r="AO136" s="24"/>
      <c r="AP136" s="24" t="n">
        <v>0</v>
      </c>
      <c r="AQ136" s="24"/>
      <c r="AR136" s="24" t="n">
        <v>0</v>
      </c>
      <c r="AS136" s="24"/>
      <c r="AT136" s="24" t="n">
        <v>0</v>
      </c>
      <c r="AU136" s="24"/>
      <c r="AV136" s="24" t="n">
        <v>0</v>
      </c>
      <c r="AW136" s="24"/>
      <c r="AX136" s="24" t="n">
        <v>0</v>
      </c>
      <c r="AY136" s="24"/>
      <c r="AZ136" s="24" t="n">
        <v>0</v>
      </c>
      <c r="BA136" s="24"/>
      <c r="BB136" s="24" t="n">
        <v>0</v>
      </c>
      <c r="BD136" s="24" t="n">
        <f aca="false">190718.52-110182.74</f>
        <v>80535.78</v>
      </c>
      <c r="BF136" s="24" t="n">
        <v>10412.63</v>
      </c>
      <c r="BG136" s="24"/>
      <c r="BH136" s="24" t="n">
        <v>12797.63</v>
      </c>
      <c r="BI136" s="24"/>
      <c r="BJ136" s="24" t="n">
        <v>8574.66</v>
      </c>
      <c r="BK136" s="24"/>
      <c r="BL136" s="24" t="n">
        <v>0</v>
      </c>
      <c r="BM136" s="24" t="n">
        <v>0</v>
      </c>
      <c r="BN136" s="24"/>
      <c r="BO136" s="24" t="n">
        <v>0</v>
      </c>
      <c r="BP136" s="24"/>
      <c r="BQ136" s="24" t="n">
        <f aca="false">SUM(T136:BP136)</f>
        <v>112320.7</v>
      </c>
      <c r="BR136" s="24"/>
      <c r="BS136" s="24" t="n">
        <v>0</v>
      </c>
      <c r="BT136" s="24"/>
      <c r="BU136" s="110" t="n">
        <f aca="false">IF(+R136-BQ136+BS136&gt;0,R136-BQ136+BS136,0)</f>
        <v>0</v>
      </c>
      <c r="BV136" s="24"/>
      <c r="BW136" s="24" t="n">
        <f aca="false">+BQ136+BU136</f>
        <v>112320.7</v>
      </c>
      <c r="BX136" s="24"/>
      <c r="BY136" s="24" t="n">
        <f aca="false">+R136-BW136</f>
        <v>-112320.7</v>
      </c>
      <c r="BZ136" s="24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77"/>
      <c r="B137" s="160"/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D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true" customHeight="false" outlineLevel="0" collapsed="false">
      <c r="A138" s="160" t="s">
        <v>248</v>
      </c>
      <c r="B138" s="174"/>
      <c r="C138" s="2"/>
      <c r="D138" s="2"/>
      <c r="E138" s="2"/>
      <c r="F138" s="2"/>
      <c r="G138" s="2"/>
      <c r="H138" s="2"/>
      <c r="I138" s="2"/>
      <c r="J138" s="3" t="s">
        <v>141</v>
      </c>
      <c r="K138" s="2"/>
      <c r="L138" s="34" t="s">
        <v>151</v>
      </c>
      <c r="M138" s="24"/>
      <c r="N138" s="24" t="n">
        <v>400000</v>
      </c>
      <c r="O138" s="24"/>
      <c r="P138" s="24" t="n">
        <v>100000</v>
      </c>
      <c r="Q138" s="24"/>
      <c r="R138" s="24" t="n">
        <v>0</v>
      </c>
      <c r="S138" s="24"/>
      <c r="T138" s="24" t="n">
        <v>0</v>
      </c>
      <c r="U138" s="24"/>
      <c r="V138" s="24" t="n">
        <v>0</v>
      </c>
      <c r="W138" s="24"/>
      <c r="X138" s="24" t="n">
        <v>0</v>
      </c>
      <c r="Y138" s="24"/>
      <c r="Z138" s="24" t="n">
        <v>0</v>
      </c>
      <c r="AA138" s="24"/>
      <c r="AB138" s="24" t="n">
        <v>0</v>
      </c>
      <c r="AC138" s="24"/>
      <c r="AD138" s="24" t="n">
        <v>0</v>
      </c>
      <c r="AE138" s="24"/>
      <c r="AF138" s="24" t="n">
        <v>0</v>
      </c>
      <c r="AG138" s="24"/>
      <c r="AH138" s="24" t="n">
        <v>0</v>
      </c>
      <c r="AI138" s="24"/>
      <c r="AJ138" s="24" t="n">
        <v>0</v>
      </c>
      <c r="AK138" s="24"/>
      <c r="AL138" s="24"/>
      <c r="AM138" s="24"/>
      <c r="AN138" s="24" t="n">
        <v>0</v>
      </c>
      <c r="AO138" s="24"/>
      <c r="AP138" s="24" t="n">
        <v>0</v>
      </c>
      <c r="AQ138" s="24"/>
      <c r="AR138" s="24" t="n">
        <v>0</v>
      </c>
      <c r="AS138" s="24"/>
      <c r="AT138" s="24" t="n">
        <v>0</v>
      </c>
      <c r="AU138" s="24"/>
      <c r="AV138" s="24" t="n">
        <v>0</v>
      </c>
      <c r="AW138" s="24"/>
      <c r="AX138" s="24" t="n">
        <v>0</v>
      </c>
      <c r="AY138" s="24"/>
      <c r="AZ138" s="24" t="n">
        <v>0</v>
      </c>
      <c r="BA138" s="24"/>
      <c r="BB138" s="24" t="n">
        <v>0</v>
      </c>
      <c r="BD138" s="24" t="n">
        <v>0</v>
      </c>
      <c r="BF138" s="24" t="n">
        <v>0</v>
      </c>
      <c r="BG138" s="24"/>
      <c r="BH138" s="24" t="n">
        <v>0</v>
      </c>
      <c r="BI138" s="24"/>
      <c r="BJ138" s="24" t="n">
        <v>0</v>
      </c>
      <c r="BK138" s="24"/>
      <c r="BL138" s="24" t="n">
        <v>0</v>
      </c>
      <c r="BM138" s="24" t="n">
        <v>0</v>
      </c>
      <c r="BN138" s="24"/>
      <c r="BO138" s="24" t="n">
        <v>0</v>
      </c>
      <c r="BP138" s="24"/>
      <c r="BQ138" s="24" t="n">
        <f aca="false">SUM(T138:BP138)</f>
        <v>0</v>
      </c>
      <c r="BR138" s="24"/>
      <c r="BS138" s="24" t="n">
        <v>0</v>
      </c>
      <c r="BT138" s="24"/>
      <c r="BU138" s="110" t="n">
        <f aca="false">IF(+R138-BQ138+BS138&gt;0,R138-BQ138+BS138,0)</f>
        <v>0</v>
      </c>
      <c r="BV138" s="24"/>
      <c r="BW138" s="24" t="n">
        <f aca="false">+BQ138+BU138</f>
        <v>0</v>
      </c>
      <c r="BX138" s="24"/>
      <c r="BY138" s="24" t="n">
        <f aca="false">+R138-BW138</f>
        <v>0</v>
      </c>
      <c r="BZ138" s="24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true" customHeight="false" outlineLevel="0" collapsed="false">
      <c r="A139" s="160"/>
      <c r="B139" s="174"/>
      <c r="C139" s="2"/>
      <c r="D139" s="2"/>
      <c r="E139" s="2"/>
      <c r="F139" s="2"/>
      <c r="G139" s="2"/>
      <c r="H139" s="2"/>
      <c r="I139" s="2"/>
      <c r="J139" s="3"/>
      <c r="K139" s="2"/>
      <c r="L139" s="3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D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60" t="s">
        <v>405</v>
      </c>
      <c r="B140" s="174"/>
      <c r="C140" s="174"/>
      <c r="D140" s="174"/>
      <c r="E140" s="174"/>
      <c r="F140" s="174"/>
      <c r="G140" s="174"/>
      <c r="H140" s="174"/>
      <c r="I140" s="174"/>
      <c r="J140" s="201" t="s">
        <v>141</v>
      </c>
      <c r="K140" s="174"/>
      <c r="L140" s="202" t="s">
        <v>151</v>
      </c>
      <c r="M140" s="24"/>
      <c r="N140" s="24" t="n">
        <v>0</v>
      </c>
      <c r="O140" s="24"/>
      <c r="P140" s="24" t="n">
        <v>0</v>
      </c>
      <c r="Q140" s="24"/>
      <c r="R140" s="24" t="n">
        <v>675000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D140" s="24" t="n">
        <v>0</v>
      </c>
      <c r="BF140" s="24" t="n">
        <v>0</v>
      </c>
      <c r="BG140" s="24"/>
      <c r="BH140" s="24"/>
      <c r="BI140" s="24"/>
      <c r="BJ140" s="24" t="n">
        <v>0</v>
      </c>
      <c r="BK140" s="24"/>
      <c r="BL140" s="24" t="n">
        <v>0</v>
      </c>
      <c r="BM140" s="24" t="n">
        <v>0</v>
      </c>
      <c r="BN140" s="24"/>
      <c r="BO140" s="24" t="n">
        <v>0</v>
      </c>
      <c r="BP140" s="24"/>
      <c r="BQ140" s="24" t="n">
        <f aca="false">SUM(T140:BP140)</f>
        <v>0</v>
      </c>
      <c r="BR140" s="24"/>
      <c r="BS140" s="24" t="n">
        <v>0</v>
      </c>
      <c r="BT140" s="24"/>
      <c r="BU140" s="110" t="n">
        <f aca="false">IF(+R140-BQ140+BS140&gt;0,R140-BQ140+BS140,0)</f>
        <v>675000</v>
      </c>
      <c r="BV140" s="24"/>
      <c r="BW140" s="24" t="n">
        <f aca="false">+BQ140+BU140</f>
        <v>675000</v>
      </c>
      <c r="BX140" s="24"/>
      <c r="BY140" s="110" t="n">
        <f aca="false">+R140-BW140</f>
        <v>0</v>
      </c>
      <c r="BZ140" s="24"/>
      <c r="CA140" s="174"/>
      <c r="CB140" s="174"/>
      <c r="CC140" s="174"/>
      <c r="CD140" s="174"/>
      <c r="CE140" s="174"/>
      <c r="CF140" s="174"/>
      <c r="CG140" s="174"/>
      <c r="CH140" s="174"/>
      <c r="CI140" s="174"/>
      <c r="CJ140" s="174"/>
      <c r="CK140" s="174"/>
      <c r="CL140" s="174"/>
      <c r="CM140" s="174"/>
      <c r="CN140" s="174"/>
      <c r="CO140" s="174"/>
      <c r="CP140" s="174"/>
      <c r="CQ140" s="174"/>
      <c r="CR140" s="174"/>
      <c r="CS140" s="174"/>
      <c r="CT140" s="174"/>
      <c r="CU140" s="174"/>
      <c r="CV140" s="174"/>
      <c r="CW140" s="174"/>
      <c r="CX140" s="174"/>
      <c r="CY140" s="174"/>
      <c r="CZ140" s="174"/>
      <c r="DA140" s="174"/>
      <c r="DB140" s="174"/>
      <c r="DC140" s="174"/>
      <c r="DD140" s="174"/>
      <c r="DE140" s="174"/>
      <c r="DF140" s="174"/>
      <c r="DG140" s="174"/>
      <c r="DH140" s="174"/>
      <c r="DI140" s="174"/>
      <c r="DJ140" s="174"/>
      <c r="DK140" s="174"/>
      <c r="DL140" s="174"/>
      <c r="DM140" s="174"/>
      <c r="DN140" s="174"/>
      <c r="DO140" s="174"/>
      <c r="DP140" s="174"/>
      <c r="DQ140" s="174"/>
      <c r="DR140" s="174"/>
      <c r="DS140" s="174"/>
      <c r="DT140" s="174"/>
      <c r="DU140" s="174"/>
      <c r="DV140" s="174"/>
      <c r="DW140" s="174"/>
      <c r="DX140" s="174"/>
      <c r="DY140" s="174"/>
      <c r="DZ140" s="174"/>
      <c r="EA140" s="174"/>
      <c r="EB140" s="174"/>
      <c r="EC140" s="174"/>
      <c r="ED140" s="174"/>
      <c r="EE140" s="174"/>
      <c r="EF140" s="174"/>
      <c r="EG140" s="174"/>
      <c r="EH140" s="174"/>
      <c r="EI140" s="174"/>
      <c r="EJ140" s="174"/>
      <c r="EK140" s="174"/>
      <c r="EL140" s="174"/>
      <c r="EM140" s="174"/>
      <c r="EN140" s="174"/>
      <c r="EO140" s="174"/>
      <c r="EP140" s="174"/>
      <c r="EQ140" s="174"/>
      <c r="ER140" s="174"/>
      <c r="ES140" s="174"/>
      <c r="ET140" s="174"/>
      <c r="EU140" s="174"/>
      <c r="EV140" s="174"/>
      <c r="EW140" s="174"/>
      <c r="EX140" s="174"/>
      <c r="EY140" s="174"/>
      <c r="EZ140" s="174"/>
      <c r="FA140" s="174"/>
      <c r="FB140" s="174"/>
      <c r="FC140" s="174"/>
      <c r="FD140" s="174"/>
      <c r="FE140" s="174"/>
      <c r="FF140" s="174"/>
      <c r="FG140" s="174"/>
      <c r="FH140" s="174"/>
      <c r="FI140" s="174"/>
      <c r="FJ140" s="174"/>
      <c r="FK140" s="174"/>
      <c r="FL140" s="174"/>
      <c r="FM140" s="174"/>
      <c r="FN140" s="174"/>
      <c r="FO140" s="174"/>
      <c r="FP140" s="174"/>
      <c r="FQ140" s="174"/>
      <c r="FR140" s="174"/>
      <c r="FS140" s="174"/>
      <c r="FT140" s="174"/>
      <c r="FU140" s="174"/>
      <c r="FV140" s="174"/>
      <c r="FW140" s="174"/>
      <c r="FX140" s="174"/>
      <c r="FY140" s="174"/>
      <c r="FZ140" s="174"/>
      <c r="GA140" s="174"/>
      <c r="GB140" s="174"/>
      <c r="GC140" s="174"/>
      <c r="GD140" s="174"/>
      <c r="GE140" s="174"/>
      <c r="GF140" s="174"/>
      <c r="GG140" s="174"/>
      <c r="GH140" s="174"/>
      <c r="GI140" s="174"/>
      <c r="GJ140" s="174"/>
      <c r="GK140" s="174"/>
      <c r="GL140" s="174"/>
      <c r="GM140" s="174"/>
      <c r="GN140" s="174"/>
      <c r="GO140" s="174"/>
      <c r="GP140" s="174"/>
      <c r="GQ140" s="174"/>
      <c r="GR140" s="174"/>
      <c r="GS140" s="174"/>
      <c r="GT140" s="174"/>
      <c r="GU140" s="174"/>
      <c r="GV140" s="174"/>
      <c r="GW140" s="174"/>
      <c r="GX140" s="174"/>
      <c r="GY140" s="174"/>
      <c r="GZ140" s="174"/>
      <c r="HA140" s="174"/>
      <c r="HB140" s="174"/>
      <c r="HC140" s="174"/>
      <c r="HD140" s="174"/>
      <c r="HE140" s="174"/>
      <c r="HF140" s="174"/>
      <c r="HG140" s="174"/>
      <c r="HH140" s="174"/>
      <c r="HI140" s="174"/>
      <c r="HJ140" s="174"/>
      <c r="HK140" s="174"/>
      <c r="HL140" s="174"/>
      <c r="HM140" s="174"/>
      <c r="HN140" s="174"/>
      <c r="HO140" s="174"/>
      <c r="HP140" s="174"/>
      <c r="HQ140" s="174"/>
      <c r="HR140" s="174"/>
      <c r="HS140" s="174"/>
      <c r="HT140" s="174"/>
      <c r="HU140" s="174"/>
      <c r="HV140" s="174"/>
      <c r="HW140" s="174"/>
      <c r="HX140" s="174"/>
      <c r="HY140" s="174"/>
      <c r="HZ140" s="174"/>
      <c r="IA140" s="174"/>
      <c r="IB140" s="174"/>
      <c r="IC140" s="174"/>
      <c r="ID140" s="174"/>
      <c r="IE140" s="174"/>
      <c r="IF140" s="174"/>
      <c r="IG140" s="174"/>
      <c r="IH140" s="174"/>
      <c r="II140" s="174"/>
      <c r="IJ140" s="174"/>
      <c r="IK140" s="174"/>
      <c r="IL140" s="174"/>
      <c r="IM140" s="174"/>
      <c r="IN140" s="174"/>
      <c r="IO140" s="174"/>
      <c r="IP140" s="174"/>
      <c r="IQ140" s="174"/>
      <c r="IR140" s="174"/>
      <c r="IS140" s="174"/>
      <c r="IT140" s="174"/>
      <c r="IU140" s="174"/>
      <c r="IV140" s="174"/>
      <c r="IW140" s="174"/>
    </row>
    <row r="141" customFormat="false" ht="12.75" hidden="false" customHeight="false" outlineLevel="0" collapsed="false">
      <c r="A141" s="160"/>
      <c r="B141" s="174"/>
      <c r="C141" s="2"/>
      <c r="D141" s="2"/>
      <c r="E141" s="2"/>
      <c r="F141" s="2"/>
      <c r="G141" s="2"/>
      <c r="H141" s="2"/>
      <c r="I141" s="2"/>
      <c r="J141" s="3"/>
      <c r="K141" s="2"/>
      <c r="L141" s="3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D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60" t="s">
        <v>162</v>
      </c>
      <c r="B142" s="160"/>
      <c r="C142" s="2"/>
      <c r="D142" s="2"/>
      <c r="E142" s="2"/>
      <c r="F142" s="2"/>
      <c r="G142" s="2"/>
      <c r="H142" s="2"/>
      <c r="I142" s="2"/>
      <c r="J142" s="3" t="s">
        <v>141</v>
      </c>
      <c r="K142" s="2"/>
      <c r="L142" s="34" t="s">
        <v>151</v>
      </c>
      <c r="M142" s="24"/>
      <c r="N142" s="24" t="n">
        <v>0</v>
      </c>
      <c r="O142" s="24"/>
      <c r="P142" s="24" t="n">
        <v>0</v>
      </c>
      <c r="Q142" s="24"/>
      <c r="R142" s="24" t="n">
        <v>1247007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D142" s="24" t="n">
        <v>0</v>
      </c>
      <c r="BF142" s="24" t="n">
        <v>0</v>
      </c>
      <c r="BG142" s="24"/>
      <c r="BH142" s="24" t="n">
        <v>0</v>
      </c>
      <c r="BI142" s="24"/>
      <c r="BJ142" s="24" t="n">
        <v>11745</v>
      </c>
      <c r="BK142" s="24"/>
      <c r="BL142" s="24" t="n">
        <f aca="false">-11745+33710</f>
        <v>21965</v>
      </c>
      <c r="BM142" s="24" t="n">
        <v>0</v>
      </c>
      <c r="BN142" s="24"/>
      <c r="BO142" s="24" t="n">
        <v>0</v>
      </c>
      <c r="BP142" s="24"/>
      <c r="BQ142" s="24" t="n">
        <f aca="false">SUM(T142:BP142)</f>
        <v>33710</v>
      </c>
      <c r="BR142" s="24"/>
      <c r="BS142" s="24" t="n">
        <v>0</v>
      </c>
      <c r="BT142" s="24"/>
      <c r="BU142" s="110" t="n">
        <v>0</v>
      </c>
      <c r="BV142" s="24"/>
      <c r="BW142" s="24" t="n">
        <f aca="false">+BQ142+BU142</f>
        <v>33710</v>
      </c>
      <c r="BX142" s="24"/>
      <c r="BY142" s="110" t="n">
        <f aca="false">+R142-BW142</f>
        <v>1213297</v>
      </c>
      <c r="BZ142" s="24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60"/>
      <c r="B143" s="174"/>
      <c r="C143" s="2"/>
      <c r="D143" s="2"/>
      <c r="E143" s="2"/>
      <c r="F143" s="2"/>
      <c r="G143" s="2"/>
      <c r="H143" s="2"/>
      <c r="I143" s="2"/>
      <c r="J143" s="3"/>
      <c r="K143" s="2"/>
      <c r="L143" s="3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D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250</v>
      </c>
      <c r="B144" s="118"/>
      <c r="C144" s="0"/>
      <c r="D144" s="0"/>
      <c r="E144" s="0"/>
      <c r="F144" s="0"/>
      <c r="G144" s="0"/>
      <c r="H144" s="0"/>
      <c r="I144" s="0"/>
      <c r="J144" s="4"/>
      <c r="K144" s="0"/>
      <c r="L144" s="34"/>
      <c r="M144" s="110"/>
      <c r="O144" s="110"/>
      <c r="Q144" s="110"/>
      <c r="S144" s="110"/>
      <c r="T144" s="110"/>
      <c r="U144" s="110"/>
      <c r="V144" s="110"/>
      <c r="X144" s="110"/>
      <c r="Z144" s="110"/>
      <c r="AB144" s="110"/>
      <c r="AD144" s="110"/>
      <c r="BL144" s="110"/>
      <c r="BM144" s="110"/>
      <c r="BN144" s="110"/>
      <c r="BO144" s="110" t="n">
        <v>0</v>
      </c>
      <c r="BP144" s="110"/>
      <c r="BR144" s="110"/>
      <c r="BS144" s="110"/>
      <c r="BT144" s="110"/>
      <c r="BZ144" s="110"/>
    </row>
    <row r="145" customFormat="false" ht="12.75" hidden="false" customHeight="false" outlineLevel="0" collapsed="false">
      <c r="A145" s="161"/>
      <c r="B145" s="118" t="s">
        <v>251</v>
      </c>
      <c r="E145" s="119"/>
      <c r="G145" s="119"/>
      <c r="I145" s="119"/>
      <c r="J145" s="120" t="s">
        <v>141</v>
      </c>
      <c r="L145" s="34" t="s">
        <v>151</v>
      </c>
      <c r="M145" s="110"/>
      <c r="N145" s="110" t="n">
        <v>0</v>
      </c>
      <c r="O145" s="110"/>
      <c r="P145" s="110" t="n">
        <v>0</v>
      </c>
      <c r="Q145" s="110"/>
      <c r="R145" s="110" t="n">
        <v>0</v>
      </c>
      <c r="S145" s="110"/>
      <c r="T145" s="110" t="n">
        <v>0</v>
      </c>
      <c r="U145" s="110"/>
      <c r="V145" s="110" t="n">
        <v>0</v>
      </c>
      <c r="X145" s="110" t="n">
        <v>0</v>
      </c>
      <c r="Z145" s="110" t="n">
        <v>0</v>
      </c>
      <c r="AB145" s="110" t="n">
        <v>0</v>
      </c>
      <c r="AD145" s="110" t="n">
        <v>0</v>
      </c>
      <c r="AF145" s="110" t="n">
        <v>0</v>
      </c>
      <c r="AH145" s="110" t="n">
        <v>0</v>
      </c>
      <c r="AJ145" s="110" t="n">
        <v>0</v>
      </c>
      <c r="AN145" s="110" t="n">
        <v>0</v>
      </c>
      <c r="AP145" s="110" t="n">
        <v>0</v>
      </c>
      <c r="AR145" s="110" t="n">
        <v>0</v>
      </c>
      <c r="AV145" s="110" t="n">
        <v>0</v>
      </c>
      <c r="AX145" s="110" t="n">
        <v>25010</v>
      </c>
      <c r="AZ145" s="110" t="n">
        <v>0</v>
      </c>
      <c r="BB145" s="110" t="n">
        <v>0</v>
      </c>
      <c r="BD145" s="110" t="n">
        <v>0</v>
      </c>
      <c r="BF145" s="110" t="n">
        <v>0</v>
      </c>
      <c r="BH145" s="110" t="n">
        <v>20000</v>
      </c>
      <c r="BJ145" s="110" t="n">
        <v>0</v>
      </c>
      <c r="BL145" s="110" t="n">
        <v>0</v>
      </c>
      <c r="BM145" s="110" t="n">
        <v>0</v>
      </c>
      <c r="BN145" s="110"/>
      <c r="BO145" s="110" t="n">
        <v>0</v>
      </c>
      <c r="BP145" s="110"/>
      <c r="BQ145" s="110" t="n">
        <f aca="false">SUM(T145:BP145)</f>
        <v>45010</v>
      </c>
      <c r="BR145" s="110"/>
      <c r="BS145" s="110" t="n">
        <v>0</v>
      </c>
      <c r="BT145" s="110"/>
      <c r="BU145" s="110" t="n">
        <f aca="false">IF(+R145-BQ145+BS145&gt;0,R145-BQ145+BS145,0)</f>
        <v>0</v>
      </c>
      <c r="BW145" s="110" t="n">
        <f aca="false">+BQ145+BU145</f>
        <v>45010</v>
      </c>
      <c r="BY145" s="110" t="n">
        <f aca="false">+R145-BW145</f>
        <v>-45010</v>
      </c>
      <c r="BZ145" s="110"/>
    </row>
    <row r="146" customFormat="false" ht="12.75" hidden="false" customHeight="false" outlineLevel="0" collapsed="false">
      <c r="A146" s="161"/>
      <c r="B146" s="118" t="s">
        <v>252</v>
      </c>
      <c r="E146" s="119"/>
      <c r="G146" s="119"/>
      <c r="I146" s="119"/>
      <c r="J146" s="120" t="s">
        <v>141</v>
      </c>
      <c r="L146" s="34" t="s">
        <v>151</v>
      </c>
      <c r="M146" s="110"/>
      <c r="O146" s="110"/>
      <c r="Q146" s="110"/>
      <c r="R146" s="110" t="n">
        <v>0</v>
      </c>
      <c r="S146" s="110"/>
      <c r="T146" s="110" t="n">
        <v>0</v>
      </c>
      <c r="U146" s="110"/>
      <c r="V146" s="110" t="n">
        <v>0</v>
      </c>
      <c r="X146" s="110" t="n">
        <v>0</v>
      </c>
      <c r="Z146" s="110" t="n">
        <v>0</v>
      </c>
      <c r="AB146" s="110" t="n">
        <v>0</v>
      </c>
      <c r="AD146" s="110" t="n">
        <v>0</v>
      </c>
      <c r="AF146" s="110" t="n">
        <v>0</v>
      </c>
      <c r="AH146" s="110" t="n">
        <v>0</v>
      </c>
      <c r="AJ146" s="110" t="n">
        <v>0</v>
      </c>
      <c r="AN146" s="110" t="n">
        <v>0</v>
      </c>
      <c r="AP146" s="110" t="n">
        <v>0</v>
      </c>
      <c r="AR146" s="110" t="n">
        <v>0</v>
      </c>
      <c r="AT146" s="110" t="n">
        <v>0</v>
      </c>
      <c r="AV146" s="110" t="n">
        <v>0</v>
      </c>
      <c r="AX146" s="110" t="n">
        <v>0</v>
      </c>
      <c r="AZ146" s="110" t="n">
        <v>0</v>
      </c>
      <c r="BB146" s="110" t="n">
        <v>0</v>
      </c>
      <c r="BD146" s="110" t="n">
        <v>0</v>
      </c>
      <c r="BF146" s="110" t="n">
        <v>0</v>
      </c>
      <c r="BH146" s="110" t="n">
        <v>0</v>
      </c>
      <c r="BJ146" s="110" t="n">
        <v>0</v>
      </c>
      <c r="BL146" s="110" t="n">
        <v>0</v>
      </c>
      <c r="BM146" s="110" t="n">
        <v>0</v>
      </c>
      <c r="BN146" s="110"/>
      <c r="BO146" s="110" t="n">
        <v>0</v>
      </c>
      <c r="BP146" s="110"/>
      <c r="BQ146" s="110" t="n">
        <f aca="false">SUM(T146:BP146)</f>
        <v>0</v>
      </c>
      <c r="BR146" s="110"/>
      <c r="BS146" s="110" t="n">
        <v>0</v>
      </c>
      <c r="BT146" s="110"/>
      <c r="BU146" s="110" t="n">
        <f aca="false">IF(+R146-BQ146+BS146&gt;0,R146-BQ146+BS146,0)</f>
        <v>0</v>
      </c>
      <c r="BW146" s="110" t="n">
        <f aca="false">+BQ146+BU146</f>
        <v>0</v>
      </c>
      <c r="BY146" s="110" t="n">
        <f aca="false">+R146-BW146</f>
        <v>0</v>
      </c>
      <c r="BZ146" s="110"/>
    </row>
    <row r="147" customFormat="false" ht="12.75" hidden="false" customHeight="false" outlineLevel="0" collapsed="false">
      <c r="A147" s="161"/>
      <c r="B147" s="118" t="s">
        <v>253</v>
      </c>
      <c r="E147" s="119"/>
      <c r="G147" s="119"/>
      <c r="I147" s="119"/>
      <c r="J147" s="120" t="s">
        <v>141</v>
      </c>
      <c r="L147" s="34" t="s">
        <v>151</v>
      </c>
      <c r="M147" s="110"/>
      <c r="O147" s="110"/>
      <c r="Q147" s="110"/>
      <c r="R147" s="110" t="n">
        <v>369041</v>
      </c>
      <c r="S147" s="110"/>
      <c r="T147" s="110" t="n">
        <v>0</v>
      </c>
      <c r="U147" s="110"/>
      <c r="V147" s="110" t="n">
        <v>0</v>
      </c>
      <c r="X147" s="110" t="n">
        <v>0</v>
      </c>
      <c r="Z147" s="110" t="n">
        <v>0</v>
      </c>
      <c r="AB147" s="110" t="n">
        <v>0</v>
      </c>
      <c r="AD147" s="110" t="n">
        <v>0</v>
      </c>
      <c r="AF147" s="110" t="n">
        <v>0</v>
      </c>
      <c r="AH147" s="110" t="n">
        <v>0</v>
      </c>
      <c r="AJ147" s="110" t="n">
        <v>0</v>
      </c>
      <c r="AL147" s="110" t="n">
        <v>369041</v>
      </c>
      <c r="AN147" s="110" t="n">
        <v>0</v>
      </c>
      <c r="AP147" s="110" t="n">
        <v>0</v>
      </c>
      <c r="AR147" s="110" t="n">
        <v>0</v>
      </c>
      <c r="AT147" s="110" t="n">
        <v>0</v>
      </c>
      <c r="AV147" s="110" t="n">
        <v>14500</v>
      </c>
      <c r="AX147" s="110" t="n">
        <v>0</v>
      </c>
      <c r="AZ147" s="110" t="n">
        <v>0</v>
      </c>
      <c r="BB147" s="110" t="n">
        <v>0</v>
      </c>
      <c r="BD147" s="110" t="n">
        <v>0</v>
      </c>
      <c r="BF147" s="110" t="n">
        <v>0</v>
      </c>
      <c r="BH147" s="110" t="n">
        <v>0</v>
      </c>
      <c r="BJ147" s="110" t="n">
        <v>0</v>
      </c>
      <c r="BL147" s="110" t="n">
        <v>54315</v>
      </c>
      <c r="BM147" s="110" t="n">
        <v>0</v>
      </c>
      <c r="BN147" s="110"/>
      <c r="BO147" s="110" t="n">
        <v>0</v>
      </c>
      <c r="BP147" s="110"/>
      <c r="BQ147" s="110" t="n">
        <f aca="false">SUM(T147:BP147)</f>
        <v>437856</v>
      </c>
      <c r="BR147" s="110"/>
      <c r="BS147" s="110" t="n">
        <v>54315</v>
      </c>
      <c r="BT147" s="110"/>
      <c r="BU147" s="110" t="n">
        <f aca="false">IF(+R147-BQ147+BS147&gt;0,R147-BQ147+BS147,0)</f>
        <v>0</v>
      </c>
      <c r="BW147" s="110" t="n">
        <f aca="false">+BQ147+BU147</f>
        <v>437856</v>
      </c>
      <c r="BY147" s="110" t="n">
        <f aca="false">+R147-BW147</f>
        <v>-68815</v>
      </c>
      <c r="BZ147" s="110"/>
    </row>
    <row r="148" customFormat="false" ht="12.75" hidden="false" customHeight="false" outlineLevel="0" collapsed="false">
      <c r="A148" s="161"/>
      <c r="B148" s="118" t="s">
        <v>254</v>
      </c>
      <c r="E148" s="119"/>
      <c r="G148" s="119"/>
      <c r="I148" s="119"/>
      <c r="J148" s="120" t="s">
        <v>141</v>
      </c>
      <c r="L148" s="34" t="s">
        <v>151</v>
      </c>
      <c r="M148" s="110"/>
      <c r="O148" s="110"/>
      <c r="Q148" s="110"/>
      <c r="R148" s="110" t="n">
        <v>0</v>
      </c>
      <c r="S148" s="110"/>
      <c r="T148" s="110"/>
      <c r="U148" s="110"/>
      <c r="V148" s="110"/>
      <c r="X148" s="110"/>
      <c r="Z148" s="110"/>
      <c r="AB148" s="110"/>
      <c r="AD148" s="110"/>
      <c r="BL148" s="110"/>
      <c r="BM148" s="110"/>
      <c r="BN148" s="110"/>
      <c r="BO148" s="110"/>
      <c r="BP148" s="110"/>
      <c r="BR148" s="110"/>
      <c r="BS148" s="110"/>
      <c r="BT148" s="110"/>
      <c r="BU148" s="110" t="n">
        <f aca="false">IF(+R148-BQ148+BS148&gt;0,R148-BQ148+BS148,0)</f>
        <v>0</v>
      </c>
      <c r="BW148" s="110" t="n">
        <f aca="false">+BQ148+BU148</f>
        <v>0</v>
      </c>
      <c r="BY148" s="110" t="n">
        <f aca="false">+R148-BW148</f>
        <v>0</v>
      </c>
      <c r="BZ148" s="110"/>
    </row>
    <row r="149" customFormat="false" ht="12.75" hidden="false" customHeight="false" outlineLevel="0" collapsed="false">
      <c r="A149" s="160"/>
      <c r="B149" s="174" t="s">
        <v>255</v>
      </c>
      <c r="C149" s="2"/>
      <c r="D149" s="2"/>
      <c r="E149" s="2"/>
      <c r="F149" s="2"/>
      <c r="G149" s="2"/>
      <c r="H149" s="2"/>
      <c r="I149" s="2"/>
      <c r="J149" s="3"/>
      <c r="K149" s="2"/>
      <c r="L149" s="179"/>
      <c r="M149" s="24"/>
      <c r="N149" s="198" t="n">
        <f aca="false">SUM(N145:N148)</f>
        <v>0</v>
      </c>
      <c r="O149" s="24"/>
      <c r="P149" s="198" t="n">
        <f aca="false">SUM(P145:P148)</f>
        <v>0</v>
      </c>
      <c r="Q149" s="24"/>
      <c r="R149" s="198" t="n">
        <f aca="false">SUM(R145:R148)</f>
        <v>369041</v>
      </c>
      <c r="S149" s="24"/>
      <c r="T149" s="198" t="n">
        <f aca="false">SUM(T145:T148)</f>
        <v>0</v>
      </c>
      <c r="U149" s="24"/>
      <c r="V149" s="198" t="n">
        <f aca="false">SUM(V145:V148)</f>
        <v>0</v>
      </c>
      <c r="W149" s="24"/>
      <c r="X149" s="198" t="n">
        <f aca="false">SUM(X145:X148)</f>
        <v>0</v>
      </c>
      <c r="Y149" s="24"/>
      <c r="Z149" s="198" t="n">
        <f aca="false">SUM(Z145:Z148)</f>
        <v>0</v>
      </c>
      <c r="AA149" s="24"/>
      <c r="AB149" s="198" t="n">
        <f aca="false">SUM(AB145:AB148)</f>
        <v>0</v>
      </c>
      <c r="AC149" s="24"/>
      <c r="AD149" s="198" t="n">
        <f aca="false">SUM(AD145:AD148)</f>
        <v>0</v>
      </c>
      <c r="AE149" s="24"/>
      <c r="AF149" s="198" t="n">
        <f aca="false">SUM(AF145:AF148)</f>
        <v>0</v>
      </c>
      <c r="AG149" s="24"/>
      <c r="AH149" s="198" t="n">
        <f aca="false">SUM(AH145:AH148)</f>
        <v>0</v>
      </c>
      <c r="AI149" s="24"/>
      <c r="AJ149" s="198" t="n">
        <f aca="false">SUM(AJ145:AJ148)</f>
        <v>0</v>
      </c>
      <c r="AK149" s="24"/>
      <c r="AL149" s="198" t="n">
        <f aca="false">SUM(AL145:AL148)</f>
        <v>369041</v>
      </c>
      <c r="AM149" s="198"/>
      <c r="AN149" s="198" t="n">
        <f aca="false">SUM(AN145:AN148)</f>
        <v>0</v>
      </c>
      <c r="AO149" s="24"/>
      <c r="AP149" s="198" t="n">
        <f aca="false">SUM(AP145:AP148)</f>
        <v>0</v>
      </c>
      <c r="AQ149" s="24"/>
      <c r="AR149" s="198" t="n">
        <f aca="false">SUM(AR145:AR148)</f>
        <v>0</v>
      </c>
      <c r="AS149" s="24"/>
      <c r="AT149" s="198" t="n">
        <f aca="false">SUM(AT145:AT148)</f>
        <v>0</v>
      </c>
      <c r="AU149" s="24"/>
      <c r="AV149" s="198" t="n">
        <f aca="false">SUM(AV145:AV148)</f>
        <v>14500</v>
      </c>
      <c r="AW149" s="24"/>
      <c r="AX149" s="198" t="n">
        <f aca="false">SUM(AX145:AX148)</f>
        <v>25010</v>
      </c>
      <c r="AY149" s="24"/>
      <c r="AZ149" s="198" t="n">
        <f aca="false">SUM(AZ145:AZ148)</f>
        <v>0</v>
      </c>
      <c r="BA149" s="24"/>
      <c r="BB149" s="198" t="n">
        <f aca="false">SUM(BB145:BB148)</f>
        <v>0</v>
      </c>
      <c r="BD149" s="198" t="n">
        <f aca="false">SUM(BD145:BD148)</f>
        <v>0</v>
      </c>
      <c r="BF149" s="198" t="n">
        <f aca="false">SUM(BF145:BF148)</f>
        <v>0</v>
      </c>
      <c r="BG149" s="24"/>
      <c r="BH149" s="198" t="n">
        <f aca="false">SUM(BH145:BH148)</f>
        <v>20000</v>
      </c>
      <c r="BI149" s="24"/>
      <c r="BJ149" s="198" t="n">
        <f aca="false">SUM(BJ145:BJ148)</f>
        <v>0</v>
      </c>
      <c r="BK149" s="24"/>
      <c r="BL149" s="198" t="n">
        <f aca="false">SUM(BL145:BL148)</f>
        <v>54315</v>
      </c>
      <c r="BM149" s="198" t="n">
        <f aca="false">SUM(BM145:BM148)</f>
        <v>0</v>
      </c>
      <c r="BN149" s="198"/>
      <c r="BO149" s="198" t="n">
        <f aca="false">SUM(BO145:BO148)</f>
        <v>0</v>
      </c>
      <c r="BP149" s="24"/>
      <c r="BQ149" s="198" t="n">
        <f aca="false">SUM(BQ145:BQ148)</f>
        <v>482866</v>
      </c>
      <c r="BR149" s="24"/>
      <c r="BS149" s="198" t="n">
        <f aca="false">SUM(BS145:BS148)</f>
        <v>54315</v>
      </c>
      <c r="BT149" s="24"/>
      <c r="BU149" s="198" t="n">
        <f aca="false">SUM(BU145:BU148)</f>
        <v>0</v>
      </c>
      <c r="BV149" s="24"/>
      <c r="BW149" s="198" t="n">
        <f aca="false">SUM(BW145:BW148)</f>
        <v>482866</v>
      </c>
      <c r="BX149" s="24"/>
      <c r="BY149" s="198" t="n">
        <f aca="false">SUM(BY145:BY148)</f>
        <v>-113825</v>
      </c>
      <c r="BZ149" s="24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60"/>
      <c r="B150" s="174"/>
      <c r="C150" s="2"/>
      <c r="D150" s="2"/>
      <c r="E150" s="2"/>
      <c r="F150" s="2"/>
      <c r="G150" s="2"/>
      <c r="H150" s="2"/>
      <c r="I150" s="2"/>
      <c r="J150" s="3"/>
      <c r="K150" s="2"/>
      <c r="L150" s="3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D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60" t="s">
        <v>256</v>
      </c>
      <c r="B151" s="118"/>
      <c r="C151" s="0"/>
      <c r="D151" s="0"/>
      <c r="E151" s="0"/>
      <c r="F151" s="0"/>
      <c r="G151" s="0"/>
      <c r="H151" s="0"/>
      <c r="I151" s="0"/>
      <c r="J151" s="4"/>
      <c r="K151" s="0"/>
      <c r="L151" s="34"/>
      <c r="M151" s="110"/>
      <c r="O151" s="110"/>
      <c r="Q151" s="110"/>
      <c r="S151" s="110"/>
      <c r="T151" s="110"/>
      <c r="U151" s="110"/>
      <c r="V151" s="110"/>
      <c r="X151" s="110"/>
      <c r="Z151" s="110"/>
      <c r="AB151" s="110"/>
      <c r="AD151" s="110"/>
      <c r="BL151" s="110"/>
      <c r="BM151" s="110"/>
      <c r="BN151" s="110"/>
      <c r="BO151" s="110"/>
      <c r="BP151" s="110"/>
      <c r="BR151" s="110"/>
      <c r="BS151" s="110"/>
      <c r="BT151" s="110"/>
      <c r="BZ151" s="110"/>
    </row>
    <row r="152" customFormat="false" ht="12.75" hidden="false" customHeight="false" outlineLevel="0" collapsed="false">
      <c r="A152" s="160"/>
      <c r="B152" s="118" t="s">
        <v>377</v>
      </c>
      <c r="C152" s="0"/>
      <c r="D152" s="0"/>
      <c r="E152" s="0"/>
      <c r="F152" s="0"/>
      <c r="G152" s="0"/>
      <c r="H152" s="0"/>
      <c r="I152" s="0"/>
      <c r="J152" s="4"/>
      <c r="K152" s="0"/>
      <c r="L152" s="34" t="s">
        <v>258</v>
      </c>
      <c r="M152" s="110"/>
      <c r="N152" s="110" t="n">
        <v>0</v>
      </c>
      <c r="O152" s="110"/>
      <c r="P152" s="110" t="n">
        <v>0</v>
      </c>
      <c r="Q152" s="110"/>
      <c r="R152" s="110" t="n">
        <v>69419</v>
      </c>
      <c r="S152" s="110"/>
      <c r="T152" s="110"/>
      <c r="U152" s="110"/>
      <c r="V152" s="110"/>
      <c r="X152" s="110"/>
      <c r="Z152" s="110"/>
      <c r="AB152" s="110"/>
      <c r="AD152" s="110"/>
      <c r="AL152" s="110" t="n">
        <v>69419</v>
      </c>
      <c r="AN152" s="110" t="n">
        <v>0</v>
      </c>
      <c r="AP152" s="110" t="n">
        <v>0</v>
      </c>
      <c r="AR152" s="110" t="n">
        <v>0</v>
      </c>
      <c r="AT152" s="110" t="n">
        <v>0</v>
      </c>
      <c r="AV152" s="110" t="n">
        <v>0</v>
      </c>
      <c r="AX152" s="110" t="n">
        <v>0</v>
      </c>
      <c r="AZ152" s="110" t="n">
        <v>0</v>
      </c>
      <c r="BB152" s="110" t="n">
        <v>0</v>
      </c>
      <c r="BD152" s="110" t="n">
        <v>0</v>
      </c>
      <c r="BF152" s="110" t="n">
        <v>0</v>
      </c>
      <c r="BH152" s="110" t="n">
        <v>0</v>
      </c>
      <c r="BJ152" s="110" t="n">
        <v>0</v>
      </c>
      <c r="BL152" s="110" t="n">
        <v>0</v>
      </c>
      <c r="BM152" s="110" t="n">
        <v>0</v>
      </c>
      <c r="BN152" s="110"/>
      <c r="BO152" s="110" t="n">
        <v>0</v>
      </c>
      <c r="BP152" s="110"/>
      <c r="BQ152" s="110" t="n">
        <f aca="false">SUM(T152:BP152)</f>
        <v>69419</v>
      </c>
      <c r="BR152" s="110"/>
      <c r="BS152" s="122" t="n">
        <v>0</v>
      </c>
      <c r="BT152" s="110"/>
      <c r="BU152" s="110" t="n">
        <f aca="false">IF(+R152-BQ152+BS152&gt;0,R152-BQ152+BS152,0)</f>
        <v>0</v>
      </c>
      <c r="BW152" s="110" t="n">
        <f aca="false">+BQ152+BU152</f>
        <v>69419</v>
      </c>
      <c r="BY152" s="110" t="n">
        <f aca="false">+R152-BW152</f>
        <v>0</v>
      </c>
      <c r="BZ152" s="110"/>
    </row>
    <row r="153" customFormat="false" ht="12.75" hidden="false" customHeight="false" outlineLevel="0" collapsed="false">
      <c r="A153" s="164"/>
      <c r="B153" s="161" t="s">
        <v>378</v>
      </c>
      <c r="C153" s="0"/>
      <c r="D153" s="0"/>
      <c r="E153" s="0"/>
      <c r="F153" s="0"/>
      <c r="G153" s="0"/>
      <c r="H153" s="0"/>
      <c r="I153" s="0"/>
      <c r="J153" s="4"/>
      <c r="K153" s="0"/>
      <c r="L153" s="34" t="s">
        <v>258</v>
      </c>
      <c r="M153" s="110"/>
      <c r="N153" s="110" t="n">
        <v>0</v>
      </c>
      <c r="O153" s="110"/>
      <c r="P153" s="110" t="n">
        <v>0</v>
      </c>
      <c r="Q153" s="110"/>
      <c r="R153" s="110" t="n">
        <v>0</v>
      </c>
      <c r="S153" s="110"/>
      <c r="T153" s="110"/>
      <c r="U153" s="110"/>
      <c r="V153" s="110"/>
      <c r="X153" s="110"/>
      <c r="Z153" s="110"/>
      <c r="AB153" s="110"/>
      <c r="AD153" s="110"/>
      <c r="AN153" s="110" t="n">
        <v>0</v>
      </c>
      <c r="AP153" s="110" t="n">
        <v>0</v>
      </c>
      <c r="AR153" s="110" t="n">
        <v>0</v>
      </c>
      <c r="AT153" s="110" t="n">
        <v>0</v>
      </c>
      <c r="AV153" s="110" t="n">
        <v>0</v>
      </c>
      <c r="AX153" s="110" t="n">
        <v>0</v>
      </c>
      <c r="BH153" s="110" t="n">
        <v>0</v>
      </c>
      <c r="BL153" s="110" t="n">
        <v>0</v>
      </c>
      <c r="BM153" s="110" t="n">
        <v>0</v>
      </c>
      <c r="BN153" s="110"/>
      <c r="BO153" s="110" t="n">
        <v>0</v>
      </c>
      <c r="BP153" s="110"/>
      <c r="BQ153" s="110" t="n">
        <f aca="false">SUM(T153:BP153)</f>
        <v>0</v>
      </c>
      <c r="BR153" s="110"/>
      <c r="BS153" s="122" t="n">
        <v>0</v>
      </c>
      <c r="BT153" s="110"/>
      <c r="BU153" s="110" t="n">
        <f aca="false">IF(+R153-BQ153+BS153&gt;0,R153-BQ153+BS153,0)</f>
        <v>0</v>
      </c>
      <c r="BW153" s="110" t="n">
        <f aca="false">+BQ153+BU153</f>
        <v>0</v>
      </c>
      <c r="BY153" s="110" t="n">
        <f aca="false">+R153-BW153</f>
        <v>0</v>
      </c>
      <c r="BZ153" s="110"/>
    </row>
    <row r="154" customFormat="false" ht="12.75" hidden="false" customHeight="false" outlineLevel="0" collapsed="false">
      <c r="A154" s="164"/>
      <c r="B154" s="161" t="s">
        <v>379</v>
      </c>
      <c r="C154" s="0"/>
      <c r="D154" s="0"/>
      <c r="E154" s="0"/>
      <c r="F154" s="0"/>
      <c r="G154" s="0"/>
      <c r="H154" s="0"/>
      <c r="I154" s="0"/>
      <c r="J154" s="4"/>
      <c r="K154" s="0"/>
      <c r="L154" s="34" t="s">
        <v>258</v>
      </c>
      <c r="M154" s="110"/>
      <c r="O154" s="110"/>
      <c r="P154" s="110" t="n">
        <v>0</v>
      </c>
      <c r="Q154" s="110"/>
      <c r="R154" s="110" t="n">
        <v>0</v>
      </c>
      <c r="S154" s="110"/>
      <c r="T154" s="110"/>
      <c r="U154" s="110"/>
      <c r="V154" s="110"/>
      <c r="X154" s="110"/>
      <c r="Z154" s="110"/>
      <c r="AB154" s="110"/>
      <c r="AD154" s="110"/>
      <c r="AN154" s="110" t="n">
        <v>0</v>
      </c>
      <c r="AP154" s="110" t="n">
        <v>0</v>
      </c>
      <c r="AR154" s="110" t="n">
        <v>0</v>
      </c>
      <c r="AT154" s="110" t="n">
        <v>0</v>
      </c>
      <c r="AV154" s="110" t="n">
        <v>0</v>
      </c>
      <c r="AX154" s="110" t="n">
        <v>0</v>
      </c>
      <c r="AZ154" s="110" t="n">
        <v>131064.3</v>
      </c>
      <c r="BB154" s="110" t="n">
        <v>2040.3</v>
      </c>
      <c r="BD154" s="110" t="n">
        <v>0</v>
      </c>
      <c r="BF154" s="110" t="n">
        <v>213078.6</v>
      </c>
      <c r="BH154" s="110" t="n">
        <v>0</v>
      </c>
      <c r="BJ154" s="110" t="n">
        <v>155653.44</v>
      </c>
      <c r="BL154" s="110" t="n">
        <v>0</v>
      </c>
      <c r="BM154" s="110" t="n">
        <v>0</v>
      </c>
      <c r="BN154" s="110"/>
      <c r="BO154" s="110" t="n">
        <v>0</v>
      </c>
      <c r="BP154" s="110"/>
      <c r="BQ154" s="110" t="n">
        <f aca="false">SUM(T154:BP154)</f>
        <v>501836.64</v>
      </c>
      <c r="BR154" s="110"/>
      <c r="BS154" s="122" t="n">
        <v>0</v>
      </c>
      <c r="BT154" s="110"/>
      <c r="BU154" s="110" t="n">
        <f aca="false">IF(+R154-BQ154+BS154&gt;0,R154-BQ154+BS154,0)</f>
        <v>0</v>
      </c>
      <c r="BW154" s="110" t="n">
        <f aca="false">+BQ154+BU154</f>
        <v>501836.64</v>
      </c>
      <c r="BY154" s="110" t="n">
        <f aca="false">+R154-BW154</f>
        <v>-501836.64</v>
      </c>
      <c r="BZ154" s="110"/>
    </row>
    <row r="155" customFormat="false" ht="12.75" hidden="false" customHeight="false" outlineLevel="0" collapsed="false">
      <c r="A155" s="164"/>
      <c r="B155" s="161" t="s">
        <v>380</v>
      </c>
      <c r="C155" s="0"/>
      <c r="D155" s="0"/>
      <c r="E155" s="0"/>
      <c r="F155" s="0"/>
      <c r="G155" s="0"/>
      <c r="H155" s="0"/>
      <c r="I155" s="0"/>
      <c r="J155" s="4"/>
      <c r="K155" s="0"/>
      <c r="L155" s="34" t="s">
        <v>258</v>
      </c>
      <c r="M155" s="110"/>
      <c r="O155" s="110"/>
      <c r="P155" s="110" t="n">
        <v>0</v>
      </c>
      <c r="Q155" s="110"/>
      <c r="R155" s="110" t="n">
        <v>0</v>
      </c>
      <c r="S155" s="110"/>
      <c r="T155" s="110"/>
      <c r="U155" s="110"/>
      <c r="V155" s="110"/>
      <c r="X155" s="110"/>
      <c r="Z155" s="110"/>
      <c r="AB155" s="110"/>
      <c r="AD155" s="110"/>
      <c r="AN155" s="110" t="n">
        <v>0</v>
      </c>
      <c r="AP155" s="110" t="n">
        <v>0</v>
      </c>
      <c r="AR155" s="110" t="n">
        <v>0</v>
      </c>
      <c r="AT155" s="110" t="n">
        <v>0</v>
      </c>
      <c r="AX155" s="110" t="n">
        <v>0</v>
      </c>
      <c r="AZ155" s="110" t="n">
        <v>0</v>
      </c>
      <c r="BB155" s="110" t="n">
        <v>0</v>
      </c>
      <c r="BD155" s="110" t="n">
        <v>0</v>
      </c>
      <c r="BF155" s="110" t="n">
        <v>0</v>
      </c>
      <c r="BH155" s="110" t="n">
        <v>0</v>
      </c>
      <c r="BJ155" s="110" t="n">
        <v>16722.88</v>
      </c>
      <c r="BL155" s="110" t="n">
        <v>18878</v>
      </c>
      <c r="BM155" s="110" t="n">
        <v>0</v>
      </c>
      <c r="BN155" s="110"/>
      <c r="BO155" s="110" t="n">
        <v>0</v>
      </c>
      <c r="BP155" s="110"/>
      <c r="BQ155" s="110" t="n">
        <f aca="false">SUM(T155:BP155)</f>
        <v>35600.88</v>
      </c>
      <c r="BR155" s="110"/>
      <c r="BS155" s="122" t="n">
        <v>0</v>
      </c>
      <c r="BT155" s="110"/>
      <c r="BU155" s="110" t="n">
        <f aca="false">IF(+R155-BQ155+BS155&gt;0,R155-BQ155+BS155,0)</f>
        <v>0</v>
      </c>
      <c r="BW155" s="110" t="n">
        <f aca="false">+BQ155+BU155</f>
        <v>35600.88</v>
      </c>
      <c r="BY155" s="110" t="n">
        <f aca="false">+R155-BW155</f>
        <v>-35600.88</v>
      </c>
      <c r="BZ155" s="110"/>
    </row>
    <row r="156" customFormat="false" ht="12.75" hidden="false" customHeight="false" outlineLevel="0" collapsed="false">
      <c r="A156" s="164"/>
      <c r="B156" s="161" t="s">
        <v>381</v>
      </c>
      <c r="C156" s="0"/>
      <c r="D156" s="0"/>
      <c r="E156" s="0"/>
      <c r="F156" s="0"/>
      <c r="G156" s="0"/>
      <c r="H156" s="0"/>
      <c r="I156" s="0"/>
      <c r="J156" s="4"/>
      <c r="K156" s="0"/>
      <c r="L156" s="34" t="s">
        <v>258</v>
      </c>
      <c r="M156" s="110"/>
      <c r="O156" s="110"/>
      <c r="P156" s="110" t="n">
        <v>0</v>
      </c>
      <c r="Q156" s="110"/>
      <c r="R156" s="110" t="n">
        <v>0</v>
      </c>
      <c r="S156" s="110"/>
      <c r="T156" s="110"/>
      <c r="U156" s="110"/>
      <c r="V156" s="110"/>
      <c r="X156" s="110"/>
      <c r="Z156" s="110"/>
      <c r="AB156" s="110"/>
      <c r="AD156" s="110"/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 t="n">
        <v>0</v>
      </c>
      <c r="BN156" s="110"/>
      <c r="BO156" s="110" t="n">
        <v>0</v>
      </c>
      <c r="BP156" s="110"/>
      <c r="BQ156" s="110" t="n">
        <f aca="false">SUM(T156:BP156)</f>
        <v>0</v>
      </c>
      <c r="BR156" s="110"/>
      <c r="BS156" s="122" t="n">
        <v>0</v>
      </c>
      <c r="BT156" s="110"/>
      <c r="BU156" s="110" t="n">
        <f aca="false">IF(+R156-BQ156+BS156&gt;0,R156-BQ156+BS156,0)</f>
        <v>0</v>
      </c>
      <c r="BW156" s="110" t="n">
        <f aca="false">+BQ156+BU156</f>
        <v>0</v>
      </c>
      <c r="BY156" s="110" t="n">
        <f aca="false">+R156-BW156</f>
        <v>0</v>
      </c>
      <c r="BZ156" s="110"/>
    </row>
    <row r="157" customFormat="false" ht="12.75" hidden="false" customHeight="false" outlineLevel="0" collapsed="false">
      <c r="A157" s="164"/>
      <c r="B157" s="161" t="s">
        <v>128</v>
      </c>
      <c r="C157" s="0"/>
      <c r="D157" s="0"/>
      <c r="E157" s="0"/>
      <c r="F157" s="0"/>
      <c r="G157" s="0"/>
      <c r="H157" s="0"/>
      <c r="I157" s="0"/>
      <c r="J157" s="4"/>
      <c r="K157" s="0"/>
      <c r="L157" s="34"/>
      <c r="M157" s="110"/>
      <c r="O157" s="110"/>
      <c r="Q157" s="110"/>
      <c r="R157" s="110" t="n">
        <v>470581</v>
      </c>
      <c r="S157" s="110"/>
      <c r="T157" s="110"/>
      <c r="U157" s="110"/>
      <c r="V157" s="110"/>
      <c r="X157" s="110"/>
      <c r="Z157" s="110"/>
      <c r="AB157" s="110"/>
      <c r="AD157" s="110"/>
      <c r="AN157" s="110" t="n">
        <f aca="false">183926.3+6645.1</f>
        <v>190571.4</v>
      </c>
      <c r="AR157" s="110" t="n">
        <v>264856.32</v>
      </c>
      <c r="AV157" s="110" t="n">
        <v>38191.68</v>
      </c>
      <c r="AX157" s="110" t="n">
        <v>20091.86</v>
      </c>
      <c r="AZ157" s="110" t="n">
        <f aca="false">15594.76</f>
        <v>15594.76</v>
      </c>
      <c r="BD157" s="110" t="n">
        <f aca="false">49686.37+302</f>
        <v>49988.37</v>
      </c>
      <c r="BF157" s="110" t="n">
        <v>30443.56</v>
      </c>
      <c r="BL157" s="110" t="n">
        <f aca="false">21258+7631</f>
        <v>28889</v>
      </c>
      <c r="BM157" s="110"/>
      <c r="BN157" s="110"/>
      <c r="BO157" s="110" t="n">
        <v>0</v>
      </c>
      <c r="BP157" s="110"/>
      <c r="BQ157" s="110" t="n">
        <f aca="false">SUM(T157:BP157)</f>
        <v>638626.95</v>
      </c>
      <c r="BR157" s="110"/>
      <c r="BS157" s="122" t="n">
        <v>0</v>
      </c>
      <c r="BT157" s="110"/>
      <c r="BU157" s="110" t="n">
        <f aca="false">IF(+R157-BQ157+BS157&gt;0,R157-BQ157+BS157,0)</f>
        <v>0</v>
      </c>
      <c r="BW157" s="110" t="n">
        <f aca="false">+BQ157+BU157</f>
        <v>638626.95</v>
      </c>
      <c r="BY157" s="110" t="n">
        <f aca="false">+R157-BW157</f>
        <v>-168045.95</v>
      </c>
      <c r="BZ157" s="110"/>
    </row>
    <row r="158" customFormat="false" ht="12.75" hidden="false" customHeight="false" outlineLevel="0" collapsed="false">
      <c r="A158" s="164"/>
      <c r="B158" s="161"/>
      <c r="C158" s="0"/>
      <c r="D158" s="0"/>
      <c r="E158" s="0"/>
      <c r="F158" s="0"/>
      <c r="G158" s="0"/>
      <c r="H158" s="0"/>
      <c r="I158" s="0"/>
      <c r="J158" s="4"/>
      <c r="K158" s="0"/>
      <c r="L158" s="34"/>
      <c r="M158" s="110"/>
      <c r="O158" s="110"/>
      <c r="Q158" s="110"/>
      <c r="S158" s="110"/>
      <c r="T158" s="110"/>
      <c r="U158" s="110"/>
      <c r="V158" s="110"/>
      <c r="X158" s="110"/>
      <c r="Z158" s="110"/>
      <c r="AB158" s="110"/>
      <c r="AD158" s="110"/>
      <c r="BL158" s="110"/>
      <c r="BM158" s="110"/>
      <c r="BN158" s="110"/>
      <c r="BO158" s="110"/>
      <c r="BP158" s="110"/>
      <c r="BR158" s="110"/>
      <c r="BT158" s="110"/>
      <c r="BU158" s="110" t="n">
        <f aca="false">IF(+R158-BQ158+BS158&gt;0,R158-BQ158+BS158,0)</f>
        <v>0</v>
      </c>
      <c r="BZ158" s="110"/>
    </row>
    <row r="159" customFormat="false" ht="12.75" hidden="false" customHeight="false" outlineLevel="0" collapsed="false">
      <c r="A159" s="177"/>
      <c r="B159" s="160" t="s">
        <v>262</v>
      </c>
      <c r="C159" s="2"/>
      <c r="D159" s="2"/>
      <c r="E159" s="2"/>
      <c r="F159" s="2"/>
      <c r="G159" s="2"/>
      <c r="H159" s="2"/>
      <c r="I159" s="2"/>
      <c r="J159" s="3"/>
      <c r="K159" s="2"/>
      <c r="L159" s="179"/>
      <c r="M159" s="24"/>
      <c r="N159" s="198" t="n">
        <f aca="false">SUM(N152:N158)</f>
        <v>0</v>
      </c>
      <c r="O159" s="24"/>
      <c r="P159" s="198" t="n">
        <f aca="false">SUM(P152:P158)</f>
        <v>0</v>
      </c>
      <c r="Q159" s="24"/>
      <c r="R159" s="198" t="n">
        <f aca="false">SUM(R152:R158)</f>
        <v>540000</v>
      </c>
      <c r="S159" s="24"/>
      <c r="T159" s="198" t="n">
        <f aca="false">SUM(T152:T158)</f>
        <v>0</v>
      </c>
      <c r="U159" s="24"/>
      <c r="V159" s="198" t="n">
        <f aca="false">SUM(V152:V158)</f>
        <v>0</v>
      </c>
      <c r="W159" s="24"/>
      <c r="X159" s="198" t="n">
        <f aca="false">SUM(X152:X158)</f>
        <v>0</v>
      </c>
      <c r="Y159" s="24"/>
      <c r="Z159" s="198" t="n">
        <f aca="false">SUM(Z152:Z158)</f>
        <v>0</v>
      </c>
      <c r="AA159" s="24"/>
      <c r="AB159" s="198" t="n">
        <f aca="false">SUM(AB152:AB158)</f>
        <v>0</v>
      </c>
      <c r="AC159" s="24"/>
      <c r="AD159" s="198" t="n">
        <f aca="false">SUM(AD152:AD158)</f>
        <v>0</v>
      </c>
      <c r="AE159" s="24"/>
      <c r="AF159" s="198" t="n">
        <f aca="false">SUM(AF152:AF158)</f>
        <v>0</v>
      </c>
      <c r="AG159" s="24"/>
      <c r="AH159" s="198" t="n">
        <f aca="false">SUM(AH152:AH158)</f>
        <v>0</v>
      </c>
      <c r="AI159" s="24"/>
      <c r="AJ159" s="198" t="n">
        <f aca="false">SUM(AJ152:AJ158)</f>
        <v>0</v>
      </c>
      <c r="AK159" s="24"/>
      <c r="AL159" s="198" t="n">
        <f aca="false">SUM(AL152:AL158)</f>
        <v>69419</v>
      </c>
      <c r="AM159" s="198"/>
      <c r="AN159" s="198" t="n">
        <f aca="false">SUM(AN152:AN158)</f>
        <v>190571.4</v>
      </c>
      <c r="AO159" s="24"/>
      <c r="AP159" s="198" t="n">
        <f aca="false">SUM(AP152:AP158)</f>
        <v>0</v>
      </c>
      <c r="AQ159" s="24"/>
      <c r="AR159" s="198" t="n">
        <f aca="false">SUM(AR152:AR158)</f>
        <v>264856.32</v>
      </c>
      <c r="AS159" s="24"/>
      <c r="AT159" s="198" t="n">
        <f aca="false">SUM(AT152:AT158)</f>
        <v>0</v>
      </c>
      <c r="AU159" s="24"/>
      <c r="AV159" s="198" t="n">
        <f aca="false">SUM(AV152:AV158)</f>
        <v>38191.68</v>
      </c>
      <c r="AW159" s="24"/>
      <c r="AX159" s="198" t="n">
        <f aca="false">SUM(AX152:AX158)</f>
        <v>20091.86</v>
      </c>
      <c r="AY159" s="24"/>
      <c r="AZ159" s="198" t="n">
        <f aca="false">SUM(AZ152:AZ158)</f>
        <v>146659.06</v>
      </c>
      <c r="BA159" s="24"/>
      <c r="BB159" s="198" t="n">
        <f aca="false">SUM(BB152:BB158)</f>
        <v>2040.3</v>
      </c>
      <c r="BD159" s="198" t="n">
        <f aca="false">SUM(BD152:BD158)</f>
        <v>49988.37</v>
      </c>
      <c r="BF159" s="198" t="n">
        <f aca="false">SUM(BF152:BF158)</f>
        <v>243522.16</v>
      </c>
      <c r="BG159" s="24"/>
      <c r="BH159" s="198" t="n">
        <f aca="false">SUM(BH152:BH158)</f>
        <v>0</v>
      </c>
      <c r="BI159" s="24"/>
      <c r="BJ159" s="198" t="n">
        <f aca="false">SUM(BJ152:BJ158)</f>
        <v>172376.32</v>
      </c>
      <c r="BK159" s="24"/>
      <c r="BL159" s="198" t="n">
        <f aca="false">SUM(BL152:BL158)</f>
        <v>47767</v>
      </c>
      <c r="BM159" s="198" t="n">
        <f aca="false">SUM(BM152:BM158)</f>
        <v>0</v>
      </c>
      <c r="BN159" s="198"/>
      <c r="BO159" s="198" t="n">
        <f aca="false">SUM(BO152:BO158)</f>
        <v>0</v>
      </c>
      <c r="BP159" s="24"/>
      <c r="BQ159" s="198" t="n">
        <f aca="false">SUM(BQ152:BQ158)</f>
        <v>1245483.47</v>
      </c>
      <c r="BR159" s="24"/>
      <c r="BS159" s="198" t="n">
        <f aca="false">SUM(BS152:BS158)</f>
        <v>0</v>
      </c>
      <c r="BT159" s="24"/>
      <c r="BU159" s="198" t="n">
        <f aca="false">SUM(BU152:BU158)</f>
        <v>0</v>
      </c>
      <c r="BV159" s="24"/>
      <c r="BW159" s="198" t="n">
        <f aca="false">SUM(BW152:BW158)</f>
        <v>1245483.47</v>
      </c>
      <c r="BX159" s="24"/>
      <c r="BY159" s="198" t="n">
        <f aca="false">SUM(BY152:BY158)</f>
        <v>-705483.47</v>
      </c>
      <c r="BZ159" s="24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2.75" hidden="false" customHeight="false" outlineLevel="0" collapsed="false">
      <c r="A160" s="177"/>
      <c r="B160" s="160"/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D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 t="n">
        <v>0</v>
      </c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60" t="s">
        <v>406</v>
      </c>
      <c r="B161" s="118"/>
      <c r="C161" s="0"/>
      <c r="D161" s="0"/>
      <c r="E161" s="0"/>
      <c r="F161" s="0"/>
      <c r="G161" s="0"/>
      <c r="H161" s="0"/>
      <c r="I161" s="0"/>
      <c r="J161" s="0"/>
      <c r="K161" s="34"/>
      <c r="L161" s="110"/>
      <c r="M161" s="110"/>
      <c r="O161" s="110"/>
      <c r="Q161" s="110"/>
      <c r="S161" s="110"/>
      <c r="T161" s="110"/>
      <c r="U161" s="110"/>
      <c r="V161" s="110"/>
      <c r="X161" s="110"/>
      <c r="Z161" s="110"/>
      <c r="AB161" s="110"/>
      <c r="AD161" s="110"/>
      <c r="BL161" s="110"/>
      <c r="BM161" s="110"/>
      <c r="BN161" s="110"/>
      <c r="BO161" s="110"/>
      <c r="BP161" s="110"/>
      <c r="BR161" s="110"/>
      <c r="BS161" s="110"/>
      <c r="BT161" s="110"/>
      <c r="BY161" s="119"/>
    </row>
    <row r="162" customFormat="false" ht="12.75" hidden="false" customHeight="false" outlineLevel="0" collapsed="false">
      <c r="A162" s="160"/>
      <c r="B162" s="118" t="s">
        <v>383</v>
      </c>
      <c r="C162" s="0"/>
      <c r="D162" s="0"/>
      <c r="E162" s="0"/>
      <c r="F162" s="0"/>
      <c r="G162" s="0"/>
      <c r="H162" s="0"/>
      <c r="I162" s="0"/>
      <c r="J162" s="0"/>
      <c r="K162" s="34" t="s">
        <v>151</v>
      </c>
      <c r="L162" s="110"/>
      <c r="M162" s="110" t="n">
        <v>0</v>
      </c>
      <c r="O162" s="110" t="n">
        <v>60000</v>
      </c>
      <c r="Q162" s="110" t="n">
        <f aca="false">+M162+O162</f>
        <v>60000</v>
      </c>
      <c r="R162" s="110" t="n">
        <v>60000</v>
      </c>
      <c r="S162" s="110"/>
      <c r="T162" s="110" t="n">
        <v>0</v>
      </c>
      <c r="U162" s="110"/>
      <c r="V162" s="119"/>
      <c r="X162" s="110" t="n">
        <v>0</v>
      </c>
      <c r="Z162" s="110" t="n">
        <v>0</v>
      </c>
      <c r="AB162" s="110" t="n">
        <v>0</v>
      </c>
      <c r="AD162" s="110" t="n">
        <v>0</v>
      </c>
      <c r="AF162" s="110" t="n">
        <v>0</v>
      </c>
      <c r="AH162" s="110" t="n">
        <v>0</v>
      </c>
      <c r="AJ162" s="110" t="n">
        <v>0</v>
      </c>
      <c r="AN162" s="110" t="n">
        <v>0</v>
      </c>
      <c r="AP162" s="110" t="n">
        <v>7500</v>
      </c>
      <c r="AR162" s="110" t="n">
        <v>0</v>
      </c>
      <c r="AT162" s="110" t="n">
        <v>7500</v>
      </c>
      <c r="AV162" s="110" t="n">
        <v>20486.25</v>
      </c>
      <c r="AX162" s="110" t="n">
        <v>0</v>
      </c>
      <c r="AZ162" s="110" t="n">
        <v>0</v>
      </c>
      <c r="BD162" s="110" t="n">
        <v>110182.74</v>
      </c>
      <c r="BJ162" s="110" t="n">
        <v>0</v>
      </c>
      <c r="BL162" s="110"/>
      <c r="BM162" s="110" t="n">
        <v>0</v>
      </c>
      <c r="BN162" s="110"/>
      <c r="BO162" s="110"/>
      <c r="BP162" s="110"/>
      <c r="BQ162" s="110" t="n">
        <f aca="false">SUM(T162:BP162)</f>
        <v>145668.99</v>
      </c>
      <c r="BR162" s="110"/>
      <c r="BS162" s="110" t="n">
        <v>0</v>
      </c>
      <c r="BT162" s="110"/>
      <c r="BU162" s="110" t="n">
        <v>225000</v>
      </c>
      <c r="BW162" s="110" t="n">
        <f aca="false">+BQ162+BU162</f>
        <v>370668.99</v>
      </c>
      <c r="BY162" s="110" t="n">
        <f aca="false">+R162-BW162</f>
        <v>-310668.99</v>
      </c>
    </row>
    <row r="163" customFormat="false" ht="12.75" hidden="false" customHeight="false" outlineLevel="0" collapsed="false">
      <c r="A163" s="160"/>
      <c r="B163" s="118" t="s">
        <v>384</v>
      </c>
      <c r="C163" s="0"/>
      <c r="D163" s="0"/>
      <c r="E163" s="0"/>
      <c r="F163" s="0"/>
      <c r="G163" s="0"/>
      <c r="H163" s="0"/>
      <c r="I163" s="0"/>
      <c r="J163" s="0"/>
      <c r="K163" s="34" t="s">
        <v>151</v>
      </c>
      <c r="L163" s="110"/>
      <c r="M163" s="110" t="n">
        <v>7500</v>
      </c>
      <c r="O163" s="110" t="n">
        <f aca="false">35000-M163</f>
        <v>27500</v>
      </c>
      <c r="Q163" s="110" t="n">
        <f aca="false">+M163+O163</f>
        <v>35000</v>
      </c>
      <c r="R163" s="110" t="n">
        <v>35000</v>
      </c>
      <c r="S163" s="110"/>
      <c r="T163" s="110" t="n">
        <v>0</v>
      </c>
      <c r="U163" s="110"/>
      <c r="V163" s="110" t="n">
        <v>0</v>
      </c>
      <c r="X163" s="110" t="n">
        <v>0</v>
      </c>
      <c r="Z163" s="110" t="n">
        <v>0</v>
      </c>
      <c r="AB163" s="110" t="n">
        <v>0</v>
      </c>
      <c r="AD163" s="110" t="n">
        <v>0</v>
      </c>
      <c r="AF163" s="110" t="n">
        <v>0</v>
      </c>
      <c r="AH163" s="110" t="n">
        <v>0</v>
      </c>
      <c r="AJ163" s="110" t="n">
        <v>0</v>
      </c>
      <c r="AN163" s="110" t="n">
        <v>0</v>
      </c>
      <c r="AP163" s="110" t="n">
        <v>10517.87</v>
      </c>
      <c r="AR163" s="110" t="n">
        <v>0</v>
      </c>
      <c r="AT163" s="110" t="n">
        <v>0</v>
      </c>
      <c r="AV163" s="110" t="n">
        <v>0</v>
      </c>
      <c r="AX163" s="110" t="n">
        <v>0</v>
      </c>
      <c r="AZ163" s="110" t="n">
        <v>10602.45</v>
      </c>
      <c r="BB163" s="110" t="n">
        <v>37563.52</v>
      </c>
      <c r="BD163" s="110" t="n">
        <v>0</v>
      </c>
      <c r="BF163" s="110" t="n">
        <v>0</v>
      </c>
      <c r="BJ163" s="110" t="n">
        <v>0</v>
      </c>
      <c r="BL163" s="110" t="n">
        <v>0</v>
      </c>
      <c r="BM163" s="110" t="n">
        <v>0</v>
      </c>
      <c r="BN163" s="110"/>
      <c r="BO163" s="110" t="n">
        <v>0</v>
      </c>
      <c r="BP163" s="110"/>
      <c r="BQ163" s="110" t="n">
        <f aca="false">SUM(T163:BP163)</f>
        <v>58683.84</v>
      </c>
      <c r="BR163" s="110"/>
      <c r="BS163" s="110" t="n">
        <v>0</v>
      </c>
      <c r="BT163" s="110"/>
      <c r="BU163" s="110" t="n">
        <f aca="false">IF(+R163-BQ163+BS163&gt;0,R163-BQ163+BS163,0)</f>
        <v>0</v>
      </c>
      <c r="BW163" s="110" t="n">
        <f aca="false">+BQ163+BU163</f>
        <v>58683.84</v>
      </c>
      <c r="BY163" s="110" t="n">
        <f aca="false">+R163-BW163</f>
        <v>-23683.84</v>
      </c>
    </row>
    <row r="164" customFormat="false" ht="12.75" hidden="false" customHeight="false" outlineLevel="0" collapsed="false">
      <c r="A164" s="160"/>
      <c r="B164" s="118" t="s">
        <v>407</v>
      </c>
      <c r="C164" s="0"/>
      <c r="D164" s="0"/>
      <c r="E164" s="0"/>
      <c r="F164" s="0"/>
      <c r="G164" s="0"/>
      <c r="H164" s="0"/>
      <c r="I164" s="0"/>
      <c r="J164" s="0"/>
      <c r="K164" s="34" t="s">
        <v>151</v>
      </c>
      <c r="L164" s="246" t="n">
        <v>44468</v>
      </c>
      <c r="M164" s="110" t="n">
        <f aca="false">1992500</f>
        <v>1992500</v>
      </c>
      <c r="O164" s="110" t="n">
        <f aca="false">2200000-M164</f>
        <v>207500</v>
      </c>
      <c r="Q164" s="110" t="n">
        <f aca="false">+M164+O164</f>
        <v>2200000</v>
      </c>
      <c r="R164" s="110" t="n">
        <v>1604313</v>
      </c>
      <c r="S164" s="110"/>
      <c r="T164" s="110" t="n">
        <v>0</v>
      </c>
      <c r="U164" s="110"/>
      <c r="V164" s="110" t="n">
        <v>0</v>
      </c>
      <c r="X164" s="110" t="n">
        <v>0</v>
      </c>
      <c r="Z164" s="110" t="n">
        <v>0</v>
      </c>
      <c r="AB164" s="110" t="n">
        <v>0</v>
      </c>
      <c r="AD164" s="110" t="n">
        <v>0</v>
      </c>
      <c r="AF164" s="110" t="n">
        <v>0</v>
      </c>
      <c r="AH164" s="110" t="n">
        <v>0</v>
      </c>
      <c r="AJ164" s="110" t="n">
        <v>0</v>
      </c>
      <c r="AN164" s="110" t="n">
        <v>0</v>
      </c>
      <c r="AR164" s="110" t="n">
        <v>0</v>
      </c>
      <c r="AT164" s="110" t="n">
        <v>0</v>
      </c>
      <c r="AV164" s="110" t="n">
        <v>0</v>
      </c>
      <c r="AX164" s="110" t="n">
        <v>0</v>
      </c>
      <c r="AZ164" s="110" t="n">
        <v>0</v>
      </c>
      <c r="BB164" s="247" t="n">
        <f aca="false">4233+9786+3968+65917+481221+352403-1</f>
        <v>917527</v>
      </c>
      <c r="BD164" s="110" t="n">
        <v>0</v>
      </c>
      <c r="BF164" s="110" t="n">
        <v>0</v>
      </c>
      <c r="BL164" s="110" t="n">
        <v>356422</v>
      </c>
      <c r="BM164" s="110"/>
      <c r="BN164" s="110"/>
      <c r="BO164" s="110" t="n">
        <v>0</v>
      </c>
      <c r="BP164" s="110"/>
      <c r="BQ164" s="110" t="n">
        <f aca="false">SUM(T164:BP164)</f>
        <v>1273949</v>
      </c>
      <c r="BR164" s="110"/>
      <c r="BS164" s="110"/>
      <c r="BT164" s="110"/>
      <c r="BU164" s="110" t="n">
        <f aca="false">IF(+R164-BQ164+BS164&gt;0,R164-BQ164+BS164,0)</f>
        <v>330364</v>
      </c>
      <c r="BW164" s="110" t="n">
        <f aca="false">+BQ164+BU164</f>
        <v>1604313</v>
      </c>
      <c r="BY164" s="110" t="n">
        <f aca="false">+R164-BW164</f>
        <v>0</v>
      </c>
    </row>
    <row r="165" customFormat="false" ht="12.75" hidden="false" customHeight="false" outlineLevel="0" collapsed="false">
      <c r="A165" s="160"/>
      <c r="B165" s="118" t="s">
        <v>408</v>
      </c>
      <c r="C165" s="0"/>
      <c r="D165" s="0"/>
      <c r="E165" s="0"/>
      <c r="F165" s="0"/>
      <c r="G165" s="0"/>
      <c r="H165" s="0"/>
      <c r="I165" s="0"/>
      <c r="J165" s="0"/>
      <c r="K165" s="34"/>
      <c r="L165" s="246" t="n">
        <v>43853</v>
      </c>
      <c r="M165" s="110"/>
      <c r="O165" s="110"/>
      <c r="Q165" s="110"/>
      <c r="R165" s="110" t="n">
        <v>756363</v>
      </c>
      <c r="S165" s="110"/>
      <c r="T165" s="110"/>
      <c r="U165" s="110"/>
      <c r="V165" s="110"/>
      <c r="X165" s="110"/>
      <c r="Z165" s="110"/>
      <c r="AB165" s="110"/>
      <c r="AD165" s="110"/>
      <c r="BB165" s="110" t="n">
        <f aca="false">18675+43024+15924+156792+116797-1</f>
        <v>351211</v>
      </c>
      <c r="BL165" s="110" t="n">
        <v>413244</v>
      </c>
      <c r="BM165" s="110"/>
      <c r="BN165" s="110"/>
      <c r="BO165" s="110" t="n">
        <v>0</v>
      </c>
      <c r="BP165" s="110"/>
      <c r="BQ165" s="110" t="n">
        <f aca="false">SUM(T165:BP165)</f>
        <v>764455</v>
      </c>
      <c r="BR165" s="110"/>
      <c r="BS165" s="110"/>
      <c r="BT165" s="110"/>
      <c r="BU165" s="110" t="n">
        <f aca="false">IF(+R165-BQ165+BS165&gt;0,R165-BQ165+BS165,0)</f>
        <v>0</v>
      </c>
      <c r="BW165" s="110" t="n">
        <f aca="false">+BQ165+BU165</f>
        <v>764455</v>
      </c>
      <c r="BY165" s="110" t="n">
        <f aca="false">+R165-BW165</f>
        <v>-8092</v>
      </c>
    </row>
    <row r="166" customFormat="false" ht="12.75" hidden="false" customHeight="false" outlineLevel="0" collapsed="false">
      <c r="A166" s="160"/>
      <c r="B166" s="118" t="s">
        <v>409</v>
      </c>
      <c r="C166" s="0"/>
      <c r="D166" s="0"/>
      <c r="E166" s="0"/>
      <c r="F166" s="0"/>
      <c r="G166" s="0"/>
      <c r="H166" s="0"/>
      <c r="I166" s="0"/>
      <c r="J166" s="0"/>
      <c r="K166" s="34"/>
      <c r="L166" s="246" t="n">
        <v>60299</v>
      </c>
      <c r="M166" s="110"/>
      <c r="O166" s="110"/>
      <c r="Q166" s="110"/>
      <c r="R166" s="110" t="n">
        <v>21072</v>
      </c>
      <c r="S166" s="110"/>
      <c r="T166" s="110"/>
      <c r="U166" s="110"/>
      <c r="V166" s="110"/>
      <c r="X166" s="110"/>
      <c r="Z166" s="110"/>
      <c r="AB166" s="110"/>
      <c r="AD166" s="110"/>
      <c r="BL166" s="110" t="n">
        <v>12</v>
      </c>
      <c r="BM166" s="110"/>
      <c r="BN166" s="110"/>
      <c r="BO166" s="110" t="n">
        <v>0</v>
      </c>
      <c r="BP166" s="110"/>
      <c r="BQ166" s="110" t="n">
        <f aca="false">SUM(T166:BP166)</f>
        <v>12</v>
      </c>
      <c r="BR166" s="110"/>
      <c r="BS166" s="110"/>
      <c r="BT166" s="110"/>
      <c r="BU166" s="110" t="n">
        <f aca="false">IF(+R166-BQ166+BS166&gt;0,R166-BQ166+BS166,0)</f>
        <v>21060</v>
      </c>
      <c r="BW166" s="110" t="n">
        <f aca="false">+BQ166+BU166</f>
        <v>21072</v>
      </c>
      <c r="BY166" s="110" t="n">
        <f aca="false">+R166-BW166</f>
        <v>0</v>
      </c>
    </row>
    <row r="167" customFormat="false" ht="12.75" hidden="false" customHeight="false" outlineLevel="0" collapsed="false">
      <c r="A167" s="160"/>
      <c r="B167" s="118" t="s">
        <v>410</v>
      </c>
      <c r="C167" s="0"/>
      <c r="D167" s="0"/>
      <c r="E167" s="0"/>
      <c r="F167" s="0"/>
      <c r="G167" s="0"/>
      <c r="H167" s="0"/>
      <c r="I167" s="0"/>
      <c r="J167" s="0"/>
      <c r="K167" s="34"/>
      <c r="L167" s="246" t="n">
        <v>45630</v>
      </c>
      <c r="M167" s="110"/>
      <c r="O167" s="110"/>
      <c r="Q167" s="110"/>
      <c r="R167" s="110" t="n">
        <v>136716</v>
      </c>
      <c r="S167" s="110"/>
      <c r="T167" s="110"/>
      <c r="U167" s="110"/>
      <c r="V167" s="110"/>
      <c r="X167" s="110"/>
      <c r="Z167" s="110"/>
      <c r="AB167" s="110"/>
      <c r="AD167" s="110"/>
      <c r="BB167" s="110" t="n">
        <f aca="false">800+3344+41073+29332+7049</f>
        <v>81598</v>
      </c>
      <c r="BL167" s="110" t="n">
        <v>83542</v>
      </c>
      <c r="BM167" s="110"/>
      <c r="BN167" s="110"/>
      <c r="BO167" s="110" t="n">
        <v>0</v>
      </c>
      <c r="BP167" s="110"/>
      <c r="BQ167" s="110" t="n">
        <f aca="false">SUM(T167:BP167)</f>
        <v>165140</v>
      </c>
      <c r="BR167" s="110"/>
      <c r="BS167" s="110"/>
      <c r="BT167" s="110"/>
      <c r="BU167" s="110" t="n">
        <f aca="false">IF(+R167-BQ167+BS167&gt;0,R167-BQ167+BS167,0)</f>
        <v>0</v>
      </c>
      <c r="BW167" s="110" t="n">
        <f aca="false">+BQ167+BU167</f>
        <v>165140</v>
      </c>
      <c r="BY167" s="110" t="n">
        <f aca="false">+R167-BW167</f>
        <v>-28424</v>
      </c>
    </row>
    <row r="168" customFormat="false" ht="12.75" hidden="false" customHeight="false" outlineLevel="0" collapsed="false">
      <c r="A168" s="160"/>
      <c r="B168" s="118" t="s">
        <v>411</v>
      </c>
      <c r="C168" s="0"/>
      <c r="D168" s="0"/>
      <c r="E168" s="0"/>
      <c r="F168" s="0"/>
      <c r="G168" s="0"/>
      <c r="H168" s="0"/>
      <c r="I168" s="0"/>
      <c r="J168" s="0"/>
      <c r="K168" s="34"/>
      <c r="L168" s="246" t="n">
        <v>45631</v>
      </c>
      <c r="M168" s="110"/>
      <c r="O168" s="110"/>
      <c r="Q168" s="110"/>
      <c r="R168" s="110" t="n">
        <v>418906</v>
      </c>
      <c r="S168" s="110"/>
      <c r="T168" s="110"/>
      <c r="U168" s="110"/>
      <c r="V168" s="110"/>
      <c r="X168" s="110"/>
      <c r="Z168" s="110"/>
      <c r="AB168" s="110"/>
      <c r="AD168" s="110"/>
      <c r="BB168" s="110" t="n">
        <f aca="false">535+49417+54003+86107+62011-1</f>
        <v>252072</v>
      </c>
      <c r="BD168" s="110" t="n">
        <v>0</v>
      </c>
      <c r="BL168" s="110" t="n">
        <v>135113</v>
      </c>
      <c r="BM168" s="110"/>
      <c r="BN168" s="110"/>
      <c r="BO168" s="110" t="n">
        <v>0</v>
      </c>
      <c r="BP168" s="110"/>
      <c r="BQ168" s="110" t="n">
        <f aca="false">SUM(T168:BP168)</f>
        <v>387185</v>
      </c>
      <c r="BR168" s="110"/>
      <c r="BS168" s="110"/>
      <c r="BT168" s="110"/>
      <c r="BU168" s="110" t="n">
        <f aca="false">IF(+R168-BQ168+BS168&gt;0,R168-BQ168+BS168,0)</f>
        <v>31721</v>
      </c>
      <c r="BW168" s="110" t="n">
        <f aca="false">+BQ168+BU168</f>
        <v>418906</v>
      </c>
      <c r="BY168" s="110" t="n">
        <f aca="false">+R168-BW168</f>
        <v>0</v>
      </c>
    </row>
    <row r="169" customFormat="false" ht="12.75" hidden="false" customHeight="false" outlineLevel="0" collapsed="false">
      <c r="A169" s="160"/>
      <c r="B169" s="118" t="s">
        <v>412</v>
      </c>
      <c r="C169" s="0"/>
      <c r="D169" s="0"/>
      <c r="E169" s="0"/>
      <c r="F169" s="0"/>
      <c r="G169" s="0"/>
      <c r="H169" s="0"/>
      <c r="I169" s="0"/>
      <c r="J169" s="0"/>
      <c r="K169" s="34"/>
      <c r="L169" s="246" t="n">
        <v>45632</v>
      </c>
      <c r="M169" s="110"/>
      <c r="O169" s="110"/>
      <c r="Q169" s="110"/>
      <c r="R169" s="110" t="n">
        <v>80018</v>
      </c>
      <c r="S169" s="110"/>
      <c r="T169" s="110"/>
      <c r="U169" s="110"/>
      <c r="V169" s="110"/>
      <c r="X169" s="110"/>
      <c r="Z169" s="110"/>
      <c r="AB169" s="110"/>
      <c r="AD169" s="110"/>
      <c r="BB169" s="110" t="n">
        <f aca="false">2216+5019+7461+1503+34872</f>
        <v>51071</v>
      </c>
      <c r="BL169" s="110" t="n">
        <v>9422</v>
      </c>
      <c r="BM169" s="110"/>
      <c r="BN169" s="110"/>
      <c r="BO169" s="110" t="n">
        <v>0</v>
      </c>
      <c r="BP169" s="110"/>
      <c r="BQ169" s="110" t="n">
        <f aca="false">SUM(T169:BP169)</f>
        <v>60493</v>
      </c>
      <c r="BR169" s="110"/>
      <c r="BS169" s="110"/>
      <c r="BT169" s="110"/>
      <c r="BU169" s="110" t="n">
        <f aca="false">IF(+R169-BQ169+BS169&gt;0,R169-BQ169+BS169,0)</f>
        <v>19525</v>
      </c>
      <c r="BW169" s="110" t="n">
        <f aca="false">+BQ169+BU169</f>
        <v>80018</v>
      </c>
      <c r="BY169" s="110" t="n">
        <f aca="false">+R169-BW169</f>
        <v>0</v>
      </c>
    </row>
    <row r="170" customFormat="false" ht="12.75" hidden="false" customHeight="false" outlineLevel="0" collapsed="false">
      <c r="A170" s="160"/>
      <c r="B170" s="118" t="s">
        <v>413</v>
      </c>
      <c r="C170" s="0"/>
      <c r="D170" s="0"/>
      <c r="E170" s="0"/>
      <c r="F170" s="0"/>
      <c r="G170" s="0"/>
      <c r="H170" s="0"/>
      <c r="I170" s="0"/>
      <c r="J170" s="0"/>
      <c r="K170" s="34"/>
      <c r="L170" s="246" t="n">
        <v>45633</v>
      </c>
      <c r="M170" s="110"/>
      <c r="O170" s="110"/>
      <c r="Q170" s="110"/>
      <c r="R170" s="110" t="n">
        <v>50029</v>
      </c>
      <c r="S170" s="110"/>
      <c r="T170" s="110"/>
      <c r="U170" s="110"/>
      <c r="V170" s="110"/>
      <c r="X170" s="110"/>
      <c r="Z170" s="110"/>
      <c r="AB170" s="110"/>
      <c r="AD170" s="110"/>
      <c r="BB170" s="110" t="n">
        <f aca="false">1180+2747+5434+6643+21028</f>
        <v>37032</v>
      </c>
      <c r="BL170" s="110" t="n">
        <v>4223</v>
      </c>
      <c r="BM170" s="110"/>
      <c r="BN170" s="110"/>
      <c r="BO170" s="110" t="n">
        <v>0</v>
      </c>
      <c r="BP170" s="110"/>
      <c r="BQ170" s="110" t="n">
        <f aca="false">SUM(T170:BP170)</f>
        <v>41255</v>
      </c>
      <c r="BR170" s="110"/>
      <c r="BS170" s="110"/>
      <c r="BT170" s="110"/>
      <c r="BU170" s="110" t="n">
        <f aca="false">IF(+R170-BQ170+BS170&gt;0,R170-BQ170+BS170,0)</f>
        <v>8774</v>
      </c>
      <c r="BW170" s="110" t="n">
        <f aca="false">+BQ170+BU170</f>
        <v>50029</v>
      </c>
      <c r="BY170" s="110" t="n">
        <f aca="false">+R170-BW170</f>
        <v>0</v>
      </c>
    </row>
    <row r="171" customFormat="false" ht="12.75" hidden="false" customHeight="false" outlineLevel="0" collapsed="false">
      <c r="A171" s="160"/>
      <c r="B171" s="118" t="s">
        <v>414</v>
      </c>
      <c r="C171" s="0"/>
      <c r="D171" s="0"/>
      <c r="E171" s="0"/>
      <c r="F171" s="0"/>
      <c r="G171" s="0"/>
      <c r="H171" s="0"/>
      <c r="I171" s="0"/>
      <c r="J171" s="0"/>
      <c r="K171" s="34"/>
      <c r="L171" s="246" t="n">
        <v>45634</v>
      </c>
      <c r="M171" s="110"/>
      <c r="O171" s="110"/>
      <c r="Q171" s="110"/>
      <c r="R171" s="110" t="n">
        <v>61757</v>
      </c>
      <c r="S171" s="110"/>
      <c r="T171" s="110"/>
      <c r="U171" s="110"/>
      <c r="V171" s="110"/>
      <c r="X171" s="110"/>
      <c r="Z171" s="110"/>
      <c r="AB171" s="110"/>
      <c r="AD171" s="110"/>
      <c r="BB171" s="110" t="n">
        <f aca="false">1072+8128+10987+8103+2831</f>
        <v>31121</v>
      </c>
      <c r="BL171" s="110" t="n">
        <v>33409</v>
      </c>
      <c r="BM171" s="110"/>
      <c r="BN171" s="110"/>
      <c r="BO171" s="110" t="n">
        <v>0</v>
      </c>
      <c r="BP171" s="110"/>
      <c r="BQ171" s="110" t="n">
        <f aca="false">SUM(T171:BP171)</f>
        <v>64530</v>
      </c>
      <c r="BR171" s="110"/>
      <c r="BS171" s="110"/>
      <c r="BT171" s="110"/>
      <c r="BU171" s="110" t="n">
        <f aca="false">IF(+R171-BQ171+BS171&gt;0,R171-BQ171+BS171,0)</f>
        <v>0</v>
      </c>
      <c r="BW171" s="110" t="n">
        <f aca="false">+BQ171+BU171</f>
        <v>64530</v>
      </c>
      <c r="BY171" s="110" t="n">
        <f aca="false">+R171-BW171</f>
        <v>-2773</v>
      </c>
    </row>
    <row r="172" customFormat="false" ht="12.75" hidden="false" customHeight="false" outlineLevel="0" collapsed="false">
      <c r="A172" s="160"/>
      <c r="B172" s="118" t="s">
        <v>415</v>
      </c>
      <c r="C172" s="0"/>
      <c r="D172" s="0"/>
      <c r="E172" s="0"/>
      <c r="F172" s="0"/>
      <c r="G172" s="0"/>
      <c r="H172" s="0"/>
      <c r="I172" s="0"/>
      <c r="J172" s="0"/>
      <c r="K172" s="34"/>
      <c r="L172" s="246" t="n">
        <v>45635</v>
      </c>
      <c r="M172" s="110"/>
      <c r="O172" s="110"/>
      <c r="Q172" s="110"/>
      <c r="R172" s="110" t="n">
        <v>21962</v>
      </c>
      <c r="S172" s="110"/>
      <c r="T172" s="110"/>
      <c r="U172" s="110"/>
      <c r="V172" s="110"/>
      <c r="X172" s="110"/>
      <c r="Z172" s="110"/>
      <c r="AB172" s="110"/>
      <c r="AD172" s="110"/>
      <c r="BB172" s="110" t="n">
        <f aca="false">1397+1090+360</f>
        <v>2847</v>
      </c>
      <c r="BL172" s="110" t="n">
        <v>3400</v>
      </c>
      <c r="BM172" s="110"/>
      <c r="BN172" s="110"/>
      <c r="BO172" s="110" t="n">
        <v>0</v>
      </c>
      <c r="BP172" s="110"/>
      <c r="BQ172" s="110" t="n">
        <f aca="false">SUM(T172:BP172)</f>
        <v>6247</v>
      </c>
      <c r="BR172" s="110"/>
      <c r="BS172" s="110"/>
      <c r="BT172" s="110"/>
      <c r="BU172" s="110" t="n">
        <f aca="false">IF(+R172-BQ172+BS172&gt;0,R172-BQ172+BS172,0)</f>
        <v>15715</v>
      </c>
      <c r="BW172" s="110" t="n">
        <f aca="false">+BQ172+BU172</f>
        <v>21962</v>
      </c>
      <c r="BY172" s="110" t="n">
        <f aca="false">+R172-BW172</f>
        <v>0</v>
      </c>
    </row>
    <row r="173" customFormat="false" ht="12.75" hidden="false" customHeight="false" outlineLevel="0" collapsed="false">
      <c r="A173" s="160"/>
      <c r="B173" s="118" t="s">
        <v>416</v>
      </c>
      <c r="C173" s="0"/>
      <c r="D173" s="0"/>
      <c r="E173" s="0"/>
      <c r="F173" s="0"/>
      <c r="G173" s="0"/>
      <c r="H173" s="0"/>
      <c r="I173" s="0"/>
      <c r="J173" s="0"/>
      <c r="K173" s="34"/>
      <c r="L173" s="246" t="n">
        <v>45636</v>
      </c>
      <c r="M173" s="110"/>
      <c r="O173" s="110"/>
      <c r="Q173" s="110"/>
      <c r="R173" s="110" t="n">
        <v>125513</v>
      </c>
      <c r="S173" s="110"/>
      <c r="T173" s="110"/>
      <c r="U173" s="110"/>
      <c r="V173" s="110"/>
      <c r="X173" s="110"/>
      <c r="Z173" s="110"/>
      <c r="AB173" s="110"/>
      <c r="AD173" s="110"/>
      <c r="BB173" s="110" t="n">
        <f aca="false">21486+9708+3513+13253</f>
        <v>47960</v>
      </c>
      <c r="BL173" s="110" t="n">
        <v>43469</v>
      </c>
      <c r="BM173" s="110"/>
      <c r="BN173" s="110"/>
      <c r="BO173" s="110" t="n">
        <v>0</v>
      </c>
      <c r="BP173" s="110"/>
      <c r="BQ173" s="110" t="n">
        <f aca="false">SUM(T173:BP173)</f>
        <v>91429</v>
      </c>
      <c r="BR173" s="110"/>
      <c r="BS173" s="110"/>
      <c r="BT173" s="110"/>
      <c r="BU173" s="110" t="n">
        <f aca="false">IF(+R173-BQ173+BS173&gt;0,R173-BQ173+BS173,0)</f>
        <v>34084</v>
      </c>
      <c r="BW173" s="110" t="n">
        <f aca="false">+BQ173+BU173</f>
        <v>125513</v>
      </c>
      <c r="BY173" s="110" t="n">
        <f aca="false">+R173-BW173</f>
        <v>0</v>
      </c>
    </row>
    <row r="174" customFormat="false" ht="12.75" hidden="false" customHeight="false" outlineLevel="0" collapsed="false">
      <c r="A174" s="160"/>
      <c r="B174" s="118" t="s">
        <v>417</v>
      </c>
      <c r="C174" s="0"/>
      <c r="D174" s="0"/>
      <c r="E174" s="0"/>
      <c r="F174" s="0"/>
      <c r="G174" s="0"/>
      <c r="H174" s="0"/>
      <c r="I174" s="0"/>
      <c r="J174" s="0"/>
      <c r="K174" s="34"/>
      <c r="L174" s="246" t="n">
        <v>45637</v>
      </c>
      <c r="M174" s="110"/>
      <c r="O174" s="110"/>
      <c r="Q174" s="110"/>
      <c r="R174" s="110" t="n">
        <v>259130</v>
      </c>
      <c r="S174" s="110"/>
      <c r="T174" s="110"/>
      <c r="U174" s="110"/>
      <c r="V174" s="110"/>
      <c r="X174" s="110"/>
      <c r="Z174" s="110"/>
      <c r="AB174" s="110"/>
      <c r="AD174" s="110"/>
      <c r="BB174" s="110" t="n">
        <f aca="false">152+47111+9834+24500+36357</f>
        <v>117954</v>
      </c>
      <c r="BL174" s="110" t="n">
        <v>147961</v>
      </c>
      <c r="BM174" s="110"/>
      <c r="BN174" s="110"/>
      <c r="BO174" s="110" t="n">
        <v>0</v>
      </c>
      <c r="BP174" s="110"/>
      <c r="BQ174" s="110" t="n">
        <f aca="false">SUM(T174:BP174)</f>
        <v>265915</v>
      </c>
      <c r="BR174" s="110"/>
      <c r="BS174" s="110"/>
      <c r="BT174" s="110"/>
      <c r="BU174" s="110" t="n">
        <f aca="false">IF(+R174-BQ174+BS174&gt;0,R174-BQ174+BS174,0)</f>
        <v>0</v>
      </c>
      <c r="BW174" s="110" t="n">
        <f aca="false">+BQ174+BU174</f>
        <v>265915</v>
      </c>
      <c r="BY174" s="110" t="n">
        <f aca="false">+R174-BW174</f>
        <v>-6785</v>
      </c>
    </row>
    <row r="175" customFormat="false" ht="12.75" hidden="false" customHeight="false" outlineLevel="0" collapsed="false">
      <c r="A175" s="160"/>
      <c r="B175" s="118" t="s">
        <v>418</v>
      </c>
      <c r="C175" s="0"/>
      <c r="D175" s="0"/>
      <c r="E175" s="0"/>
      <c r="F175" s="0"/>
      <c r="G175" s="0"/>
      <c r="H175" s="0"/>
      <c r="I175" s="0"/>
      <c r="J175" s="0"/>
      <c r="K175" s="34"/>
      <c r="L175" s="246" t="n">
        <v>45638</v>
      </c>
      <c r="M175" s="110"/>
      <c r="O175" s="110"/>
      <c r="Q175" s="110"/>
      <c r="R175" s="110" t="n">
        <v>30502</v>
      </c>
      <c r="S175" s="110"/>
      <c r="T175" s="110"/>
      <c r="U175" s="110"/>
      <c r="V175" s="110"/>
      <c r="X175" s="110"/>
      <c r="Z175" s="110"/>
      <c r="AB175" s="110"/>
      <c r="AD175" s="110"/>
      <c r="BB175" s="110" t="n">
        <f aca="false">1610+1653+233+2316</f>
        <v>5812</v>
      </c>
      <c r="BL175" s="110" t="n">
        <v>14739</v>
      </c>
      <c r="BM175" s="110"/>
      <c r="BN175" s="110"/>
      <c r="BO175" s="110" t="n">
        <v>0</v>
      </c>
      <c r="BP175" s="110"/>
      <c r="BQ175" s="110" t="n">
        <f aca="false">SUM(T175:BP175)</f>
        <v>20551</v>
      </c>
      <c r="BR175" s="110"/>
      <c r="BS175" s="110"/>
      <c r="BT175" s="110"/>
      <c r="BU175" s="110" t="n">
        <f aca="false">IF(+R175-BQ175+BS175&gt;0,R175-BQ175+BS175,0)</f>
        <v>9951</v>
      </c>
      <c r="BW175" s="110" t="n">
        <f aca="false">+BQ175+BU175</f>
        <v>30502</v>
      </c>
      <c r="BY175" s="110" t="n">
        <f aca="false">+R175-BW175</f>
        <v>0</v>
      </c>
    </row>
    <row r="176" customFormat="false" ht="12.75" hidden="false" customHeight="false" outlineLevel="0" collapsed="false">
      <c r="A176" s="160"/>
      <c r="B176" s="118" t="s">
        <v>419</v>
      </c>
      <c r="C176" s="0"/>
      <c r="D176" s="0"/>
      <c r="E176" s="0"/>
      <c r="F176" s="0"/>
      <c r="G176" s="0"/>
      <c r="H176" s="0"/>
      <c r="I176" s="0"/>
      <c r="J176" s="0"/>
      <c r="K176" s="34"/>
      <c r="L176" s="246" t="n">
        <v>45639</v>
      </c>
      <c r="M176" s="110"/>
      <c r="O176" s="110"/>
      <c r="Q176" s="110"/>
      <c r="R176" s="110" t="n">
        <v>12923</v>
      </c>
      <c r="S176" s="110"/>
      <c r="T176" s="110"/>
      <c r="U176" s="110"/>
      <c r="V176" s="110"/>
      <c r="X176" s="110"/>
      <c r="Z176" s="110"/>
      <c r="AB176" s="110"/>
      <c r="AD176" s="110"/>
      <c r="BB176" s="110" t="n">
        <f aca="false">177+793+608+489</f>
        <v>2067</v>
      </c>
      <c r="BL176" s="110" t="n">
        <v>2705</v>
      </c>
      <c r="BM176" s="110"/>
      <c r="BN176" s="110"/>
      <c r="BO176" s="110" t="n">
        <v>0</v>
      </c>
      <c r="BP176" s="110"/>
      <c r="BQ176" s="110" t="n">
        <f aca="false">SUM(T176:BP176)</f>
        <v>4772</v>
      </c>
      <c r="BR176" s="110"/>
      <c r="BS176" s="110"/>
      <c r="BT176" s="110"/>
      <c r="BU176" s="110" t="n">
        <f aca="false">IF(+R176-BQ176+BS176&gt;0,R176-BQ176+BS176,0)</f>
        <v>8151</v>
      </c>
      <c r="BW176" s="110" t="n">
        <f aca="false">+BQ176+BU176</f>
        <v>12923</v>
      </c>
      <c r="BY176" s="110" t="n">
        <f aca="false">+R176-BW176</f>
        <v>0</v>
      </c>
    </row>
    <row r="177" customFormat="false" ht="12.75" hidden="false" customHeight="false" outlineLevel="0" collapsed="false">
      <c r="A177" s="160"/>
      <c r="B177" s="118" t="s">
        <v>420</v>
      </c>
      <c r="C177" s="0"/>
      <c r="D177" s="0"/>
      <c r="E177" s="0"/>
      <c r="F177" s="0"/>
      <c r="G177" s="0"/>
      <c r="H177" s="0"/>
      <c r="I177" s="0"/>
      <c r="J177" s="0"/>
      <c r="K177" s="34"/>
      <c r="L177" s="246" t="n">
        <v>45642</v>
      </c>
      <c r="M177" s="110"/>
      <c r="O177" s="110"/>
      <c r="Q177" s="110"/>
      <c r="R177" s="110" t="n">
        <v>29543</v>
      </c>
      <c r="S177" s="110"/>
      <c r="T177" s="110"/>
      <c r="U177" s="110"/>
      <c r="V177" s="110"/>
      <c r="X177" s="110"/>
      <c r="Z177" s="110"/>
      <c r="AB177" s="110"/>
      <c r="AD177" s="110"/>
      <c r="BB177" s="110" t="n">
        <f aca="false">3035+4465+920+3264</f>
        <v>11684</v>
      </c>
      <c r="BL177" s="110" t="n">
        <v>14895</v>
      </c>
      <c r="BM177" s="110"/>
      <c r="BN177" s="110"/>
      <c r="BO177" s="110" t="n">
        <v>0</v>
      </c>
      <c r="BP177" s="110"/>
      <c r="BQ177" s="110" t="n">
        <f aca="false">SUM(T177:BP177)</f>
        <v>26579</v>
      </c>
      <c r="BR177" s="110"/>
      <c r="BS177" s="110"/>
      <c r="BT177" s="110"/>
      <c r="BU177" s="110" t="n">
        <f aca="false">IF(+R177-BQ177+BS177&gt;0,R177-BQ177+BS177,0)</f>
        <v>2964</v>
      </c>
      <c r="BW177" s="110" t="n">
        <f aca="false">+BQ177+BU177</f>
        <v>29543</v>
      </c>
      <c r="BY177" s="110" t="n">
        <f aca="false">+R177-BW177</f>
        <v>0</v>
      </c>
    </row>
    <row r="178" customFormat="false" ht="12.75" hidden="false" customHeight="false" outlineLevel="0" collapsed="false">
      <c r="A178" s="160"/>
      <c r="B178" s="118" t="s">
        <v>421</v>
      </c>
      <c r="C178" s="0"/>
      <c r="D178" s="0"/>
      <c r="E178" s="0"/>
      <c r="F178" s="0"/>
      <c r="G178" s="0"/>
      <c r="H178" s="0"/>
      <c r="I178" s="0"/>
      <c r="J178" s="0"/>
      <c r="K178" s="34"/>
      <c r="L178" s="246" t="n">
        <v>45643</v>
      </c>
      <c r="M178" s="110"/>
      <c r="O178" s="110"/>
      <c r="Q178" s="110"/>
      <c r="R178" s="110" t="n">
        <v>31391</v>
      </c>
      <c r="S178" s="110"/>
      <c r="T178" s="110"/>
      <c r="U178" s="110"/>
      <c r="V178" s="110"/>
      <c r="X178" s="110"/>
      <c r="Z178" s="110"/>
      <c r="AB178" s="110"/>
      <c r="AD178" s="110"/>
      <c r="BB178" s="110" t="n">
        <f aca="false">4715+8109+152+8983</f>
        <v>21959</v>
      </c>
      <c r="BL178" s="110" t="n">
        <v>9708</v>
      </c>
      <c r="BM178" s="110"/>
      <c r="BN178" s="110"/>
      <c r="BO178" s="110" t="n">
        <v>0</v>
      </c>
      <c r="BP178" s="110"/>
      <c r="BQ178" s="110" t="n">
        <f aca="false">SUM(T178:BP178)</f>
        <v>31667</v>
      </c>
      <c r="BR178" s="110"/>
      <c r="BS178" s="110"/>
      <c r="BT178" s="110"/>
      <c r="BU178" s="110" t="n">
        <f aca="false">IF(+R178-BQ178+BS178&gt;0,R178-BQ178+BS178,0)</f>
        <v>0</v>
      </c>
      <c r="BW178" s="110" t="n">
        <f aca="false">+BQ178+BU178</f>
        <v>31667</v>
      </c>
      <c r="BY178" s="110" t="n">
        <f aca="false">+R178-BW178</f>
        <v>-276</v>
      </c>
    </row>
    <row r="179" customFormat="false" ht="12.75" hidden="false" customHeight="false" outlineLevel="0" collapsed="false">
      <c r="A179" s="160"/>
      <c r="B179" s="118" t="s">
        <v>422</v>
      </c>
      <c r="C179" s="0"/>
      <c r="D179" s="0"/>
      <c r="E179" s="0"/>
      <c r="F179" s="0"/>
      <c r="G179" s="0"/>
      <c r="H179" s="0"/>
      <c r="I179" s="0"/>
      <c r="J179" s="0"/>
      <c r="K179" s="34"/>
      <c r="L179" s="246" t="n">
        <v>45644</v>
      </c>
      <c r="M179" s="110"/>
      <c r="O179" s="110"/>
      <c r="Q179" s="110"/>
      <c r="R179" s="110" t="n">
        <v>22237</v>
      </c>
      <c r="S179" s="110"/>
      <c r="T179" s="110"/>
      <c r="U179" s="110"/>
      <c r="V179" s="110"/>
      <c r="X179" s="110"/>
      <c r="Z179" s="110"/>
      <c r="AB179" s="110"/>
      <c r="AD179" s="110"/>
      <c r="BB179" s="110" t="n">
        <f aca="false">600+1287+1507+10660</f>
        <v>14054</v>
      </c>
      <c r="BL179" s="110" t="n">
        <v>4465</v>
      </c>
      <c r="BM179" s="110"/>
      <c r="BN179" s="110"/>
      <c r="BO179" s="110" t="n">
        <v>0</v>
      </c>
      <c r="BP179" s="110"/>
      <c r="BQ179" s="110" t="n">
        <f aca="false">SUM(T179:BP179)</f>
        <v>18519</v>
      </c>
      <c r="BR179" s="110"/>
      <c r="BS179" s="110"/>
      <c r="BT179" s="110"/>
      <c r="BU179" s="110" t="n">
        <f aca="false">IF(+R179-BQ179+BS179&gt;0,R179-BQ179+BS179,0)</f>
        <v>3718</v>
      </c>
      <c r="BW179" s="110" t="n">
        <f aca="false">+BQ179+BU179</f>
        <v>22237</v>
      </c>
      <c r="BY179" s="110" t="n">
        <f aca="false">+R179-BW179</f>
        <v>0</v>
      </c>
    </row>
    <row r="180" customFormat="false" ht="12.75" hidden="false" customHeight="false" outlineLevel="0" collapsed="false">
      <c r="A180" s="160"/>
      <c r="B180" s="118" t="s">
        <v>45</v>
      </c>
      <c r="C180" s="0"/>
      <c r="D180" s="0"/>
      <c r="E180" s="0"/>
      <c r="F180" s="0"/>
      <c r="G180" s="0"/>
      <c r="H180" s="0"/>
      <c r="I180" s="0"/>
      <c r="J180" s="0"/>
      <c r="K180" s="34"/>
      <c r="L180" s="246"/>
      <c r="M180" s="110"/>
      <c r="O180" s="110"/>
      <c r="Q180" s="110"/>
      <c r="S180" s="110"/>
      <c r="T180" s="110"/>
      <c r="U180" s="110"/>
      <c r="V180" s="110"/>
      <c r="X180" s="110"/>
      <c r="Z180" s="110"/>
      <c r="AB180" s="110"/>
      <c r="AD180" s="110"/>
      <c r="BB180" s="110" t="n">
        <v>837000</v>
      </c>
      <c r="BD180" s="110" t="n">
        <v>0</v>
      </c>
      <c r="BL180" s="110" t="n">
        <f aca="false">-837000+60000</f>
        <v>-777000</v>
      </c>
      <c r="BM180" s="110" t="n">
        <v>-327840</v>
      </c>
      <c r="BN180" s="110"/>
      <c r="BO180" s="110" t="n">
        <v>0</v>
      </c>
      <c r="BP180" s="110"/>
      <c r="BQ180" s="110" t="n">
        <f aca="false">SUM(T180:BP180)</f>
        <v>-267840</v>
      </c>
      <c r="BR180" s="110"/>
      <c r="BS180" s="110"/>
      <c r="BT180" s="110"/>
      <c r="BU180" s="110" t="n">
        <v>-837000</v>
      </c>
      <c r="BW180" s="110" t="n">
        <f aca="false">+BQ180+BU180</f>
        <v>-1104840</v>
      </c>
      <c r="BY180" s="110" t="n">
        <f aca="false">+R180-BW180</f>
        <v>1104840</v>
      </c>
    </row>
    <row r="181" customFormat="false" ht="12.75" hidden="false" customHeight="false" outlineLevel="0" collapsed="false">
      <c r="A181" s="160"/>
      <c r="B181" s="118" t="s">
        <v>423</v>
      </c>
      <c r="C181" s="0"/>
      <c r="D181" s="0"/>
      <c r="E181" s="0"/>
      <c r="F181" s="0"/>
      <c r="G181" s="0"/>
      <c r="H181" s="0"/>
      <c r="I181" s="0"/>
      <c r="J181" s="0"/>
      <c r="K181" s="34"/>
      <c r="L181" s="246"/>
      <c r="M181" s="110"/>
      <c r="O181" s="110"/>
      <c r="Q181" s="110"/>
      <c r="R181" s="110" t="n">
        <f aca="false">-3890117+2200000+132742</f>
        <v>-1557375</v>
      </c>
      <c r="S181" s="110"/>
      <c r="T181" s="110"/>
      <c r="U181" s="110"/>
      <c r="V181" s="110"/>
      <c r="X181" s="110"/>
      <c r="Z181" s="110"/>
      <c r="AB181" s="110"/>
      <c r="AD181" s="110"/>
      <c r="BL181" s="110"/>
      <c r="BM181" s="110"/>
      <c r="BN181" s="110"/>
      <c r="BO181" s="110"/>
      <c r="BP181" s="110"/>
      <c r="BQ181" s="110" t="n">
        <f aca="false">SUM(T181:BP181)</f>
        <v>0</v>
      </c>
      <c r="BR181" s="110"/>
      <c r="BS181" s="110" t="n">
        <v>1690117</v>
      </c>
      <c r="BT181" s="110"/>
      <c r="BU181" s="110" t="n">
        <f aca="false">IF(+R181-BQ181+BS181&gt;0,R181-BQ181+BS181,0)</f>
        <v>132742</v>
      </c>
      <c r="BW181" s="110" t="n">
        <f aca="false">+BQ181+BU181</f>
        <v>132742</v>
      </c>
      <c r="BY181" s="110" t="n">
        <f aca="false">+R181-BW181</f>
        <v>-1690117</v>
      </c>
    </row>
    <row r="182" customFormat="false" ht="12.75" hidden="false" customHeight="false" outlineLevel="0" collapsed="false">
      <c r="A182" s="160"/>
      <c r="B182" s="174" t="s">
        <v>386</v>
      </c>
      <c r="C182" s="2"/>
      <c r="D182" s="2"/>
      <c r="E182" s="2"/>
      <c r="F182" s="2"/>
      <c r="G182" s="2"/>
      <c r="H182" s="2"/>
      <c r="I182" s="2"/>
      <c r="J182" s="2"/>
      <c r="K182" s="179"/>
      <c r="L182" s="24"/>
      <c r="M182" s="198" t="n">
        <f aca="false">SUM(M162:M177)</f>
        <v>2000000</v>
      </c>
      <c r="N182" s="24"/>
      <c r="O182" s="198" t="n">
        <f aca="false">SUM(O162:O177)</f>
        <v>295000</v>
      </c>
      <c r="P182" s="24"/>
      <c r="Q182" s="198" t="n">
        <f aca="false">SUM(Q162:Q177)</f>
        <v>2295000</v>
      </c>
      <c r="R182" s="198" t="n">
        <f aca="false">SUM(R162:R181)</f>
        <v>2200000</v>
      </c>
      <c r="S182" s="24"/>
      <c r="T182" s="198" t="n">
        <f aca="false">SUM(T162:T177)</f>
        <v>0</v>
      </c>
      <c r="U182" s="24"/>
      <c r="V182" s="198" t="n">
        <f aca="false">SUM(V162:V177)</f>
        <v>0</v>
      </c>
      <c r="W182" s="24"/>
      <c r="X182" s="198" t="n">
        <f aca="false">SUM(X162:X177)</f>
        <v>0</v>
      </c>
      <c r="Y182" s="24"/>
      <c r="Z182" s="198" t="n">
        <f aca="false">SUM(Z162:Z177)</f>
        <v>0</v>
      </c>
      <c r="AA182" s="24"/>
      <c r="AB182" s="198" t="n">
        <f aca="false">SUM(AB162:AB177)</f>
        <v>0</v>
      </c>
      <c r="AC182" s="24"/>
      <c r="AD182" s="198" t="n">
        <f aca="false">SUM(AD162:AD177)</f>
        <v>0</v>
      </c>
      <c r="AE182" s="24"/>
      <c r="AF182" s="198" t="n">
        <f aca="false">SUM(AF162:AF177)</f>
        <v>0</v>
      </c>
      <c r="AG182" s="24"/>
      <c r="AH182" s="198" t="n">
        <f aca="false">SUM(AH162:AH177)</f>
        <v>0</v>
      </c>
      <c r="AI182" s="24"/>
      <c r="AJ182" s="198" t="n">
        <f aca="false">SUM(AJ162:AJ177)</f>
        <v>0</v>
      </c>
      <c r="AK182" s="24"/>
      <c r="AL182" s="198" t="n">
        <f aca="false">SUM(AL162:AL177)</f>
        <v>0</v>
      </c>
      <c r="AM182" s="198"/>
      <c r="AN182" s="198" t="n">
        <f aca="false">SUM(AN162:AN177)</f>
        <v>0</v>
      </c>
      <c r="AO182" s="24"/>
      <c r="AP182" s="198" t="n">
        <f aca="false">SUM(AP162:AP177)</f>
        <v>18017.87</v>
      </c>
      <c r="AQ182" s="24"/>
      <c r="AR182" s="198" t="n">
        <f aca="false">SUM(AR162:AR177)</f>
        <v>0</v>
      </c>
      <c r="AS182" s="24"/>
      <c r="AT182" s="198" t="n">
        <f aca="false">SUM(AT162:AT181)</f>
        <v>7500</v>
      </c>
      <c r="AU182" s="198" t="n">
        <f aca="false">SUM(AU162:AU181)</f>
        <v>0</v>
      </c>
      <c r="AV182" s="198" t="n">
        <f aca="false">SUM(AV162:AV181)</f>
        <v>20486.25</v>
      </c>
      <c r="AW182" s="198" t="n">
        <f aca="false">SUM(AW162:AW181)</f>
        <v>0</v>
      </c>
      <c r="AX182" s="198" t="n">
        <f aca="false">SUM(AX162:AX181)</f>
        <v>0</v>
      </c>
      <c r="AY182" s="198" t="n">
        <f aca="false">SUM(AY162:AY181)</f>
        <v>0</v>
      </c>
      <c r="AZ182" s="198" t="n">
        <f aca="false">SUM(AZ162:AZ181)</f>
        <v>10602.45</v>
      </c>
      <c r="BA182" s="198" t="n">
        <f aca="false">SUM(BA162:BA181)</f>
        <v>0</v>
      </c>
      <c r="BB182" s="198" t="n">
        <f aca="false">SUM(BB162:BB181)</f>
        <v>2820532.52</v>
      </c>
      <c r="BD182" s="198" t="n">
        <f aca="false">SUM(BD162:BD181)</f>
        <v>110182.74</v>
      </c>
      <c r="BF182" s="198" t="n">
        <f aca="false">SUM(BF162:BF181)</f>
        <v>0</v>
      </c>
      <c r="BG182" s="198" t="n">
        <f aca="false">SUM(BG162:BG181)</f>
        <v>0</v>
      </c>
      <c r="BH182" s="198" t="n">
        <f aca="false">SUM(BH162:BH181)</f>
        <v>0</v>
      </c>
      <c r="BI182" s="198" t="n">
        <f aca="false">SUM(BI162:BI181)</f>
        <v>0</v>
      </c>
      <c r="BJ182" s="198" t="n">
        <f aca="false">SUM(BJ162:BJ181)</f>
        <v>0</v>
      </c>
      <c r="BK182" s="198" t="n">
        <f aca="false">SUM(BK162:BK181)</f>
        <v>0</v>
      </c>
      <c r="BL182" s="198" t="n">
        <f aca="false">SUM(BL162:BL181)</f>
        <v>499729</v>
      </c>
      <c r="BM182" s="198" t="n">
        <f aca="false">SUM(BM162:BM181)</f>
        <v>-327840</v>
      </c>
      <c r="BN182" s="198"/>
      <c r="BO182" s="198" t="n">
        <f aca="false">SUM(BO162:BO181)</f>
        <v>0</v>
      </c>
      <c r="BP182" s="198" t="n">
        <f aca="false">SUM(BP162:BP181)</f>
        <v>0</v>
      </c>
      <c r="BQ182" s="198" t="n">
        <f aca="false">SUM(BQ162:BQ181)</f>
        <v>3159210.83</v>
      </c>
      <c r="BR182" s="198" t="n">
        <f aca="false">SUM(BR162:BR181)</f>
        <v>0</v>
      </c>
      <c r="BS182" s="198" t="n">
        <f aca="false">SUM(BS162:BS181)</f>
        <v>1690117</v>
      </c>
      <c r="BT182" s="198" t="n">
        <f aca="false">SUM(BT162:BT181)</f>
        <v>0</v>
      </c>
      <c r="BU182" s="198" t="n">
        <f aca="false">SUM(BU162:BU181)</f>
        <v>6769</v>
      </c>
      <c r="BV182" s="198" t="n">
        <f aca="false">SUM(BV162:BV181)</f>
        <v>0</v>
      </c>
      <c r="BW182" s="198" t="n">
        <f aca="false">SUM(BW162:BW181)</f>
        <v>3165979.83</v>
      </c>
      <c r="BX182" s="198" t="n">
        <f aca="false">SUM(BX162:BX181)</f>
        <v>0</v>
      </c>
      <c r="BY182" s="198" t="n">
        <f aca="false">SUM(BY162:BY181)</f>
        <v>-965979.83</v>
      </c>
      <c r="BZ182" s="198" t="n">
        <f aca="false">SUM(BZ162:BZ181)</f>
        <v>0</v>
      </c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2"/>
      <c r="K183" s="179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D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60" t="s">
        <v>264</v>
      </c>
      <c r="B184" s="174"/>
      <c r="C184" s="2"/>
      <c r="D184" s="2"/>
      <c r="E184" s="2"/>
      <c r="F184" s="2"/>
      <c r="G184" s="2"/>
      <c r="H184" s="2"/>
      <c r="I184" s="2"/>
      <c r="J184" s="3" t="s">
        <v>141</v>
      </c>
      <c r="K184" s="2"/>
      <c r="L184" s="34" t="s">
        <v>151</v>
      </c>
      <c r="M184" s="24"/>
      <c r="N184" s="24" t="n">
        <v>0</v>
      </c>
      <c r="O184" s="24"/>
      <c r="P184" s="24" t="n">
        <v>0</v>
      </c>
      <c r="Q184" s="24"/>
      <c r="R184" s="24" t="n">
        <v>1100000</v>
      </c>
      <c r="S184" s="24"/>
      <c r="T184" s="24" t="n">
        <v>0</v>
      </c>
      <c r="U184" s="24"/>
      <c r="V184" s="24" t="n">
        <v>0</v>
      </c>
      <c r="W184" s="24"/>
      <c r="X184" s="24" t="n">
        <v>0</v>
      </c>
      <c r="Y184" s="24"/>
      <c r="Z184" s="24" t="n">
        <v>0</v>
      </c>
      <c r="AA184" s="24"/>
      <c r="AB184" s="24" t="n">
        <v>0</v>
      </c>
      <c r="AC184" s="24"/>
      <c r="AD184" s="24" t="n">
        <v>0</v>
      </c>
      <c r="AE184" s="24"/>
      <c r="AF184" s="24" t="n">
        <v>0</v>
      </c>
      <c r="AG184" s="24"/>
      <c r="AH184" s="24" t="n">
        <v>0</v>
      </c>
      <c r="AI184" s="24"/>
      <c r="AJ184" s="24" t="n">
        <v>0</v>
      </c>
      <c r="AK184" s="24"/>
      <c r="AL184" s="24"/>
      <c r="AM184" s="24"/>
      <c r="AN184" s="24" t="n">
        <v>0</v>
      </c>
      <c r="AO184" s="24"/>
      <c r="AP184" s="24" t="n">
        <v>0</v>
      </c>
      <c r="AQ184" s="24"/>
      <c r="AR184" s="24" t="n">
        <v>0</v>
      </c>
      <c r="AS184" s="24"/>
      <c r="AT184" s="24" t="n">
        <v>0</v>
      </c>
      <c r="AU184" s="24"/>
      <c r="AV184" s="24" t="n">
        <v>0</v>
      </c>
      <c r="AW184" s="24"/>
      <c r="AX184" s="24" t="n">
        <v>0</v>
      </c>
      <c r="AY184" s="24"/>
      <c r="AZ184" s="24" t="n">
        <v>0</v>
      </c>
      <c r="BA184" s="24"/>
      <c r="BB184" s="24" t="n">
        <v>0</v>
      </c>
      <c r="BD184" s="24" t="n">
        <v>0</v>
      </c>
      <c r="BF184" s="24" t="n">
        <v>0</v>
      </c>
      <c r="BG184" s="24"/>
      <c r="BH184" s="24" t="n">
        <v>709845.77</v>
      </c>
      <c r="BI184" s="24"/>
      <c r="BJ184" s="24" t="n">
        <v>0</v>
      </c>
      <c r="BK184" s="24"/>
      <c r="BL184" s="24" t="n">
        <f aca="false">22193+13547+11294</f>
        <v>47034</v>
      </c>
      <c r="BM184" s="24" t="n">
        <v>50000</v>
      </c>
      <c r="BN184" s="24"/>
      <c r="BO184" s="24" t="n">
        <v>12522</v>
      </c>
      <c r="BP184" s="24"/>
      <c r="BQ184" s="24" t="n">
        <f aca="false">SUM(T184:BP184)</f>
        <v>819401.77</v>
      </c>
      <c r="BR184" s="24"/>
      <c r="BS184" s="24" t="n">
        <v>0</v>
      </c>
      <c r="BT184" s="24"/>
      <c r="BU184" s="110" t="n">
        <f aca="false">IF(+R184-BQ184+BS184&gt;0,R184-BQ184+BS184,0)</f>
        <v>280598.23</v>
      </c>
      <c r="BV184" s="24"/>
      <c r="BW184" s="24" t="n">
        <f aca="false">+BQ184+BU184</f>
        <v>1100000</v>
      </c>
      <c r="BX184" s="24"/>
      <c r="BY184" s="24" t="n">
        <f aca="false">+R184-BW184</f>
        <v>0</v>
      </c>
      <c r="BZ184" s="24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77"/>
      <c r="B185" s="160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D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197" t="s">
        <v>424</v>
      </c>
      <c r="B186" s="164"/>
      <c r="C186" s="0"/>
      <c r="D186" s="0"/>
      <c r="E186" s="0"/>
      <c r="F186" s="0"/>
      <c r="G186" s="0"/>
      <c r="H186" s="0"/>
      <c r="I186" s="0"/>
      <c r="J186" s="4"/>
      <c r="K186" s="0"/>
      <c r="L186" s="34"/>
      <c r="M186" s="110"/>
      <c r="O186" s="110"/>
      <c r="Q186" s="110"/>
      <c r="S186" s="110"/>
      <c r="T186" s="110"/>
      <c r="U186" s="110"/>
      <c r="V186" s="110"/>
      <c r="X186" s="110"/>
      <c r="Z186" s="110"/>
      <c r="AB186" s="110"/>
      <c r="AD186" s="110"/>
      <c r="BL186" s="110"/>
      <c r="BM186" s="110"/>
      <c r="BN186" s="110"/>
      <c r="BO186" s="110"/>
      <c r="BP186" s="110"/>
      <c r="BR186" s="110"/>
      <c r="BS186" s="110"/>
      <c r="BT186" s="110"/>
      <c r="BZ186" s="110"/>
      <c r="CA186" s="194"/>
      <c r="CB186" s="194"/>
      <c r="CC186" s="194"/>
      <c r="CD186" s="194"/>
      <c r="CE186" s="194"/>
      <c r="CF186" s="194"/>
      <c r="CG186" s="194"/>
      <c r="CH186" s="194"/>
      <c r="CI186" s="194"/>
      <c r="CJ186" s="194"/>
      <c r="CK186" s="194"/>
      <c r="CL186" s="194"/>
      <c r="CM186" s="194"/>
      <c r="CN186" s="194"/>
      <c r="CO186" s="194"/>
      <c r="CP186" s="194"/>
      <c r="CQ186" s="194"/>
      <c r="CR186" s="194"/>
      <c r="CS186" s="194"/>
      <c r="CT186" s="194"/>
      <c r="CU186" s="194"/>
      <c r="CV186" s="194"/>
      <c r="CW186" s="194"/>
      <c r="CX186" s="194"/>
      <c r="CY186" s="194"/>
      <c r="CZ186" s="194"/>
      <c r="DA186" s="194"/>
      <c r="DB186" s="194"/>
      <c r="DC186" s="194"/>
      <c r="DD186" s="194"/>
      <c r="DE186" s="194"/>
      <c r="DF186" s="194"/>
      <c r="DG186" s="194"/>
      <c r="DH186" s="194"/>
      <c r="DI186" s="194"/>
      <c r="DJ186" s="194"/>
      <c r="DK186" s="194"/>
      <c r="DL186" s="194"/>
      <c r="DM186" s="194"/>
      <c r="DN186" s="194"/>
      <c r="DO186" s="194"/>
      <c r="DP186" s="194"/>
      <c r="DQ186" s="194"/>
      <c r="DR186" s="194"/>
      <c r="DS186" s="194"/>
      <c r="DT186" s="194"/>
      <c r="DU186" s="194"/>
      <c r="DV186" s="194"/>
      <c r="DW186" s="194"/>
      <c r="DX186" s="194"/>
      <c r="DY186" s="194"/>
      <c r="DZ186" s="194"/>
      <c r="EA186" s="194"/>
      <c r="EB186" s="194"/>
      <c r="EC186" s="194"/>
      <c r="ED186" s="194"/>
      <c r="EE186" s="194"/>
      <c r="EF186" s="194"/>
      <c r="EG186" s="194"/>
      <c r="EH186" s="194"/>
      <c r="EI186" s="194"/>
      <c r="EJ186" s="194"/>
      <c r="EK186" s="194"/>
      <c r="EL186" s="194"/>
      <c r="EM186" s="194"/>
      <c r="EN186" s="194"/>
      <c r="EO186" s="194"/>
      <c r="EP186" s="194"/>
      <c r="EQ186" s="194"/>
      <c r="ER186" s="194"/>
      <c r="ES186" s="194"/>
      <c r="ET186" s="194"/>
      <c r="EU186" s="194"/>
      <c r="EV186" s="194"/>
      <c r="EW186" s="194"/>
      <c r="EX186" s="194"/>
      <c r="EY186" s="194"/>
      <c r="EZ186" s="194"/>
      <c r="FA186" s="194"/>
      <c r="FB186" s="194"/>
      <c r="FC186" s="194"/>
      <c r="FD186" s="194"/>
      <c r="FE186" s="194"/>
      <c r="FF186" s="194"/>
      <c r="FG186" s="194"/>
      <c r="FH186" s="194"/>
      <c r="FI186" s="194"/>
      <c r="FJ186" s="194"/>
      <c r="FK186" s="194"/>
      <c r="FL186" s="194"/>
      <c r="FM186" s="194"/>
      <c r="FN186" s="194"/>
      <c r="FO186" s="194"/>
      <c r="FP186" s="194"/>
      <c r="FQ186" s="194"/>
      <c r="FR186" s="194"/>
      <c r="FS186" s="194"/>
      <c r="FT186" s="194"/>
      <c r="FU186" s="194"/>
      <c r="FV186" s="194"/>
      <c r="FW186" s="194"/>
      <c r="FX186" s="194"/>
      <c r="FY186" s="194"/>
      <c r="FZ186" s="194"/>
      <c r="GA186" s="194"/>
      <c r="GB186" s="194"/>
      <c r="GC186" s="194"/>
      <c r="GD186" s="194"/>
      <c r="GE186" s="194"/>
      <c r="GF186" s="194"/>
      <c r="GG186" s="194"/>
      <c r="GH186" s="194"/>
      <c r="GI186" s="194"/>
      <c r="GJ186" s="194"/>
      <c r="GK186" s="194"/>
      <c r="GL186" s="194"/>
      <c r="GM186" s="194"/>
      <c r="GN186" s="194"/>
      <c r="GO186" s="194"/>
      <c r="GP186" s="194"/>
      <c r="GQ186" s="194"/>
      <c r="GR186" s="194"/>
      <c r="GS186" s="194"/>
      <c r="GT186" s="194"/>
      <c r="GU186" s="194"/>
      <c r="GV186" s="194"/>
      <c r="GW186" s="194"/>
      <c r="GX186" s="194"/>
      <c r="GY186" s="194"/>
      <c r="GZ186" s="194"/>
      <c r="HA186" s="194"/>
      <c r="HB186" s="194"/>
      <c r="HC186" s="194"/>
      <c r="HD186" s="194"/>
      <c r="HE186" s="194"/>
      <c r="HF186" s="194"/>
      <c r="HG186" s="194"/>
      <c r="HH186" s="194"/>
      <c r="HI186" s="194"/>
      <c r="HJ186" s="194"/>
      <c r="HK186" s="194"/>
      <c r="HL186" s="194"/>
      <c r="HM186" s="194"/>
      <c r="HN186" s="194"/>
      <c r="HO186" s="194"/>
      <c r="HP186" s="194"/>
      <c r="HQ186" s="194"/>
      <c r="HR186" s="194"/>
      <c r="HS186" s="194"/>
      <c r="HT186" s="194"/>
      <c r="HU186" s="194"/>
      <c r="HV186" s="194"/>
      <c r="HW186" s="194"/>
      <c r="HX186" s="194"/>
      <c r="HY186" s="194"/>
      <c r="HZ186" s="194"/>
      <c r="IA186" s="194"/>
      <c r="IB186" s="194"/>
      <c r="IC186" s="194"/>
      <c r="ID186" s="194"/>
      <c r="IE186" s="194"/>
      <c r="IF186" s="194"/>
      <c r="IG186" s="194"/>
      <c r="IH186" s="194"/>
      <c r="II186" s="194"/>
      <c r="IJ186" s="194"/>
      <c r="IK186" s="194"/>
      <c r="IL186" s="194"/>
      <c r="IM186" s="194"/>
      <c r="IN186" s="194"/>
      <c r="IO186" s="194"/>
      <c r="IP186" s="194"/>
      <c r="IQ186" s="194"/>
      <c r="IR186" s="194"/>
      <c r="IS186" s="194"/>
      <c r="IT186" s="194"/>
      <c r="IU186" s="194"/>
      <c r="IV186" s="194"/>
      <c r="IW186" s="194"/>
    </row>
    <row r="187" customFormat="false" ht="12.75" hidden="true" customHeight="false" outlineLevel="0" collapsed="false">
      <c r="A187" s="196"/>
      <c r="B187" s="164" t="s">
        <v>266</v>
      </c>
      <c r="C187" s="0"/>
      <c r="D187" s="0"/>
      <c r="E187" s="0"/>
      <c r="F187" s="0"/>
      <c r="G187" s="0"/>
      <c r="H187" s="0"/>
      <c r="I187" s="0"/>
      <c r="J187" s="4"/>
      <c r="K187" s="0"/>
      <c r="L187" s="34" t="s">
        <v>151</v>
      </c>
      <c r="M187" s="110"/>
      <c r="N187" s="110" t="n">
        <v>0</v>
      </c>
      <c r="O187" s="110"/>
      <c r="P187" s="110" t="n">
        <v>0</v>
      </c>
      <c r="Q187" s="110"/>
      <c r="R187" s="110" t="n">
        <f aca="false">+N187+P187</f>
        <v>0</v>
      </c>
      <c r="S187" s="110"/>
      <c r="T187" s="110" t="n">
        <v>0</v>
      </c>
      <c r="U187" s="110"/>
      <c r="V187" s="110" t="n">
        <v>0</v>
      </c>
      <c r="X187" s="110" t="n">
        <v>0</v>
      </c>
      <c r="Z187" s="110" t="n">
        <v>0</v>
      </c>
      <c r="AB187" s="110" t="n">
        <v>0</v>
      </c>
      <c r="AD187" s="110" t="n">
        <v>0</v>
      </c>
      <c r="AF187" s="110" t="n">
        <v>0</v>
      </c>
      <c r="AH187" s="110" t="n">
        <v>0</v>
      </c>
      <c r="AJ187" s="110" t="n">
        <v>0</v>
      </c>
      <c r="AN187" s="110" t="n">
        <v>0</v>
      </c>
      <c r="AP187" s="110" t="n">
        <v>0</v>
      </c>
      <c r="AR187" s="110" t="n">
        <v>0</v>
      </c>
      <c r="AT187" s="110" t="n">
        <v>0</v>
      </c>
      <c r="AV187" s="110" t="n">
        <v>0</v>
      </c>
      <c r="AX187" s="110" t="n">
        <v>0</v>
      </c>
      <c r="AZ187" s="110" t="n">
        <v>0</v>
      </c>
      <c r="BB187" s="110" t="n">
        <v>0</v>
      </c>
      <c r="BD187" s="110" t="n">
        <v>0</v>
      </c>
      <c r="BF187" s="110" t="n">
        <v>0</v>
      </c>
      <c r="BH187" s="110" t="n">
        <v>0</v>
      </c>
      <c r="BJ187" s="110" t="n">
        <v>0</v>
      </c>
      <c r="BL187" s="110" t="n">
        <v>0</v>
      </c>
      <c r="BM187" s="110" t="n">
        <v>0</v>
      </c>
      <c r="BN187" s="110"/>
      <c r="BO187" s="110" t="n">
        <v>0</v>
      </c>
      <c r="BP187" s="110"/>
      <c r="BQ187" s="110" t="n">
        <f aca="false">SUM(T187:BP187)</f>
        <v>0</v>
      </c>
      <c r="BR187" s="110"/>
      <c r="BS187" s="110" t="n">
        <v>0</v>
      </c>
      <c r="BT187" s="110"/>
      <c r="BU187" s="110" t="n">
        <f aca="false">+R187-BQ187+BS187</f>
        <v>0</v>
      </c>
      <c r="BW187" s="110" t="n">
        <f aca="false">+BQ187+BU187</f>
        <v>0</v>
      </c>
      <c r="BY187" s="110" t="n">
        <f aca="false">+R187-BW187</f>
        <v>0</v>
      </c>
      <c r="BZ187" s="110"/>
      <c r="CA187" s="194"/>
      <c r="CB187" s="194"/>
      <c r="CC187" s="194"/>
      <c r="CD187" s="194"/>
      <c r="CE187" s="194"/>
      <c r="CF187" s="194"/>
      <c r="CG187" s="194"/>
      <c r="CH187" s="194"/>
      <c r="CI187" s="194"/>
      <c r="CJ187" s="194"/>
      <c r="CK187" s="194"/>
      <c r="CL187" s="194"/>
      <c r="CM187" s="194"/>
      <c r="CN187" s="194"/>
      <c r="CO187" s="194"/>
      <c r="CP187" s="194"/>
      <c r="CQ187" s="194"/>
      <c r="CR187" s="194"/>
      <c r="CS187" s="194"/>
      <c r="CT187" s="194"/>
      <c r="CU187" s="194"/>
      <c r="CV187" s="194"/>
      <c r="CW187" s="194"/>
      <c r="CX187" s="194"/>
      <c r="CY187" s="194"/>
      <c r="CZ187" s="194"/>
      <c r="DA187" s="194"/>
      <c r="DB187" s="194"/>
      <c r="DC187" s="194"/>
      <c r="DD187" s="194"/>
      <c r="DE187" s="194"/>
      <c r="DF187" s="194"/>
      <c r="DG187" s="194"/>
      <c r="DH187" s="194"/>
      <c r="DI187" s="194"/>
      <c r="DJ187" s="194"/>
      <c r="DK187" s="194"/>
      <c r="DL187" s="194"/>
      <c r="DM187" s="194"/>
      <c r="DN187" s="194"/>
      <c r="DO187" s="194"/>
      <c r="DP187" s="194"/>
      <c r="DQ187" s="194"/>
      <c r="DR187" s="194"/>
      <c r="DS187" s="194"/>
      <c r="DT187" s="194"/>
      <c r="DU187" s="194"/>
      <c r="DV187" s="194"/>
      <c r="DW187" s="194"/>
      <c r="DX187" s="194"/>
      <c r="DY187" s="194"/>
      <c r="DZ187" s="194"/>
      <c r="EA187" s="194"/>
      <c r="EB187" s="194"/>
      <c r="EC187" s="194"/>
      <c r="ED187" s="194"/>
      <c r="EE187" s="194"/>
      <c r="EF187" s="194"/>
      <c r="EG187" s="194"/>
      <c r="EH187" s="194"/>
      <c r="EI187" s="194"/>
      <c r="EJ187" s="194"/>
      <c r="EK187" s="194"/>
      <c r="EL187" s="194"/>
      <c r="EM187" s="194"/>
      <c r="EN187" s="194"/>
      <c r="EO187" s="194"/>
      <c r="EP187" s="194"/>
      <c r="EQ187" s="194"/>
      <c r="ER187" s="194"/>
      <c r="ES187" s="194"/>
      <c r="ET187" s="194"/>
      <c r="EU187" s="194"/>
      <c r="EV187" s="194"/>
      <c r="EW187" s="194"/>
      <c r="EX187" s="194"/>
      <c r="EY187" s="194"/>
      <c r="EZ187" s="194"/>
      <c r="FA187" s="194"/>
      <c r="FB187" s="194"/>
      <c r="FC187" s="194"/>
      <c r="FD187" s="194"/>
      <c r="FE187" s="194"/>
      <c r="FF187" s="194"/>
      <c r="FG187" s="194"/>
      <c r="FH187" s="194"/>
      <c r="FI187" s="194"/>
      <c r="FJ187" s="194"/>
      <c r="FK187" s="194"/>
      <c r="FL187" s="194"/>
      <c r="FM187" s="194"/>
      <c r="FN187" s="194"/>
      <c r="FO187" s="194"/>
      <c r="FP187" s="194"/>
      <c r="FQ187" s="194"/>
      <c r="FR187" s="194"/>
      <c r="FS187" s="194"/>
      <c r="FT187" s="194"/>
      <c r="FU187" s="194"/>
      <c r="FV187" s="194"/>
      <c r="FW187" s="194"/>
      <c r="FX187" s="194"/>
      <c r="FY187" s="194"/>
      <c r="FZ187" s="194"/>
      <c r="GA187" s="194"/>
      <c r="GB187" s="194"/>
      <c r="GC187" s="194"/>
      <c r="GD187" s="194"/>
      <c r="GE187" s="194"/>
      <c r="GF187" s="194"/>
      <c r="GG187" s="194"/>
      <c r="GH187" s="194"/>
      <c r="GI187" s="194"/>
      <c r="GJ187" s="194"/>
      <c r="GK187" s="194"/>
      <c r="GL187" s="194"/>
      <c r="GM187" s="194"/>
      <c r="GN187" s="194"/>
      <c r="GO187" s="194"/>
      <c r="GP187" s="194"/>
      <c r="GQ187" s="194"/>
      <c r="GR187" s="194"/>
      <c r="GS187" s="194"/>
      <c r="GT187" s="194"/>
      <c r="GU187" s="194"/>
      <c r="GV187" s="194"/>
      <c r="GW187" s="194"/>
      <c r="GX187" s="194"/>
      <c r="GY187" s="194"/>
      <c r="GZ187" s="194"/>
      <c r="HA187" s="194"/>
      <c r="HB187" s="194"/>
      <c r="HC187" s="194"/>
      <c r="HD187" s="194"/>
      <c r="HE187" s="194"/>
      <c r="HF187" s="194"/>
      <c r="HG187" s="194"/>
      <c r="HH187" s="194"/>
      <c r="HI187" s="194"/>
      <c r="HJ187" s="194"/>
      <c r="HK187" s="194"/>
      <c r="HL187" s="194"/>
      <c r="HM187" s="194"/>
      <c r="HN187" s="194"/>
      <c r="HO187" s="194"/>
      <c r="HP187" s="194"/>
      <c r="HQ187" s="194"/>
      <c r="HR187" s="194"/>
      <c r="HS187" s="194"/>
      <c r="HT187" s="194"/>
      <c r="HU187" s="194"/>
      <c r="HV187" s="194"/>
      <c r="HW187" s="194"/>
      <c r="HX187" s="194"/>
      <c r="HY187" s="194"/>
      <c r="HZ187" s="194"/>
      <c r="IA187" s="194"/>
      <c r="IB187" s="194"/>
      <c r="IC187" s="194"/>
      <c r="ID187" s="194"/>
      <c r="IE187" s="194"/>
      <c r="IF187" s="194"/>
      <c r="IG187" s="194"/>
      <c r="IH187" s="194"/>
      <c r="II187" s="194"/>
      <c r="IJ187" s="194"/>
      <c r="IK187" s="194"/>
      <c r="IL187" s="194"/>
      <c r="IM187" s="194"/>
      <c r="IN187" s="194"/>
      <c r="IO187" s="194"/>
      <c r="IP187" s="194"/>
      <c r="IQ187" s="194"/>
      <c r="IR187" s="194"/>
      <c r="IS187" s="194"/>
      <c r="IT187" s="194"/>
      <c r="IU187" s="194"/>
      <c r="IV187" s="194"/>
      <c r="IW187" s="194"/>
    </row>
    <row r="188" customFormat="false" ht="12.75" hidden="false" customHeight="false" outlineLevel="0" collapsed="false">
      <c r="A188" s="196"/>
      <c r="B188" s="164" t="s">
        <v>425</v>
      </c>
      <c r="C188" s="0"/>
      <c r="D188" s="0"/>
      <c r="E188" s="0"/>
      <c r="F188" s="0"/>
      <c r="G188" s="0"/>
      <c r="H188" s="0"/>
      <c r="I188" s="0"/>
      <c r="J188" s="4"/>
      <c r="K188" s="0"/>
      <c r="L188" s="34" t="s">
        <v>151</v>
      </c>
      <c r="M188" s="110"/>
      <c r="N188" s="110" t="n">
        <v>0</v>
      </c>
      <c r="O188" s="110"/>
      <c r="P188" s="110" t="n">
        <v>0</v>
      </c>
      <c r="Q188" s="110"/>
      <c r="R188" s="110" t="n">
        <v>500000</v>
      </c>
      <c r="S188" s="110"/>
      <c r="T188" s="110" t="n">
        <v>0</v>
      </c>
      <c r="U188" s="110"/>
      <c r="V188" s="110" t="n">
        <v>0</v>
      </c>
      <c r="X188" s="110" t="n">
        <v>0</v>
      </c>
      <c r="Z188" s="110" t="n">
        <v>0</v>
      </c>
      <c r="AB188" s="110" t="n">
        <v>0</v>
      </c>
      <c r="AD188" s="110" t="n">
        <v>0</v>
      </c>
      <c r="AF188" s="110" t="n">
        <v>0</v>
      </c>
      <c r="AH188" s="110" t="n">
        <v>0</v>
      </c>
      <c r="AJ188" s="110" t="n">
        <v>0</v>
      </c>
      <c r="AN188" s="110" t="n">
        <v>0</v>
      </c>
      <c r="AP188" s="110" t="n">
        <v>0</v>
      </c>
      <c r="AR188" s="110" t="n">
        <v>0</v>
      </c>
      <c r="AT188" s="110" t="n">
        <v>0</v>
      </c>
      <c r="AV188" s="110" t="n">
        <v>0</v>
      </c>
      <c r="AX188" s="110" t="n">
        <v>0</v>
      </c>
      <c r="AZ188" s="110" t="n">
        <v>0</v>
      </c>
      <c r="BB188" s="110" t="n">
        <v>0</v>
      </c>
      <c r="BD188" s="110" t="n">
        <v>457081</v>
      </c>
      <c r="BF188" s="110" t="n">
        <v>1233742</v>
      </c>
      <c r="BH188" s="110" t="n">
        <v>0</v>
      </c>
      <c r="BJ188" s="110" t="n">
        <v>-592943.08</v>
      </c>
      <c r="BL188" s="110" t="n">
        <v>0</v>
      </c>
      <c r="BM188" s="110" t="n">
        <v>0</v>
      </c>
      <c r="BN188" s="110"/>
      <c r="BO188" s="110" t="n">
        <v>0</v>
      </c>
      <c r="BP188" s="110"/>
      <c r="BQ188" s="110" t="n">
        <f aca="false">SUM(T188:BP188)</f>
        <v>1097879.92</v>
      </c>
      <c r="BR188" s="110"/>
      <c r="BS188" s="110" t="n">
        <v>0</v>
      </c>
      <c r="BT188" s="110"/>
      <c r="BU188" s="110" t="n">
        <f aca="false">IF(+R188-BQ188+BS188&gt;0,R188-BQ188+BS188,0)</f>
        <v>0</v>
      </c>
      <c r="BW188" s="110" t="n">
        <f aca="false">+BQ188+BU188</f>
        <v>1097879.92</v>
      </c>
      <c r="BY188" s="110" t="n">
        <f aca="false">+R188-BW188</f>
        <v>-597879.92</v>
      </c>
      <c r="BZ188" s="110"/>
      <c r="CA188" s="194"/>
      <c r="CB188" s="194"/>
      <c r="CC188" s="194"/>
      <c r="CD188" s="194"/>
      <c r="CE188" s="194"/>
      <c r="CF188" s="194"/>
      <c r="CG188" s="194"/>
      <c r="CH188" s="194"/>
      <c r="CI188" s="194"/>
      <c r="CJ188" s="194"/>
      <c r="CK188" s="194"/>
      <c r="CL188" s="194"/>
      <c r="CM188" s="194"/>
      <c r="CN188" s="194"/>
      <c r="CO188" s="194"/>
      <c r="CP188" s="194"/>
      <c r="CQ188" s="194"/>
      <c r="CR188" s="194"/>
      <c r="CS188" s="194"/>
      <c r="CT188" s="194"/>
      <c r="CU188" s="194"/>
      <c r="CV188" s="194"/>
      <c r="CW188" s="194"/>
      <c r="CX188" s="194"/>
      <c r="CY188" s="194"/>
      <c r="CZ188" s="194"/>
      <c r="DA188" s="194"/>
      <c r="DB188" s="194"/>
      <c r="DC188" s="194"/>
      <c r="DD188" s="194"/>
      <c r="DE188" s="194"/>
      <c r="DF188" s="194"/>
      <c r="DG188" s="194"/>
      <c r="DH188" s="194"/>
      <c r="DI188" s="194"/>
      <c r="DJ188" s="194"/>
      <c r="DK188" s="194"/>
      <c r="DL188" s="194"/>
      <c r="DM188" s="194"/>
      <c r="DN188" s="194"/>
      <c r="DO188" s="194"/>
      <c r="DP188" s="194"/>
      <c r="DQ188" s="194"/>
      <c r="DR188" s="194"/>
      <c r="DS188" s="194"/>
      <c r="DT188" s="194"/>
      <c r="DU188" s="194"/>
      <c r="DV188" s="194"/>
      <c r="DW188" s="194"/>
      <c r="DX188" s="194"/>
      <c r="DY188" s="194"/>
      <c r="DZ188" s="194"/>
      <c r="EA188" s="194"/>
      <c r="EB188" s="194"/>
      <c r="EC188" s="194"/>
      <c r="ED188" s="194"/>
      <c r="EE188" s="194"/>
      <c r="EF188" s="194"/>
      <c r="EG188" s="194"/>
      <c r="EH188" s="194"/>
      <c r="EI188" s="194"/>
      <c r="EJ188" s="194"/>
      <c r="EK188" s="194"/>
      <c r="EL188" s="194"/>
      <c r="EM188" s="194"/>
      <c r="EN188" s="194"/>
      <c r="EO188" s="194"/>
      <c r="EP188" s="194"/>
      <c r="EQ188" s="194"/>
      <c r="ER188" s="194"/>
      <c r="ES188" s="194"/>
      <c r="ET188" s="194"/>
      <c r="EU188" s="194"/>
      <c r="EV188" s="194"/>
      <c r="EW188" s="194"/>
      <c r="EX188" s="194"/>
      <c r="EY188" s="194"/>
      <c r="EZ188" s="194"/>
      <c r="FA188" s="194"/>
      <c r="FB188" s="194"/>
      <c r="FC188" s="194"/>
      <c r="FD188" s="194"/>
      <c r="FE188" s="194"/>
      <c r="FF188" s="194"/>
      <c r="FG188" s="194"/>
      <c r="FH188" s="194"/>
      <c r="FI188" s="194"/>
      <c r="FJ188" s="194"/>
      <c r="FK188" s="194"/>
      <c r="FL188" s="194"/>
      <c r="FM188" s="194"/>
      <c r="FN188" s="194"/>
      <c r="FO188" s="194"/>
      <c r="FP188" s="194"/>
      <c r="FQ188" s="194"/>
      <c r="FR188" s="194"/>
      <c r="FS188" s="194"/>
      <c r="FT188" s="194"/>
      <c r="FU188" s="194"/>
      <c r="FV188" s="194"/>
      <c r="FW188" s="194"/>
      <c r="FX188" s="194"/>
      <c r="FY188" s="194"/>
      <c r="FZ188" s="194"/>
      <c r="GA188" s="194"/>
      <c r="GB188" s="194"/>
      <c r="GC188" s="194"/>
      <c r="GD188" s="194"/>
      <c r="GE188" s="194"/>
      <c r="GF188" s="194"/>
      <c r="GG188" s="194"/>
      <c r="GH188" s="194"/>
      <c r="GI188" s="194"/>
      <c r="GJ188" s="194"/>
      <c r="GK188" s="194"/>
      <c r="GL188" s="194"/>
      <c r="GM188" s="194"/>
      <c r="GN188" s="194"/>
      <c r="GO188" s="194"/>
      <c r="GP188" s="194"/>
      <c r="GQ188" s="194"/>
      <c r="GR188" s="194"/>
      <c r="GS188" s="194"/>
      <c r="GT188" s="194"/>
      <c r="GU188" s="194"/>
      <c r="GV188" s="194"/>
      <c r="GW188" s="194"/>
      <c r="GX188" s="194"/>
      <c r="GY188" s="194"/>
      <c r="GZ188" s="194"/>
      <c r="HA188" s="194"/>
      <c r="HB188" s="194"/>
      <c r="HC188" s="194"/>
      <c r="HD188" s="194"/>
      <c r="HE188" s="194"/>
      <c r="HF188" s="194"/>
      <c r="HG188" s="194"/>
      <c r="HH188" s="194"/>
      <c r="HI188" s="194"/>
      <c r="HJ188" s="194"/>
      <c r="HK188" s="194"/>
      <c r="HL188" s="194"/>
      <c r="HM188" s="194"/>
      <c r="HN188" s="194"/>
      <c r="HO188" s="194"/>
      <c r="HP188" s="194"/>
      <c r="HQ188" s="194"/>
      <c r="HR188" s="194"/>
      <c r="HS188" s="194"/>
      <c r="HT188" s="194"/>
      <c r="HU188" s="194"/>
      <c r="HV188" s="194"/>
      <c r="HW188" s="194"/>
      <c r="HX188" s="194"/>
      <c r="HY188" s="194"/>
      <c r="HZ188" s="194"/>
      <c r="IA188" s="194"/>
      <c r="IB188" s="194"/>
      <c r="IC188" s="194"/>
      <c r="ID188" s="194"/>
      <c r="IE188" s="194"/>
      <c r="IF188" s="194"/>
      <c r="IG188" s="194"/>
      <c r="IH188" s="194"/>
      <c r="II188" s="194"/>
      <c r="IJ188" s="194"/>
      <c r="IK188" s="194"/>
      <c r="IL188" s="194"/>
      <c r="IM188" s="194"/>
      <c r="IN188" s="194"/>
      <c r="IO188" s="194"/>
      <c r="IP188" s="194"/>
      <c r="IQ188" s="194"/>
      <c r="IR188" s="194"/>
      <c r="IS188" s="194"/>
      <c r="IT188" s="194"/>
      <c r="IU188" s="194"/>
      <c r="IV188" s="194"/>
      <c r="IW188" s="194"/>
    </row>
    <row r="189" customFormat="false" ht="12.75" hidden="true" customHeight="false" outlineLevel="0" collapsed="false">
      <c r="A189" s="196"/>
      <c r="B189" s="164" t="s">
        <v>128</v>
      </c>
      <c r="C189" s="0"/>
      <c r="D189" s="0"/>
      <c r="E189" s="0"/>
      <c r="F189" s="0"/>
      <c r="G189" s="0"/>
      <c r="H189" s="0"/>
      <c r="I189" s="0"/>
      <c r="J189" s="4"/>
      <c r="K189" s="0"/>
      <c r="L189" s="34" t="s">
        <v>151</v>
      </c>
      <c r="M189" s="110"/>
      <c r="N189" s="110" t="n">
        <v>0</v>
      </c>
      <c r="O189" s="110"/>
      <c r="P189" s="110" t="n">
        <v>0</v>
      </c>
      <c r="Q189" s="110"/>
      <c r="R189" s="110" t="n">
        <v>0</v>
      </c>
      <c r="S189" s="110"/>
      <c r="T189" s="110" t="n">
        <v>0</v>
      </c>
      <c r="U189" s="110"/>
      <c r="V189" s="110" t="n">
        <v>0</v>
      </c>
      <c r="X189" s="110" t="n">
        <v>0</v>
      </c>
      <c r="Z189" s="110" t="n">
        <v>0</v>
      </c>
      <c r="AB189" s="110" t="n">
        <v>0</v>
      </c>
      <c r="AD189" s="110" t="n">
        <v>0</v>
      </c>
      <c r="AF189" s="110" t="n">
        <v>0</v>
      </c>
      <c r="AH189" s="110" t="n">
        <v>0</v>
      </c>
      <c r="AJ189" s="110" t="n">
        <v>0</v>
      </c>
      <c r="AN189" s="110" t="n">
        <v>0</v>
      </c>
      <c r="AP189" s="110" t="n">
        <v>0</v>
      </c>
      <c r="AR189" s="110" t="n">
        <v>0</v>
      </c>
      <c r="AT189" s="110" t="n">
        <v>0</v>
      </c>
      <c r="AV189" s="110" t="n">
        <v>0</v>
      </c>
      <c r="AX189" s="110" t="n">
        <v>0</v>
      </c>
      <c r="AZ189" s="110" t="n">
        <v>0</v>
      </c>
      <c r="BB189" s="110" t="n">
        <v>0</v>
      </c>
      <c r="BD189" s="110" t="n">
        <v>0</v>
      </c>
      <c r="BF189" s="110" t="n">
        <v>0</v>
      </c>
      <c r="BH189" s="110" t="n">
        <v>0</v>
      </c>
      <c r="BJ189" s="110" t="n">
        <v>0</v>
      </c>
      <c r="BL189" s="110" t="n">
        <v>0</v>
      </c>
      <c r="BM189" s="110" t="n">
        <v>0</v>
      </c>
      <c r="BN189" s="110"/>
      <c r="BO189" s="110" t="n">
        <v>0</v>
      </c>
      <c r="BP189" s="110"/>
      <c r="BQ189" s="110" t="n">
        <f aca="false">SUM(T189:BP189)</f>
        <v>0</v>
      </c>
      <c r="BR189" s="110"/>
      <c r="BS189" s="110" t="n">
        <v>0</v>
      </c>
      <c r="BT189" s="110"/>
      <c r="BU189" s="110" t="n">
        <f aca="false">+R189-BQ189+BS189</f>
        <v>0</v>
      </c>
      <c r="BW189" s="110" t="n">
        <f aca="false">+BQ189+BU189</f>
        <v>0</v>
      </c>
      <c r="BY189" s="110" t="n">
        <f aca="false">+R189-BW189</f>
        <v>0</v>
      </c>
      <c r="BZ189" s="110"/>
      <c r="CA189" s="194"/>
      <c r="CB189" s="194"/>
      <c r="CC189" s="194"/>
      <c r="CD189" s="194"/>
      <c r="CE189" s="194"/>
      <c r="CF189" s="194"/>
      <c r="CG189" s="194"/>
      <c r="CH189" s="194"/>
      <c r="CI189" s="194"/>
      <c r="CJ189" s="194"/>
      <c r="CK189" s="194"/>
      <c r="CL189" s="194"/>
      <c r="CM189" s="194"/>
      <c r="CN189" s="194"/>
      <c r="CO189" s="194"/>
      <c r="CP189" s="194"/>
      <c r="CQ189" s="194"/>
      <c r="CR189" s="194"/>
      <c r="CS189" s="194"/>
      <c r="CT189" s="194"/>
      <c r="CU189" s="194"/>
      <c r="CV189" s="194"/>
      <c r="CW189" s="194"/>
      <c r="CX189" s="194"/>
      <c r="CY189" s="194"/>
      <c r="CZ189" s="194"/>
      <c r="DA189" s="194"/>
      <c r="DB189" s="194"/>
      <c r="DC189" s="194"/>
      <c r="DD189" s="194"/>
      <c r="DE189" s="194"/>
      <c r="DF189" s="194"/>
      <c r="DG189" s="194"/>
      <c r="DH189" s="194"/>
      <c r="DI189" s="194"/>
      <c r="DJ189" s="194"/>
      <c r="DK189" s="194"/>
      <c r="DL189" s="194"/>
      <c r="DM189" s="194"/>
      <c r="DN189" s="194"/>
      <c r="DO189" s="194"/>
      <c r="DP189" s="194"/>
      <c r="DQ189" s="194"/>
      <c r="DR189" s="194"/>
      <c r="DS189" s="194"/>
      <c r="DT189" s="194"/>
      <c r="DU189" s="194"/>
      <c r="DV189" s="194"/>
      <c r="DW189" s="194"/>
      <c r="DX189" s="194"/>
      <c r="DY189" s="194"/>
      <c r="DZ189" s="194"/>
      <c r="EA189" s="194"/>
      <c r="EB189" s="194"/>
      <c r="EC189" s="194"/>
      <c r="ED189" s="194"/>
      <c r="EE189" s="194"/>
      <c r="EF189" s="194"/>
      <c r="EG189" s="194"/>
      <c r="EH189" s="194"/>
      <c r="EI189" s="194"/>
      <c r="EJ189" s="194"/>
      <c r="EK189" s="194"/>
      <c r="EL189" s="194"/>
      <c r="EM189" s="194"/>
      <c r="EN189" s="194"/>
      <c r="EO189" s="194"/>
      <c r="EP189" s="194"/>
      <c r="EQ189" s="194"/>
      <c r="ER189" s="194"/>
      <c r="ES189" s="194"/>
      <c r="ET189" s="194"/>
      <c r="EU189" s="194"/>
      <c r="EV189" s="194"/>
      <c r="EW189" s="194"/>
      <c r="EX189" s="194"/>
      <c r="EY189" s="194"/>
      <c r="EZ189" s="194"/>
      <c r="FA189" s="194"/>
      <c r="FB189" s="194"/>
      <c r="FC189" s="194"/>
      <c r="FD189" s="194"/>
      <c r="FE189" s="194"/>
      <c r="FF189" s="194"/>
      <c r="FG189" s="194"/>
      <c r="FH189" s="194"/>
      <c r="FI189" s="194"/>
      <c r="FJ189" s="194"/>
      <c r="FK189" s="194"/>
      <c r="FL189" s="194"/>
      <c r="FM189" s="194"/>
      <c r="FN189" s="194"/>
      <c r="FO189" s="194"/>
      <c r="FP189" s="194"/>
      <c r="FQ189" s="194"/>
      <c r="FR189" s="194"/>
      <c r="FS189" s="194"/>
      <c r="FT189" s="194"/>
      <c r="FU189" s="194"/>
      <c r="FV189" s="194"/>
      <c r="FW189" s="194"/>
      <c r="FX189" s="194"/>
      <c r="FY189" s="194"/>
      <c r="FZ189" s="194"/>
      <c r="GA189" s="194"/>
      <c r="GB189" s="194"/>
      <c r="GC189" s="194"/>
      <c r="GD189" s="194"/>
      <c r="GE189" s="194"/>
      <c r="GF189" s="194"/>
      <c r="GG189" s="194"/>
      <c r="GH189" s="194"/>
      <c r="GI189" s="194"/>
      <c r="GJ189" s="194"/>
      <c r="GK189" s="194"/>
      <c r="GL189" s="194"/>
      <c r="GM189" s="194"/>
      <c r="GN189" s="194"/>
      <c r="GO189" s="194"/>
      <c r="GP189" s="194"/>
      <c r="GQ189" s="194"/>
      <c r="GR189" s="194"/>
      <c r="GS189" s="194"/>
      <c r="GT189" s="194"/>
      <c r="GU189" s="194"/>
      <c r="GV189" s="194"/>
      <c r="GW189" s="194"/>
      <c r="GX189" s="194"/>
      <c r="GY189" s="194"/>
      <c r="GZ189" s="194"/>
      <c r="HA189" s="194"/>
      <c r="HB189" s="194"/>
      <c r="HC189" s="194"/>
      <c r="HD189" s="194"/>
      <c r="HE189" s="194"/>
      <c r="HF189" s="194"/>
      <c r="HG189" s="194"/>
      <c r="HH189" s="194"/>
      <c r="HI189" s="194"/>
      <c r="HJ189" s="194"/>
      <c r="HK189" s="194"/>
      <c r="HL189" s="194"/>
      <c r="HM189" s="194"/>
      <c r="HN189" s="194"/>
      <c r="HO189" s="194"/>
      <c r="HP189" s="194"/>
      <c r="HQ189" s="194"/>
      <c r="HR189" s="194"/>
      <c r="HS189" s="194"/>
      <c r="HT189" s="194"/>
      <c r="HU189" s="194"/>
      <c r="HV189" s="194"/>
      <c r="HW189" s="194"/>
      <c r="HX189" s="194"/>
      <c r="HY189" s="194"/>
      <c r="HZ189" s="194"/>
      <c r="IA189" s="194"/>
      <c r="IB189" s="194"/>
      <c r="IC189" s="194"/>
      <c r="ID189" s="194"/>
      <c r="IE189" s="194"/>
      <c r="IF189" s="194"/>
      <c r="IG189" s="194"/>
      <c r="IH189" s="194"/>
      <c r="II189" s="194"/>
      <c r="IJ189" s="194"/>
      <c r="IK189" s="194"/>
      <c r="IL189" s="194"/>
      <c r="IM189" s="194"/>
      <c r="IN189" s="194"/>
      <c r="IO189" s="194"/>
      <c r="IP189" s="194"/>
      <c r="IQ189" s="194"/>
      <c r="IR189" s="194"/>
      <c r="IS189" s="194"/>
      <c r="IT189" s="194"/>
      <c r="IU189" s="194"/>
      <c r="IV189" s="194"/>
      <c r="IW189" s="194"/>
    </row>
    <row r="190" customFormat="false" ht="12.75" hidden="false" customHeight="false" outlineLevel="0" collapsed="false">
      <c r="A190" s="197"/>
      <c r="B190" s="177" t="s">
        <v>268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198" t="n">
        <f aca="false">SUM(N187:N189)</f>
        <v>0</v>
      </c>
      <c r="O190" s="24"/>
      <c r="P190" s="198" t="n">
        <f aca="false">SUM(P187:P189)</f>
        <v>0</v>
      </c>
      <c r="Q190" s="24"/>
      <c r="R190" s="198" t="n">
        <f aca="false">SUM(R187:R189)</f>
        <v>500000</v>
      </c>
      <c r="S190" s="24"/>
      <c r="T190" s="198" t="n">
        <f aca="false">SUM(T187:T189)</f>
        <v>0</v>
      </c>
      <c r="U190" s="24"/>
      <c r="V190" s="198" t="n">
        <f aca="false">SUM(V187:V189)</f>
        <v>0</v>
      </c>
      <c r="W190" s="24"/>
      <c r="X190" s="198" t="n">
        <f aca="false">SUM(X187:X189)</f>
        <v>0</v>
      </c>
      <c r="Y190" s="24"/>
      <c r="Z190" s="198" t="n">
        <f aca="false">SUM(Z187:Z189)</f>
        <v>0</v>
      </c>
      <c r="AA190" s="24"/>
      <c r="AB190" s="198" t="n">
        <f aca="false">SUM(AB187:AB189)</f>
        <v>0</v>
      </c>
      <c r="AC190" s="24"/>
      <c r="AD190" s="198" t="n">
        <f aca="false">SUM(AD187:AD189)</f>
        <v>0</v>
      </c>
      <c r="AE190" s="24"/>
      <c r="AF190" s="198" t="n">
        <f aca="false">SUM(AF187:AF189)</f>
        <v>0</v>
      </c>
      <c r="AG190" s="24"/>
      <c r="AH190" s="198" t="n">
        <f aca="false">SUM(AH187:AH189)</f>
        <v>0</v>
      </c>
      <c r="AI190" s="24"/>
      <c r="AJ190" s="198" t="n">
        <f aca="false">SUM(AJ187:AJ189)</f>
        <v>0</v>
      </c>
      <c r="AK190" s="24"/>
      <c r="AL190" s="198" t="n">
        <f aca="false">SUM(AL187:AL189)</f>
        <v>0</v>
      </c>
      <c r="AM190" s="198"/>
      <c r="AN190" s="198" t="n">
        <f aca="false">SUM(AN187:AN189)</f>
        <v>0</v>
      </c>
      <c r="AO190" s="24"/>
      <c r="AP190" s="198" t="n">
        <f aca="false">SUM(AP187:AP189)</f>
        <v>0</v>
      </c>
      <c r="AQ190" s="24"/>
      <c r="AR190" s="198" t="n">
        <f aca="false">SUM(AR187:AR189)</f>
        <v>0</v>
      </c>
      <c r="AS190" s="24"/>
      <c r="AT190" s="198" t="n">
        <f aca="false">SUM(AT187:AT189)</f>
        <v>0</v>
      </c>
      <c r="AU190" s="24"/>
      <c r="AV190" s="198" t="n">
        <f aca="false">SUM(AV187:AV189)</f>
        <v>0</v>
      </c>
      <c r="AW190" s="24"/>
      <c r="AX190" s="198" t="n">
        <f aca="false">SUM(AX187:AX189)</f>
        <v>0</v>
      </c>
      <c r="AY190" s="24"/>
      <c r="AZ190" s="198" t="n">
        <f aca="false">SUM(AZ187:AZ189)</f>
        <v>0</v>
      </c>
      <c r="BA190" s="24"/>
      <c r="BB190" s="198" t="n">
        <f aca="false">SUM(BB187:BB189)</f>
        <v>0</v>
      </c>
      <c r="BD190" s="198" t="n">
        <f aca="false">SUM(BD187:BD189)</f>
        <v>457081</v>
      </c>
      <c r="BF190" s="198" t="n">
        <f aca="false">SUM(BF187:BF189)</f>
        <v>1233742</v>
      </c>
      <c r="BG190" s="24"/>
      <c r="BH190" s="198" t="n">
        <f aca="false">SUM(BH187:BH189)</f>
        <v>0</v>
      </c>
      <c r="BI190" s="24"/>
      <c r="BJ190" s="198" t="n">
        <f aca="false">SUM(BJ187:BJ189)</f>
        <v>-592943.08</v>
      </c>
      <c r="BK190" s="24"/>
      <c r="BL190" s="198" t="n">
        <f aca="false">SUM(BL187:BL189)</f>
        <v>0</v>
      </c>
      <c r="BM190" s="198" t="n">
        <f aca="false">SUM(BM187:BM189)</f>
        <v>0</v>
      </c>
      <c r="BN190" s="198"/>
      <c r="BO190" s="198" t="n">
        <f aca="false">SUM(BO187:BO189)</f>
        <v>0</v>
      </c>
      <c r="BP190" s="24"/>
      <c r="BQ190" s="198" t="n">
        <f aca="false">SUM(BQ187:BQ189)</f>
        <v>1097879.92</v>
      </c>
      <c r="BR190" s="24"/>
      <c r="BS190" s="198" t="n">
        <f aca="false">SUM(BS187:BS189)</f>
        <v>0</v>
      </c>
      <c r="BT190" s="24"/>
      <c r="BU190" s="198" t="n">
        <f aca="false">SUM(BU187:BU189)</f>
        <v>0</v>
      </c>
      <c r="BV190" s="24"/>
      <c r="BW190" s="198" t="n">
        <f aca="false">SUM(BW187:BW189)</f>
        <v>1097879.92</v>
      </c>
      <c r="BX190" s="24"/>
      <c r="BY190" s="198" t="n">
        <f aca="false">SUM(BY187:BY189)</f>
        <v>-597879.92</v>
      </c>
      <c r="BZ190" s="24"/>
      <c r="CA190" s="199"/>
      <c r="CB190" s="199"/>
      <c r="CC190" s="199"/>
      <c r="CD190" s="199"/>
      <c r="CE190" s="199"/>
      <c r="CF190" s="199"/>
      <c r="CG190" s="199"/>
      <c r="CH190" s="199"/>
      <c r="CI190" s="199"/>
      <c r="CJ190" s="199"/>
      <c r="CK190" s="199"/>
      <c r="CL190" s="199"/>
      <c r="CM190" s="199"/>
      <c r="CN190" s="199"/>
      <c r="CO190" s="199"/>
      <c r="CP190" s="199"/>
      <c r="CQ190" s="199"/>
      <c r="CR190" s="199"/>
      <c r="CS190" s="199"/>
      <c r="CT190" s="199"/>
      <c r="CU190" s="199"/>
      <c r="CV190" s="199"/>
      <c r="CW190" s="199"/>
      <c r="CX190" s="199"/>
      <c r="CY190" s="199"/>
      <c r="CZ190" s="199"/>
      <c r="DA190" s="199"/>
      <c r="DB190" s="199"/>
      <c r="DC190" s="199"/>
      <c r="DD190" s="199"/>
      <c r="DE190" s="199"/>
      <c r="DF190" s="199"/>
      <c r="DG190" s="199"/>
      <c r="DH190" s="199"/>
      <c r="DI190" s="199"/>
      <c r="DJ190" s="199"/>
      <c r="DK190" s="199"/>
      <c r="DL190" s="199"/>
      <c r="DM190" s="199"/>
      <c r="DN190" s="199"/>
      <c r="DO190" s="199"/>
      <c r="DP190" s="199"/>
      <c r="DQ190" s="199"/>
      <c r="DR190" s="199"/>
      <c r="DS190" s="199"/>
      <c r="DT190" s="199"/>
      <c r="DU190" s="199"/>
      <c r="DV190" s="199"/>
      <c r="DW190" s="199"/>
      <c r="DX190" s="199"/>
      <c r="DY190" s="199"/>
      <c r="DZ190" s="199"/>
      <c r="EA190" s="199"/>
      <c r="EB190" s="199"/>
      <c r="EC190" s="199"/>
      <c r="ED190" s="199"/>
      <c r="EE190" s="199"/>
      <c r="EF190" s="199"/>
      <c r="EG190" s="199"/>
      <c r="EH190" s="199"/>
      <c r="EI190" s="199"/>
      <c r="EJ190" s="199"/>
      <c r="EK190" s="199"/>
      <c r="EL190" s="199"/>
      <c r="EM190" s="199"/>
      <c r="EN190" s="199"/>
      <c r="EO190" s="199"/>
      <c r="EP190" s="199"/>
      <c r="EQ190" s="199"/>
      <c r="ER190" s="199"/>
      <c r="ES190" s="199"/>
      <c r="ET190" s="199"/>
      <c r="EU190" s="199"/>
      <c r="EV190" s="199"/>
      <c r="EW190" s="199"/>
      <c r="EX190" s="199"/>
      <c r="EY190" s="199"/>
      <c r="EZ190" s="199"/>
      <c r="FA190" s="199"/>
      <c r="FB190" s="199"/>
      <c r="FC190" s="199"/>
      <c r="FD190" s="199"/>
      <c r="FE190" s="199"/>
      <c r="FF190" s="199"/>
      <c r="FG190" s="199"/>
      <c r="FH190" s="199"/>
      <c r="FI190" s="199"/>
      <c r="FJ190" s="199"/>
      <c r="FK190" s="199"/>
      <c r="FL190" s="199"/>
      <c r="FM190" s="199"/>
      <c r="FN190" s="199"/>
      <c r="FO190" s="199"/>
      <c r="FP190" s="199"/>
      <c r="FQ190" s="199"/>
      <c r="FR190" s="199"/>
      <c r="FS190" s="199"/>
      <c r="FT190" s="199"/>
      <c r="FU190" s="199"/>
      <c r="FV190" s="199"/>
      <c r="FW190" s="199"/>
      <c r="FX190" s="199"/>
      <c r="FY190" s="199"/>
      <c r="FZ190" s="199"/>
      <c r="GA190" s="199"/>
      <c r="GB190" s="199"/>
      <c r="GC190" s="199"/>
      <c r="GD190" s="199"/>
      <c r="GE190" s="199"/>
      <c r="GF190" s="199"/>
      <c r="GG190" s="199"/>
      <c r="GH190" s="199"/>
      <c r="GI190" s="199"/>
      <c r="GJ190" s="199"/>
      <c r="GK190" s="199"/>
      <c r="GL190" s="199"/>
      <c r="GM190" s="199"/>
      <c r="GN190" s="199"/>
      <c r="GO190" s="199"/>
      <c r="GP190" s="199"/>
      <c r="GQ190" s="199"/>
      <c r="GR190" s="199"/>
      <c r="GS190" s="199"/>
      <c r="GT190" s="199"/>
      <c r="GU190" s="199"/>
      <c r="GV190" s="199"/>
      <c r="GW190" s="199"/>
      <c r="GX190" s="199"/>
      <c r="GY190" s="199"/>
      <c r="GZ190" s="199"/>
      <c r="HA190" s="199"/>
      <c r="HB190" s="199"/>
      <c r="HC190" s="199"/>
      <c r="HD190" s="199"/>
      <c r="HE190" s="199"/>
      <c r="HF190" s="199"/>
      <c r="HG190" s="199"/>
      <c r="HH190" s="199"/>
      <c r="HI190" s="199"/>
      <c r="HJ190" s="199"/>
      <c r="HK190" s="199"/>
      <c r="HL190" s="199"/>
      <c r="HM190" s="199"/>
      <c r="HN190" s="199"/>
      <c r="HO190" s="199"/>
      <c r="HP190" s="199"/>
      <c r="HQ190" s="199"/>
      <c r="HR190" s="199"/>
      <c r="HS190" s="199"/>
      <c r="HT190" s="199"/>
      <c r="HU190" s="199"/>
      <c r="HV190" s="199"/>
      <c r="HW190" s="199"/>
      <c r="HX190" s="199"/>
      <c r="HY190" s="199"/>
      <c r="HZ190" s="199"/>
      <c r="IA190" s="199"/>
      <c r="IB190" s="199"/>
      <c r="IC190" s="199"/>
      <c r="ID190" s="199"/>
      <c r="IE190" s="199"/>
      <c r="IF190" s="199"/>
      <c r="IG190" s="199"/>
      <c r="IH190" s="199"/>
      <c r="II190" s="199"/>
      <c r="IJ190" s="199"/>
      <c r="IK190" s="199"/>
      <c r="IL190" s="199"/>
      <c r="IM190" s="199"/>
      <c r="IN190" s="199"/>
      <c r="IO190" s="199"/>
      <c r="IP190" s="199"/>
      <c r="IQ190" s="199"/>
      <c r="IR190" s="199"/>
      <c r="IS190" s="199"/>
      <c r="IT190" s="199"/>
      <c r="IU190" s="199"/>
      <c r="IV190" s="199"/>
      <c r="IW190" s="199"/>
    </row>
    <row r="191" customFormat="false" ht="12.75" hidden="false" customHeight="false" outlineLevel="0" collapsed="false">
      <c r="A191" s="197"/>
      <c r="B191" s="177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D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199"/>
      <c r="CB191" s="199"/>
      <c r="CC191" s="199"/>
      <c r="CD191" s="199"/>
      <c r="CE191" s="199"/>
      <c r="CF191" s="199"/>
      <c r="CG191" s="199"/>
      <c r="CH191" s="199"/>
      <c r="CI191" s="199"/>
      <c r="CJ191" s="199"/>
      <c r="CK191" s="199"/>
      <c r="CL191" s="199"/>
      <c r="CM191" s="199"/>
      <c r="CN191" s="199"/>
      <c r="CO191" s="199"/>
      <c r="CP191" s="199"/>
      <c r="CQ191" s="199"/>
      <c r="CR191" s="199"/>
      <c r="CS191" s="199"/>
      <c r="CT191" s="199"/>
      <c r="CU191" s="199"/>
      <c r="CV191" s="199"/>
      <c r="CW191" s="199"/>
      <c r="CX191" s="199"/>
      <c r="CY191" s="199"/>
      <c r="CZ191" s="199"/>
      <c r="DA191" s="199"/>
      <c r="DB191" s="199"/>
      <c r="DC191" s="199"/>
      <c r="DD191" s="199"/>
      <c r="DE191" s="199"/>
      <c r="DF191" s="199"/>
      <c r="DG191" s="199"/>
      <c r="DH191" s="199"/>
      <c r="DI191" s="199"/>
      <c r="DJ191" s="199"/>
      <c r="DK191" s="199"/>
      <c r="DL191" s="199"/>
      <c r="DM191" s="199"/>
      <c r="DN191" s="199"/>
      <c r="DO191" s="199"/>
      <c r="DP191" s="199"/>
      <c r="DQ191" s="199"/>
      <c r="DR191" s="199"/>
      <c r="DS191" s="199"/>
      <c r="DT191" s="199"/>
      <c r="DU191" s="199"/>
      <c r="DV191" s="199"/>
      <c r="DW191" s="199"/>
      <c r="DX191" s="199"/>
      <c r="DY191" s="199"/>
      <c r="DZ191" s="199"/>
      <c r="EA191" s="199"/>
      <c r="EB191" s="199"/>
      <c r="EC191" s="199"/>
      <c r="ED191" s="199"/>
      <c r="EE191" s="199"/>
      <c r="EF191" s="199"/>
      <c r="EG191" s="199"/>
      <c r="EH191" s="199"/>
      <c r="EI191" s="199"/>
      <c r="EJ191" s="199"/>
      <c r="EK191" s="199"/>
      <c r="EL191" s="199"/>
      <c r="EM191" s="199"/>
      <c r="EN191" s="199"/>
      <c r="EO191" s="199"/>
      <c r="EP191" s="199"/>
      <c r="EQ191" s="199"/>
      <c r="ER191" s="199"/>
      <c r="ES191" s="199"/>
      <c r="ET191" s="199"/>
      <c r="EU191" s="199"/>
      <c r="EV191" s="199"/>
      <c r="EW191" s="199"/>
      <c r="EX191" s="199"/>
      <c r="EY191" s="199"/>
      <c r="EZ191" s="199"/>
      <c r="FA191" s="199"/>
      <c r="FB191" s="199"/>
      <c r="FC191" s="199"/>
      <c r="FD191" s="199"/>
      <c r="FE191" s="199"/>
      <c r="FF191" s="199"/>
      <c r="FG191" s="199"/>
      <c r="FH191" s="199"/>
      <c r="FI191" s="199"/>
      <c r="FJ191" s="199"/>
      <c r="FK191" s="199"/>
      <c r="FL191" s="199"/>
      <c r="FM191" s="199"/>
      <c r="FN191" s="199"/>
      <c r="FO191" s="199"/>
      <c r="FP191" s="199"/>
      <c r="FQ191" s="199"/>
      <c r="FR191" s="199"/>
      <c r="FS191" s="199"/>
      <c r="FT191" s="199"/>
      <c r="FU191" s="199"/>
      <c r="FV191" s="199"/>
      <c r="FW191" s="199"/>
      <c r="FX191" s="199"/>
      <c r="FY191" s="199"/>
      <c r="FZ191" s="199"/>
      <c r="GA191" s="199"/>
      <c r="GB191" s="199"/>
      <c r="GC191" s="199"/>
      <c r="GD191" s="199"/>
      <c r="GE191" s="199"/>
      <c r="GF191" s="199"/>
      <c r="GG191" s="199"/>
      <c r="GH191" s="199"/>
      <c r="GI191" s="199"/>
      <c r="GJ191" s="199"/>
      <c r="GK191" s="199"/>
      <c r="GL191" s="199"/>
      <c r="GM191" s="199"/>
      <c r="GN191" s="199"/>
      <c r="GO191" s="199"/>
      <c r="GP191" s="199"/>
      <c r="GQ191" s="199"/>
      <c r="GR191" s="199"/>
      <c r="GS191" s="199"/>
      <c r="GT191" s="199"/>
      <c r="GU191" s="199"/>
      <c r="GV191" s="199"/>
      <c r="GW191" s="199"/>
      <c r="GX191" s="199"/>
      <c r="GY191" s="199"/>
      <c r="GZ191" s="199"/>
      <c r="HA191" s="199"/>
      <c r="HB191" s="199"/>
      <c r="HC191" s="199"/>
      <c r="HD191" s="199"/>
      <c r="HE191" s="199"/>
      <c r="HF191" s="199"/>
      <c r="HG191" s="199"/>
      <c r="HH191" s="199"/>
      <c r="HI191" s="199"/>
      <c r="HJ191" s="199"/>
      <c r="HK191" s="199"/>
      <c r="HL191" s="199"/>
      <c r="HM191" s="199"/>
      <c r="HN191" s="199"/>
      <c r="HO191" s="199"/>
      <c r="HP191" s="199"/>
      <c r="HQ191" s="199"/>
      <c r="HR191" s="199"/>
      <c r="HS191" s="199"/>
      <c r="HT191" s="199"/>
      <c r="HU191" s="199"/>
      <c r="HV191" s="199"/>
      <c r="HW191" s="199"/>
      <c r="HX191" s="199"/>
      <c r="HY191" s="199"/>
      <c r="HZ191" s="199"/>
      <c r="IA191" s="199"/>
      <c r="IB191" s="199"/>
      <c r="IC191" s="199"/>
      <c r="ID191" s="199"/>
      <c r="IE191" s="199"/>
      <c r="IF191" s="199"/>
      <c r="IG191" s="199"/>
      <c r="IH191" s="199"/>
      <c r="II191" s="199"/>
      <c r="IJ191" s="199"/>
      <c r="IK191" s="199"/>
      <c r="IL191" s="199"/>
      <c r="IM191" s="199"/>
      <c r="IN191" s="199"/>
      <c r="IO191" s="199"/>
      <c r="IP191" s="199"/>
      <c r="IQ191" s="199"/>
      <c r="IR191" s="199"/>
      <c r="IS191" s="199"/>
      <c r="IT191" s="199"/>
      <c r="IU191" s="199"/>
      <c r="IV191" s="199"/>
      <c r="IW191" s="199"/>
    </row>
    <row r="192" customFormat="false" ht="12.75" hidden="false" customHeight="false" outlineLevel="0" collapsed="false">
      <c r="A192" s="160" t="s">
        <v>269</v>
      </c>
      <c r="B192" s="174"/>
      <c r="C192" s="174"/>
      <c r="D192" s="174"/>
      <c r="E192" s="174"/>
      <c r="F192" s="174"/>
      <c r="G192" s="174"/>
      <c r="H192" s="174"/>
      <c r="I192" s="174"/>
      <c r="J192" s="201"/>
      <c r="K192" s="174"/>
      <c r="L192" s="202" t="s">
        <v>151</v>
      </c>
      <c r="M192" s="24"/>
      <c r="N192" s="24" t="n">
        <v>0</v>
      </c>
      <c r="O192" s="24"/>
      <c r="P192" s="24" t="n">
        <v>0</v>
      </c>
      <c r="Q192" s="24"/>
      <c r="R192" s="24" t="n">
        <v>200000</v>
      </c>
      <c r="S192" s="24"/>
      <c r="T192" s="24" t="n">
        <v>0</v>
      </c>
      <c r="U192" s="24"/>
      <c r="V192" s="24" t="n">
        <v>0</v>
      </c>
      <c r="W192" s="24"/>
      <c r="X192" s="24" t="n">
        <v>0</v>
      </c>
      <c r="Y192" s="24"/>
      <c r="Z192" s="24" t="n">
        <v>0</v>
      </c>
      <c r="AA192" s="24"/>
      <c r="AB192" s="24" t="n">
        <v>0</v>
      </c>
      <c r="AC192" s="24"/>
      <c r="AD192" s="24" t="n">
        <v>0</v>
      </c>
      <c r="AE192" s="24"/>
      <c r="AF192" s="24" t="n">
        <v>0</v>
      </c>
      <c r="AG192" s="24"/>
      <c r="AH192" s="24" t="n">
        <v>0</v>
      </c>
      <c r="AI192" s="24"/>
      <c r="AJ192" s="24" t="n">
        <v>0</v>
      </c>
      <c r="AK192" s="24"/>
      <c r="AL192" s="24"/>
      <c r="AM192" s="24"/>
      <c r="AN192" s="24" t="n">
        <v>0</v>
      </c>
      <c r="AO192" s="24"/>
      <c r="AP192" s="24" t="n">
        <v>0</v>
      </c>
      <c r="AQ192" s="24"/>
      <c r="AR192" s="24" t="n">
        <v>0</v>
      </c>
      <c r="AS192" s="24"/>
      <c r="AT192" s="24" t="n">
        <v>200935.25</v>
      </c>
      <c r="AU192" s="24"/>
      <c r="AV192" s="24" t="n">
        <v>0</v>
      </c>
      <c r="AW192" s="24"/>
      <c r="AX192" s="24" t="n">
        <v>0</v>
      </c>
      <c r="AY192" s="24"/>
      <c r="AZ192" s="24" t="n">
        <v>0</v>
      </c>
      <c r="BA192" s="24"/>
      <c r="BB192" s="24" t="n">
        <v>0</v>
      </c>
      <c r="BD192" s="24" t="n">
        <v>0</v>
      </c>
      <c r="BF192" s="24" t="n">
        <v>0</v>
      </c>
      <c r="BG192" s="24"/>
      <c r="BH192" s="24" t="n">
        <v>0</v>
      </c>
      <c r="BI192" s="24"/>
      <c r="BJ192" s="24" t="n">
        <v>0</v>
      </c>
      <c r="BK192" s="24"/>
      <c r="BL192" s="24" t="n">
        <v>0</v>
      </c>
      <c r="BM192" s="24" t="n">
        <v>0</v>
      </c>
      <c r="BN192" s="24"/>
      <c r="BO192" s="24" t="n">
        <v>0</v>
      </c>
      <c r="BP192" s="24"/>
      <c r="BQ192" s="24" t="n">
        <f aca="false">SUM(T192:BP192)</f>
        <v>200935.25</v>
      </c>
      <c r="BR192" s="24"/>
      <c r="BS192" s="24" t="n">
        <v>0</v>
      </c>
      <c r="BT192" s="24"/>
      <c r="BU192" s="110" t="n">
        <f aca="false">IF(+R192-BQ192+BS192&gt;0,R192-BQ192+BS192,0)</f>
        <v>0</v>
      </c>
      <c r="BV192" s="24"/>
      <c r="BW192" s="24" t="n">
        <f aca="false">+BQ192+BU192</f>
        <v>200935.25</v>
      </c>
      <c r="BX192" s="24"/>
      <c r="BY192" s="24" t="n">
        <f aca="false">+R192-BW192</f>
        <v>-935.25</v>
      </c>
      <c r="BZ192" s="24"/>
      <c r="CA192" s="174"/>
      <c r="CB192" s="174"/>
      <c r="CC192" s="174"/>
      <c r="CD192" s="174"/>
      <c r="CE192" s="174"/>
      <c r="CF192" s="174"/>
      <c r="CG192" s="174"/>
      <c r="CH192" s="174"/>
      <c r="CI192" s="174"/>
      <c r="CJ192" s="174"/>
      <c r="CK192" s="174"/>
      <c r="CL192" s="174"/>
      <c r="CM192" s="174"/>
      <c r="CN192" s="174"/>
      <c r="CO192" s="174"/>
      <c r="CP192" s="174"/>
      <c r="CQ192" s="174"/>
      <c r="CR192" s="174"/>
      <c r="CS192" s="174"/>
      <c r="CT192" s="174"/>
      <c r="CU192" s="174"/>
      <c r="CV192" s="174"/>
      <c r="CW192" s="174"/>
      <c r="CX192" s="174"/>
      <c r="CY192" s="174"/>
      <c r="CZ192" s="174"/>
      <c r="DA192" s="174"/>
      <c r="DB192" s="174"/>
      <c r="DC192" s="174"/>
      <c r="DD192" s="174"/>
      <c r="DE192" s="174"/>
      <c r="DF192" s="174"/>
      <c r="DG192" s="174"/>
      <c r="DH192" s="174"/>
      <c r="DI192" s="174"/>
      <c r="DJ192" s="174"/>
      <c r="DK192" s="174"/>
      <c r="DL192" s="174"/>
      <c r="DM192" s="174"/>
      <c r="DN192" s="174"/>
      <c r="DO192" s="174"/>
      <c r="DP192" s="174"/>
      <c r="DQ192" s="174"/>
      <c r="DR192" s="174"/>
      <c r="DS192" s="174"/>
      <c r="DT192" s="174"/>
      <c r="DU192" s="174"/>
      <c r="DV192" s="174"/>
      <c r="DW192" s="174"/>
      <c r="DX192" s="174"/>
      <c r="DY192" s="174"/>
      <c r="DZ192" s="174"/>
      <c r="EA192" s="174"/>
      <c r="EB192" s="174"/>
      <c r="EC192" s="174"/>
      <c r="ED192" s="174"/>
      <c r="EE192" s="174"/>
      <c r="EF192" s="174"/>
      <c r="EG192" s="174"/>
      <c r="EH192" s="174"/>
      <c r="EI192" s="174"/>
      <c r="EJ192" s="174"/>
      <c r="EK192" s="174"/>
      <c r="EL192" s="174"/>
      <c r="EM192" s="174"/>
      <c r="EN192" s="174"/>
      <c r="EO192" s="174"/>
      <c r="EP192" s="174"/>
      <c r="EQ192" s="174"/>
      <c r="ER192" s="174"/>
      <c r="ES192" s="174"/>
      <c r="ET192" s="174"/>
      <c r="EU192" s="174"/>
      <c r="EV192" s="174"/>
      <c r="EW192" s="174"/>
      <c r="EX192" s="174"/>
      <c r="EY192" s="174"/>
      <c r="EZ192" s="174"/>
      <c r="FA192" s="174"/>
      <c r="FB192" s="174"/>
      <c r="FC192" s="174"/>
      <c r="FD192" s="174"/>
      <c r="FE192" s="174"/>
      <c r="FF192" s="174"/>
      <c r="FG192" s="174"/>
      <c r="FH192" s="174"/>
      <c r="FI192" s="174"/>
      <c r="FJ192" s="174"/>
      <c r="FK192" s="174"/>
      <c r="FL192" s="174"/>
      <c r="FM192" s="174"/>
      <c r="FN192" s="174"/>
      <c r="FO192" s="174"/>
      <c r="FP192" s="174"/>
      <c r="FQ192" s="174"/>
      <c r="FR192" s="174"/>
      <c r="FS192" s="174"/>
      <c r="FT192" s="174"/>
      <c r="FU192" s="174"/>
      <c r="FV192" s="174"/>
      <c r="FW192" s="174"/>
      <c r="FX192" s="174"/>
      <c r="FY192" s="174"/>
      <c r="FZ192" s="174"/>
      <c r="GA192" s="174"/>
      <c r="GB192" s="174"/>
      <c r="GC192" s="174"/>
      <c r="GD192" s="174"/>
      <c r="GE192" s="174"/>
      <c r="GF192" s="174"/>
      <c r="GG192" s="174"/>
      <c r="GH192" s="174"/>
      <c r="GI192" s="174"/>
      <c r="GJ192" s="174"/>
      <c r="GK192" s="174"/>
      <c r="GL192" s="174"/>
      <c r="GM192" s="174"/>
      <c r="GN192" s="174"/>
      <c r="GO192" s="174"/>
      <c r="GP192" s="174"/>
      <c r="GQ192" s="174"/>
      <c r="GR192" s="174"/>
      <c r="GS192" s="174"/>
      <c r="GT192" s="174"/>
      <c r="GU192" s="174"/>
      <c r="GV192" s="174"/>
      <c r="GW192" s="174"/>
      <c r="GX192" s="174"/>
      <c r="GY192" s="174"/>
      <c r="GZ192" s="174"/>
      <c r="HA192" s="174"/>
      <c r="HB192" s="174"/>
      <c r="HC192" s="174"/>
      <c r="HD192" s="174"/>
      <c r="HE192" s="174"/>
      <c r="HF192" s="174"/>
      <c r="HG192" s="174"/>
      <c r="HH192" s="174"/>
      <c r="HI192" s="174"/>
      <c r="HJ192" s="174"/>
      <c r="HK192" s="174"/>
      <c r="HL192" s="174"/>
      <c r="HM192" s="174"/>
      <c r="HN192" s="174"/>
      <c r="HO192" s="174"/>
      <c r="HP192" s="174"/>
      <c r="HQ192" s="174"/>
      <c r="HR192" s="174"/>
      <c r="HS192" s="174"/>
      <c r="HT192" s="174"/>
      <c r="HU192" s="174"/>
      <c r="HV192" s="174"/>
      <c r="HW192" s="174"/>
      <c r="HX192" s="174"/>
      <c r="HY192" s="174"/>
      <c r="HZ192" s="174"/>
      <c r="IA192" s="174"/>
      <c r="IB192" s="174"/>
      <c r="IC192" s="174"/>
      <c r="ID192" s="174"/>
      <c r="IE192" s="174"/>
      <c r="IF192" s="174"/>
      <c r="IG192" s="174"/>
      <c r="IH192" s="174"/>
      <c r="II192" s="174"/>
      <c r="IJ192" s="174"/>
      <c r="IK192" s="174"/>
      <c r="IL192" s="174"/>
      <c r="IM192" s="174"/>
      <c r="IN192" s="174"/>
      <c r="IO192" s="174"/>
      <c r="IP192" s="174"/>
      <c r="IQ192" s="174"/>
      <c r="IR192" s="174"/>
      <c r="IS192" s="174"/>
      <c r="IT192" s="174"/>
      <c r="IU192" s="174"/>
      <c r="IV192" s="174"/>
      <c r="IW192" s="174"/>
    </row>
    <row r="193" customFormat="false" ht="12.75" hidden="false" customHeight="false" outlineLevel="0" collapsed="false">
      <c r="A193" s="196"/>
      <c r="B193" s="164"/>
      <c r="C193" s="0"/>
      <c r="D193" s="0"/>
      <c r="E193" s="0"/>
      <c r="F193" s="0"/>
      <c r="G193" s="0"/>
      <c r="H193" s="0"/>
      <c r="I193" s="0"/>
      <c r="J193" s="4"/>
      <c r="K193" s="0"/>
      <c r="L193" s="34"/>
      <c r="M193" s="110"/>
      <c r="O193" s="110"/>
      <c r="Q193" s="110"/>
      <c r="S193" s="110"/>
      <c r="T193" s="110"/>
      <c r="U193" s="110"/>
      <c r="V193" s="110"/>
      <c r="X193" s="110"/>
      <c r="Z193" s="110"/>
      <c r="AB193" s="110"/>
      <c r="AD193" s="110"/>
      <c r="BL193" s="110"/>
      <c r="BM193" s="110"/>
      <c r="BN193" s="110"/>
      <c r="BO193" s="110"/>
      <c r="BP193" s="110"/>
      <c r="BR193" s="110"/>
      <c r="BS193" s="110"/>
      <c r="BT193" s="110"/>
      <c r="BZ193" s="110"/>
      <c r="CA193" s="194"/>
      <c r="CB193" s="194"/>
      <c r="CC193" s="194"/>
      <c r="CD193" s="194"/>
      <c r="CE193" s="194"/>
      <c r="CF193" s="194"/>
      <c r="CG193" s="194"/>
      <c r="CH193" s="194"/>
      <c r="CI193" s="194"/>
      <c r="CJ193" s="194"/>
      <c r="CK193" s="194"/>
      <c r="CL193" s="194"/>
      <c r="CM193" s="194"/>
      <c r="CN193" s="194"/>
      <c r="CO193" s="194"/>
      <c r="CP193" s="194"/>
      <c r="CQ193" s="194"/>
      <c r="CR193" s="194"/>
      <c r="CS193" s="194"/>
      <c r="CT193" s="194"/>
      <c r="CU193" s="194"/>
      <c r="CV193" s="194"/>
      <c r="CW193" s="194"/>
      <c r="CX193" s="194"/>
      <c r="CY193" s="194"/>
      <c r="CZ193" s="194"/>
      <c r="DA193" s="194"/>
      <c r="DB193" s="194"/>
      <c r="DC193" s="194"/>
      <c r="DD193" s="194"/>
      <c r="DE193" s="194"/>
      <c r="DF193" s="194"/>
      <c r="DG193" s="194"/>
      <c r="DH193" s="194"/>
      <c r="DI193" s="194"/>
      <c r="DJ193" s="194"/>
      <c r="DK193" s="194"/>
      <c r="DL193" s="194"/>
      <c r="DM193" s="194"/>
      <c r="DN193" s="194"/>
      <c r="DO193" s="194"/>
      <c r="DP193" s="194"/>
      <c r="DQ193" s="194"/>
      <c r="DR193" s="194"/>
      <c r="DS193" s="194"/>
      <c r="DT193" s="194"/>
      <c r="DU193" s="194"/>
      <c r="DV193" s="194"/>
      <c r="DW193" s="194"/>
      <c r="DX193" s="194"/>
      <c r="DY193" s="194"/>
      <c r="DZ193" s="194"/>
      <c r="EA193" s="194"/>
      <c r="EB193" s="194"/>
      <c r="EC193" s="194"/>
      <c r="ED193" s="194"/>
      <c r="EE193" s="194"/>
      <c r="EF193" s="194"/>
      <c r="EG193" s="194"/>
      <c r="EH193" s="194"/>
      <c r="EI193" s="194"/>
      <c r="EJ193" s="194"/>
      <c r="EK193" s="194"/>
      <c r="EL193" s="194"/>
      <c r="EM193" s="194"/>
      <c r="EN193" s="194"/>
      <c r="EO193" s="194"/>
      <c r="EP193" s="194"/>
      <c r="EQ193" s="194"/>
      <c r="ER193" s="194"/>
      <c r="ES193" s="194"/>
      <c r="ET193" s="194"/>
      <c r="EU193" s="194"/>
      <c r="EV193" s="194"/>
      <c r="EW193" s="194"/>
      <c r="EX193" s="194"/>
      <c r="EY193" s="194"/>
      <c r="EZ193" s="194"/>
      <c r="FA193" s="194"/>
      <c r="FB193" s="194"/>
      <c r="FC193" s="194"/>
      <c r="FD193" s="194"/>
      <c r="FE193" s="194"/>
      <c r="FF193" s="194"/>
      <c r="FG193" s="194"/>
      <c r="FH193" s="194"/>
      <c r="FI193" s="194"/>
      <c r="FJ193" s="194"/>
      <c r="FK193" s="194"/>
      <c r="FL193" s="194"/>
      <c r="FM193" s="194"/>
      <c r="FN193" s="194"/>
      <c r="FO193" s="194"/>
      <c r="FP193" s="194"/>
      <c r="FQ193" s="194"/>
      <c r="FR193" s="194"/>
      <c r="FS193" s="194"/>
      <c r="FT193" s="194"/>
      <c r="FU193" s="194"/>
      <c r="FV193" s="194"/>
      <c r="FW193" s="194"/>
      <c r="FX193" s="194"/>
      <c r="FY193" s="194"/>
      <c r="FZ193" s="194"/>
      <c r="GA193" s="194"/>
      <c r="GB193" s="194"/>
      <c r="GC193" s="194"/>
      <c r="GD193" s="194"/>
      <c r="GE193" s="194"/>
      <c r="GF193" s="194"/>
      <c r="GG193" s="194"/>
      <c r="GH193" s="194"/>
      <c r="GI193" s="194"/>
      <c r="GJ193" s="194"/>
      <c r="GK193" s="194"/>
      <c r="GL193" s="194"/>
      <c r="GM193" s="194"/>
      <c r="GN193" s="194"/>
      <c r="GO193" s="194"/>
      <c r="GP193" s="194"/>
      <c r="GQ193" s="194"/>
      <c r="GR193" s="194"/>
      <c r="GS193" s="194"/>
      <c r="GT193" s="194"/>
      <c r="GU193" s="194"/>
      <c r="GV193" s="194"/>
      <c r="GW193" s="194"/>
      <c r="GX193" s="194"/>
      <c r="GY193" s="194"/>
      <c r="GZ193" s="194"/>
      <c r="HA193" s="194"/>
      <c r="HB193" s="194"/>
      <c r="HC193" s="194"/>
      <c r="HD193" s="194"/>
      <c r="HE193" s="194"/>
      <c r="HF193" s="194"/>
      <c r="HG193" s="194"/>
      <c r="HH193" s="194"/>
      <c r="HI193" s="194"/>
      <c r="HJ193" s="194"/>
      <c r="HK193" s="194"/>
      <c r="HL193" s="194"/>
      <c r="HM193" s="194"/>
      <c r="HN193" s="194"/>
      <c r="HO193" s="194"/>
      <c r="HP193" s="194"/>
      <c r="HQ193" s="194"/>
      <c r="HR193" s="194"/>
      <c r="HS193" s="194"/>
      <c r="HT193" s="194"/>
      <c r="HU193" s="194"/>
      <c r="HV193" s="194"/>
      <c r="HW193" s="194"/>
      <c r="HX193" s="194"/>
      <c r="HY193" s="194"/>
      <c r="HZ193" s="194"/>
      <c r="IA193" s="194"/>
      <c r="IB193" s="194"/>
      <c r="IC193" s="194"/>
      <c r="ID193" s="194"/>
      <c r="IE193" s="194"/>
      <c r="IF193" s="194"/>
      <c r="IG193" s="194"/>
      <c r="IH193" s="194"/>
      <c r="II193" s="194"/>
      <c r="IJ193" s="194"/>
      <c r="IK193" s="194"/>
      <c r="IL193" s="194"/>
      <c r="IM193" s="194"/>
      <c r="IN193" s="194"/>
      <c r="IO193" s="194"/>
      <c r="IP193" s="194"/>
      <c r="IQ193" s="194"/>
      <c r="IR193" s="194"/>
      <c r="IS193" s="194"/>
      <c r="IT193" s="194"/>
      <c r="IU193" s="194"/>
      <c r="IV193" s="194"/>
      <c r="IW193" s="194"/>
    </row>
    <row r="194" customFormat="false" ht="12.75" hidden="false" customHeight="false" outlineLevel="0" collapsed="false">
      <c r="A194" s="160" t="s">
        <v>270</v>
      </c>
      <c r="B194" s="174"/>
      <c r="C194" s="174"/>
      <c r="D194" s="174"/>
      <c r="E194" s="174"/>
      <c r="F194" s="174"/>
      <c r="G194" s="174"/>
      <c r="H194" s="174"/>
      <c r="I194" s="174"/>
      <c r="J194" s="201"/>
      <c r="K194" s="174"/>
      <c r="L194" s="202" t="s">
        <v>151</v>
      </c>
      <c r="M194" s="24"/>
      <c r="N194" s="24" t="n">
        <v>0</v>
      </c>
      <c r="O194" s="24"/>
      <c r="P194" s="24" t="n">
        <v>0</v>
      </c>
      <c r="Q194" s="24"/>
      <c r="R194" s="24" t="n">
        <v>200000</v>
      </c>
      <c r="S194" s="24"/>
      <c r="T194" s="24" t="n">
        <v>0</v>
      </c>
      <c r="U194" s="24"/>
      <c r="V194" s="24" t="n">
        <v>0</v>
      </c>
      <c r="W194" s="24"/>
      <c r="X194" s="24"/>
      <c r="Y194" s="24"/>
      <c r="Z194" s="24" t="n">
        <v>0</v>
      </c>
      <c r="AA194" s="24"/>
      <c r="AB194" s="24" t="n">
        <v>0</v>
      </c>
      <c r="AC194" s="24"/>
      <c r="AD194" s="24" t="n">
        <v>0</v>
      </c>
      <c r="AE194" s="24"/>
      <c r="AF194" s="24" t="n">
        <v>0</v>
      </c>
      <c r="AG194" s="24"/>
      <c r="AH194" s="24" t="n">
        <v>0</v>
      </c>
      <c r="AI194" s="24"/>
      <c r="AJ194" s="24" t="n">
        <v>0</v>
      </c>
      <c r="AK194" s="24"/>
      <c r="AL194" s="24" t="n">
        <f aca="false">33713.4+18457</f>
        <v>52170.4</v>
      </c>
      <c r="AM194" s="24"/>
      <c r="AN194" s="24" t="n">
        <v>2851</v>
      </c>
      <c r="AO194" s="24"/>
      <c r="AP194" s="24" t="n">
        <v>0</v>
      </c>
      <c r="AQ194" s="24"/>
      <c r="AR194" s="24" t="n">
        <v>0</v>
      </c>
      <c r="AS194" s="24"/>
      <c r="AT194" s="24" t="n">
        <v>0</v>
      </c>
      <c r="AU194" s="24"/>
      <c r="AV194" s="24" t="n">
        <v>1755.4</v>
      </c>
      <c r="AW194" s="24"/>
      <c r="AX194" s="24" t="n">
        <v>28687.68</v>
      </c>
      <c r="AY194" s="24"/>
      <c r="AZ194" s="24" t="n">
        <v>12673.78</v>
      </c>
      <c r="BA194" s="24"/>
      <c r="BB194" s="24" t="n">
        <v>13977.09</v>
      </c>
      <c r="BD194" s="24" t="n">
        <v>0</v>
      </c>
      <c r="BF194" s="24" t="n">
        <v>0</v>
      </c>
      <c r="BG194" s="24"/>
      <c r="BH194" s="24" t="n">
        <v>0</v>
      </c>
      <c r="BI194" s="24"/>
      <c r="BJ194" s="24" t="n">
        <v>0</v>
      </c>
      <c r="BK194" s="24"/>
      <c r="BL194" s="24"/>
      <c r="BM194" s="24" t="n">
        <v>0</v>
      </c>
      <c r="BN194" s="24"/>
      <c r="BO194" s="24"/>
      <c r="BP194" s="24"/>
      <c r="BQ194" s="24" t="n">
        <f aca="false">SUM(T194:BP194)</f>
        <v>112115.35</v>
      </c>
      <c r="BR194" s="24"/>
      <c r="BS194" s="24" t="n">
        <v>-87885</v>
      </c>
      <c r="BT194" s="24"/>
      <c r="BU194" s="110" t="n">
        <f aca="false">IF(+R194-BQ194+BS194&gt;0,R194-BQ194+BS194,0)</f>
        <v>0</v>
      </c>
      <c r="BV194" s="24"/>
      <c r="BW194" s="24" t="n">
        <f aca="false">+BQ194+BU194</f>
        <v>112115.35</v>
      </c>
      <c r="BX194" s="24"/>
      <c r="BY194" s="24" t="n">
        <f aca="false">+R194-BW194</f>
        <v>87884.65</v>
      </c>
      <c r="BZ194" s="24"/>
      <c r="CA194" s="174"/>
      <c r="CB194" s="174"/>
      <c r="CC194" s="174"/>
      <c r="CD194" s="174"/>
      <c r="CE194" s="174"/>
      <c r="CF194" s="174"/>
      <c r="CG194" s="174"/>
      <c r="CH194" s="174"/>
      <c r="CI194" s="174"/>
      <c r="CJ194" s="174"/>
      <c r="CK194" s="174"/>
      <c r="CL194" s="174"/>
      <c r="CM194" s="174"/>
      <c r="CN194" s="174"/>
      <c r="CO194" s="174"/>
      <c r="CP194" s="174"/>
      <c r="CQ194" s="174"/>
      <c r="CR194" s="174"/>
      <c r="CS194" s="174"/>
      <c r="CT194" s="174"/>
      <c r="CU194" s="174"/>
      <c r="CV194" s="174"/>
      <c r="CW194" s="174"/>
      <c r="CX194" s="174"/>
      <c r="CY194" s="174"/>
      <c r="CZ194" s="174"/>
      <c r="DA194" s="174"/>
      <c r="DB194" s="174"/>
      <c r="DC194" s="174"/>
      <c r="DD194" s="174"/>
      <c r="DE194" s="174"/>
      <c r="DF194" s="174"/>
      <c r="DG194" s="174"/>
      <c r="DH194" s="174"/>
      <c r="DI194" s="174"/>
      <c r="DJ194" s="174"/>
      <c r="DK194" s="174"/>
      <c r="DL194" s="174"/>
      <c r="DM194" s="174"/>
      <c r="DN194" s="174"/>
      <c r="DO194" s="174"/>
      <c r="DP194" s="174"/>
      <c r="DQ194" s="174"/>
      <c r="DR194" s="174"/>
      <c r="DS194" s="174"/>
      <c r="DT194" s="174"/>
      <c r="DU194" s="174"/>
      <c r="DV194" s="174"/>
      <c r="DW194" s="174"/>
      <c r="DX194" s="174"/>
      <c r="DY194" s="174"/>
      <c r="DZ194" s="174"/>
      <c r="EA194" s="174"/>
      <c r="EB194" s="174"/>
      <c r="EC194" s="174"/>
      <c r="ED194" s="174"/>
      <c r="EE194" s="174"/>
      <c r="EF194" s="174"/>
      <c r="EG194" s="174"/>
      <c r="EH194" s="174"/>
      <c r="EI194" s="174"/>
      <c r="EJ194" s="174"/>
      <c r="EK194" s="174"/>
      <c r="EL194" s="174"/>
      <c r="EM194" s="174"/>
      <c r="EN194" s="174"/>
      <c r="EO194" s="174"/>
      <c r="EP194" s="174"/>
      <c r="EQ194" s="174"/>
      <c r="ER194" s="174"/>
      <c r="ES194" s="174"/>
      <c r="ET194" s="174"/>
      <c r="EU194" s="174"/>
      <c r="EV194" s="174"/>
      <c r="EW194" s="174"/>
      <c r="EX194" s="174"/>
      <c r="EY194" s="174"/>
      <c r="EZ194" s="174"/>
      <c r="FA194" s="174"/>
      <c r="FB194" s="174"/>
      <c r="FC194" s="174"/>
      <c r="FD194" s="174"/>
      <c r="FE194" s="174"/>
      <c r="FF194" s="174"/>
      <c r="FG194" s="174"/>
      <c r="FH194" s="174"/>
      <c r="FI194" s="174"/>
      <c r="FJ194" s="174"/>
      <c r="FK194" s="174"/>
      <c r="FL194" s="174"/>
      <c r="FM194" s="174"/>
      <c r="FN194" s="174"/>
      <c r="FO194" s="174"/>
      <c r="FP194" s="174"/>
      <c r="FQ194" s="174"/>
      <c r="FR194" s="174"/>
      <c r="FS194" s="174"/>
      <c r="FT194" s="174"/>
      <c r="FU194" s="174"/>
      <c r="FV194" s="174"/>
      <c r="FW194" s="174"/>
      <c r="FX194" s="174"/>
      <c r="FY194" s="174"/>
      <c r="FZ194" s="174"/>
      <c r="GA194" s="174"/>
      <c r="GB194" s="174"/>
      <c r="GC194" s="174"/>
      <c r="GD194" s="174"/>
      <c r="GE194" s="174"/>
      <c r="GF194" s="174"/>
      <c r="GG194" s="174"/>
      <c r="GH194" s="174"/>
      <c r="GI194" s="174"/>
      <c r="GJ194" s="174"/>
      <c r="GK194" s="174"/>
      <c r="GL194" s="174"/>
      <c r="GM194" s="174"/>
      <c r="GN194" s="174"/>
      <c r="GO194" s="174"/>
      <c r="GP194" s="174"/>
      <c r="GQ194" s="174"/>
      <c r="GR194" s="174"/>
      <c r="GS194" s="174"/>
      <c r="GT194" s="174"/>
      <c r="GU194" s="174"/>
      <c r="GV194" s="174"/>
      <c r="GW194" s="174"/>
      <c r="GX194" s="174"/>
      <c r="GY194" s="174"/>
      <c r="GZ194" s="174"/>
      <c r="HA194" s="174"/>
      <c r="HB194" s="174"/>
      <c r="HC194" s="174"/>
      <c r="HD194" s="174"/>
      <c r="HE194" s="174"/>
      <c r="HF194" s="174"/>
      <c r="HG194" s="174"/>
      <c r="HH194" s="174"/>
      <c r="HI194" s="174"/>
      <c r="HJ194" s="174"/>
      <c r="HK194" s="174"/>
      <c r="HL194" s="174"/>
      <c r="HM194" s="174"/>
      <c r="HN194" s="174"/>
      <c r="HO194" s="174"/>
      <c r="HP194" s="174"/>
      <c r="HQ194" s="174"/>
      <c r="HR194" s="174"/>
      <c r="HS194" s="174"/>
      <c r="HT194" s="174"/>
      <c r="HU194" s="174"/>
      <c r="HV194" s="174"/>
      <c r="HW194" s="174"/>
      <c r="HX194" s="174"/>
      <c r="HY194" s="174"/>
      <c r="HZ194" s="174"/>
      <c r="IA194" s="174"/>
      <c r="IB194" s="174"/>
      <c r="IC194" s="174"/>
      <c r="ID194" s="174"/>
      <c r="IE194" s="174"/>
      <c r="IF194" s="174"/>
      <c r="IG194" s="174"/>
      <c r="IH194" s="174"/>
      <c r="II194" s="174"/>
      <c r="IJ194" s="174"/>
      <c r="IK194" s="174"/>
      <c r="IL194" s="174"/>
      <c r="IM194" s="174"/>
      <c r="IN194" s="174"/>
      <c r="IO194" s="174"/>
      <c r="IP194" s="174"/>
      <c r="IQ194" s="174"/>
      <c r="IR194" s="174"/>
      <c r="IS194" s="174"/>
      <c r="IT194" s="174"/>
      <c r="IU194" s="174"/>
      <c r="IV194" s="174"/>
      <c r="IW194" s="174"/>
    </row>
    <row r="195" customFormat="false" ht="12.75" hidden="false" customHeight="false" outlineLevel="0" collapsed="false">
      <c r="A195" s="196"/>
      <c r="B195" s="164"/>
      <c r="C195" s="0"/>
      <c r="D195" s="0"/>
      <c r="E195" s="0"/>
      <c r="F195" s="0"/>
      <c r="G195" s="0"/>
      <c r="H195" s="0"/>
      <c r="I195" s="0"/>
      <c r="J195" s="4"/>
      <c r="K195" s="0"/>
      <c r="L195" s="34"/>
      <c r="M195" s="110"/>
      <c r="O195" s="110"/>
      <c r="Q195" s="110"/>
      <c r="S195" s="110"/>
      <c r="T195" s="110"/>
      <c r="U195" s="110"/>
      <c r="V195" s="110"/>
      <c r="X195" s="110"/>
      <c r="Z195" s="110"/>
      <c r="AB195" s="110"/>
      <c r="AD195" s="110"/>
      <c r="BL195" s="110"/>
      <c r="BM195" s="110"/>
      <c r="BN195" s="110"/>
      <c r="BO195" s="110"/>
      <c r="BP195" s="110"/>
      <c r="BR195" s="110"/>
      <c r="BS195" s="110"/>
      <c r="BT195" s="110"/>
      <c r="BZ195" s="110"/>
      <c r="CA195" s="194"/>
      <c r="CB195" s="194"/>
      <c r="CC195" s="194"/>
      <c r="CD195" s="194"/>
      <c r="CE195" s="194"/>
      <c r="CF195" s="194"/>
      <c r="CG195" s="194"/>
      <c r="CH195" s="194"/>
      <c r="CI195" s="194"/>
      <c r="CJ195" s="194"/>
      <c r="CK195" s="194"/>
      <c r="CL195" s="194"/>
      <c r="CM195" s="194"/>
      <c r="CN195" s="194"/>
      <c r="CO195" s="194"/>
      <c r="CP195" s="194"/>
      <c r="CQ195" s="194"/>
      <c r="CR195" s="194"/>
      <c r="CS195" s="194"/>
      <c r="CT195" s="194"/>
      <c r="CU195" s="194"/>
      <c r="CV195" s="194"/>
      <c r="CW195" s="194"/>
      <c r="CX195" s="194"/>
      <c r="CY195" s="194"/>
      <c r="CZ195" s="194"/>
      <c r="DA195" s="194"/>
      <c r="DB195" s="194"/>
      <c r="DC195" s="194"/>
      <c r="DD195" s="194"/>
      <c r="DE195" s="194"/>
      <c r="DF195" s="194"/>
      <c r="DG195" s="194"/>
      <c r="DH195" s="194"/>
      <c r="DI195" s="194"/>
      <c r="DJ195" s="194"/>
      <c r="DK195" s="194"/>
      <c r="DL195" s="194"/>
      <c r="DM195" s="194"/>
      <c r="DN195" s="194"/>
      <c r="DO195" s="194"/>
      <c r="DP195" s="194"/>
      <c r="DQ195" s="194"/>
      <c r="DR195" s="194"/>
      <c r="DS195" s="194"/>
      <c r="DT195" s="194"/>
      <c r="DU195" s="194"/>
      <c r="DV195" s="194"/>
      <c r="DW195" s="194"/>
      <c r="DX195" s="194"/>
      <c r="DY195" s="194"/>
      <c r="DZ195" s="194"/>
      <c r="EA195" s="194"/>
      <c r="EB195" s="194"/>
      <c r="EC195" s="194"/>
      <c r="ED195" s="194"/>
      <c r="EE195" s="194"/>
      <c r="EF195" s="194"/>
      <c r="EG195" s="194"/>
      <c r="EH195" s="194"/>
      <c r="EI195" s="194"/>
      <c r="EJ195" s="194"/>
      <c r="EK195" s="194"/>
      <c r="EL195" s="194"/>
      <c r="EM195" s="194"/>
      <c r="EN195" s="194"/>
      <c r="EO195" s="194"/>
      <c r="EP195" s="194"/>
      <c r="EQ195" s="194"/>
      <c r="ER195" s="194"/>
      <c r="ES195" s="194"/>
      <c r="ET195" s="194"/>
      <c r="EU195" s="194"/>
      <c r="EV195" s="194"/>
      <c r="EW195" s="194"/>
      <c r="EX195" s="194"/>
      <c r="EY195" s="194"/>
      <c r="EZ195" s="194"/>
      <c r="FA195" s="194"/>
      <c r="FB195" s="194"/>
      <c r="FC195" s="194"/>
      <c r="FD195" s="194"/>
      <c r="FE195" s="194"/>
      <c r="FF195" s="194"/>
      <c r="FG195" s="194"/>
      <c r="FH195" s="194"/>
      <c r="FI195" s="194"/>
      <c r="FJ195" s="194"/>
      <c r="FK195" s="194"/>
      <c r="FL195" s="194"/>
      <c r="FM195" s="194"/>
      <c r="FN195" s="194"/>
      <c r="FO195" s="194"/>
      <c r="FP195" s="194"/>
      <c r="FQ195" s="194"/>
      <c r="FR195" s="194"/>
      <c r="FS195" s="194"/>
      <c r="FT195" s="194"/>
      <c r="FU195" s="194"/>
      <c r="FV195" s="194"/>
      <c r="FW195" s="194"/>
      <c r="FX195" s="194"/>
      <c r="FY195" s="194"/>
      <c r="FZ195" s="194"/>
      <c r="GA195" s="194"/>
      <c r="GB195" s="194"/>
      <c r="GC195" s="194"/>
      <c r="GD195" s="194"/>
      <c r="GE195" s="194"/>
      <c r="GF195" s="194"/>
      <c r="GG195" s="194"/>
      <c r="GH195" s="194"/>
      <c r="GI195" s="194"/>
      <c r="GJ195" s="194"/>
      <c r="GK195" s="194"/>
      <c r="GL195" s="194"/>
      <c r="GM195" s="194"/>
      <c r="GN195" s="194"/>
      <c r="GO195" s="194"/>
      <c r="GP195" s="194"/>
      <c r="GQ195" s="194"/>
      <c r="GR195" s="194"/>
      <c r="GS195" s="194"/>
      <c r="GT195" s="194"/>
      <c r="GU195" s="194"/>
      <c r="GV195" s="194"/>
      <c r="GW195" s="194"/>
      <c r="GX195" s="194"/>
      <c r="GY195" s="194"/>
      <c r="GZ195" s="194"/>
      <c r="HA195" s="194"/>
      <c r="HB195" s="194"/>
      <c r="HC195" s="194"/>
      <c r="HD195" s="194"/>
      <c r="HE195" s="194"/>
      <c r="HF195" s="194"/>
      <c r="HG195" s="194"/>
      <c r="HH195" s="194"/>
      <c r="HI195" s="194"/>
      <c r="HJ195" s="194"/>
      <c r="HK195" s="194"/>
      <c r="HL195" s="194"/>
      <c r="HM195" s="194"/>
      <c r="HN195" s="194"/>
      <c r="HO195" s="194"/>
      <c r="HP195" s="194"/>
      <c r="HQ195" s="194"/>
      <c r="HR195" s="194"/>
      <c r="HS195" s="194"/>
      <c r="HT195" s="194"/>
      <c r="HU195" s="194"/>
      <c r="HV195" s="194"/>
      <c r="HW195" s="194"/>
      <c r="HX195" s="194"/>
      <c r="HY195" s="194"/>
      <c r="HZ195" s="194"/>
      <c r="IA195" s="194"/>
      <c r="IB195" s="194"/>
      <c r="IC195" s="194"/>
      <c r="ID195" s="194"/>
      <c r="IE195" s="194"/>
      <c r="IF195" s="194"/>
      <c r="IG195" s="194"/>
      <c r="IH195" s="194"/>
      <c r="II195" s="194"/>
      <c r="IJ195" s="194"/>
      <c r="IK195" s="194"/>
      <c r="IL195" s="194"/>
      <c r="IM195" s="194"/>
      <c r="IN195" s="194"/>
      <c r="IO195" s="194"/>
      <c r="IP195" s="194"/>
      <c r="IQ195" s="194"/>
      <c r="IR195" s="194"/>
      <c r="IS195" s="194"/>
      <c r="IT195" s="194"/>
      <c r="IU195" s="194"/>
      <c r="IV195" s="194"/>
      <c r="IW195" s="194"/>
    </row>
    <row r="196" customFormat="false" ht="12.75" hidden="false" customHeight="false" outlineLevel="0" collapsed="false">
      <c r="A196" s="160" t="s">
        <v>271</v>
      </c>
      <c r="B196" s="118"/>
      <c r="C196" s="0"/>
      <c r="D196" s="0"/>
      <c r="E196" s="0"/>
      <c r="F196" s="0"/>
      <c r="G196" s="0"/>
      <c r="H196" s="0"/>
      <c r="I196" s="0"/>
      <c r="J196" s="4"/>
      <c r="K196" s="0"/>
      <c r="L196" s="34"/>
      <c r="M196" s="110"/>
      <c r="O196" s="110"/>
      <c r="Q196" s="110"/>
      <c r="S196" s="110"/>
      <c r="T196" s="110"/>
      <c r="U196" s="110"/>
      <c r="V196" s="110"/>
      <c r="X196" s="110"/>
      <c r="Z196" s="110"/>
      <c r="AB196" s="110"/>
      <c r="AD196" s="110"/>
      <c r="BL196" s="110"/>
      <c r="BM196" s="110"/>
      <c r="BN196" s="110"/>
      <c r="BO196" s="110"/>
      <c r="BP196" s="110"/>
      <c r="BR196" s="110"/>
      <c r="BS196" s="110"/>
      <c r="BT196" s="110"/>
      <c r="BZ196" s="110"/>
    </row>
    <row r="197" customFormat="false" ht="12.75" hidden="false" customHeight="false" outlineLevel="0" collapsed="false">
      <c r="A197" s="161"/>
      <c r="B197" s="118" t="s">
        <v>272</v>
      </c>
      <c r="C197" s="118"/>
      <c r="D197" s="118"/>
      <c r="E197" s="118"/>
      <c r="F197" s="118"/>
      <c r="G197" s="118"/>
      <c r="H197" s="118"/>
      <c r="I197" s="118"/>
      <c r="J197" s="192"/>
      <c r="K197" s="118"/>
      <c r="L197" s="203" t="s">
        <v>258</v>
      </c>
      <c r="M197" s="110"/>
      <c r="N197" s="110" t="n">
        <v>200000</v>
      </c>
      <c r="O197" s="110"/>
      <c r="P197" s="110" t="n">
        <v>0</v>
      </c>
      <c r="Q197" s="110"/>
      <c r="R197" s="110" t="n">
        <v>100000</v>
      </c>
      <c r="S197" s="110"/>
      <c r="T197" s="110" t="n">
        <v>0</v>
      </c>
      <c r="U197" s="110"/>
      <c r="V197" s="110"/>
      <c r="X197" s="110"/>
      <c r="Z197" s="110"/>
      <c r="AB197" s="110"/>
      <c r="AD197" s="110"/>
      <c r="AJ197" s="110" t="n">
        <f aca="false">11817+1362.81</f>
        <v>13179.81</v>
      </c>
      <c r="AP197" s="110" t="n">
        <v>0</v>
      </c>
      <c r="AR197" s="110" t="n">
        <v>0</v>
      </c>
      <c r="AT197" s="110" t="n">
        <v>0</v>
      </c>
      <c r="AV197" s="110" t="n">
        <v>0</v>
      </c>
      <c r="AX197" s="110" t="n">
        <v>0</v>
      </c>
      <c r="AZ197" s="110" t="n">
        <v>0</v>
      </c>
      <c r="BB197" s="110" t="n">
        <v>0</v>
      </c>
      <c r="BD197" s="110" t="n">
        <v>0</v>
      </c>
      <c r="BF197" s="110" t="n">
        <v>0</v>
      </c>
      <c r="BH197" s="110" t="n">
        <v>0</v>
      </c>
      <c r="BJ197" s="110" t="n">
        <v>0</v>
      </c>
      <c r="BL197" s="110" t="n">
        <v>0</v>
      </c>
      <c r="BM197" s="110" t="n">
        <v>0</v>
      </c>
      <c r="BN197" s="110"/>
      <c r="BO197" s="110" t="n">
        <v>0</v>
      </c>
      <c r="BP197" s="110"/>
      <c r="BQ197" s="110" t="n">
        <f aca="false">SUM(T197:BP197)</f>
        <v>13179.81</v>
      </c>
      <c r="BR197" s="110"/>
      <c r="BS197" s="110" t="n">
        <v>-86820</v>
      </c>
      <c r="BT197" s="110"/>
      <c r="BU197" s="110" t="n">
        <f aca="false">IF(+R197-BQ197+BS197&gt;0,R197-BQ197+BS197,0)</f>
        <v>0.190000000002328</v>
      </c>
      <c r="BW197" s="110" t="n">
        <f aca="false">+BQ197+BU197</f>
        <v>13180</v>
      </c>
      <c r="BY197" s="110" t="n">
        <f aca="false">+R197-BW197</f>
        <v>86820</v>
      </c>
      <c r="BZ197" s="110"/>
      <c r="CA197" s="118"/>
      <c r="CB197" s="118"/>
      <c r="CC197" s="118"/>
      <c r="CD197" s="118"/>
      <c r="CE197" s="118"/>
      <c r="CF197" s="118"/>
      <c r="CG197" s="118"/>
      <c r="CH197" s="118"/>
      <c r="CI197" s="118"/>
      <c r="CJ197" s="118"/>
      <c r="CK197" s="118"/>
      <c r="CL197" s="118"/>
      <c r="CM197" s="118"/>
      <c r="CN197" s="118"/>
      <c r="CO197" s="118"/>
      <c r="CP197" s="118"/>
      <c r="CQ197" s="118"/>
      <c r="CR197" s="118"/>
      <c r="CS197" s="118"/>
      <c r="CT197" s="118"/>
      <c r="CU197" s="118"/>
      <c r="CV197" s="118"/>
      <c r="CW197" s="118"/>
      <c r="CX197" s="118"/>
      <c r="CY197" s="118"/>
      <c r="CZ197" s="118"/>
      <c r="DA197" s="118"/>
      <c r="DB197" s="118"/>
      <c r="DC197" s="118"/>
      <c r="DD197" s="118"/>
      <c r="DE197" s="118"/>
      <c r="DF197" s="118"/>
      <c r="DG197" s="118"/>
      <c r="DH197" s="118"/>
      <c r="DI197" s="118"/>
      <c r="DJ197" s="118"/>
      <c r="DK197" s="118"/>
      <c r="DL197" s="118"/>
      <c r="DM197" s="118"/>
      <c r="DN197" s="118"/>
      <c r="DO197" s="118"/>
      <c r="DP197" s="118"/>
      <c r="DQ197" s="118"/>
      <c r="DR197" s="118"/>
      <c r="DS197" s="118"/>
      <c r="DT197" s="118"/>
      <c r="DU197" s="118"/>
      <c r="DV197" s="118"/>
      <c r="DW197" s="118"/>
      <c r="DX197" s="118"/>
      <c r="DY197" s="118"/>
      <c r="DZ197" s="118"/>
      <c r="EA197" s="118"/>
      <c r="EB197" s="118"/>
      <c r="EC197" s="118"/>
      <c r="ED197" s="118"/>
      <c r="EE197" s="118"/>
      <c r="EF197" s="118"/>
      <c r="EG197" s="118"/>
      <c r="EH197" s="118"/>
      <c r="EI197" s="118"/>
      <c r="EJ197" s="118"/>
      <c r="EK197" s="118"/>
      <c r="EL197" s="118"/>
      <c r="EM197" s="118"/>
      <c r="EN197" s="118"/>
      <c r="EO197" s="118"/>
      <c r="EP197" s="118"/>
      <c r="EQ197" s="118"/>
      <c r="ER197" s="118"/>
      <c r="ES197" s="118"/>
      <c r="ET197" s="118"/>
      <c r="EU197" s="118"/>
      <c r="EV197" s="118"/>
      <c r="EW197" s="118"/>
      <c r="EX197" s="118"/>
      <c r="EY197" s="118"/>
      <c r="EZ197" s="118"/>
      <c r="FA197" s="118"/>
      <c r="FB197" s="118"/>
      <c r="FC197" s="118"/>
      <c r="FD197" s="118"/>
      <c r="FE197" s="118"/>
      <c r="FF197" s="118"/>
      <c r="FG197" s="118"/>
      <c r="FH197" s="118"/>
      <c r="FI197" s="118"/>
      <c r="FJ197" s="118"/>
      <c r="FK197" s="118"/>
      <c r="FL197" s="118"/>
      <c r="FM197" s="118"/>
      <c r="FN197" s="118"/>
      <c r="FO197" s="118"/>
      <c r="FP197" s="118"/>
      <c r="FQ197" s="118"/>
      <c r="FR197" s="118"/>
      <c r="FS197" s="118"/>
      <c r="FT197" s="118"/>
      <c r="FU197" s="118"/>
      <c r="FV197" s="118"/>
      <c r="FW197" s="118"/>
      <c r="FX197" s="118"/>
      <c r="FY197" s="118"/>
      <c r="FZ197" s="118"/>
      <c r="GA197" s="118"/>
      <c r="GB197" s="118"/>
      <c r="GC197" s="118"/>
      <c r="GD197" s="118"/>
      <c r="GE197" s="118"/>
      <c r="GF197" s="118"/>
      <c r="GG197" s="118"/>
      <c r="GH197" s="118"/>
      <c r="GI197" s="118"/>
      <c r="GJ197" s="118"/>
      <c r="GK197" s="118"/>
      <c r="GL197" s="118"/>
      <c r="GM197" s="118"/>
      <c r="GN197" s="118"/>
      <c r="GO197" s="118"/>
      <c r="GP197" s="118"/>
      <c r="GQ197" s="118"/>
      <c r="GR197" s="118"/>
      <c r="GS197" s="118"/>
      <c r="GT197" s="118"/>
      <c r="GU197" s="118"/>
      <c r="GV197" s="118"/>
      <c r="GW197" s="118"/>
      <c r="GX197" s="118"/>
      <c r="GY197" s="118"/>
      <c r="GZ197" s="118"/>
      <c r="HA197" s="118"/>
      <c r="HB197" s="118"/>
      <c r="HC197" s="118"/>
      <c r="HD197" s="118"/>
      <c r="HE197" s="118"/>
      <c r="HF197" s="118"/>
      <c r="HG197" s="118"/>
      <c r="HH197" s="118"/>
      <c r="HI197" s="118"/>
      <c r="HJ197" s="118"/>
      <c r="HK197" s="118"/>
      <c r="HL197" s="118"/>
      <c r="HM197" s="118"/>
      <c r="HN197" s="118"/>
      <c r="HO197" s="118"/>
      <c r="HP197" s="118"/>
      <c r="HQ197" s="118"/>
      <c r="HR197" s="118"/>
      <c r="HS197" s="118"/>
      <c r="HT197" s="118"/>
      <c r="HU197" s="118"/>
      <c r="HV197" s="118"/>
      <c r="HW197" s="118"/>
      <c r="HX197" s="118"/>
      <c r="HY197" s="118"/>
      <c r="HZ197" s="118"/>
      <c r="IA197" s="118"/>
      <c r="IB197" s="118"/>
      <c r="IC197" s="118"/>
      <c r="ID197" s="118"/>
      <c r="IE197" s="118"/>
      <c r="IF197" s="118"/>
      <c r="IG197" s="118"/>
      <c r="IH197" s="118"/>
      <c r="II197" s="118"/>
      <c r="IJ197" s="118"/>
      <c r="IK197" s="118"/>
      <c r="IL197" s="118"/>
      <c r="IM197" s="118"/>
      <c r="IN197" s="118"/>
      <c r="IO197" s="118"/>
      <c r="IP197" s="118"/>
      <c r="IQ197" s="118"/>
      <c r="IR197" s="118"/>
      <c r="IS197" s="118"/>
      <c r="IT197" s="118"/>
      <c r="IU197" s="118"/>
      <c r="IV197" s="118"/>
      <c r="IW197" s="118"/>
    </row>
    <row r="198" customFormat="false" ht="12.75" hidden="false" customHeight="false" outlineLevel="0" collapsed="false">
      <c r="A198" s="161"/>
      <c r="B198" s="118" t="s">
        <v>273</v>
      </c>
      <c r="C198" s="118"/>
      <c r="D198" s="118"/>
      <c r="E198" s="118"/>
      <c r="F198" s="118"/>
      <c r="G198" s="118"/>
      <c r="H198" s="118"/>
      <c r="I198" s="118"/>
      <c r="J198" s="192"/>
      <c r="K198" s="118"/>
      <c r="L198" s="203" t="s">
        <v>258</v>
      </c>
      <c r="M198" s="110"/>
      <c r="N198" s="110" t="n">
        <v>0</v>
      </c>
      <c r="O198" s="110"/>
      <c r="P198" s="110" t="n">
        <v>50000</v>
      </c>
      <c r="Q198" s="110"/>
      <c r="R198" s="110" t="n">
        <v>150000</v>
      </c>
      <c r="S198" s="110"/>
      <c r="T198" s="110" t="n">
        <v>0</v>
      </c>
      <c r="U198" s="110"/>
      <c r="V198" s="110"/>
      <c r="X198" s="110"/>
      <c r="Z198" s="110"/>
      <c r="AB198" s="110"/>
      <c r="AD198" s="110"/>
      <c r="AL198" s="110" t="n">
        <v>67146.1</v>
      </c>
      <c r="AN198" s="110" t="n">
        <v>2410.51</v>
      </c>
      <c r="AP198" s="110" t="n">
        <v>7333.62</v>
      </c>
      <c r="AR198" s="110" t="n">
        <v>10298.6</v>
      </c>
      <c r="AT198" s="110" t="n">
        <f aca="false">9260.96+1975.58</f>
        <v>11236.54</v>
      </c>
      <c r="AV198" s="110" t="n">
        <f aca="false">1851.11</f>
        <v>1851.11</v>
      </c>
      <c r="AX198" s="110" t="n">
        <v>628.06</v>
      </c>
      <c r="AZ198" s="110" t="n">
        <v>0</v>
      </c>
      <c r="BB198" s="110" t="n">
        <v>0</v>
      </c>
      <c r="BD198" s="110" t="n">
        <v>0</v>
      </c>
      <c r="BF198" s="110" t="n">
        <v>0</v>
      </c>
      <c r="BH198" s="110" t="n">
        <v>0</v>
      </c>
      <c r="BJ198" s="110" t="n">
        <v>0</v>
      </c>
      <c r="BL198" s="110" t="n">
        <v>0</v>
      </c>
      <c r="BM198" s="110" t="n">
        <v>0</v>
      </c>
      <c r="BN198" s="110"/>
      <c r="BO198" s="110" t="n">
        <v>0</v>
      </c>
      <c r="BP198" s="110"/>
      <c r="BQ198" s="110" t="n">
        <f aca="false">SUM(T198:BP198)</f>
        <v>100904.54</v>
      </c>
      <c r="BR198" s="110"/>
      <c r="BS198" s="110" t="n">
        <v>-49095</v>
      </c>
      <c r="BT198" s="110"/>
      <c r="BU198" s="110" t="n">
        <f aca="false">IF(+R198-BQ198+BS198&gt;0,R198-BQ198+BS198,0)</f>
        <v>0.459999999991851</v>
      </c>
      <c r="BW198" s="110" t="n">
        <f aca="false">+BQ198+BU198</f>
        <v>100905</v>
      </c>
      <c r="BY198" s="110" t="n">
        <f aca="false">+R198-BW198</f>
        <v>49095</v>
      </c>
      <c r="BZ198" s="110"/>
      <c r="CA198" s="118"/>
      <c r="CB198" s="118"/>
      <c r="CC198" s="118"/>
      <c r="CD198" s="118"/>
      <c r="CE198" s="118"/>
      <c r="CF198" s="118"/>
      <c r="CG198" s="118"/>
      <c r="CH198" s="118"/>
      <c r="CI198" s="118"/>
      <c r="CJ198" s="118"/>
      <c r="CK198" s="118"/>
      <c r="CL198" s="118"/>
      <c r="CM198" s="118"/>
      <c r="CN198" s="118"/>
      <c r="CO198" s="118"/>
      <c r="CP198" s="118"/>
      <c r="CQ198" s="118"/>
      <c r="CR198" s="118"/>
      <c r="CS198" s="118"/>
      <c r="CT198" s="118"/>
      <c r="CU198" s="118"/>
      <c r="CV198" s="118"/>
      <c r="CW198" s="118"/>
      <c r="CX198" s="118"/>
      <c r="CY198" s="118"/>
      <c r="CZ198" s="118"/>
      <c r="DA198" s="118"/>
      <c r="DB198" s="118"/>
      <c r="DC198" s="118"/>
      <c r="DD198" s="118"/>
      <c r="DE198" s="118"/>
      <c r="DF198" s="118"/>
      <c r="DG198" s="118"/>
      <c r="DH198" s="118"/>
      <c r="DI198" s="118"/>
      <c r="DJ198" s="118"/>
      <c r="DK198" s="118"/>
      <c r="DL198" s="118"/>
      <c r="DM198" s="118"/>
      <c r="DN198" s="118"/>
      <c r="DO198" s="118"/>
      <c r="DP198" s="118"/>
      <c r="DQ198" s="118"/>
      <c r="DR198" s="118"/>
      <c r="DS198" s="118"/>
      <c r="DT198" s="118"/>
      <c r="DU198" s="118"/>
      <c r="DV198" s="118"/>
      <c r="DW198" s="118"/>
      <c r="DX198" s="118"/>
      <c r="DY198" s="118"/>
      <c r="DZ198" s="118"/>
      <c r="EA198" s="118"/>
      <c r="EB198" s="118"/>
      <c r="EC198" s="118"/>
      <c r="ED198" s="118"/>
      <c r="EE198" s="118"/>
      <c r="EF198" s="118"/>
      <c r="EG198" s="118"/>
      <c r="EH198" s="118"/>
      <c r="EI198" s="118"/>
      <c r="EJ198" s="118"/>
      <c r="EK198" s="118"/>
      <c r="EL198" s="118"/>
      <c r="EM198" s="118"/>
      <c r="EN198" s="118"/>
      <c r="EO198" s="118"/>
      <c r="EP198" s="118"/>
      <c r="EQ198" s="118"/>
      <c r="ER198" s="118"/>
      <c r="ES198" s="118"/>
      <c r="ET198" s="118"/>
      <c r="EU198" s="118"/>
      <c r="EV198" s="118"/>
      <c r="EW198" s="118"/>
      <c r="EX198" s="118"/>
      <c r="EY198" s="118"/>
      <c r="EZ198" s="118"/>
      <c r="FA198" s="118"/>
      <c r="FB198" s="118"/>
      <c r="FC198" s="118"/>
      <c r="FD198" s="118"/>
      <c r="FE198" s="118"/>
      <c r="FF198" s="118"/>
      <c r="FG198" s="118"/>
      <c r="FH198" s="118"/>
      <c r="FI198" s="118"/>
      <c r="FJ198" s="118"/>
      <c r="FK198" s="118"/>
      <c r="FL198" s="118"/>
      <c r="FM198" s="118"/>
      <c r="FN198" s="118"/>
      <c r="FO198" s="118"/>
      <c r="FP198" s="118"/>
      <c r="FQ198" s="118"/>
      <c r="FR198" s="118"/>
      <c r="FS198" s="118"/>
      <c r="FT198" s="118"/>
      <c r="FU198" s="118"/>
      <c r="FV198" s="118"/>
      <c r="FW198" s="118"/>
      <c r="FX198" s="118"/>
      <c r="FY198" s="118"/>
      <c r="FZ198" s="118"/>
      <c r="GA198" s="118"/>
      <c r="GB198" s="118"/>
      <c r="GC198" s="118"/>
      <c r="GD198" s="118"/>
      <c r="GE198" s="118"/>
      <c r="GF198" s="118"/>
      <c r="GG198" s="118"/>
      <c r="GH198" s="118"/>
      <c r="GI198" s="118"/>
      <c r="GJ198" s="118"/>
      <c r="GK198" s="118"/>
      <c r="GL198" s="118"/>
      <c r="GM198" s="118"/>
      <c r="GN198" s="118"/>
      <c r="GO198" s="118"/>
      <c r="GP198" s="118"/>
      <c r="GQ198" s="118"/>
      <c r="GR198" s="118"/>
      <c r="GS198" s="118"/>
      <c r="GT198" s="118"/>
      <c r="GU198" s="118"/>
      <c r="GV198" s="118"/>
      <c r="GW198" s="118"/>
      <c r="GX198" s="118"/>
      <c r="GY198" s="118"/>
      <c r="GZ198" s="118"/>
      <c r="HA198" s="118"/>
      <c r="HB198" s="118"/>
      <c r="HC198" s="118"/>
      <c r="HD198" s="118"/>
      <c r="HE198" s="118"/>
      <c r="HF198" s="118"/>
      <c r="HG198" s="118"/>
      <c r="HH198" s="118"/>
      <c r="HI198" s="118"/>
      <c r="HJ198" s="118"/>
      <c r="HK198" s="118"/>
      <c r="HL198" s="118"/>
      <c r="HM198" s="118"/>
      <c r="HN198" s="118"/>
      <c r="HO198" s="118"/>
      <c r="HP198" s="118"/>
      <c r="HQ198" s="118"/>
      <c r="HR198" s="118"/>
      <c r="HS198" s="118"/>
      <c r="HT198" s="118"/>
      <c r="HU198" s="118"/>
      <c r="HV198" s="118"/>
      <c r="HW198" s="118"/>
      <c r="HX198" s="118"/>
      <c r="HY198" s="118"/>
      <c r="HZ198" s="118"/>
      <c r="IA198" s="118"/>
      <c r="IB198" s="118"/>
      <c r="IC198" s="118"/>
      <c r="ID198" s="118"/>
      <c r="IE198" s="118"/>
      <c r="IF198" s="118"/>
      <c r="IG198" s="118"/>
      <c r="IH198" s="118"/>
      <c r="II198" s="118"/>
      <c r="IJ198" s="118"/>
      <c r="IK198" s="118"/>
      <c r="IL198" s="118"/>
      <c r="IM198" s="118"/>
      <c r="IN198" s="118"/>
      <c r="IO198" s="118"/>
      <c r="IP198" s="118"/>
      <c r="IQ198" s="118"/>
      <c r="IR198" s="118"/>
      <c r="IS198" s="118"/>
      <c r="IT198" s="118"/>
      <c r="IU198" s="118"/>
      <c r="IV198" s="118"/>
      <c r="IW198" s="118"/>
    </row>
    <row r="199" customFormat="false" ht="12.75" hidden="false" customHeight="false" outlineLevel="0" collapsed="false">
      <c r="A199" s="161"/>
      <c r="B199" s="118" t="s">
        <v>387</v>
      </c>
      <c r="C199" s="118"/>
      <c r="D199" s="118"/>
      <c r="E199" s="118"/>
      <c r="F199" s="118"/>
      <c r="G199" s="118"/>
      <c r="H199" s="118"/>
      <c r="I199" s="118"/>
      <c r="J199" s="192"/>
      <c r="K199" s="118"/>
      <c r="L199" s="203" t="s">
        <v>258</v>
      </c>
      <c r="M199" s="110"/>
      <c r="N199" s="110" t="n">
        <v>0</v>
      </c>
      <c r="O199" s="110"/>
      <c r="P199" s="110" t="n">
        <v>24235</v>
      </c>
      <c r="Q199" s="110"/>
      <c r="R199" s="110" t="n">
        <f aca="false">+N199+P199</f>
        <v>24235</v>
      </c>
      <c r="S199" s="110"/>
      <c r="T199" s="110" t="n">
        <v>0</v>
      </c>
      <c r="U199" s="110"/>
      <c r="V199" s="110"/>
      <c r="X199" s="110"/>
      <c r="Z199" s="110"/>
      <c r="AB199" s="110"/>
      <c r="AD199" s="110"/>
      <c r="AL199" s="110" t="n">
        <v>17043.53</v>
      </c>
      <c r="AN199" s="110" t="n">
        <v>0</v>
      </c>
      <c r="AP199" s="110" t="n">
        <v>0</v>
      </c>
      <c r="AR199" s="110" t="n">
        <v>0</v>
      </c>
      <c r="AT199" s="110" t="n">
        <v>0</v>
      </c>
      <c r="AV199" s="110" t="n">
        <v>0</v>
      </c>
      <c r="AX199" s="110" t="n">
        <v>0</v>
      </c>
      <c r="AZ199" s="110" t="n">
        <v>0</v>
      </c>
      <c r="BB199" s="110" t="n">
        <v>0</v>
      </c>
      <c r="BD199" s="110" t="n">
        <v>0</v>
      </c>
      <c r="BF199" s="110" t="n">
        <v>0</v>
      </c>
      <c r="BH199" s="110" t="n">
        <v>0</v>
      </c>
      <c r="BJ199" s="110" t="n">
        <v>0</v>
      </c>
      <c r="BL199" s="110" t="n">
        <v>0</v>
      </c>
      <c r="BM199" s="110" t="n">
        <v>0</v>
      </c>
      <c r="BN199" s="110"/>
      <c r="BO199" s="110" t="n">
        <v>0</v>
      </c>
      <c r="BP199" s="110"/>
      <c r="BQ199" s="110" t="n">
        <f aca="false">SUM(T199:BP199)</f>
        <v>17043.53</v>
      </c>
      <c r="BR199" s="110"/>
      <c r="BS199" s="110" t="n">
        <v>0</v>
      </c>
      <c r="BT199" s="110"/>
      <c r="BU199" s="110" t="n">
        <v>0</v>
      </c>
      <c r="BW199" s="110" t="n">
        <f aca="false">+BQ199+BU199</f>
        <v>17043.53</v>
      </c>
      <c r="BY199" s="110" t="n">
        <f aca="false">+R199-BW199</f>
        <v>7191.47</v>
      </c>
      <c r="BZ199" s="110"/>
      <c r="CA199" s="118"/>
      <c r="CB199" s="118"/>
      <c r="CC199" s="118"/>
      <c r="CD199" s="118"/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  <c r="CP199" s="118"/>
      <c r="CQ199" s="118"/>
      <c r="CR199" s="118"/>
      <c r="CS199" s="118"/>
      <c r="CT199" s="118"/>
      <c r="CU199" s="118"/>
      <c r="CV199" s="118"/>
      <c r="CW199" s="118"/>
      <c r="CX199" s="118"/>
      <c r="CY199" s="118"/>
      <c r="CZ199" s="118"/>
      <c r="DA199" s="118"/>
      <c r="DB199" s="118"/>
      <c r="DC199" s="118"/>
      <c r="DD199" s="118"/>
      <c r="DE199" s="118"/>
      <c r="DF199" s="118"/>
      <c r="DG199" s="118"/>
      <c r="DH199" s="118"/>
      <c r="DI199" s="118"/>
      <c r="DJ199" s="118"/>
      <c r="DK199" s="118"/>
      <c r="DL199" s="118"/>
      <c r="DM199" s="118"/>
      <c r="DN199" s="118"/>
      <c r="DO199" s="118"/>
      <c r="DP199" s="118"/>
      <c r="DQ199" s="118"/>
      <c r="DR199" s="118"/>
      <c r="DS199" s="118"/>
      <c r="DT199" s="118"/>
      <c r="DU199" s="118"/>
      <c r="DV199" s="118"/>
      <c r="DW199" s="118"/>
      <c r="DX199" s="118"/>
      <c r="DY199" s="118"/>
      <c r="DZ199" s="118"/>
      <c r="EA199" s="118"/>
      <c r="EB199" s="118"/>
      <c r="EC199" s="118"/>
      <c r="ED199" s="118"/>
      <c r="EE199" s="118"/>
      <c r="EF199" s="118"/>
      <c r="EG199" s="118"/>
      <c r="EH199" s="118"/>
      <c r="EI199" s="118"/>
      <c r="EJ199" s="118"/>
      <c r="EK199" s="118"/>
      <c r="EL199" s="118"/>
      <c r="EM199" s="118"/>
      <c r="EN199" s="118"/>
      <c r="EO199" s="118"/>
      <c r="EP199" s="118"/>
      <c r="EQ199" s="118"/>
      <c r="ER199" s="118"/>
      <c r="ES199" s="118"/>
      <c r="ET199" s="118"/>
      <c r="EU199" s="118"/>
      <c r="EV199" s="118"/>
      <c r="EW199" s="118"/>
      <c r="EX199" s="118"/>
      <c r="EY199" s="118"/>
      <c r="EZ199" s="118"/>
      <c r="FA199" s="118"/>
      <c r="FB199" s="118"/>
      <c r="FC199" s="118"/>
      <c r="FD199" s="118"/>
      <c r="FE199" s="118"/>
      <c r="FF199" s="118"/>
      <c r="FG199" s="118"/>
      <c r="FH199" s="118"/>
      <c r="FI199" s="118"/>
      <c r="FJ199" s="118"/>
      <c r="FK199" s="118"/>
      <c r="FL199" s="118"/>
      <c r="FM199" s="118"/>
      <c r="FN199" s="118"/>
      <c r="FO199" s="118"/>
      <c r="FP199" s="118"/>
      <c r="FQ199" s="118"/>
      <c r="FR199" s="118"/>
      <c r="FS199" s="118"/>
      <c r="FT199" s="118"/>
      <c r="FU199" s="118"/>
      <c r="FV199" s="118"/>
      <c r="FW199" s="118"/>
      <c r="FX199" s="118"/>
      <c r="FY199" s="118"/>
      <c r="FZ199" s="118"/>
      <c r="GA199" s="118"/>
      <c r="GB199" s="118"/>
      <c r="GC199" s="118"/>
      <c r="GD199" s="118"/>
      <c r="GE199" s="118"/>
      <c r="GF199" s="118"/>
      <c r="GG199" s="118"/>
      <c r="GH199" s="118"/>
      <c r="GI199" s="118"/>
      <c r="GJ199" s="118"/>
      <c r="GK199" s="118"/>
      <c r="GL199" s="118"/>
      <c r="GM199" s="118"/>
      <c r="GN199" s="118"/>
      <c r="GO199" s="118"/>
      <c r="GP199" s="118"/>
      <c r="GQ199" s="118"/>
      <c r="GR199" s="118"/>
      <c r="GS199" s="118"/>
      <c r="GT199" s="118"/>
      <c r="GU199" s="118"/>
      <c r="GV199" s="118"/>
      <c r="GW199" s="118"/>
      <c r="GX199" s="118"/>
      <c r="GY199" s="118"/>
      <c r="GZ199" s="118"/>
      <c r="HA199" s="118"/>
      <c r="HB199" s="118"/>
      <c r="HC199" s="118"/>
      <c r="HD199" s="118"/>
      <c r="HE199" s="118"/>
      <c r="HF199" s="118"/>
      <c r="HG199" s="118"/>
      <c r="HH199" s="118"/>
      <c r="HI199" s="118"/>
      <c r="HJ199" s="118"/>
      <c r="HK199" s="118"/>
      <c r="HL199" s="118"/>
      <c r="HM199" s="118"/>
      <c r="HN199" s="118"/>
      <c r="HO199" s="118"/>
      <c r="HP199" s="118"/>
      <c r="HQ199" s="118"/>
      <c r="HR199" s="118"/>
      <c r="HS199" s="118"/>
      <c r="HT199" s="118"/>
      <c r="HU199" s="118"/>
      <c r="HV199" s="118"/>
      <c r="HW199" s="118"/>
      <c r="HX199" s="118"/>
      <c r="HY199" s="118"/>
      <c r="HZ199" s="118"/>
      <c r="IA199" s="118"/>
      <c r="IB199" s="118"/>
      <c r="IC199" s="118"/>
      <c r="ID199" s="118"/>
      <c r="IE199" s="118"/>
      <c r="IF199" s="118"/>
      <c r="IG199" s="118"/>
      <c r="IH199" s="118"/>
      <c r="II199" s="118"/>
      <c r="IJ199" s="118"/>
      <c r="IK199" s="118"/>
      <c r="IL199" s="118"/>
      <c r="IM199" s="118"/>
      <c r="IN199" s="118"/>
      <c r="IO199" s="118"/>
      <c r="IP199" s="118"/>
      <c r="IQ199" s="118"/>
      <c r="IR199" s="118"/>
      <c r="IS199" s="118"/>
      <c r="IT199" s="118"/>
      <c r="IU199" s="118"/>
      <c r="IV199" s="118"/>
      <c r="IW199" s="118"/>
    </row>
    <row r="200" customFormat="false" ht="12.75" hidden="false" customHeight="false" outlineLevel="0" collapsed="false">
      <c r="A200" s="161"/>
      <c r="B200" s="118" t="s">
        <v>128</v>
      </c>
      <c r="C200" s="118"/>
      <c r="D200" s="118"/>
      <c r="E200" s="118"/>
      <c r="F200" s="118"/>
      <c r="G200" s="118"/>
      <c r="H200" s="118"/>
      <c r="I200" s="118"/>
      <c r="J200" s="192"/>
      <c r="K200" s="118"/>
      <c r="L200" s="203" t="s">
        <v>258</v>
      </c>
      <c r="M200" s="110"/>
      <c r="N200" s="110" t="n">
        <v>400000</v>
      </c>
      <c r="O200" s="110"/>
      <c r="P200" s="110" t="n">
        <f aca="false">49065-N200-6000</f>
        <v>-356935</v>
      </c>
      <c r="Q200" s="110"/>
      <c r="R200" s="110" t="n">
        <f aca="false">43065+82700</f>
        <v>125765</v>
      </c>
      <c r="S200" s="110"/>
      <c r="T200" s="110" t="n">
        <v>0</v>
      </c>
      <c r="U200" s="110"/>
      <c r="V200" s="110"/>
      <c r="X200" s="110"/>
      <c r="Z200" s="110"/>
      <c r="AB200" s="110"/>
      <c r="AD200" s="110"/>
      <c r="AJ200" s="110" t="n">
        <v>5904</v>
      </c>
      <c r="AL200" s="110" t="n">
        <v>2286</v>
      </c>
      <c r="AP200" s="110" t="n">
        <v>11540.01</v>
      </c>
      <c r="AR200" s="110" t="n">
        <f aca="false">19587.28</f>
        <v>19587.28</v>
      </c>
      <c r="AT200" s="110" t="n">
        <f aca="false">25566.56+6171+2683.37</f>
        <v>34420.93</v>
      </c>
      <c r="AV200" s="110" t="n">
        <f aca="false">28832.7+49463.67+9600</f>
        <v>87896.37</v>
      </c>
      <c r="AX200" s="110" t="n">
        <v>28768.8</v>
      </c>
      <c r="AZ200" s="110" t="n">
        <v>44082.48</v>
      </c>
      <c r="BB200" s="110" t="n">
        <v>165167.83</v>
      </c>
      <c r="BD200" s="110" t="n">
        <v>37080.42</v>
      </c>
      <c r="BF200" s="110" t="n">
        <f aca="false">89360+43287.29-4983+22929</f>
        <v>150593.29</v>
      </c>
      <c r="BH200" s="110" t="n">
        <f aca="false">13668.55+760.23</f>
        <v>14428.78</v>
      </c>
      <c r="BJ200" s="110" t="n">
        <f aca="false">100000+19970.47+1900+3870+409.33+200</f>
        <v>126349.8</v>
      </c>
      <c r="BL200" s="110" t="n">
        <f aca="false">8835+10035</f>
        <v>18870</v>
      </c>
      <c r="BM200" s="110" t="n">
        <v>3299</v>
      </c>
      <c r="BN200" s="110"/>
      <c r="BO200" s="110" t="n">
        <v>0</v>
      </c>
      <c r="BP200" s="110"/>
      <c r="BQ200" s="110" t="n">
        <f aca="false">SUM(T200:BP200)</f>
        <v>750274.99</v>
      </c>
      <c r="BR200" s="110"/>
      <c r="BS200" s="110" t="n">
        <v>0</v>
      </c>
      <c r="BT200" s="110"/>
      <c r="BU200" s="110" t="n">
        <f aca="false">IF(+R200-BQ200+BS200&gt;0,R200-BQ200+BS200,0)</f>
        <v>0</v>
      </c>
      <c r="BW200" s="110" t="n">
        <f aca="false">+BQ200+BU200</f>
        <v>750274.99</v>
      </c>
      <c r="BY200" s="110" t="n">
        <f aca="false">+R200-BW200</f>
        <v>-624509.99</v>
      </c>
      <c r="BZ200" s="110"/>
      <c r="CA200" s="118"/>
      <c r="CB200" s="118"/>
      <c r="CC200" s="118"/>
      <c r="CD200" s="118"/>
      <c r="CE200" s="118"/>
      <c r="CF200" s="118"/>
      <c r="CG200" s="118"/>
      <c r="CH200" s="118"/>
      <c r="CI200" s="118"/>
      <c r="CJ200" s="118"/>
      <c r="CK200" s="118"/>
      <c r="CL200" s="118"/>
      <c r="CM200" s="118"/>
      <c r="CN200" s="118"/>
      <c r="CO200" s="118"/>
      <c r="CP200" s="118"/>
      <c r="CQ200" s="118"/>
      <c r="CR200" s="118"/>
      <c r="CS200" s="118"/>
      <c r="CT200" s="118"/>
      <c r="CU200" s="118"/>
      <c r="CV200" s="118"/>
      <c r="CW200" s="118"/>
      <c r="CX200" s="118"/>
      <c r="CY200" s="118"/>
      <c r="CZ200" s="118"/>
      <c r="DA200" s="118"/>
      <c r="DB200" s="118"/>
      <c r="DC200" s="118"/>
      <c r="DD200" s="118"/>
      <c r="DE200" s="118"/>
      <c r="DF200" s="118"/>
      <c r="DG200" s="118"/>
      <c r="DH200" s="118"/>
      <c r="DI200" s="118"/>
      <c r="DJ200" s="118"/>
      <c r="DK200" s="118"/>
      <c r="DL200" s="118"/>
      <c r="DM200" s="118"/>
      <c r="DN200" s="118"/>
      <c r="DO200" s="118"/>
      <c r="DP200" s="118"/>
      <c r="DQ200" s="118"/>
      <c r="DR200" s="118"/>
      <c r="DS200" s="118"/>
      <c r="DT200" s="118"/>
      <c r="DU200" s="118"/>
      <c r="DV200" s="118"/>
      <c r="DW200" s="118"/>
      <c r="DX200" s="118"/>
      <c r="DY200" s="118"/>
      <c r="DZ200" s="118"/>
      <c r="EA200" s="118"/>
      <c r="EB200" s="118"/>
      <c r="EC200" s="118"/>
      <c r="ED200" s="118"/>
      <c r="EE200" s="118"/>
      <c r="EF200" s="118"/>
      <c r="EG200" s="118"/>
      <c r="EH200" s="118"/>
      <c r="EI200" s="118"/>
      <c r="EJ200" s="118"/>
      <c r="EK200" s="118"/>
      <c r="EL200" s="118"/>
      <c r="EM200" s="118"/>
      <c r="EN200" s="118"/>
      <c r="EO200" s="118"/>
      <c r="EP200" s="118"/>
      <c r="EQ200" s="118"/>
      <c r="ER200" s="118"/>
      <c r="ES200" s="118"/>
      <c r="ET200" s="118"/>
      <c r="EU200" s="118"/>
      <c r="EV200" s="118"/>
      <c r="EW200" s="118"/>
      <c r="EX200" s="118"/>
      <c r="EY200" s="118"/>
      <c r="EZ200" s="118"/>
      <c r="FA200" s="118"/>
      <c r="FB200" s="118"/>
      <c r="FC200" s="118"/>
      <c r="FD200" s="118"/>
      <c r="FE200" s="118"/>
      <c r="FF200" s="118"/>
      <c r="FG200" s="118"/>
      <c r="FH200" s="118"/>
      <c r="FI200" s="118"/>
      <c r="FJ200" s="118"/>
      <c r="FK200" s="118"/>
      <c r="FL200" s="118"/>
      <c r="FM200" s="118"/>
      <c r="FN200" s="118"/>
      <c r="FO200" s="118"/>
      <c r="FP200" s="118"/>
      <c r="FQ200" s="118"/>
      <c r="FR200" s="118"/>
      <c r="FS200" s="118"/>
      <c r="FT200" s="118"/>
      <c r="FU200" s="118"/>
      <c r="FV200" s="118"/>
      <c r="FW200" s="118"/>
      <c r="FX200" s="118"/>
      <c r="FY200" s="118"/>
      <c r="FZ200" s="118"/>
      <c r="GA200" s="118"/>
      <c r="GB200" s="118"/>
      <c r="GC200" s="118"/>
      <c r="GD200" s="118"/>
      <c r="GE200" s="118"/>
      <c r="GF200" s="118"/>
      <c r="GG200" s="118"/>
      <c r="GH200" s="118"/>
      <c r="GI200" s="118"/>
      <c r="GJ200" s="118"/>
      <c r="GK200" s="118"/>
      <c r="GL200" s="118"/>
      <c r="GM200" s="118"/>
      <c r="GN200" s="118"/>
      <c r="GO200" s="118"/>
      <c r="GP200" s="118"/>
      <c r="GQ200" s="118"/>
      <c r="GR200" s="118"/>
      <c r="GS200" s="118"/>
      <c r="GT200" s="118"/>
      <c r="GU200" s="118"/>
      <c r="GV200" s="118"/>
      <c r="GW200" s="118"/>
      <c r="GX200" s="118"/>
      <c r="GY200" s="118"/>
      <c r="GZ200" s="118"/>
      <c r="HA200" s="118"/>
      <c r="HB200" s="118"/>
      <c r="HC200" s="118"/>
      <c r="HD200" s="118"/>
      <c r="HE200" s="118"/>
      <c r="HF200" s="118"/>
      <c r="HG200" s="118"/>
      <c r="HH200" s="118"/>
      <c r="HI200" s="118"/>
      <c r="HJ200" s="118"/>
      <c r="HK200" s="118"/>
      <c r="HL200" s="118"/>
      <c r="HM200" s="118"/>
      <c r="HN200" s="118"/>
      <c r="HO200" s="118"/>
      <c r="HP200" s="118"/>
      <c r="HQ200" s="118"/>
      <c r="HR200" s="118"/>
      <c r="HS200" s="118"/>
      <c r="HT200" s="118"/>
      <c r="HU200" s="118"/>
      <c r="HV200" s="118"/>
      <c r="HW200" s="118"/>
      <c r="HX200" s="118"/>
      <c r="HY200" s="118"/>
      <c r="HZ200" s="118"/>
      <c r="IA200" s="118"/>
      <c r="IB200" s="118"/>
      <c r="IC200" s="118"/>
      <c r="ID200" s="118"/>
      <c r="IE200" s="118"/>
      <c r="IF200" s="118"/>
      <c r="IG200" s="118"/>
      <c r="IH200" s="118"/>
      <c r="II200" s="118"/>
      <c r="IJ200" s="118"/>
      <c r="IK200" s="118"/>
      <c r="IL200" s="118"/>
      <c r="IM200" s="118"/>
      <c r="IN200" s="118"/>
      <c r="IO200" s="118"/>
      <c r="IP200" s="118"/>
      <c r="IQ200" s="118"/>
      <c r="IR200" s="118"/>
      <c r="IS200" s="118"/>
      <c r="IT200" s="118"/>
      <c r="IU200" s="118"/>
      <c r="IV200" s="118"/>
      <c r="IW200" s="118"/>
    </row>
    <row r="201" customFormat="false" ht="12.75" hidden="false" customHeight="false" outlineLevel="0" collapsed="false">
      <c r="A201" s="161"/>
      <c r="B201" s="118" t="s">
        <v>426</v>
      </c>
      <c r="C201" s="118"/>
      <c r="D201" s="118"/>
      <c r="E201" s="118"/>
      <c r="F201" s="118"/>
      <c r="G201" s="118"/>
      <c r="H201" s="118"/>
      <c r="I201" s="118"/>
      <c r="J201" s="192"/>
      <c r="K201" s="118"/>
      <c r="L201" s="203"/>
      <c r="M201" s="110"/>
      <c r="O201" s="110"/>
      <c r="Q201" s="110"/>
      <c r="S201" s="110"/>
      <c r="T201" s="110"/>
      <c r="U201" s="110"/>
      <c r="V201" s="110"/>
      <c r="X201" s="110"/>
      <c r="Z201" s="110"/>
      <c r="AB201" s="110"/>
      <c r="AD201" s="110"/>
      <c r="AR201" s="110" t="n">
        <v>83333.33</v>
      </c>
      <c r="AT201" s="110" t="n">
        <f aca="false">25346.24+82333.33</f>
        <v>107679.57</v>
      </c>
      <c r="BL201" s="110"/>
      <c r="BM201" s="110"/>
      <c r="BN201" s="110"/>
      <c r="BO201" s="110"/>
      <c r="BP201" s="110"/>
      <c r="BQ201" s="110" t="n">
        <f aca="false">SUM(T201:BP201)</f>
        <v>191012.9</v>
      </c>
      <c r="BR201" s="110"/>
      <c r="BS201" s="110"/>
      <c r="BT201" s="110"/>
      <c r="BU201" s="110" t="n">
        <f aca="false">IF(+R201-BQ201+BS201&gt;0,R201-BQ201+BS201,0)</f>
        <v>0</v>
      </c>
      <c r="BW201" s="110" t="n">
        <f aca="false">+BQ201+BU201</f>
        <v>191012.9</v>
      </c>
      <c r="BY201" s="110" t="n">
        <f aca="false">+R201-BW201</f>
        <v>-191012.9</v>
      </c>
      <c r="BZ201" s="110"/>
      <c r="CA201" s="118"/>
      <c r="CB201" s="118"/>
      <c r="CC201" s="118"/>
      <c r="CD201" s="118"/>
      <c r="CE201" s="118"/>
      <c r="CF201" s="118"/>
      <c r="CG201" s="118"/>
      <c r="CH201" s="118"/>
      <c r="CI201" s="118"/>
      <c r="CJ201" s="118"/>
      <c r="CK201" s="118"/>
      <c r="CL201" s="118"/>
      <c r="CM201" s="118"/>
      <c r="CN201" s="118"/>
      <c r="CO201" s="118"/>
      <c r="CP201" s="118"/>
      <c r="CQ201" s="118"/>
      <c r="CR201" s="118"/>
      <c r="CS201" s="118"/>
      <c r="CT201" s="118"/>
      <c r="CU201" s="118"/>
      <c r="CV201" s="118"/>
      <c r="CW201" s="118"/>
      <c r="CX201" s="118"/>
      <c r="CY201" s="118"/>
      <c r="CZ201" s="118"/>
      <c r="DA201" s="118"/>
      <c r="DB201" s="118"/>
      <c r="DC201" s="118"/>
      <c r="DD201" s="118"/>
      <c r="DE201" s="118"/>
      <c r="DF201" s="118"/>
      <c r="DG201" s="118"/>
      <c r="DH201" s="118"/>
      <c r="DI201" s="118"/>
      <c r="DJ201" s="118"/>
      <c r="DK201" s="118"/>
      <c r="DL201" s="118"/>
      <c r="DM201" s="118"/>
      <c r="DN201" s="118"/>
      <c r="DO201" s="118"/>
      <c r="DP201" s="118"/>
      <c r="DQ201" s="118"/>
      <c r="DR201" s="118"/>
      <c r="DS201" s="118"/>
      <c r="DT201" s="118"/>
      <c r="DU201" s="118"/>
      <c r="DV201" s="118"/>
      <c r="DW201" s="118"/>
      <c r="DX201" s="118"/>
      <c r="DY201" s="118"/>
      <c r="DZ201" s="118"/>
      <c r="EA201" s="118"/>
      <c r="EB201" s="118"/>
      <c r="EC201" s="118"/>
      <c r="ED201" s="118"/>
      <c r="EE201" s="118"/>
      <c r="EF201" s="118"/>
      <c r="EG201" s="118"/>
      <c r="EH201" s="118"/>
      <c r="EI201" s="118"/>
      <c r="EJ201" s="118"/>
      <c r="EK201" s="118"/>
      <c r="EL201" s="118"/>
      <c r="EM201" s="118"/>
      <c r="EN201" s="118"/>
      <c r="EO201" s="118"/>
      <c r="EP201" s="118"/>
      <c r="EQ201" s="118"/>
      <c r="ER201" s="118"/>
      <c r="ES201" s="118"/>
      <c r="ET201" s="118"/>
      <c r="EU201" s="118"/>
      <c r="EV201" s="118"/>
      <c r="EW201" s="118"/>
      <c r="EX201" s="118"/>
      <c r="EY201" s="118"/>
      <c r="EZ201" s="118"/>
      <c r="FA201" s="118"/>
      <c r="FB201" s="118"/>
      <c r="FC201" s="118"/>
      <c r="FD201" s="118"/>
      <c r="FE201" s="118"/>
      <c r="FF201" s="118"/>
      <c r="FG201" s="118"/>
      <c r="FH201" s="118"/>
      <c r="FI201" s="118"/>
      <c r="FJ201" s="118"/>
      <c r="FK201" s="118"/>
      <c r="FL201" s="118"/>
      <c r="FM201" s="118"/>
      <c r="FN201" s="118"/>
      <c r="FO201" s="118"/>
      <c r="FP201" s="118"/>
      <c r="FQ201" s="118"/>
      <c r="FR201" s="118"/>
      <c r="FS201" s="118"/>
      <c r="FT201" s="118"/>
      <c r="FU201" s="118"/>
      <c r="FV201" s="118"/>
      <c r="FW201" s="118"/>
      <c r="FX201" s="118"/>
      <c r="FY201" s="118"/>
      <c r="FZ201" s="118"/>
      <c r="GA201" s="118"/>
      <c r="GB201" s="118"/>
      <c r="GC201" s="118"/>
      <c r="GD201" s="118"/>
      <c r="GE201" s="118"/>
      <c r="GF201" s="118"/>
      <c r="GG201" s="118"/>
      <c r="GH201" s="118"/>
      <c r="GI201" s="118"/>
      <c r="GJ201" s="118"/>
      <c r="GK201" s="118"/>
      <c r="GL201" s="118"/>
      <c r="GM201" s="118"/>
      <c r="GN201" s="118"/>
      <c r="GO201" s="118"/>
      <c r="GP201" s="118"/>
      <c r="GQ201" s="118"/>
      <c r="GR201" s="118"/>
      <c r="GS201" s="118"/>
      <c r="GT201" s="118"/>
      <c r="GU201" s="118"/>
      <c r="GV201" s="118"/>
      <c r="GW201" s="118"/>
      <c r="GX201" s="118"/>
      <c r="GY201" s="118"/>
      <c r="GZ201" s="118"/>
      <c r="HA201" s="118"/>
      <c r="HB201" s="118"/>
      <c r="HC201" s="118"/>
      <c r="HD201" s="118"/>
      <c r="HE201" s="118"/>
      <c r="HF201" s="118"/>
      <c r="HG201" s="118"/>
      <c r="HH201" s="118"/>
      <c r="HI201" s="118"/>
      <c r="HJ201" s="118"/>
      <c r="HK201" s="118"/>
      <c r="HL201" s="118"/>
      <c r="HM201" s="118"/>
      <c r="HN201" s="118"/>
      <c r="HO201" s="118"/>
      <c r="HP201" s="118"/>
      <c r="HQ201" s="118"/>
      <c r="HR201" s="118"/>
      <c r="HS201" s="118"/>
      <c r="HT201" s="118"/>
      <c r="HU201" s="118"/>
      <c r="HV201" s="118"/>
      <c r="HW201" s="118"/>
      <c r="HX201" s="118"/>
      <c r="HY201" s="118"/>
      <c r="HZ201" s="118"/>
      <c r="IA201" s="118"/>
      <c r="IB201" s="118"/>
      <c r="IC201" s="118"/>
      <c r="ID201" s="118"/>
      <c r="IE201" s="118"/>
      <c r="IF201" s="118"/>
      <c r="IG201" s="118"/>
      <c r="IH201" s="118"/>
      <c r="II201" s="118"/>
      <c r="IJ201" s="118"/>
      <c r="IK201" s="118"/>
      <c r="IL201" s="118"/>
      <c r="IM201" s="118"/>
      <c r="IN201" s="118"/>
      <c r="IO201" s="118"/>
      <c r="IP201" s="118"/>
      <c r="IQ201" s="118"/>
      <c r="IR201" s="118"/>
      <c r="IS201" s="118"/>
      <c r="IT201" s="118"/>
      <c r="IU201" s="118"/>
      <c r="IV201" s="118"/>
      <c r="IW201" s="118"/>
    </row>
    <row r="202" customFormat="false" ht="12.75" hidden="false" customHeight="false" outlineLevel="0" collapsed="false">
      <c r="A202" s="161"/>
      <c r="B202" s="118" t="s">
        <v>388</v>
      </c>
      <c r="C202" s="118"/>
      <c r="D202" s="118"/>
      <c r="E202" s="118"/>
      <c r="F202" s="118"/>
      <c r="G202" s="118"/>
      <c r="H202" s="118"/>
      <c r="I202" s="118"/>
      <c r="J202" s="192"/>
      <c r="K202" s="118"/>
      <c r="L202" s="203"/>
      <c r="M202" s="110"/>
      <c r="O202" s="110"/>
      <c r="Q202" s="110"/>
      <c r="S202" s="110"/>
      <c r="T202" s="110"/>
      <c r="U202" s="110"/>
      <c r="V202" s="110"/>
      <c r="X202" s="110"/>
      <c r="Z202" s="110"/>
      <c r="AB202" s="110"/>
      <c r="AD202" s="110"/>
      <c r="AL202" s="110" t="n">
        <v>32203.28</v>
      </c>
      <c r="BL202" s="110"/>
      <c r="BM202" s="110"/>
      <c r="BN202" s="110"/>
      <c r="BO202" s="110"/>
      <c r="BP202" s="110"/>
      <c r="BQ202" s="110" t="n">
        <f aca="false">SUM(T202:BP202)</f>
        <v>32203.28</v>
      </c>
      <c r="BR202" s="110"/>
      <c r="BS202" s="110"/>
      <c r="BT202" s="110"/>
      <c r="BW202" s="110" t="n">
        <f aca="false">+BQ202+BU202</f>
        <v>32203.28</v>
      </c>
      <c r="BY202" s="110" t="n">
        <f aca="false">+R202-BW202</f>
        <v>-32203.28</v>
      </c>
      <c r="BZ202" s="110"/>
      <c r="CA202" s="118"/>
      <c r="CB202" s="118"/>
      <c r="CC202" s="118"/>
      <c r="CD202" s="118"/>
      <c r="CE202" s="118"/>
      <c r="CF202" s="118"/>
      <c r="CG202" s="118"/>
      <c r="CH202" s="118"/>
      <c r="CI202" s="118"/>
      <c r="CJ202" s="118"/>
      <c r="CK202" s="118"/>
      <c r="CL202" s="118"/>
      <c r="CM202" s="118"/>
      <c r="CN202" s="118"/>
      <c r="CO202" s="118"/>
      <c r="CP202" s="118"/>
      <c r="CQ202" s="118"/>
      <c r="CR202" s="118"/>
      <c r="CS202" s="118"/>
      <c r="CT202" s="118"/>
      <c r="CU202" s="118"/>
      <c r="CV202" s="118"/>
      <c r="CW202" s="118"/>
      <c r="CX202" s="118"/>
      <c r="CY202" s="118"/>
      <c r="CZ202" s="118"/>
      <c r="DA202" s="118"/>
      <c r="DB202" s="118"/>
      <c r="DC202" s="118"/>
      <c r="DD202" s="118"/>
      <c r="DE202" s="118"/>
      <c r="DF202" s="118"/>
      <c r="DG202" s="118"/>
      <c r="DH202" s="118"/>
      <c r="DI202" s="118"/>
      <c r="DJ202" s="118"/>
      <c r="DK202" s="118"/>
      <c r="DL202" s="118"/>
      <c r="DM202" s="118"/>
      <c r="DN202" s="118"/>
      <c r="DO202" s="118"/>
      <c r="DP202" s="118"/>
      <c r="DQ202" s="118"/>
      <c r="DR202" s="118"/>
      <c r="DS202" s="118"/>
      <c r="DT202" s="118"/>
      <c r="DU202" s="118"/>
      <c r="DV202" s="118"/>
      <c r="DW202" s="118"/>
      <c r="DX202" s="118"/>
      <c r="DY202" s="118"/>
      <c r="DZ202" s="118"/>
      <c r="EA202" s="118"/>
      <c r="EB202" s="118"/>
      <c r="EC202" s="118"/>
      <c r="ED202" s="118"/>
      <c r="EE202" s="118"/>
      <c r="EF202" s="118"/>
      <c r="EG202" s="118"/>
      <c r="EH202" s="118"/>
      <c r="EI202" s="118"/>
      <c r="EJ202" s="118"/>
      <c r="EK202" s="118"/>
      <c r="EL202" s="118"/>
      <c r="EM202" s="118"/>
      <c r="EN202" s="118"/>
      <c r="EO202" s="118"/>
      <c r="EP202" s="118"/>
      <c r="EQ202" s="118"/>
      <c r="ER202" s="118"/>
      <c r="ES202" s="118"/>
      <c r="ET202" s="118"/>
      <c r="EU202" s="118"/>
      <c r="EV202" s="118"/>
      <c r="EW202" s="118"/>
      <c r="EX202" s="118"/>
      <c r="EY202" s="118"/>
      <c r="EZ202" s="118"/>
      <c r="FA202" s="118"/>
      <c r="FB202" s="118"/>
      <c r="FC202" s="118"/>
      <c r="FD202" s="118"/>
      <c r="FE202" s="118"/>
      <c r="FF202" s="118"/>
      <c r="FG202" s="118"/>
      <c r="FH202" s="118"/>
      <c r="FI202" s="118"/>
      <c r="FJ202" s="118"/>
      <c r="FK202" s="118"/>
      <c r="FL202" s="118"/>
      <c r="FM202" s="118"/>
      <c r="FN202" s="118"/>
      <c r="FO202" s="118"/>
      <c r="FP202" s="118"/>
      <c r="FQ202" s="118"/>
      <c r="FR202" s="118"/>
      <c r="FS202" s="118"/>
      <c r="FT202" s="118"/>
      <c r="FU202" s="118"/>
      <c r="FV202" s="118"/>
      <c r="FW202" s="118"/>
      <c r="FX202" s="118"/>
      <c r="FY202" s="118"/>
      <c r="FZ202" s="118"/>
      <c r="GA202" s="118"/>
      <c r="GB202" s="118"/>
      <c r="GC202" s="118"/>
      <c r="GD202" s="118"/>
      <c r="GE202" s="118"/>
      <c r="GF202" s="118"/>
      <c r="GG202" s="118"/>
      <c r="GH202" s="118"/>
      <c r="GI202" s="118"/>
      <c r="GJ202" s="118"/>
      <c r="GK202" s="118"/>
      <c r="GL202" s="118"/>
      <c r="GM202" s="118"/>
      <c r="GN202" s="118"/>
      <c r="GO202" s="118"/>
      <c r="GP202" s="118"/>
      <c r="GQ202" s="118"/>
      <c r="GR202" s="118"/>
      <c r="GS202" s="118"/>
      <c r="GT202" s="118"/>
      <c r="GU202" s="118"/>
      <c r="GV202" s="118"/>
      <c r="GW202" s="118"/>
      <c r="GX202" s="118"/>
      <c r="GY202" s="118"/>
      <c r="GZ202" s="118"/>
      <c r="HA202" s="118"/>
      <c r="HB202" s="118"/>
      <c r="HC202" s="118"/>
      <c r="HD202" s="118"/>
      <c r="HE202" s="118"/>
      <c r="HF202" s="118"/>
      <c r="HG202" s="118"/>
      <c r="HH202" s="118"/>
      <c r="HI202" s="118"/>
      <c r="HJ202" s="118"/>
      <c r="HK202" s="118"/>
      <c r="HL202" s="118"/>
      <c r="HM202" s="118"/>
      <c r="HN202" s="118"/>
      <c r="HO202" s="118"/>
      <c r="HP202" s="118"/>
      <c r="HQ202" s="118"/>
      <c r="HR202" s="118"/>
      <c r="HS202" s="118"/>
      <c r="HT202" s="118"/>
      <c r="HU202" s="118"/>
      <c r="HV202" s="118"/>
      <c r="HW202" s="118"/>
      <c r="HX202" s="118"/>
      <c r="HY202" s="118"/>
      <c r="HZ202" s="118"/>
      <c r="IA202" s="118"/>
      <c r="IB202" s="118"/>
      <c r="IC202" s="118"/>
      <c r="ID202" s="118"/>
      <c r="IE202" s="118"/>
      <c r="IF202" s="118"/>
      <c r="IG202" s="118"/>
      <c r="IH202" s="118"/>
      <c r="II202" s="118"/>
      <c r="IJ202" s="118"/>
      <c r="IK202" s="118"/>
      <c r="IL202" s="118"/>
      <c r="IM202" s="118"/>
      <c r="IN202" s="118"/>
      <c r="IO202" s="118"/>
      <c r="IP202" s="118"/>
      <c r="IQ202" s="118"/>
      <c r="IR202" s="118"/>
      <c r="IS202" s="118"/>
      <c r="IT202" s="118"/>
      <c r="IU202" s="118"/>
      <c r="IV202" s="118"/>
      <c r="IW202" s="118"/>
    </row>
    <row r="203" customFormat="false" ht="12.75" hidden="false" customHeight="false" outlineLevel="0" collapsed="false">
      <c r="A203" s="160"/>
      <c r="B203" s="174" t="s">
        <v>277</v>
      </c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198" t="n">
        <f aca="false">SUM(N197:N200)</f>
        <v>600000</v>
      </c>
      <c r="O203" s="24"/>
      <c r="P203" s="198" t="n">
        <f aca="false">SUM(P197:P200)</f>
        <v>-282700</v>
      </c>
      <c r="Q203" s="24"/>
      <c r="R203" s="198" t="n">
        <f aca="false">SUM(R197:R202)</f>
        <v>400000</v>
      </c>
      <c r="S203" s="198" t="n">
        <f aca="false">SUM(S197:S202)</f>
        <v>0</v>
      </c>
      <c r="T203" s="198" t="n">
        <f aca="false">SUM(T197:T202)</f>
        <v>0</v>
      </c>
      <c r="U203" s="198" t="n">
        <f aca="false">SUM(U197:U202)</f>
        <v>0</v>
      </c>
      <c r="V203" s="198" t="n">
        <f aca="false">SUM(V197:V202)</f>
        <v>0</v>
      </c>
      <c r="W203" s="198" t="n">
        <f aca="false">SUM(W197:W202)</f>
        <v>0</v>
      </c>
      <c r="X203" s="198" t="n">
        <f aca="false">SUM(X197:X202)</f>
        <v>0</v>
      </c>
      <c r="Y203" s="198" t="n">
        <f aca="false">SUM(Y197:Y202)</f>
        <v>0</v>
      </c>
      <c r="Z203" s="198" t="n">
        <f aca="false">SUM(Z197:Z202)</f>
        <v>0</v>
      </c>
      <c r="AA203" s="198" t="n">
        <f aca="false">SUM(AA197:AA202)</f>
        <v>0</v>
      </c>
      <c r="AB203" s="198" t="n">
        <f aca="false">SUM(AB197:AB202)</f>
        <v>0</v>
      </c>
      <c r="AC203" s="198" t="n">
        <f aca="false">SUM(AC197:AC202)</f>
        <v>0</v>
      </c>
      <c r="AD203" s="198" t="n">
        <f aca="false">SUM(AD197:AD202)</f>
        <v>0</v>
      </c>
      <c r="AE203" s="198" t="n">
        <f aca="false">SUM(AE197:AE202)</f>
        <v>0</v>
      </c>
      <c r="AF203" s="198" t="n">
        <f aca="false">SUM(AF197:AF202)</f>
        <v>0</v>
      </c>
      <c r="AG203" s="198" t="n">
        <f aca="false">SUM(AG197:AG202)</f>
        <v>0</v>
      </c>
      <c r="AH203" s="198" t="n">
        <f aca="false">SUM(AH197:AH202)</f>
        <v>0</v>
      </c>
      <c r="AI203" s="198"/>
      <c r="AJ203" s="198" t="n">
        <f aca="false">SUM(AJ197:AJ202)</f>
        <v>19083.81</v>
      </c>
      <c r="AK203" s="198"/>
      <c r="AL203" s="198" t="n">
        <f aca="false">SUM(AL197:AL202)</f>
        <v>118678.91</v>
      </c>
      <c r="AM203" s="198"/>
      <c r="AN203" s="198" t="n">
        <f aca="false">SUM(AN197:AN202)</f>
        <v>2410.51</v>
      </c>
      <c r="AO203" s="198"/>
      <c r="AP203" s="198" t="n">
        <f aca="false">SUM(AP197:AP202)</f>
        <v>18873.63</v>
      </c>
      <c r="AQ203" s="198"/>
      <c r="AR203" s="198" t="n">
        <f aca="false">SUM(AR197:AR202)</f>
        <v>113219.21</v>
      </c>
      <c r="AS203" s="198" t="n">
        <f aca="false">SUM(AS197:AS202)</f>
        <v>0</v>
      </c>
      <c r="AT203" s="198" t="n">
        <f aca="false">SUM(AT197:AT202)</f>
        <v>153337.04</v>
      </c>
      <c r="AU203" s="198" t="n">
        <f aca="false">SUM(AU197:AU202)</f>
        <v>0</v>
      </c>
      <c r="AV203" s="198" t="n">
        <f aca="false">SUM(AV197:AV202)</f>
        <v>89747.48</v>
      </c>
      <c r="AW203" s="198" t="n">
        <f aca="false">SUM(AW197:AW202)</f>
        <v>0</v>
      </c>
      <c r="AX203" s="198" t="n">
        <f aca="false">SUM(AX197:AX202)</f>
        <v>29396.86</v>
      </c>
      <c r="AY203" s="198" t="n">
        <f aca="false">SUM(AY197:AY202)</f>
        <v>0</v>
      </c>
      <c r="AZ203" s="198" t="n">
        <f aca="false">SUM(AZ197:AZ202)</f>
        <v>44082.48</v>
      </c>
      <c r="BA203" s="198" t="n">
        <f aca="false">SUM(BA197:BA202)</f>
        <v>0</v>
      </c>
      <c r="BB203" s="198" t="n">
        <f aca="false">SUM(BB197:BB202)</f>
        <v>165167.83</v>
      </c>
      <c r="BD203" s="198" t="n">
        <f aca="false">SUM(BD197:BD202)</f>
        <v>37080.42</v>
      </c>
      <c r="BF203" s="198" t="n">
        <f aca="false">SUM(BF197:BF202)</f>
        <v>150593.29</v>
      </c>
      <c r="BG203" s="198" t="n">
        <f aca="false">SUM(BG197:BG202)</f>
        <v>0</v>
      </c>
      <c r="BH203" s="198" t="n">
        <f aca="false">SUM(BH197:BH202)</f>
        <v>14428.78</v>
      </c>
      <c r="BI203" s="198" t="n">
        <f aca="false">SUM(BI197:BI202)</f>
        <v>0</v>
      </c>
      <c r="BJ203" s="198" t="n">
        <f aca="false">SUM(BJ197:BJ202)</f>
        <v>126349.8</v>
      </c>
      <c r="BK203" s="198" t="n">
        <f aca="false">SUM(BK197:BK202)</f>
        <v>0</v>
      </c>
      <c r="BL203" s="198" t="n">
        <f aca="false">SUM(BL197:BL202)</f>
        <v>18870</v>
      </c>
      <c r="BM203" s="198" t="n">
        <f aca="false">SUM(BM197:BM202)</f>
        <v>3299</v>
      </c>
      <c r="BN203" s="198"/>
      <c r="BO203" s="198" t="n">
        <f aca="false">SUM(BO197:BO202)</f>
        <v>0</v>
      </c>
      <c r="BP203" s="198" t="n">
        <f aca="false">SUM(BP197:BP202)</f>
        <v>0</v>
      </c>
      <c r="BQ203" s="198" t="n">
        <f aca="false">SUM(BQ197:BQ202)</f>
        <v>1104619.05</v>
      </c>
      <c r="BR203" s="198" t="n">
        <f aca="false">SUM(BR197:BR202)</f>
        <v>0</v>
      </c>
      <c r="BS203" s="198" t="n">
        <f aca="false">SUM(BS197:BS202)</f>
        <v>-135915</v>
      </c>
      <c r="BT203" s="198" t="n">
        <f aca="false">SUM(BT197:BT202)</f>
        <v>0</v>
      </c>
      <c r="BU203" s="198" t="n">
        <f aca="false">SUM(BU197:BU202)</f>
        <v>0.649999999994179</v>
      </c>
      <c r="BV203" s="198" t="n">
        <f aca="false">SUM(BV197:BV202)</f>
        <v>0</v>
      </c>
      <c r="BW203" s="198" t="n">
        <f aca="false">SUM(BW197:BW202)</f>
        <v>1104619.7</v>
      </c>
      <c r="BX203" s="198" t="n">
        <f aca="false">SUM(BX197:BX202)</f>
        <v>0</v>
      </c>
      <c r="BY203" s="198" t="n">
        <f aca="false">SUM(BY197:BY202)</f>
        <v>-704619.7</v>
      </c>
      <c r="BZ203" s="198" t="n">
        <f aca="false">SUM(BZ197:BZ202)</f>
        <v>0</v>
      </c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60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D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60" t="s">
        <v>278</v>
      </c>
      <c r="B205" s="118"/>
      <c r="C205" s="0"/>
      <c r="D205" s="0"/>
      <c r="E205" s="0"/>
      <c r="F205" s="0"/>
      <c r="G205" s="0"/>
      <c r="H205" s="0"/>
      <c r="I205" s="0"/>
      <c r="J205" s="4"/>
      <c r="K205" s="0"/>
      <c r="L205" s="34"/>
      <c r="M205" s="110"/>
      <c r="O205" s="110"/>
      <c r="Q205" s="110"/>
      <c r="S205" s="110"/>
      <c r="T205" s="110"/>
      <c r="U205" s="110"/>
      <c r="V205" s="110"/>
      <c r="X205" s="110"/>
      <c r="Z205" s="110"/>
      <c r="AB205" s="110"/>
      <c r="AD205" s="110"/>
      <c r="BL205" s="110"/>
      <c r="BM205" s="110"/>
      <c r="BN205" s="110"/>
      <c r="BO205" s="110"/>
      <c r="BP205" s="110"/>
      <c r="BR205" s="110"/>
      <c r="BS205" s="110"/>
      <c r="BT205" s="110"/>
      <c r="BZ205" s="11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</row>
    <row r="206" customFormat="false" ht="12.75" hidden="false" customHeight="false" outlineLevel="0" collapsed="false">
      <c r="A206" s="161"/>
      <c r="B206" s="118" t="s">
        <v>427</v>
      </c>
      <c r="C206" s="118"/>
      <c r="D206" s="118"/>
      <c r="E206" s="118"/>
      <c r="F206" s="118"/>
      <c r="G206" s="118"/>
      <c r="H206" s="118"/>
      <c r="I206" s="118"/>
      <c r="J206" s="192"/>
      <c r="K206" s="118"/>
      <c r="L206" s="203" t="s">
        <v>258</v>
      </c>
      <c r="M206" s="110"/>
      <c r="N206" s="110" t="n">
        <v>0</v>
      </c>
      <c r="O206" s="110"/>
      <c r="P206" s="110" t="n">
        <f aca="false">300000-5511</f>
        <v>294489</v>
      </c>
      <c r="Q206" s="110"/>
      <c r="R206" s="110" t="n">
        <v>500000</v>
      </c>
      <c r="S206" s="110"/>
      <c r="T206" s="110" t="n">
        <v>0</v>
      </c>
      <c r="U206" s="110"/>
      <c r="V206" s="110" t="n">
        <v>0</v>
      </c>
      <c r="X206" s="110"/>
      <c r="Z206" s="110"/>
      <c r="AB206" s="110"/>
      <c r="AD206" s="110"/>
      <c r="AJ206" s="248"/>
      <c r="AL206" s="110" t="n">
        <v>14302.18</v>
      </c>
      <c r="AN206" s="110" t="n">
        <v>13885.7</v>
      </c>
      <c r="AP206" s="110" t="n">
        <v>27414.72</v>
      </c>
      <c r="AR206" s="110" t="n">
        <v>13907.58</v>
      </c>
      <c r="AT206" s="248"/>
      <c r="AV206" s="110" t="n">
        <v>0</v>
      </c>
      <c r="AX206" s="110" t="n">
        <v>0</v>
      </c>
      <c r="AZ206" s="110" t="n">
        <v>0</v>
      </c>
      <c r="BB206" s="110" t="n">
        <v>0</v>
      </c>
      <c r="BD206" s="110" t="n">
        <v>0</v>
      </c>
      <c r="BF206" s="110" t="n">
        <f aca="false">15772.76+105510.2+116272.26</f>
        <v>237555.22</v>
      </c>
      <c r="BH206" s="110" t="n">
        <v>0</v>
      </c>
      <c r="BJ206" s="110" t="n">
        <v>0</v>
      </c>
      <c r="BL206" s="110" t="n">
        <v>0</v>
      </c>
      <c r="BM206" s="110" t="n">
        <v>0</v>
      </c>
      <c r="BN206" s="110"/>
      <c r="BO206" s="110" t="n">
        <v>0</v>
      </c>
      <c r="BP206" s="110"/>
      <c r="BQ206" s="110" t="n">
        <f aca="false">SUM(T206:BP206)</f>
        <v>307065.4</v>
      </c>
      <c r="BR206" s="110"/>
      <c r="BS206" s="110" t="n">
        <v>0</v>
      </c>
      <c r="BT206" s="110"/>
      <c r="BU206" s="110" t="n">
        <f aca="false">IF(+R206-BQ206+BS206&gt;0,R206-BQ206+BS206,0)</f>
        <v>192934.6</v>
      </c>
      <c r="BW206" s="110" t="n">
        <f aca="false">+BQ206+BU206</f>
        <v>500000</v>
      </c>
      <c r="BY206" s="110" t="n">
        <f aca="false">+R206-BW206</f>
        <v>0</v>
      </c>
      <c r="BZ206" s="11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118"/>
      <c r="DY206" s="118"/>
      <c r="DZ206" s="118"/>
      <c r="EA206" s="118"/>
      <c r="EB206" s="118"/>
      <c r="EC206" s="118"/>
      <c r="ED206" s="118"/>
      <c r="EE206" s="118"/>
      <c r="EF206" s="118"/>
      <c r="EG206" s="118"/>
      <c r="EH206" s="118"/>
      <c r="EI206" s="118"/>
      <c r="EJ206" s="118"/>
      <c r="EK206" s="118"/>
      <c r="EL206" s="118"/>
      <c r="EM206" s="118"/>
      <c r="EN206" s="118"/>
      <c r="EO206" s="118"/>
      <c r="EP206" s="118"/>
      <c r="EQ206" s="118"/>
      <c r="ER206" s="118"/>
      <c r="ES206" s="118"/>
      <c r="ET206" s="118"/>
      <c r="EU206" s="118"/>
      <c r="EV206" s="118"/>
      <c r="EW206" s="118"/>
      <c r="EX206" s="118"/>
      <c r="EY206" s="118"/>
      <c r="EZ206" s="118"/>
      <c r="FA206" s="118"/>
      <c r="FB206" s="118"/>
      <c r="FC206" s="118"/>
      <c r="FD206" s="118"/>
      <c r="FE206" s="118"/>
      <c r="FF206" s="118"/>
      <c r="FG206" s="118"/>
      <c r="FH206" s="118"/>
      <c r="FI206" s="118"/>
      <c r="FJ206" s="118"/>
      <c r="FK206" s="118"/>
      <c r="FL206" s="118"/>
      <c r="FM206" s="118"/>
      <c r="FN206" s="118"/>
      <c r="FO206" s="118"/>
      <c r="FP206" s="118"/>
      <c r="FQ206" s="118"/>
      <c r="FR206" s="118"/>
      <c r="FS206" s="118"/>
      <c r="FT206" s="118"/>
      <c r="FU206" s="118"/>
      <c r="FV206" s="118"/>
      <c r="FW206" s="118"/>
      <c r="FX206" s="118"/>
      <c r="FY206" s="118"/>
      <c r="FZ206" s="118"/>
      <c r="GA206" s="118"/>
      <c r="GB206" s="118"/>
      <c r="GC206" s="118"/>
      <c r="GD206" s="118"/>
      <c r="GE206" s="118"/>
      <c r="GF206" s="118"/>
      <c r="GG206" s="118"/>
      <c r="GH206" s="118"/>
      <c r="GI206" s="118"/>
      <c r="GJ206" s="118"/>
      <c r="GK206" s="118"/>
      <c r="GL206" s="118"/>
      <c r="GM206" s="118"/>
      <c r="GN206" s="118"/>
      <c r="GO206" s="118"/>
      <c r="GP206" s="118"/>
      <c r="GQ206" s="118"/>
      <c r="GR206" s="118"/>
      <c r="GS206" s="118"/>
      <c r="GT206" s="118"/>
      <c r="GU206" s="118"/>
      <c r="GV206" s="118"/>
      <c r="GW206" s="118"/>
      <c r="GX206" s="118"/>
      <c r="GY206" s="118"/>
      <c r="GZ206" s="118"/>
      <c r="HA206" s="118"/>
      <c r="HB206" s="118"/>
      <c r="HC206" s="118"/>
      <c r="HD206" s="118"/>
      <c r="HE206" s="118"/>
      <c r="HF206" s="118"/>
      <c r="HG206" s="118"/>
      <c r="HH206" s="118"/>
      <c r="HI206" s="118"/>
      <c r="HJ206" s="118"/>
      <c r="HK206" s="118"/>
      <c r="HL206" s="118"/>
      <c r="HM206" s="118"/>
      <c r="HN206" s="118"/>
      <c r="HO206" s="118"/>
      <c r="HP206" s="118"/>
      <c r="HQ206" s="118"/>
      <c r="HR206" s="118"/>
      <c r="HS206" s="118"/>
      <c r="HT206" s="118"/>
      <c r="HU206" s="118"/>
      <c r="HV206" s="118"/>
      <c r="HW206" s="118"/>
      <c r="HX206" s="118"/>
      <c r="HY206" s="118"/>
      <c r="HZ206" s="118"/>
      <c r="IA206" s="118"/>
      <c r="IB206" s="118"/>
      <c r="IC206" s="118"/>
      <c r="ID206" s="118"/>
      <c r="IE206" s="118"/>
      <c r="IF206" s="118"/>
      <c r="IG206" s="118"/>
      <c r="IH206" s="118"/>
      <c r="II206" s="118"/>
      <c r="IJ206" s="118"/>
      <c r="IK206" s="118"/>
      <c r="IL206" s="118"/>
      <c r="IM206" s="118"/>
      <c r="IN206" s="118"/>
      <c r="IO206" s="118"/>
      <c r="IP206" s="118"/>
      <c r="IQ206" s="118"/>
      <c r="IR206" s="118"/>
      <c r="IS206" s="118"/>
      <c r="IT206" s="118"/>
      <c r="IU206" s="118"/>
      <c r="IV206" s="118"/>
      <c r="IW206" s="118"/>
    </row>
    <row r="207" customFormat="false" ht="12.75" hidden="false" customHeight="false" outlineLevel="0" collapsed="false">
      <c r="A207" s="161"/>
      <c r="B207" s="118" t="s">
        <v>121</v>
      </c>
      <c r="C207" s="118"/>
      <c r="D207" s="118"/>
      <c r="E207" s="118"/>
      <c r="F207" s="118"/>
      <c r="G207" s="118"/>
      <c r="H207" s="118"/>
      <c r="I207" s="118"/>
      <c r="J207" s="192"/>
      <c r="K207" s="118"/>
      <c r="L207" s="203" t="s">
        <v>258</v>
      </c>
      <c r="M207" s="110"/>
      <c r="N207" s="110" t="n">
        <v>500000</v>
      </c>
      <c r="O207" s="110"/>
      <c r="P207" s="110" t="n">
        <f aca="false">-300000-10271.2</f>
        <v>-310271.2</v>
      </c>
      <c r="Q207" s="110"/>
      <c r="R207" s="110" t="n">
        <v>0</v>
      </c>
      <c r="S207" s="110"/>
      <c r="T207" s="110" t="n">
        <v>0</v>
      </c>
      <c r="U207" s="110"/>
      <c r="V207" s="110" t="n">
        <v>0</v>
      </c>
      <c r="X207" s="110"/>
      <c r="Z207" s="110"/>
      <c r="AB207" s="110"/>
      <c r="AD207" s="110"/>
      <c r="AN207" s="110" t="n">
        <v>0</v>
      </c>
      <c r="AP207" s="110" t="n">
        <v>0</v>
      </c>
      <c r="AR207" s="110" t="n">
        <v>0</v>
      </c>
      <c r="AT207" s="110" t="n">
        <f aca="false">165893.1+86315.36</f>
        <v>252208.46</v>
      </c>
      <c r="AV207" s="110" t="n">
        <v>0</v>
      </c>
      <c r="AX207" s="110" t="n">
        <v>0</v>
      </c>
      <c r="AZ207" s="110" t="n">
        <v>0</v>
      </c>
      <c r="BB207" s="110" t="n">
        <v>0</v>
      </c>
      <c r="BD207" s="110" t="n">
        <v>0</v>
      </c>
      <c r="BF207" s="110" t="n">
        <v>0</v>
      </c>
      <c r="BH207" s="110" t="n">
        <v>0</v>
      </c>
      <c r="BJ207" s="110" t="n">
        <v>0</v>
      </c>
      <c r="BL207" s="110" t="n">
        <v>0</v>
      </c>
      <c r="BM207" s="110" t="n">
        <v>0</v>
      </c>
      <c r="BN207" s="110"/>
      <c r="BO207" s="110" t="n">
        <v>0</v>
      </c>
      <c r="BP207" s="110"/>
      <c r="BQ207" s="110" t="n">
        <f aca="false">SUM(T207:BP207)</f>
        <v>252208.46</v>
      </c>
      <c r="BR207" s="110"/>
      <c r="BS207" s="110"/>
      <c r="BT207" s="110"/>
      <c r="BU207" s="110" t="n">
        <f aca="false">IF(+R207-BQ207+BS207&gt;0,R207-BQ207+BS207,0)</f>
        <v>0</v>
      </c>
      <c r="BW207" s="110" t="n">
        <f aca="false">+BQ207+BU207</f>
        <v>252208.46</v>
      </c>
      <c r="BY207" s="110" t="n">
        <f aca="false">+R207-BW207</f>
        <v>-252208.46</v>
      </c>
      <c r="BZ207" s="11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118"/>
      <c r="DY207" s="118"/>
      <c r="DZ207" s="118"/>
      <c r="EA207" s="118"/>
      <c r="EB207" s="118"/>
      <c r="EC207" s="118"/>
      <c r="ED207" s="118"/>
      <c r="EE207" s="118"/>
      <c r="EF207" s="118"/>
      <c r="EG207" s="118"/>
      <c r="EH207" s="118"/>
      <c r="EI207" s="118"/>
      <c r="EJ207" s="118"/>
      <c r="EK207" s="118"/>
      <c r="EL207" s="118"/>
      <c r="EM207" s="118"/>
      <c r="EN207" s="118"/>
      <c r="EO207" s="118"/>
      <c r="EP207" s="118"/>
      <c r="EQ207" s="118"/>
      <c r="ER207" s="118"/>
      <c r="ES207" s="118"/>
      <c r="ET207" s="118"/>
      <c r="EU207" s="118"/>
      <c r="EV207" s="118"/>
      <c r="EW207" s="118"/>
      <c r="EX207" s="118"/>
      <c r="EY207" s="118"/>
      <c r="EZ207" s="118"/>
      <c r="FA207" s="118"/>
      <c r="FB207" s="118"/>
      <c r="FC207" s="118"/>
      <c r="FD207" s="118"/>
      <c r="FE207" s="118"/>
      <c r="FF207" s="118"/>
      <c r="FG207" s="118"/>
      <c r="FH207" s="118"/>
      <c r="FI207" s="118"/>
      <c r="FJ207" s="118"/>
      <c r="FK207" s="118"/>
      <c r="FL207" s="118"/>
      <c r="FM207" s="118"/>
      <c r="FN207" s="118"/>
      <c r="FO207" s="118"/>
      <c r="FP207" s="118"/>
      <c r="FQ207" s="118"/>
      <c r="FR207" s="118"/>
      <c r="FS207" s="118"/>
      <c r="FT207" s="118"/>
      <c r="FU207" s="118"/>
      <c r="FV207" s="118"/>
      <c r="FW207" s="118"/>
      <c r="FX207" s="118"/>
      <c r="FY207" s="118"/>
      <c r="FZ207" s="118"/>
      <c r="GA207" s="118"/>
      <c r="GB207" s="118"/>
      <c r="GC207" s="118"/>
      <c r="GD207" s="118"/>
      <c r="GE207" s="118"/>
      <c r="GF207" s="118"/>
      <c r="GG207" s="118"/>
      <c r="GH207" s="118"/>
      <c r="GI207" s="118"/>
      <c r="GJ207" s="118"/>
      <c r="GK207" s="118"/>
      <c r="GL207" s="118"/>
      <c r="GM207" s="118"/>
      <c r="GN207" s="118"/>
      <c r="GO207" s="118"/>
      <c r="GP207" s="118"/>
      <c r="GQ207" s="118"/>
      <c r="GR207" s="118"/>
      <c r="GS207" s="118"/>
      <c r="GT207" s="118"/>
      <c r="GU207" s="118"/>
      <c r="GV207" s="118"/>
      <c r="GW207" s="118"/>
      <c r="GX207" s="118"/>
      <c r="GY207" s="118"/>
      <c r="GZ207" s="118"/>
      <c r="HA207" s="118"/>
      <c r="HB207" s="118"/>
      <c r="HC207" s="118"/>
      <c r="HD207" s="118"/>
      <c r="HE207" s="118"/>
      <c r="HF207" s="118"/>
      <c r="HG207" s="118"/>
      <c r="HH207" s="118"/>
      <c r="HI207" s="118"/>
      <c r="HJ207" s="118"/>
      <c r="HK207" s="118"/>
      <c r="HL207" s="118"/>
      <c r="HM207" s="118"/>
      <c r="HN207" s="118"/>
      <c r="HO207" s="118"/>
      <c r="HP207" s="118"/>
      <c r="HQ207" s="118"/>
      <c r="HR207" s="118"/>
      <c r="HS207" s="118"/>
      <c r="HT207" s="118"/>
      <c r="HU207" s="118"/>
      <c r="HV207" s="118"/>
      <c r="HW207" s="118"/>
      <c r="HX207" s="118"/>
      <c r="HY207" s="118"/>
      <c r="HZ207" s="118"/>
      <c r="IA207" s="118"/>
      <c r="IB207" s="118"/>
      <c r="IC207" s="118"/>
      <c r="ID207" s="118"/>
      <c r="IE207" s="118"/>
      <c r="IF207" s="118"/>
      <c r="IG207" s="118"/>
      <c r="IH207" s="118"/>
      <c r="II207" s="118"/>
      <c r="IJ207" s="118"/>
      <c r="IK207" s="118"/>
      <c r="IL207" s="118"/>
      <c r="IM207" s="118"/>
      <c r="IN207" s="118"/>
      <c r="IO207" s="118"/>
      <c r="IP207" s="118"/>
      <c r="IQ207" s="118"/>
      <c r="IR207" s="118"/>
      <c r="IS207" s="118"/>
      <c r="IT207" s="118"/>
      <c r="IU207" s="118"/>
      <c r="IV207" s="118"/>
      <c r="IW207" s="118"/>
    </row>
    <row r="208" customFormat="false" ht="12.75" hidden="false" customHeight="false" outlineLevel="0" collapsed="false">
      <c r="A208" s="161"/>
      <c r="B208" s="118"/>
      <c r="C208" s="118"/>
      <c r="D208" s="118"/>
      <c r="E208" s="118"/>
      <c r="F208" s="118"/>
      <c r="G208" s="118"/>
      <c r="H208" s="118"/>
      <c r="I208" s="118"/>
      <c r="J208" s="192"/>
      <c r="K208" s="118"/>
      <c r="L208" s="203"/>
      <c r="M208" s="110"/>
      <c r="O208" s="110"/>
      <c r="P208" s="110" t="n">
        <v>5511</v>
      </c>
      <c r="Q208" s="110"/>
      <c r="R208" s="110" t="n">
        <v>0</v>
      </c>
      <c r="S208" s="110"/>
      <c r="T208" s="110"/>
      <c r="U208" s="110"/>
      <c r="V208" s="110"/>
      <c r="X208" s="110"/>
      <c r="Z208" s="110"/>
      <c r="AB208" s="110"/>
      <c r="AD208" s="110"/>
      <c r="BL208" s="110"/>
      <c r="BM208" s="110"/>
      <c r="BN208" s="110"/>
      <c r="BO208" s="110"/>
      <c r="BP208" s="110"/>
      <c r="BQ208" s="110" t="n">
        <f aca="false">SUM(T208:BP208)</f>
        <v>0</v>
      </c>
      <c r="BR208" s="110"/>
      <c r="BS208" s="110" t="n">
        <v>0</v>
      </c>
      <c r="BT208" s="110"/>
      <c r="BU208" s="110" t="n">
        <f aca="false">IF(+R208-BQ208+BS208&gt;0,R208-BQ208+BS208,0)</f>
        <v>0</v>
      </c>
      <c r="BW208" s="110" t="n">
        <f aca="false">+BQ208+BU208</f>
        <v>0</v>
      </c>
      <c r="BY208" s="110" t="n">
        <f aca="false">+R208-BW208</f>
        <v>0</v>
      </c>
      <c r="BZ208" s="11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118"/>
      <c r="DY208" s="118"/>
      <c r="DZ208" s="118"/>
      <c r="EA208" s="118"/>
      <c r="EB208" s="118"/>
      <c r="EC208" s="118"/>
      <c r="ED208" s="118"/>
      <c r="EE208" s="118"/>
      <c r="EF208" s="118"/>
      <c r="EG208" s="118"/>
      <c r="EH208" s="118"/>
      <c r="EI208" s="118"/>
      <c r="EJ208" s="118"/>
      <c r="EK208" s="118"/>
      <c r="EL208" s="118"/>
      <c r="EM208" s="118"/>
      <c r="EN208" s="118"/>
      <c r="EO208" s="118"/>
      <c r="EP208" s="118"/>
      <c r="EQ208" s="118"/>
      <c r="ER208" s="118"/>
      <c r="ES208" s="118"/>
      <c r="ET208" s="118"/>
      <c r="EU208" s="118"/>
      <c r="EV208" s="118"/>
      <c r="EW208" s="118"/>
      <c r="EX208" s="118"/>
      <c r="EY208" s="118"/>
      <c r="EZ208" s="118"/>
      <c r="FA208" s="118"/>
      <c r="FB208" s="118"/>
      <c r="FC208" s="118"/>
      <c r="FD208" s="118"/>
      <c r="FE208" s="118"/>
      <c r="FF208" s="118"/>
      <c r="FG208" s="118"/>
      <c r="FH208" s="118"/>
      <c r="FI208" s="118"/>
      <c r="FJ208" s="118"/>
      <c r="FK208" s="118"/>
      <c r="FL208" s="118"/>
      <c r="FM208" s="118"/>
      <c r="FN208" s="118"/>
      <c r="FO208" s="118"/>
      <c r="FP208" s="118"/>
      <c r="FQ208" s="118"/>
      <c r="FR208" s="118"/>
      <c r="FS208" s="118"/>
      <c r="FT208" s="118"/>
      <c r="FU208" s="118"/>
      <c r="FV208" s="118"/>
      <c r="FW208" s="118"/>
      <c r="FX208" s="118"/>
      <c r="FY208" s="118"/>
      <c r="FZ208" s="118"/>
      <c r="GA208" s="118"/>
      <c r="GB208" s="118"/>
      <c r="GC208" s="118"/>
      <c r="GD208" s="118"/>
      <c r="GE208" s="118"/>
      <c r="GF208" s="118"/>
      <c r="GG208" s="118"/>
      <c r="GH208" s="118"/>
      <c r="GI208" s="118"/>
      <c r="GJ208" s="118"/>
      <c r="GK208" s="118"/>
      <c r="GL208" s="118"/>
      <c r="GM208" s="118"/>
      <c r="GN208" s="118"/>
      <c r="GO208" s="118"/>
      <c r="GP208" s="118"/>
      <c r="GQ208" s="118"/>
      <c r="GR208" s="118"/>
      <c r="GS208" s="118"/>
      <c r="GT208" s="118"/>
      <c r="GU208" s="118"/>
      <c r="GV208" s="118"/>
      <c r="GW208" s="118"/>
      <c r="GX208" s="118"/>
      <c r="GY208" s="118"/>
      <c r="GZ208" s="118"/>
      <c r="HA208" s="118"/>
      <c r="HB208" s="118"/>
      <c r="HC208" s="118"/>
      <c r="HD208" s="118"/>
      <c r="HE208" s="118"/>
      <c r="HF208" s="118"/>
      <c r="HG208" s="118"/>
      <c r="HH208" s="118"/>
      <c r="HI208" s="118"/>
      <c r="HJ208" s="118"/>
      <c r="HK208" s="118"/>
      <c r="HL208" s="118"/>
      <c r="HM208" s="118"/>
      <c r="HN208" s="118"/>
      <c r="HO208" s="118"/>
      <c r="HP208" s="118"/>
      <c r="HQ208" s="118"/>
      <c r="HR208" s="118"/>
      <c r="HS208" s="118"/>
      <c r="HT208" s="118"/>
      <c r="HU208" s="118"/>
      <c r="HV208" s="118"/>
      <c r="HW208" s="118"/>
      <c r="HX208" s="118"/>
      <c r="HY208" s="118"/>
      <c r="HZ208" s="118"/>
      <c r="IA208" s="118"/>
      <c r="IB208" s="118"/>
      <c r="IC208" s="118"/>
      <c r="ID208" s="118"/>
      <c r="IE208" s="118"/>
      <c r="IF208" s="118"/>
      <c r="IG208" s="118"/>
      <c r="IH208" s="118"/>
      <c r="II208" s="118"/>
      <c r="IJ208" s="118"/>
      <c r="IK208" s="118"/>
      <c r="IL208" s="118"/>
      <c r="IM208" s="118"/>
      <c r="IN208" s="118"/>
      <c r="IO208" s="118"/>
      <c r="IP208" s="118"/>
      <c r="IQ208" s="118"/>
      <c r="IR208" s="118"/>
      <c r="IS208" s="118"/>
      <c r="IT208" s="118"/>
      <c r="IU208" s="118"/>
      <c r="IV208" s="118"/>
      <c r="IW208" s="118"/>
    </row>
    <row r="209" customFormat="false" ht="12.75" hidden="false" customHeight="false" outlineLevel="0" collapsed="false">
      <c r="A209" s="160"/>
      <c r="B209" s="174" t="s">
        <v>281</v>
      </c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198" t="n">
        <f aca="false">SUM(N206:N208)</f>
        <v>500000</v>
      </c>
      <c r="O209" s="198" t="n">
        <f aca="false">SUM(O206:O208)</f>
        <v>0</v>
      </c>
      <c r="P209" s="198" t="n">
        <f aca="false">SUM(P206:P208)</f>
        <v>-10271.2</v>
      </c>
      <c r="Q209" s="198" t="n">
        <f aca="false">SUM(Q206:Q208)</f>
        <v>0</v>
      </c>
      <c r="R209" s="198" t="n">
        <f aca="false">SUM(R206:R208)</f>
        <v>500000</v>
      </c>
      <c r="S209" s="24"/>
      <c r="T209" s="198" t="n">
        <f aca="false">SUM(T206:T208)</f>
        <v>0</v>
      </c>
      <c r="U209" s="24"/>
      <c r="V209" s="198" t="n">
        <f aca="false">SUM(V206:V208)</f>
        <v>0</v>
      </c>
      <c r="W209" s="24"/>
      <c r="X209" s="198" t="n">
        <f aca="false">SUM(X206:X208)</f>
        <v>0</v>
      </c>
      <c r="Y209" s="24"/>
      <c r="Z209" s="198" t="n">
        <f aca="false">SUM(Z206:Z208)</f>
        <v>0</v>
      </c>
      <c r="AA209" s="24"/>
      <c r="AB209" s="198" t="n">
        <f aca="false">SUM(AB206:AB208)</f>
        <v>0</v>
      </c>
      <c r="AC209" s="24"/>
      <c r="AD209" s="198" t="n">
        <f aca="false">SUM(AD206:AD208)</f>
        <v>0</v>
      </c>
      <c r="AE209" s="24"/>
      <c r="AF209" s="198" t="n">
        <f aca="false">SUM(AF206:AF208)</f>
        <v>0</v>
      </c>
      <c r="AG209" s="24"/>
      <c r="AH209" s="198" t="n">
        <f aca="false">SUM(AH206:AH208)</f>
        <v>0</v>
      </c>
      <c r="AI209" s="24"/>
      <c r="AJ209" s="198" t="n">
        <f aca="false">SUM(AJ206:AJ208)</f>
        <v>0</v>
      </c>
      <c r="AK209" s="24"/>
      <c r="AL209" s="198" t="n">
        <f aca="false">SUM(AL206:AL208)</f>
        <v>14302.18</v>
      </c>
      <c r="AM209" s="198"/>
      <c r="AN209" s="198" t="n">
        <f aca="false">SUM(AN206:AN208)</f>
        <v>13885.7</v>
      </c>
      <c r="AO209" s="24"/>
      <c r="AP209" s="198" t="n">
        <f aca="false">SUM(AP206:AP208)</f>
        <v>27414.72</v>
      </c>
      <c r="AQ209" s="24"/>
      <c r="AR209" s="198" t="n">
        <f aca="false">SUM(AR206:AR208)</f>
        <v>13907.58</v>
      </c>
      <c r="AS209" s="24"/>
      <c r="AT209" s="198" t="n">
        <f aca="false">SUM(AT206:AT208)</f>
        <v>252208.46</v>
      </c>
      <c r="AU209" s="24"/>
      <c r="AV209" s="198" t="n">
        <f aca="false">SUM(AV206:AV208)</f>
        <v>0</v>
      </c>
      <c r="AW209" s="24"/>
      <c r="AX209" s="198" t="n">
        <f aca="false">SUM(AX206:AX208)</f>
        <v>0</v>
      </c>
      <c r="AY209" s="24"/>
      <c r="AZ209" s="198" t="n">
        <f aca="false">SUM(AZ206:AZ208)</f>
        <v>0</v>
      </c>
      <c r="BA209" s="24"/>
      <c r="BB209" s="198" t="n">
        <f aca="false">SUM(BB206:BB208)</f>
        <v>0</v>
      </c>
      <c r="BD209" s="198" t="n">
        <f aca="false">SUM(BD206:BD208)</f>
        <v>0</v>
      </c>
      <c r="BF209" s="198" t="n">
        <f aca="false">SUM(BF206:BF208)</f>
        <v>237555.22</v>
      </c>
      <c r="BG209" s="24"/>
      <c r="BH209" s="198" t="n">
        <f aca="false">SUM(BH206:BH208)</f>
        <v>0</v>
      </c>
      <c r="BI209" s="24"/>
      <c r="BJ209" s="198" t="n">
        <f aca="false">SUM(BJ206:BJ208)</f>
        <v>0</v>
      </c>
      <c r="BK209" s="24"/>
      <c r="BL209" s="198" t="n">
        <f aca="false">SUM(BL206:BL208)</f>
        <v>0</v>
      </c>
      <c r="BM209" s="198" t="n">
        <f aca="false">SUM(BM206:BM208)</f>
        <v>0</v>
      </c>
      <c r="BN209" s="198"/>
      <c r="BO209" s="198" t="n">
        <f aca="false">SUM(BO206:BO208)</f>
        <v>0</v>
      </c>
      <c r="BP209" s="24"/>
      <c r="BQ209" s="198" t="n">
        <f aca="false">SUM(BQ206:BQ208)</f>
        <v>559273.86</v>
      </c>
      <c r="BR209" s="24"/>
      <c r="BS209" s="198" t="n">
        <f aca="false">SUM(BS206:BS208)</f>
        <v>0</v>
      </c>
      <c r="BT209" s="24"/>
      <c r="BU209" s="198" t="n">
        <f aca="false">SUM(BU206:BU208)</f>
        <v>192934.6</v>
      </c>
      <c r="BV209" s="24"/>
      <c r="BW209" s="198" t="n">
        <f aca="false">SUM(BW206:BW208)</f>
        <v>752208.46</v>
      </c>
      <c r="BX209" s="24"/>
      <c r="BY209" s="198" t="n">
        <f aca="false">SUM(BY206:BY208)</f>
        <v>-252208.46</v>
      </c>
      <c r="BZ209" s="24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60"/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D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60" t="s">
        <v>282</v>
      </c>
      <c r="B211" s="174"/>
      <c r="C211" s="174"/>
      <c r="D211" s="174"/>
      <c r="E211" s="174"/>
      <c r="F211" s="174"/>
      <c r="G211" s="174"/>
      <c r="H211" s="174"/>
      <c r="I211" s="174"/>
      <c r="J211" s="201"/>
      <c r="K211" s="174"/>
      <c r="L211" s="202" t="s">
        <v>151</v>
      </c>
      <c r="M211" s="24"/>
      <c r="N211" s="24" t="n">
        <v>10922239</v>
      </c>
      <c r="O211" s="24"/>
      <c r="P211" s="24" t="n">
        <f aca="false">10969926-N211</f>
        <v>47687</v>
      </c>
      <c r="Q211" s="24"/>
      <c r="R211" s="24" t="n">
        <v>11340044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 t="n">
        <v>-6078</v>
      </c>
      <c r="AK211" s="24"/>
      <c r="AL211" s="24" t="n">
        <v>4332940</v>
      </c>
      <c r="AM211" s="24"/>
      <c r="AN211" s="24" t="n">
        <f aca="false">[1]Gleason!$M$40</f>
        <v>505668.93</v>
      </c>
      <c r="AO211" s="24"/>
      <c r="AP211" s="24" t="n">
        <f aca="false">[1]Gleason!$N$40</f>
        <v>517447.922676389</v>
      </c>
      <c r="AQ211" s="24"/>
      <c r="AR211" s="24" t="n">
        <f aca="false">[1]Gleason!$O$40</f>
        <v>557933.423229775</v>
      </c>
      <c r="AS211" s="24"/>
      <c r="AT211" s="24" t="n">
        <f aca="false">[1]Gleason!$P$40</f>
        <v>574337.945273658</v>
      </c>
      <c r="AU211" s="24"/>
      <c r="AV211" s="24" t="n">
        <f aca="false">[1]Gleason!$Q$40</f>
        <v>616751.796941113</v>
      </c>
      <c r="AW211" s="24"/>
      <c r="AX211" s="24" t="n">
        <f aca="false">[1]Gleason!$R$40</f>
        <v>657673.008063433</v>
      </c>
      <c r="AY211" s="24"/>
      <c r="AZ211" s="24" t="n">
        <f aca="false">[1]Gleason!$S$40</f>
        <v>719263.876154332</v>
      </c>
      <c r="BA211" s="24"/>
      <c r="BB211" s="110" t="n">
        <v>785204.910035932</v>
      </c>
      <c r="BD211" s="24" t="n">
        <v>806550</v>
      </c>
      <c r="BF211" s="24" t="n">
        <f aca="false">[1]Gleason!$V$40-6077-71</f>
        <v>590762.341292855</v>
      </c>
      <c r="BG211" s="24"/>
      <c r="BH211" s="24" t="n">
        <v>0</v>
      </c>
      <c r="BI211" s="24"/>
      <c r="BJ211" s="24" t="n">
        <v>0</v>
      </c>
      <c r="BK211" s="24"/>
      <c r="BL211" s="24" t="n">
        <v>0</v>
      </c>
      <c r="BM211" s="24" t="n">
        <v>0</v>
      </c>
      <c r="BN211" s="24"/>
      <c r="BO211" s="24" t="n">
        <v>0</v>
      </c>
      <c r="BP211" s="24"/>
      <c r="BQ211" s="24" t="n">
        <f aca="false">SUM(T211:BP211)</f>
        <v>10658456.1536675</v>
      </c>
      <c r="BR211" s="24"/>
      <c r="BS211" s="24" t="n">
        <v>0</v>
      </c>
      <c r="BT211" s="24"/>
      <c r="BU211" s="110" t="n">
        <v>0</v>
      </c>
      <c r="BV211" s="24"/>
      <c r="BW211" s="24" t="n">
        <f aca="false">+BQ211+BU211</f>
        <v>10658456.1536675</v>
      </c>
      <c r="BX211" s="24"/>
      <c r="BY211" s="24" t="n">
        <f aca="false">+R211-BW211</f>
        <v>681587.846332515</v>
      </c>
      <c r="BZ211" s="24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174"/>
      <c r="DY211" s="174"/>
      <c r="DZ211" s="174"/>
      <c r="EA211" s="174"/>
      <c r="EB211" s="174"/>
      <c r="EC211" s="174"/>
      <c r="ED211" s="174"/>
      <c r="EE211" s="174"/>
      <c r="EF211" s="174"/>
      <c r="EG211" s="174"/>
      <c r="EH211" s="174"/>
      <c r="EI211" s="174"/>
      <c r="EJ211" s="174"/>
      <c r="EK211" s="174"/>
      <c r="EL211" s="174"/>
      <c r="EM211" s="174"/>
      <c r="EN211" s="174"/>
      <c r="EO211" s="174"/>
      <c r="EP211" s="174"/>
      <c r="EQ211" s="174"/>
      <c r="ER211" s="174"/>
      <c r="ES211" s="174"/>
      <c r="ET211" s="174"/>
      <c r="EU211" s="174"/>
      <c r="EV211" s="174"/>
      <c r="EW211" s="174"/>
      <c r="EX211" s="174"/>
      <c r="EY211" s="174"/>
      <c r="EZ211" s="174"/>
      <c r="FA211" s="174"/>
      <c r="FB211" s="174"/>
      <c r="FC211" s="174"/>
      <c r="FD211" s="174"/>
      <c r="FE211" s="174"/>
      <c r="FF211" s="174"/>
      <c r="FG211" s="174"/>
      <c r="FH211" s="174"/>
      <c r="FI211" s="174"/>
      <c r="FJ211" s="174"/>
      <c r="FK211" s="174"/>
      <c r="FL211" s="174"/>
      <c r="FM211" s="174"/>
      <c r="FN211" s="174"/>
      <c r="FO211" s="174"/>
      <c r="FP211" s="174"/>
      <c r="FQ211" s="174"/>
      <c r="FR211" s="174"/>
      <c r="FS211" s="174"/>
      <c r="FT211" s="174"/>
      <c r="FU211" s="174"/>
      <c r="FV211" s="174"/>
      <c r="FW211" s="174"/>
      <c r="FX211" s="174"/>
      <c r="FY211" s="174"/>
      <c r="FZ211" s="174"/>
      <c r="GA211" s="174"/>
      <c r="GB211" s="174"/>
      <c r="GC211" s="174"/>
      <c r="GD211" s="174"/>
      <c r="GE211" s="174"/>
      <c r="GF211" s="174"/>
      <c r="GG211" s="174"/>
      <c r="GH211" s="174"/>
      <c r="GI211" s="174"/>
      <c r="GJ211" s="174"/>
      <c r="GK211" s="174"/>
      <c r="GL211" s="174"/>
      <c r="GM211" s="174"/>
      <c r="GN211" s="174"/>
      <c r="GO211" s="174"/>
      <c r="GP211" s="174"/>
      <c r="GQ211" s="174"/>
      <c r="GR211" s="174"/>
      <c r="GS211" s="174"/>
      <c r="GT211" s="174"/>
      <c r="GU211" s="174"/>
      <c r="GV211" s="174"/>
      <c r="GW211" s="174"/>
      <c r="GX211" s="174"/>
      <c r="GY211" s="174"/>
      <c r="GZ211" s="174"/>
      <c r="HA211" s="174"/>
      <c r="HB211" s="174"/>
      <c r="HC211" s="174"/>
      <c r="HD211" s="174"/>
      <c r="HE211" s="174"/>
      <c r="HF211" s="174"/>
      <c r="HG211" s="174"/>
      <c r="HH211" s="174"/>
      <c r="HI211" s="174"/>
      <c r="HJ211" s="174"/>
      <c r="HK211" s="174"/>
      <c r="HL211" s="174"/>
      <c r="HM211" s="174"/>
      <c r="HN211" s="174"/>
      <c r="HO211" s="174"/>
      <c r="HP211" s="174"/>
      <c r="HQ211" s="174"/>
      <c r="HR211" s="174"/>
      <c r="HS211" s="174"/>
      <c r="HT211" s="174"/>
      <c r="HU211" s="174"/>
      <c r="HV211" s="174"/>
      <c r="HW211" s="174"/>
      <c r="HX211" s="174"/>
      <c r="HY211" s="174"/>
      <c r="HZ211" s="174"/>
      <c r="IA211" s="174"/>
      <c r="IB211" s="174"/>
      <c r="IC211" s="174"/>
      <c r="ID211" s="174"/>
      <c r="IE211" s="174"/>
      <c r="IF211" s="174"/>
      <c r="IG211" s="174"/>
      <c r="IH211" s="174"/>
      <c r="II211" s="174"/>
      <c r="IJ211" s="174"/>
      <c r="IK211" s="174"/>
      <c r="IL211" s="174"/>
      <c r="IM211" s="174"/>
      <c r="IN211" s="174"/>
      <c r="IO211" s="174"/>
      <c r="IP211" s="174"/>
      <c r="IQ211" s="174"/>
      <c r="IR211" s="174"/>
      <c r="IS211" s="174"/>
      <c r="IT211" s="174"/>
      <c r="IU211" s="174"/>
      <c r="IV211" s="174"/>
      <c r="IW211" s="174"/>
    </row>
    <row r="212" customFormat="false" ht="12.75" hidden="false" customHeight="false" outlineLevel="0" collapsed="false">
      <c r="A212" s="160"/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D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00" t="s">
        <v>283</v>
      </c>
      <c r="B213" s="184"/>
      <c r="C213" s="186"/>
      <c r="D213" s="186"/>
      <c r="E213" s="186"/>
      <c r="F213" s="186"/>
      <c r="G213" s="186"/>
      <c r="H213" s="186"/>
      <c r="I213" s="186"/>
      <c r="J213" s="187"/>
      <c r="K213" s="186"/>
      <c r="L213" s="188"/>
      <c r="M213" s="189"/>
      <c r="N213" s="189"/>
      <c r="O213" s="189"/>
      <c r="P213" s="189"/>
      <c r="Q213" s="189"/>
      <c r="R213" s="189" t="n">
        <f aca="false">R211+R203+R194+R192+R190+R184+R159+R149+R142+R140+R138+R136+R134+R209</f>
        <v>17979878</v>
      </c>
      <c r="S213" s="189" t="n">
        <f aca="false">S211+S203+S194+S192+S190+S184+S159+S149+S142+S140+S138+S136+S134+S209</f>
        <v>0</v>
      </c>
      <c r="T213" s="189" t="n">
        <f aca="false">T211+T203+T194+T192+T190+T184+T159+T149+T142+T140+T138+T136+T134+T209</f>
        <v>0</v>
      </c>
      <c r="U213" s="189" t="n">
        <f aca="false">U211+U203+U194+U192+U190+U184+U159+U149+U142+U140+U138+U136+U134+U209</f>
        <v>0</v>
      </c>
      <c r="V213" s="189" t="n">
        <f aca="false">V211+V203+V194+V192+V190+V184+V159+V149+V142+V140+V138+V136+V134+V209</f>
        <v>0</v>
      </c>
      <c r="W213" s="189" t="n">
        <f aca="false">W211+W203+W194+W192+W190+W184+W159+W149+W142+W140+W138+W136+W134+W209</f>
        <v>0</v>
      </c>
      <c r="X213" s="189" t="n">
        <f aca="false">X211+X203+X194+X192+X190+X184+X159+X149+X142+X140+X138+X136+X134+X209</f>
        <v>0</v>
      </c>
      <c r="Y213" s="189" t="n">
        <f aca="false">Y211+Y203+Y194+Y192+Y190+Y184+Y159+Y149+Y142+Y140+Y138+Y136+Y134+Y209</f>
        <v>0</v>
      </c>
      <c r="Z213" s="189" t="n">
        <f aca="false">Z211+Z203+Z194+Z192+Z190+Z184+Z159+Z149+Z142+Z140+Z138+Z136+Z134+Z209</f>
        <v>0</v>
      </c>
      <c r="AA213" s="189" t="n">
        <f aca="false">AA211+AA203+AA194+AA192+AA190+AA184+AA159+AA149+AA142+AA140+AA138+AA136+AA134+AA209</f>
        <v>0</v>
      </c>
      <c r="AB213" s="189" t="n">
        <f aca="false">AB211+AB203+AB194+AB192+AB190+AB184+AB159+AB149+AB142+AB140+AB138+AB136+AB134+AB209</f>
        <v>0</v>
      </c>
      <c r="AC213" s="189" t="n">
        <f aca="false">AC211+AC203+AC194+AC192+AC190+AC184+AC159+AC149+AC142+AC140+AC138+AC136+AC134+AC209</f>
        <v>0</v>
      </c>
      <c r="AD213" s="189" t="n">
        <f aca="false">AD211+AD203+AD194+AD192+AD190+AD184+AD159+AD149+AD142+AD140+AD138+AD136+AD134+AD209</f>
        <v>0</v>
      </c>
      <c r="AE213" s="189" t="n">
        <f aca="false">AE211+AE203+AE194+AE192+AE190+AE184+AE159+AE149+AE142+AE140+AE138+AE136+AE134+AE209</f>
        <v>0</v>
      </c>
      <c r="AF213" s="189" t="n">
        <f aca="false">AF211+AF203+AF194+AF192+AF190+AF184+AF159+AF149+AF142+AF140+AF138+AF136+AF134+AF209</f>
        <v>0</v>
      </c>
      <c r="AG213" s="189" t="n">
        <f aca="false">AG211+AG203+AG194+AG192+AG190+AG184+AG159+AG149+AG142+AG140+AG138+AG136+AG134+AG209</f>
        <v>0</v>
      </c>
      <c r="AH213" s="189" t="n">
        <f aca="false">AH211+AH203+AH194+AH192+AH190+AH184+AH159+AH149+AH142+AH140+AH138+AH136+AH134+AH209</f>
        <v>0</v>
      </c>
      <c r="AI213" s="189"/>
      <c r="AJ213" s="189" t="n">
        <f aca="false">AJ211+AJ203+AJ194+AJ192+AJ190+AJ184+AJ159+AJ149+AJ142+AJ140+AJ138+AJ136+AJ134+AJ209</f>
        <v>13005.81</v>
      </c>
      <c r="AK213" s="189"/>
      <c r="AL213" s="189" t="n">
        <f aca="false">AL211+AL203+AL194+AL192+AL190+AL184+AL159+AL149+AL142+AL140+AL138+AL136+AL134+AL209</f>
        <v>4956551.49</v>
      </c>
      <c r="AM213" s="189"/>
      <c r="AN213" s="189" t="n">
        <f aca="false">AN211+AN203+AN194+AN192+AN190+AN184+AN159+AN149+AN142+AN140+AN138+AN136+AN134+AN209</f>
        <v>715387.54</v>
      </c>
      <c r="AO213" s="189"/>
      <c r="AP213" s="189" t="n">
        <f aca="false">AP211+AP203+AP194+AP192+AP190+AP184+AP159+AP149+AP142+AP140+AP138+AP136+AP134+AP209</f>
        <v>563736.272676389</v>
      </c>
      <c r="AQ213" s="189"/>
      <c r="AR213" s="189" t="n">
        <f aca="false">AR211+AR203+AR194+AR192+AR190+AR184+AR159+AR149+AR142+AR140+AR138+AR136+AR134+AR209</f>
        <v>949916.533229775</v>
      </c>
      <c r="AS213" s="189" t="n">
        <f aca="false">AS211+AS203+AS194+AS192+AS190+AS184+AS159+AS149+AS142+AS140+AS138+AS136+AS134+AS209</f>
        <v>0</v>
      </c>
      <c r="AT213" s="189" t="n">
        <f aca="false">AT211+AT203+AT194+AT192+AT190+AT184+AT159+AT149+AT142+AT140+AT138+AT136+AT134+AT209</f>
        <v>1180818.69527366</v>
      </c>
      <c r="AU213" s="189" t="n">
        <f aca="false">AU211+AU203+AU194+AU192+AU190+AU184+AU159+AU149+AU142+AU140+AU138+AU136+AU134+AU209</f>
        <v>0</v>
      </c>
      <c r="AV213" s="189" t="n">
        <f aca="false">AV211+AV203+AV194+AV192+AV190+AV184+AV159+AV149+AV142+AV140+AV138+AV136+AV134+AV209</f>
        <v>760946.356941113</v>
      </c>
      <c r="AW213" s="189" t="n">
        <f aca="false">AW211+AW203+AW194+AW192+AW190+AW184+AW159+AW149+AW142+AW140+AW138+AW136+AW134+AW209</f>
        <v>0</v>
      </c>
      <c r="AX213" s="189" t="n">
        <f aca="false">AX211+AX203+AX194+AX192+AX190+AX184+AX159+AX149+AX142+AX140+AX138+AX136+AX134+AX209</f>
        <v>797859.408063433</v>
      </c>
      <c r="AY213" s="189" t="n">
        <f aca="false">AY211+AY203+AY194+AY192+AY190+AY184+AY159+AY149+AY142+AY140+AY138+AY136+AY134+AY209</f>
        <v>0</v>
      </c>
      <c r="AZ213" s="189" t="n">
        <f aca="false">AZ211+AZ203+AZ194+AZ192+AZ190+AZ184+AZ159+AZ149+AZ142+AZ140+AZ138+AZ136+AZ134+AZ209</f>
        <v>1071160.74615433</v>
      </c>
      <c r="BA213" s="189" t="n">
        <f aca="false">BA211+BA203+BA194+BA192+BA190+BA184+BA159+BA149+BA142+BA140+BA138+BA136+BA134+BA209</f>
        <v>0</v>
      </c>
      <c r="BB213" s="189" t="n">
        <f aca="false">BB211+BB203+BB194+BB192+BB190+BB184+BB159+BB149+BB142+BB140+BB138+BB136+BB134+BB209</f>
        <v>1141447.02003593</v>
      </c>
      <c r="BD213" s="189" t="n">
        <f aca="false">BD211+BD203+BD194+BD192+BD190+BD184+BD159+BD149+BD142+BD140+BD138+BD136+BD134+BD209</f>
        <v>1590625.43</v>
      </c>
      <c r="BF213" s="189" t="n">
        <f aca="false">BF211+BF203+BF194+BF192+BF190+BF184+BF159+BF149+BF142+BF140+BF138+BF136+BF134+BF209</f>
        <v>2623913.05129286</v>
      </c>
      <c r="BG213" s="189" t="n">
        <f aca="false">BG211+BG203+BG194+BG192+BG190+BG184+BG159+BG149+BG142+BG140+BG138+BG136+BG134+BG209</f>
        <v>0</v>
      </c>
      <c r="BH213" s="189" t="n">
        <f aca="false">BH211+BH203+BH194+BH192+BH190+BH184+BH159+BH149+BH142+BH140+BH138+BH136+BH134+BH209</f>
        <v>869278.6</v>
      </c>
      <c r="BI213" s="189" t="n">
        <f aca="false">BI211+BI203+BI194+BI192+BI190+BI184+BI159+BI149+BI142+BI140+BI138+BI136+BI134+BI209</f>
        <v>0</v>
      </c>
      <c r="BJ213" s="189" t="n">
        <f aca="false">BJ211+BJ203+BJ194+BJ192+BJ190+BJ184+BJ159+BJ149+BJ142+BJ140+BJ138+BJ136+BJ134+BJ209</f>
        <v>-86760.27</v>
      </c>
      <c r="BK213" s="189" t="n">
        <f aca="false">BK211+BK203+BK194+BK192+BK190+BK184+BK159+BK149+BK142+BK140+BK138+BK136+BK134+BK209</f>
        <v>0</v>
      </c>
      <c r="BL213" s="189" t="n">
        <f aca="false">BL211+BL203+BL194+BL192+BL190+BL184+BL159+BL149+BL142+BL140+BL138+BL136+BL134+BL209</f>
        <v>296740</v>
      </c>
      <c r="BM213" s="189" t="n">
        <f aca="false">BM211+BM203+BM194+BM192+BM190+BM184+BM159+BM149+BM142+BM140+BM138+BM136+BM134+BM209</f>
        <v>54254</v>
      </c>
      <c r="BN213" s="189"/>
      <c r="BO213" s="189" t="n">
        <f aca="false">BO211+BO203+BO194+BO192+BO190+BO184+BO159+BO149+BO142+BO140+BO138+BO136+BO134+BO209</f>
        <v>12522</v>
      </c>
      <c r="BP213" s="189" t="n">
        <f aca="false">BP211+BP203+BP194+BP192+BP190+BP184+BP159+BP149+BP142+BP140+BP138+BP136+BP134+BP209</f>
        <v>0</v>
      </c>
      <c r="BQ213" s="189" t="n">
        <f aca="false">BQ211+BQ203+BQ194+BQ192+BQ190+BQ184+BQ159+BQ149+BQ142+BQ140+BQ138+BQ136+BQ134+BQ209</f>
        <v>17511402.6836675</v>
      </c>
      <c r="BR213" s="189" t="n">
        <f aca="false">BR211+BR203+BR194+BR192+BR190+BR184+BR159+BR149+BR142+BR140+BR138+BR136+BR134+BR209</f>
        <v>0</v>
      </c>
      <c r="BS213" s="189" t="n">
        <f aca="false">BS211+BS203+BS194+BS192+BS190+BS184+BS159+BS149+BS142+BS140+BS138+BS136+BS134+BS209</f>
        <v>-169485</v>
      </c>
      <c r="BT213" s="189" t="n">
        <f aca="false">BT211+BT203+BT194+BT192+BT190+BT184+BT159+BT149+BT142+BT140+BT138+BT136+BT134+BT209</f>
        <v>0</v>
      </c>
      <c r="BU213" s="189" t="n">
        <f aca="false">BU211+BU203+BU194+BU192+BU190+BU184+BU159+BU149+BU142+BU140+BU138+BU136+BU134+BU209</f>
        <v>1148533.48</v>
      </c>
      <c r="BV213" s="189" t="n">
        <f aca="false">BV211+BV203+BV194+BV192+BV190+BV184+BV159+BV149+BV142+BV140+BV138+BV136+BV134+BV209</f>
        <v>0</v>
      </c>
      <c r="BW213" s="189" t="n">
        <f aca="false">BW211+BW203+BW194+BW192+BW190+BW184+BW159+BW149+BW142+BW140+BW138+BW136+BW134+BW209</f>
        <v>18659936.1636675</v>
      </c>
      <c r="BX213" s="189" t="n">
        <f aca="false">BX211+BX203+BX194+BX192+BX190+BX184+BX159+BX149+BX142+BX140+BX138+BX136+BX134+BX209</f>
        <v>0</v>
      </c>
      <c r="BY213" s="189" t="n">
        <f aca="false">BY211+BY203+BY194+BY192+BY190+BY184+BY159+BY149+BY142+BY140+BY138+BY136+BY134+BY209</f>
        <v>-680058.163667485</v>
      </c>
      <c r="BZ213" s="189" t="n">
        <f aca="false">BZ211+BZ203+BZ194+BZ192+BZ190+BZ184+BZ159+BZ149+BZ142+BZ140+BZ138+BZ136+BZ134+BZ209</f>
        <v>0</v>
      </c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186"/>
      <c r="DY213" s="186"/>
      <c r="DZ213" s="186"/>
      <c r="EA213" s="186"/>
      <c r="EB213" s="186"/>
      <c r="EC213" s="186"/>
      <c r="ED213" s="186"/>
      <c r="EE213" s="186"/>
      <c r="EF213" s="186"/>
      <c r="EG213" s="186"/>
      <c r="EH213" s="186"/>
      <c r="EI213" s="186"/>
      <c r="EJ213" s="186"/>
      <c r="EK213" s="186"/>
      <c r="EL213" s="186"/>
      <c r="EM213" s="186"/>
      <c r="EN213" s="186"/>
      <c r="EO213" s="186"/>
      <c r="EP213" s="186"/>
      <c r="EQ213" s="186"/>
      <c r="ER213" s="186"/>
      <c r="ES213" s="186"/>
      <c r="ET213" s="186"/>
      <c r="EU213" s="186"/>
      <c r="EV213" s="186"/>
      <c r="EW213" s="186"/>
      <c r="EX213" s="186"/>
      <c r="EY213" s="186"/>
      <c r="EZ213" s="186"/>
      <c r="FA213" s="186"/>
      <c r="FB213" s="186"/>
      <c r="FC213" s="186"/>
      <c r="FD213" s="186"/>
      <c r="FE213" s="186"/>
      <c r="FF213" s="186"/>
      <c r="FG213" s="186"/>
      <c r="FH213" s="186"/>
      <c r="FI213" s="186"/>
      <c r="FJ213" s="186"/>
      <c r="FK213" s="186"/>
      <c r="FL213" s="186"/>
      <c r="FM213" s="186"/>
      <c r="FN213" s="186"/>
      <c r="FO213" s="186"/>
      <c r="FP213" s="186"/>
      <c r="FQ213" s="186"/>
      <c r="FR213" s="186"/>
      <c r="FS213" s="186"/>
      <c r="FT213" s="186"/>
      <c r="FU213" s="186"/>
      <c r="FV213" s="186"/>
      <c r="FW213" s="186"/>
      <c r="FX213" s="186"/>
      <c r="FY213" s="186"/>
      <c r="FZ213" s="186"/>
      <c r="GA213" s="186"/>
      <c r="GB213" s="186"/>
      <c r="GC213" s="186"/>
      <c r="GD213" s="186"/>
      <c r="GE213" s="186"/>
      <c r="GF213" s="186"/>
      <c r="GG213" s="186"/>
      <c r="GH213" s="186"/>
      <c r="GI213" s="186"/>
      <c r="GJ213" s="186"/>
      <c r="GK213" s="186"/>
      <c r="GL213" s="186"/>
      <c r="GM213" s="186"/>
      <c r="GN213" s="186"/>
      <c r="GO213" s="186"/>
      <c r="GP213" s="186"/>
      <c r="GQ213" s="186"/>
      <c r="GR213" s="186"/>
      <c r="GS213" s="186"/>
      <c r="GT213" s="186"/>
      <c r="GU213" s="186"/>
      <c r="GV213" s="186"/>
      <c r="GW213" s="186"/>
      <c r="GX213" s="186"/>
      <c r="GY213" s="186"/>
      <c r="GZ213" s="186"/>
      <c r="HA213" s="186"/>
      <c r="HB213" s="186"/>
      <c r="HC213" s="186"/>
      <c r="HD213" s="186"/>
      <c r="HE213" s="186"/>
      <c r="HF213" s="186"/>
      <c r="HG213" s="186"/>
      <c r="HH213" s="186"/>
      <c r="HI213" s="186"/>
      <c r="HJ213" s="186"/>
      <c r="HK213" s="186"/>
      <c r="HL213" s="186"/>
      <c r="HM213" s="186"/>
      <c r="HN213" s="186"/>
      <c r="HO213" s="186"/>
      <c r="HP213" s="186"/>
      <c r="HQ213" s="186"/>
      <c r="HR213" s="186"/>
      <c r="HS213" s="186"/>
      <c r="HT213" s="186"/>
      <c r="HU213" s="186"/>
      <c r="HV213" s="186"/>
      <c r="HW213" s="186"/>
      <c r="HX213" s="186"/>
      <c r="HY213" s="186"/>
      <c r="HZ213" s="186"/>
      <c r="IA213" s="186"/>
      <c r="IB213" s="186"/>
      <c r="IC213" s="186"/>
      <c r="ID213" s="186"/>
      <c r="IE213" s="186"/>
      <c r="IF213" s="186"/>
      <c r="IG213" s="186"/>
      <c r="IH213" s="186"/>
      <c r="II213" s="186"/>
      <c r="IJ213" s="186"/>
      <c r="IK213" s="186"/>
      <c r="IL213" s="186"/>
      <c r="IM213" s="186"/>
      <c r="IN213" s="186"/>
      <c r="IO213" s="186"/>
      <c r="IP213" s="186"/>
      <c r="IQ213" s="186"/>
      <c r="IR213" s="186"/>
      <c r="IS213" s="186"/>
      <c r="IT213" s="186"/>
      <c r="IU213" s="186"/>
      <c r="IV213" s="186"/>
      <c r="IW213" s="186"/>
    </row>
    <row r="214" customFormat="false" ht="12.75" hidden="false" customHeight="false" outlineLevel="0" collapsed="false">
      <c r="A214" s="160"/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D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 t="s">
        <v>186</v>
      </c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 t="s">
        <v>151</v>
      </c>
      <c r="M215" s="24"/>
      <c r="N215" s="24" t="n">
        <v>5395729</v>
      </c>
      <c r="O215" s="24"/>
      <c r="P215" s="24" t="n">
        <f aca="false">5463580+-N215</f>
        <v>67851</v>
      </c>
      <c r="Q215" s="24"/>
      <c r="R215" s="24" t="n">
        <f aca="false">173229453-167805955</f>
        <v>5423498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D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 t="n">
        <f aca="false">SUM(T215:BP215)</f>
        <v>0</v>
      </c>
      <c r="BR215" s="24"/>
      <c r="BS215" s="24" t="n">
        <v>-5423498</v>
      </c>
      <c r="BT215" s="24" t="n">
        <v>2030320</v>
      </c>
      <c r="BU215" s="110" t="n">
        <f aca="false">IF(+R215-BQ215+BS215&gt;0,R215-BQ215+BS215,0)</f>
        <v>0</v>
      </c>
      <c r="BV215" s="24" t="n">
        <v>2030320</v>
      </c>
      <c r="BW215" s="24" t="n">
        <f aca="false">+BQ215+BU215</f>
        <v>0</v>
      </c>
      <c r="BX215" s="24" t="n">
        <v>2030320</v>
      </c>
      <c r="BY215" s="110" t="n">
        <f aca="false">+R215-BW215</f>
        <v>5423498</v>
      </c>
      <c r="BZ215" s="24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60"/>
      <c r="B216" s="174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D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V216" s="24"/>
      <c r="BW216" s="24"/>
      <c r="BX216" s="24"/>
      <c r="BZ216" s="24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160" t="s">
        <v>428</v>
      </c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 t="n">
        <v>-6077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D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 t="n">
        <f aca="false">SUM(T217:BP217)</f>
        <v>0</v>
      </c>
      <c r="BR217" s="24"/>
      <c r="BS217" s="24"/>
      <c r="BT217" s="24"/>
      <c r="BU217" s="24"/>
      <c r="BV217" s="24"/>
      <c r="BW217" s="24" t="n">
        <f aca="false">+BQ217+BU217</f>
        <v>0</v>
      </c>
      <c r="BX217" s="24"/>
      <c r="BY217" s="110" t="n">
        <f aca="false">+R217-BW217</f>
        <v>-6077</v>
      </c>
      <c r="BZ217" s="24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60"/>
      <c r="B218" s="174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D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204" t="s">
        <v>284</v>
      </c>
      <c r="B219" s="205"/>
      <c r="C219" s="205"/>
      <c r="D219" s="205"/>
      <c r="E219" s="205"/>
      <c r="F219" s="205"/>
      <c r="G219" s="205"/>
      <c r="H219" s="205"/>
      <c r="I219" s="205"/>
      <c r="J219" s="206"/>
      <c r="K219" s="205"/>
      <c r="L219" s="207"/>
      <c r="M219" s="208"/>
      <c r="N219" s="208"/>
      <c r="O219" s="208"/>
      <c r="P219" s="208"/>
      <c r="Q219" s="208"/>
      <c r="R219" s="209" t="n">
        <f aca="false">R37+R107+R97+R182+R112+R213+R215+R217</f>
        <v>170575010</v>
      </c>
      <c r="S219" s="209" t="n">
        <f aca="false">S37+S107+S97+S182+S112+S213+S215+S217</f>
        <v>0</v>
      </c>
      <c r="T219" s="209" t="n">
        <f aca="false">T37+T107+T97+T182+T112+T213+T215+T217</f>
        <v>0</v>
      </c>
      <c r="U219" s="209" t="n">
        <f aca="false">U37+U107+U97+U182+U112+U213+U215+U217</f>
        <v>0</v>
      </c>
      <c r="V219" s="209" t="n">
        <f aca="false">V37+V107+V97+V182+V112+V213+V215+V217</f>
        <v>0</v>
      </c>
      <c r="W219" s="209" t="n">
        <f aca="false">W37+W107+W97+W182+W112+W213+W215+W217</f>
        <v>0</v>
      </c>
      <c r="X219" s="209" t="n">
        <f aca="false">X37+X107+X97+X182+X112+X213+X215+X217</f>
        <v>0</v>
      </c>
      <c r="Y219" s="209" t="n">
        <f aca="false">Y37+Y107+Y97+Y182+Y112+Y213+Y215+Y217</f>
        <v>0</v>
      </c>
      <c r="Z219" s="209" t="n">
        <f aca="false">Z37+Z107+Z97+Z182+Z112+Z213+Z215+Z217</f>
        <v>0</v>
      </c>
      <c r="AA219" s="209" t="n">
        <f aca="false">AA37+AA107+AA97+AA182+AA112+AA213+AA215+AA217</f>
        <v>0</v>
      </c>
      <c r="AB219" s="209" t="n">
        <f aca="false">AB37+AB107+AB97+AB182+AB112+AB213+AB215+AB217</f>
        <v>0</v>
      </c>
      <c r="AC219" s="209" t="n">
        <f aca="false">AC37+AC107+AC97+AC182+AC112+AC213+AC215+AC217</f>
        <v>0</v>
      </c>
      <c r="AD219" s="209" t="n">
        <f aca="false">AD37+AD107+AD97+AD182+AD112+AD213+AD215+AD217</f>
        <v>0</v>
      </c>
      <c r="AE219" s="209" t="n">
        <f aca="false">AE37+AE107+AE97+AE182+AE112+AE213+AE215+AE217</f>
        <v>0</v>
      </c>
      <c r="AF219" s="209" t="n">
        <f aca="false">AF37+AF107+AF97+AF182+AF112+AF213+AF215+AF217</f>
        <v>0</v>
      </c>
      <c r="AG219" s="209" t="n">
        <f aca="false">AG37+AG107+AG97+AG182+AG112+AG213+AG215+AG217</f>
        <v>0</v>
      </c>
      <c r="AH219" s="209" t="n">
        <f aca="false">AH37+AH107+AH97+AH182+AH112+AH213+AH215+AH217</f>
        <v>0</v>
      </c>
      <c r="AI219" s="209"/>
      <c r="AJ219" s="209" t="n">
        <f aca="false">AJ37+AJ107+AJ97+AJ182+AJ112+AJ213+AJ215+AJ217</f>
        <v>13005.81</v>
      </c>
      <c r="AK219" s="209"/>
      <c r="AL219" s="209" t="n">
        <f aca="false">AL37+AL107+AL97+AL182+AL112+AL213+AL215+AL217</f>
        <v>93158714.49</v>
      </c>
      <c r="AM219" s="209"/>
      <c r="AN219" s="209" t="n">
        <f aca="false">AN37+AN107+AN97+AN182+AN112+AN213+AN215+AN217</f>
        <v>715387.54</v>
      </c>
      <c r="AO219" s="209"/>
      <c r="AP219" s="209" t="n">
        <f aca="false">AP37+AP107+AP97+AP182+AP112+AP213+AP215+AP217</f>
        <v>2178269.81267639</v>
      </c>
      <c r="AQ219" s="209"/>
      <c r="AR219" s="209" t="n">
        <f aca="false">AR37+AR107+AR97+AR182+AR112+AR213+AR215+AR217</f>
        <v>7520808.75322978</v>
      </c>
      <c r="AS219" s="209" t="n">
        <f aca="false">AS37+AS107+AS97+AS182+AS112+AS213+AS215+AS217</f>
        <v>0</v>
      </c>
      <c r="AT219" s="209" t="n">
        <f aca="false">AT37+AT107+AT97+AT182+AT112+AT213+AT215+AT217</f>
        <v>3026267.32527366</v>
      </c>
      <c r="AU219" s="209" t="n">
        <f aca="false">AU37+AU107+AU97+AU182+AU112+AU213+AU215+AU217</f>
        <v>0</v>
      </c>
      <c r="AV219" s="209" t="n">
        <f aca="false">AV37+AV107+AV97+AV182+AV112+AV213+AV215+AV217</f>
        <v>8287387.24694111</v>
      </c>
      <c r="AW219" s="209" t="n">
        <f aca="false">AW37+AW107+AW97+AW182+AW112+AW213+AW215+AW217</f>
        <v>0</v>
      </c>
      <c r="AX219" s="209" t="n">
        <f aca="false">AX37+AX107+AX97+AX182+AX112+AX213+AX215+AX217</f>
        <v>7624290.74806343</v>
      </c>
      <c r="AY219" s="209" t="n">
        <f aca="false">AY37+AY107+AY97+AY182+AY112+AY213+AY215+AY217</f>
        <v>0</v>
      </c>
      <c r="AZ219" s="209" t="n">
        <f aca="false">AZ37+AZ107+AZ97+AZ182+AZ112+AZ213+AZ215+AZ217</f>
        <v>11403531.5261543</v>
      </c>
      <c r="BA219" s="209" t="n">
        <f aca="false">BA37+BA107+BA97+BA182+BA112+BA213+BA215+BA217</f>
        <v>0</v>
      </c>
      <c r="BB219" s="209" t="n">
        <f aca="false">BB37+BB107+BB97+BB182+BB112+BB213+BB215+BB217</f>
        <v>12239663.5400359</v>
      </c>
      <c r="BD219" s="209" t="n">
        <f aca="false">BD37+BD107+BD97+BD182+BD112+BD213+BD215+BD217</f>
        <v>4338594.65</v>
      </c>
      <c r="BF219" s="209" t="n">
        <f aca="false">BF37+BF107+BF97+BF182+BF112+BF213+BF215+BF217</f>
        <v>17362054.5812929</v>
      </c>
      <c r="BG219" s="209" t="n">
        <f aca="false">BG37+BG107+BG97+BG182+BG112+BG213+BG215+BG217</f>
        <v>0</v>
      </c>
      <c r="BH219" s="209" t="n">
        <f aca="false">BH37+BH107+BH97+BH182+BH112+BH213+BH215+BH217</f>
        <v>2172208.6</v>
      </c>
      <c r="BI219" s="209" t="n">
        <f aca="false">BI37+BI107+BI97+BI182+BI112+BI213+BI215+BI217</f>
        <v>0</v>
      </c>
      <c r="BJ219" s="209" t="n">
        <f aca="false">BJ37+BJ107+BJ97+BJ182+BJ112+BJ213+BJ215+BJ217</f>
        <v>-86760.27</v>
      </c>
      <c r="BK219" s="209" t="n">
        <f aca="false">BK37+BK107+BK97+BK182+BK112+BK213+BK215+BK217</f>
        <v>0</v>
      </c>
      <c r="BL219" s="209" t="n">
        <f aca="false">BL37+BL107+BL97+BL182+BL112+BL213+BL215+BL217</f>
        <v>810306</v>
      </c>
      <c r="BM219" s="209" t="n">
        <f aca="false">BM37+BM107+BM97+BM182+BM112+BM213+BM215+BM217</f>
        <v>-273586</v>
      </c>
      <c r="BN219" s="209"/>
      <c r="BO219" s="209" t="n">
        <f aca="false">BO37+BO107+BO97+BO182+BO112+BO213+BO215+BO217</f>
        <v>12522</v>
      </c>
      <c r="BP219" s="209" t="n">
        <f aca="false">BP37+BP107+BP97+BP182+BP112+BP213+BP215+BP217</f>
        <v>0</v>
      </c>
      <c r="BQ219" s="209" t="n">
        <f aca="false">BQ37+BQ107+BQ97+BQ182+BQ112+BQ213+BQ215+BQ217</f>
        <v>170502666.353668</v>
      </c>
      <c r="BR219" s="209" t="n">
        <f aca="false">BR37+BR107+BR97+BR182+BR112+BR213+BR215+BR217</f>
        <v>0</v>
      </c>
      <c r="BS219" s="209" t="n">
        <f aca="false">BS37+BS107+BS97+BS182+BS112+BS213+BS215+BS217</f>
        <v>2607170</v>
      </c>
      <c r="BT219" s="209" t="n">
        <f aca="false">BT37+BT107+BT97+BT182+BT112+BT213+BT215+BT217</f>
        <v>2030320</v>
      </c>
      <c r="BU219" s="209" t="n">
        <f aca="false">BU37+BU107+BU97+BU182+BU112+BU213+BU215+BU217</f>
        <v>5530758.36</v>
      </c>
      <c r="BV219" s="209" t="n">
        <f aca="false">BV37+BV107+BV97+BV182+BV112+BV213+BV215+BV217</f>
        <v>2030320</v>
      </c>
      <c r="BW219" s="209" t="n">
        <f aca="false">BW37+BW107+BW97+BW182+BW112+BW213+BW215+BW217</f>
        <v>176033424.713668</v>
      </c>
      <c r="BX219" s="209" t="n">
        <f aca="false">BX37+BX107+BX97+BX182+BX112+BX213+BX215+BX217</f>
        <v>2030320</v>
      </c>
      <c r="BY219" s="209" t="n">
        <f aca="false">BY37+BY107+BY97+BY182+BY112+BY213+BY215+BY217</f>
        <v>-5458414.71366748</v>
      </c>
      <c r="BZ219" s="208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205"/>
      <c r="DY219" s="205"/>
      <c r="DZ219" s="205"/>
      <c r="EA219" s="205"/>
      <c r="EB219" s="205"/>
      <c r="EC219" s="205"/>
      <c r="ED219" s="205"/>
      <c r="EE219" s="205"/>
      <c r="EF219" s="205"/>
      <c r="EG219" s="205"/>
      <c r="EH219" s="205"/>
      <c r="EI219" s="205"/>
      <c r="EJ219" s="205"/>
      <c r="EK219" s="205"/>
      <c r="EL219" s="205"/>
      <c r="EM219" s="205"/>
      <c r="EN219" s="205"/>
      <c r="EO219" s="205"/>
      <c r="EP219" s="205"/>
      <c r="EQ219" s="205"/>
      <c r="ER219" s="205"/>
      <c r="ES219" s="205"/>
      <c r="ET219" s="205"/>
      <c r="EU219" s="205"/>
      <c r="EV219" s="205"/>
      <c r="EW219" s="205"/>
      <c r="EX219" s="205"/>
      <c r="EY219" s="205"/>
      <c r="EZ219" s="205"/>
      <c r="FA219" s="205"/>
      <c r="FB219" s="205"/>
      <c r="FC219" s="205"/>
      <c r="FD219" s="205"/>
      <c r="FE219" s="205"/>
      <c r="FF219" s="205"/>
      <c r="FG219" s="205"/>
      <c r="FH219" s="205"/>
      <c r="FI219" s="205"/>
      <c r="FJ219" s="205"/>
      <c r="FK219" s="205"/>
      <c r="FL219" s="205"/>
      <c r="FM219" s="205"/>
      <c r="FN219" s="205"/>
      <c r="FO219" s="205"/>
      <c r="FP219" s="205"/>
      <c r="FQ219" s="205"/>
      <c r="FR219" s="205"/>
      <c r="FS219" s="205"/>
      <c r="FT219" s="205"/>
      <c r="FU219" s="205"/>
      <c r="FV219" s="205"/>
      <c r="FW219" s="205"/>
      <c r="FX219" s="205"/>
      <c r="FY219" s="205"/>
      <c r="FZ219" s="205"/>
      <c r="GA219" s="205"/>
      <c r="GB219" s="205"/>
      <c r="GC219" s="205"/>
      <c r="GD219" s="205"/>
      <c r="GE219" s="205"/>
      <c r="GF219" s="205"/>
      <c r="GG219" s="205"/>
      <c r="GH219" s="205"/>
      <c r="GI219" s="205"/>
      <c r="GJ219" s="205"/>
      <c r="GK219" s="205"/>
      <c r="GL219" s="205"/>
      <c r="GM219" s="205"/>
      <c r="GN219" s="205"/>
      <c r="GO219" s="205"/>
      <c r="GP219" s="205"/>
      <c r="GQ219" s="205"/>
      <c r="GR219" s="205"/>
      <c r="GS219" s="205"/>
      <c r="GT219" s="205"/>
      <c r="GU219" s="205"/>
      <c r="GV219" s="205"/>
      <c r="GW219" s="205"/>
      <c r="GX219" s="205"/>
      <c r="GY219" s="205"/>
      <c r="GZ219" s="205"/>
      <c r="HA219" s="205"/>
      <c r="HB219" s="205"/>
      <c r="HC219" s="205"/>
      <c r="HD219" s="205"/>
      <c r="HE219" s="205"/>
      <c r="HF219" s="205"/>
      <c r="HG219" s="205"/>
      <c r="HH219" s="205"/>
      <c r="HI219" s="205"/>
      <c r="HJ219" s="205"/>
      <c r="HK219" s="205"/>
      <c r="HL219" s="205"/>
      <c r="HM219" s="205"/>
      <c r="HN219" s="205"/>
      <c r="HO219" s="205"/>
      <c r="HP219" s="205"/>
      <c r="HQ219" s="205"/>
      <c r="HR219" s="205"/>
      <c r="HS219" s="205"/>
      <c r="HT219" s="205"/>
      <c r="HU219" s="205"/>
      <c r="HV219" s="205"/>
      <c r="HW219" s="205"/>
      <c r="HX219" s="205"/>
      <c r="HY219" s="205"/>
      <c r="HZ219" s="205"/>
      <c r="IA219" s="205"/>
      <c r="IB219" s="205"/>
      <c r="IC219" s="205"/>
      <c r="ID219" s="205"/>
      <c r="IE219" s="205"/>
      <c r="IF219" s="205"/>
      <c r="IG219" s="205"/>
      <c r="IH219" s="205"/>
      <c r="II219" s="205"/>
      <c r="IJ219" s="205"/>
      <c r="IK219" s="205"/>
      <c r="IL219" s="205"/>
      <c r="IM219" s="205"/>
      <c r="IN219" s="205"/>
      <c r="IO219" s="205"/>
      <c r="IP219" s="205"/>
      <c r="IQ219" s="205"/>
      <c r="IR219" s="205"/>
      <c r="IS219" s="205"/>
      <c r="IT219" s="205"/>
      <c r="IU219" s="205"/>
      <c r="IV219" s="205"/>
      <c r="IW219" s="205"/>
    </row>
    <row r="220" customFormat="false" ht="12.75" hidden="false" customHeight="false" outlineLevel="0" collapsed="false">
      <c r="A220" s="160" t="s">
        <v>285</v>
      </c>
      <c r="B220" s="174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D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9"/>
      <c r="BV220" s="24"/>
      <c r="BW220" s="24"/>
      <c r="BX220" s="24"/>
      <c r="BY220" s="24"/>
      <c r="BZ220" s="24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60"/>
      <c r="B221" s="174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D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60"/>
      <c r="B222" s="174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 t="s">
        <v>18</v>
      </c>
      <c r="BM222" s="24" t="s">
        <v>18</v>
      </c>
      <c r="BN222" s="24"/>
      <c r="BO222" s="24" t="s">
        <v>18</v>
      </c>
      <c r="BP222" s="24"/>
      <c r="BQ222" s="24" t="n">
        <f aca="false">-BQ142</f>
        <v>-33710</v>
      </c>
      <c r="BR222" s="24"/>
      <c r="BS222" s="24"/>
      <c r="BT222" s="24"/>
      <c r="BU222" s="24"/>
      <c r="BV222" s="24"/>
      <c r="BW222" s="24"/>
      <c r="BX222" s="24"/>
      <c r="BY222" s="24"/>
      <c r="BZ222" s="24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60"/>
      <c r="B223" s="174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 t="s">
        <v>287</v>
      </c>
      <c r="BM223" s="24" t="s">
        <v>287</v>
      </c>
      <c r="BN223" s="24"/>
      <c r="BO223" s="24" t="s">
        <v>287</v>
      </c>
      <c r="BP223" s="24"/>
      <c r="BQ223" s="24" t="n">
        <f aca="false">-BQ134</f>
        <v>-1084341.16</v>
      </c>
      <c r="BR223" s="24"/>
      <c r="BS223" s="24"/>
      <c r="BT223" s="24"/>
      <c r="BU223" s="24"/>
      <c r="BV223" s="24"/>
      <c r="BW223" s="24"/>
      <c r="BX223" s="24"/>
      <c r="BY223" s="24"/>
      <c r="BZ223" s="24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60"/>
      <c r="B224" s="174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 t="s">
        <v>288</v>
      </c>
      <c r="BM224" s="24" t="s">
        <v>288</v>
      </c>
      <c r="BN224" s="24"/>
      <c r="BO224" s="24" t="s">
        <v>288</v>
      </c>
      <c r="BP224" s="24"/>
      <c r="BQ224" s="24" t="n">
        <f aca="false">-BQ140</f>
        <v>-0</v>
      </c>
      <c r="BR224" s="24"/>
      <c r="BS224" s="24"/>
      <c r="BT224" s="24"/>
      <c r="BU224" s="24"/>
      <c r="BV224" s="24"/>
      <c r="BW224" s="24"/>
      <c r="BX224" s="24"/>
      <c r="BY224" s="24"/>
      <c r="BZ224" s="24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60"/>
      <c r="B225" s="174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 t="s">
        <v>429</v>
      </c>
      <c r="BM225" s="24" t="s">
        <v>429</v>
      </c>
      <c r="BN225" s="24"/>
      <c r="BO225" s="24" t="s">
        <v>429</v>
      </c>
      <c r="BP225" s="24"/>
      <c r="BQ225" s="24" t="n">
        <v>-22627</v>
      </c>
      <c r="BR225" s="24"/>
      <c r="BS225" s="24"/>
      <c r="BT225" s="24"/>
      <c r="BU225" s="24"/>
      <c r="BV225" s="24"/>
      <c r="BW225" s="24"/>
      <c r="BX225" s="24"/>
      <c r="BY225" s="24"/>
      <c r="BZ225" s="24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60"/>
      <c r="B226" s="174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 t="n">
        <f aca="false">SUM(BQ219:BQ225)</f>
        <v>169361988.193668</v>
      </c>
      <c r="BR226" s="24"/>
      <c r="BS226" s="24"/>
      <c r="BT226" s="24"/>
      <c r="BU226" s="24"/>
      <c r="BV226" s="24"/>
      <c r="BW226" s="24"/>
      <c r="BX226" s="24"/>
      <c r="BY226" s="24"/>
      <c r="BZ226" s="24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60"/>
      <c r="B227" s="174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D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60"/>
      <c r="B228" s="174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D228" s="24"/>
      <c r="BF228" s="24"/>
      <c r="BG228" s="24"/>
      <c r="BH228" s="24"/>
      <c r="BI228" s="24"/>
      <c r="BJ228" s="24"/>
      <c r="BK228" s="24"/>
      <c r="BL228" s="24" t="s">
        <v>430</v>
      </c>
      <c r="BM228" s="24" t="s">
        <v>430</v>
      </c>
      <c r="BN228" s="24"/>
      <c r="BO228" s="24" t="s">
        <v>430</v>
      </c>
      <c r="BP228" s="24"/>
      <c r="BQ228" s="24" t="n">
        <v>168942454.84</v>
      </c>
      <c r="BR228" s="24"/>
      <c r="BS228" s="24"/>
      <c r="BT228" s="24"/>
      <c r="BU228" s="24"/>
      <c r="BV228" s="24"/>
      <c r="BW228" s="24"/>
      <c r="BX228" s="24"/>
      <c r="BY228" s="24"/>
      <c r="BZ228" s="24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60"/>
      <c r="B229" s="174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D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 t="n">
        <f aca="false">BQ226-BQ228</f>
        <v>419533.353667498</v>
      </c>
      <c r="BR229" s="24"/>
      <c r="BS229" s="24"/>
      <c r="BT229" s="24"/>
      <c r="BU229" s="24"/>
      <c r="BV229" s="24"/>
      <c r="BW229" s="24"/>
      <c r="BX229" s="24"/>
      <c r="BY229" s="24"/>
      <c r="BZ229" s="24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true" customHeight="false" outlineLevel="0" collapsed="false">
      <c r="A230" s="160"/>
      <c r="B230" s="174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D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true" customHeight="false" outlineLevel="0" collapsed="false">
      <c r="C231" s="0"/>
      <c r="D231" s="0"/>
      <c r="E231" s="0"/>
      <c r="F231" s="0"/>
      <c r="G231" s="0"/>
      <c r="H231" s="0"/>
      <c r="I231" s="0"/>
      <c r="J231" s="4"/>
      <c r="K231" s="0"/>
      <c r="L231" s="34"/>
      <c r="M231" s="110"/>
      <c r="O231" s="110"/>
      <c r="Q231" s="110"/>
      <c r="S231" s="110"/>
      <c r="T231" s="110"/>
      <c r="U231" s="110"/>
      <c r="V231" s="110"/>
      <c r="X231" s="110"/>
      <c r="Z231" s="110"/>
      <c r="AB231" s="110"/>
      <c r="AD231" s="110"/>
      <c r="BL231" s="110"/>
      <c r="BM231" s="110"/>
      <c r="BN231" s="110"/>
      <c r="BO231" s="110"/>
      <c r="BP231" s="110"/>
      <c r="BR231" s="110"/>
      <c r="BS231" s="110"/>
      <c r="BT231" s="110"/>
      <c r="BZ231" s="11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</row>
    <row r="232" customFormat="false" ht="14.25" hidden="false" customHeight="false" outlineLevel="0" collapsed="false">
      <c r="A232" s="250" t="s">
        <v>431</v>
      </c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D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251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160" t="s">
        <v>406</v>
      </c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D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251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160"/>
      <c r="B234" s="0" t="s">
        <v>45</v>
      </c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5" t="n">
        <v>200000</v>
      </c>
      <c r="BD234" s="5" t="n">
        <v>685000</v>
      </c>
      <c r="BF234" s="0"/>
      <c r="BG234" s="0"/>
      <c r="BH234" s="5"/>
      <c r="BI234" s="0"/>
      <c r="BK234" s="0"/>
      <c r="BL234" s="110" t="n">
        <f aca="false">1703000-685000</f>
        <v>1018000</v>
      </c>
      <c r="BM234" s="110" t="n">
        <v>327840</v>
      </c>
      <c r="BN234" s="110"/>
      <c r="BO234" s="110"/>
      <c r="BP234" s="0"/>
      <c r="BQ234" s="24" t="n">
        <f aca="false">SUM(T234:BP234)</f>
        <v>2230840</v>
      </c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18"/>
      <c r="B235" s="0" t="s">
        <v>432</v>
      </c>
      <c r="C235" s="0"/>
      <c r="D235" s="0"/>
      <c r="E235" s="0"/>
      <c r="F235" s="0"/>
      <c r="G235" s="0"/>
      <c r="H235" s="0"/>
      <c r="I235" s="0"/>
      <c r="J235" s="0"/>
      <c r="K235" s="0"/>
      <c r="L235" s="4" t="n">
        <v>43950</v>
      </c>
      <c r="M235" s="0"/>
      <c r="N235" s="0"/>
      <c r="O235" s="0"/>
      <c r="P235" s="0"/>
      <c r="Q235" s="0"/>
      <c r="R235" s="5" t="n">
        <v>25518545</v>
      </c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5" t="n">
        <f aca="false">10308.53+62748.66</f>
        <v>73057.19</v>
      </c>
      <c r="BD235" s="5" t="n">
        <v>0</v>
      </c>
      <c r="BF235" s="5"/>
      <c r="BG235" s="5"/>
      <c r="BH235" s="5"/>
      <c r="BI235" s="5"/>
      <c r="BK235" s="5"/>
      <c r="BL235" s="5" t="n">
        <v>369554</v>
      </c>
      <c r="BM235" s="5"/>
      <c r="BN235" s="5"/>
      <c r="BO235" s="5"/>
      <c r="BP235" s="5"/>
      <c r="BQ235" s="24" t="n">
        <f aca="false">SUM(S235:BL235)</f>
        <v>442611.19</v>
      </c>
      <c r="BR235" s="24"/>
      <c r="BS235" s="24" t="n">
        <v>0</v>
      </c>
      <c r="BT235" s="24"/>
      <c r="BU235" s="110" t="n">
        <f aca="false">IF(+R235-BQ235+BS235&gt;0,R235-BQ235+BS235,0)</f>
        <v>25075933.81</v>
      </c>
      <c r="BV235" s="24"/>
      <c r="BW235" s="24" t="n">
        <f aca="false">+BQ235+BU235</f>
        <v>25518545</v>
      </c>
      <c r="BX235" s="24"/>
      <c r="BY235" s="110" t="n">
        <f aca="false">+R235-BW235</f>
        <v>0</v>
      </c>
      <c r="BZ235" s="24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18"/>
      <c r="B236" s="0" t="s">
        <v>433</v>
      </c>
      <c r="C236" s="0"/>
      <c r="D236" s="0"/>
      <c r="E236" s="0"/>
      <c r="F236" s="0"/>
      <c r="G236" s="0"/>
      <c r="H236" s="0"/>
      <c r="I236" s="0"/>
      <c r="J236" s="0"/>
      <c r="K236" s="0"/>
      <c r="L236" s="4" t="s">
        <v>434</v>
      </c>
      <c r="M236" s="0"/>
      <c r="N236" s="0"/>
      <c r="O236" s="0"/>
      <c r="P236" s="0"/>
      <c r="Q236" s="0"/>
      <c r="R236" s="5" t="n">
        <v>975356</v>
      </c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5" t="n">
        <v>629</v>
      </c>
      <c r="BD236" s="5"/>
      <c r="BF236" s="5"/>
      <c r="BG236" s="5"/>
      <c r="BH236" s="5"/>
      <c r="BI236" s="5"/>
      <c r="BK236" s="5"/>
      <c r="BL236" s="5" t="n">
        <v>1641</v>
      </c>
      <c r="BM236" s="5"/>
      <c r="BN236" s="5"/>
      <c r="BO236" s="5"/>
      <c r="BP236" s="5"/>
      <c r="BQ236" s="24" t="n">
        <f aca="false">SUM(T236:BP236)</f>
        <v>2270</v>
      </c>
      <c r="BR236" s="24"/>
      <c r="BS236" s="24" t="n">
        <v>0</v>
      </c>
      <c r="BT236" s="24"/>
      <c r="BU236" s="110" t="n">
        <f aca="false">IF(+R236-BQ236+BS236&gt;0,R236-BQ236+BS236,0)</f>
        <v>973086</v>
      </c>
      <c r="BV236" s="24"/>
      <c r="BW236" s="24" t="n">
        <f aca="false">+BQ236+BU236</f>
        <v>975356</v>
      </c>
      <c r="BX236" s="24"/>
      <c r="BY236" s="110" t="n">
        <f aca="false">+R236-BW236</f>
        <v>0</v>
      </c>
      <c r="BZ236" s="24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18"/>
      <c r="B237" s="118" t="s">
        <v>435</v>
      </c>
      <c r="C237" s="0"/>
      <c r="D237" s="0"/>
      <c r="E237" s="0"/>
      <c r="F237" s="0"/>
      <c r="G237" s="0"/>
      <c r="H237" s="0"/>
      <c r="I237" s="0"/>
      <c r="J237" s="0"/>
      <c r="K237" s="0"/>
      <c r="L237" s="4" t="n">
        <v>44484</v>
      </c>
      <c r="M237" s="0"/>
      <c r="N237" s="0"/>
      <c r="O237" s="0"/>
      <c r="P237" s="0"/>
      <c r="Q237" s="0"/>
      <c r="R237" s="7" t="n">
        <v>132742</v>
      </c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7" t="n">
        <f aca="false">1005.26+15817.94+8004</f>
        <v>24827.2</v>
      </c>
      <c r="BD237" s="7"/>
      <c r="BF237" s="5"/>
      <c r="BG237" s="5"/>
      <c r="BH237" s="7"/>
      <c r="BI237" s="5"/>
      <c r="BJ237" s="252"/>
      <c r="BK237" s="5"/>
      <c r="BL237" s="7" t="n">
        <v>142809</v>
      </c>
      <c r="BM237" s="7"/>
      <c r="BN237" s="7"/>
      <c r="BO237" s="7"/>
      <c r="BP237" s="5"/>
      <c r="BQ237" s="253" t="n">
        <f aca="false">SUM(T237:BP237)</f>
        <v>167636.2</v>
      </c>
      <c r="BR237" s="24"/>
      <c r="BS237" s="24" t="n">
        <v>0</v>
      </c>
      <c r="BT237" s="24"/>
      <c r="BU237" s="252" t="n">
        <f aca="false">IF(+R237-BQ237+BS237&gt;0,R237-BQ237+BS237,0)</f>
        <v>0</v>
      </c>
      <c r="BV237" s="24"/>
      <c r="BW237" s="253" t="n">
        <f aca="false">+BQ237+BU237</f>
        <v>167636.2</v>
      </c>
      <c r="BX237" s="24"/>
      <c r="BY237" s="252" t="n">
        <f aca="false">+R237-BW237</f>
        <v>-34894.2</v>
      </c>
      <c r="BZ237" s="24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18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4"/>
      <c r="M238" s="0"/>
      <c r="N238" s="0"/>
      <c r="O238" s="0"/>
      <c r="P238" s="0"/>
      <c r="Q238" s="0"/>
      <c r="R238" s="5" t="n">
        <f aca="false">SUM(R235:R237)</f>
        <v>26626643</v>
      </c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5" t="n">
        <f aca="false">SUM(BB234:BB237)</f>
        <v>298513.39</v>
      </c>
      <c r="BD238" s="5" t="n">
        <f aca="false">SUM(BD234:BD237)</f>
        <v>685000</v>
      </c>
      <c r="BF238" s="5" t="n">
        <f aca="false">SUM(BF234:BF237)</f>
        <v>0</v>
      </c>
      <c r="BG238" s="5" t="n">
        <f aca="false">SUM(BG234:BG237)</f>
        <v>0</v>
      </c>
      <c r="BH238" s="5" t="n">
        <f aca="false">SUM(BH234:BH237)</f>
        <v>0</v>
      </c>
      <c r="BI238" s="5" t="n">
        <f aca="false">SUM(BI234:BI237)</f>
        <v>0</v>
      </c>
      <c r="BJ238" s="5" t="n">
        <f aca="false">SUM(BJ234:BJ236)</f>
        <v>0</v>
      </c>
      <c r="BK238" s="5" t="n">
        <f aca="false">SUM(BK234:BK237)</f>
        <v>0</v>
      </c>
      <c r="BL238" s="5" t="n">
        <f aca="false">SUM(BL234:BL237)</f>
        <v>1532004</v>
      </c>
      <c r="BM238" s="5" t="n">
        <f aca="false">SUM(BM234:BM237)</f>
        <v>327840</v>
      </c>
      <c r="BN238" s="5"/>
      <c r="BO238" s="5" t="n">
        <f aca="false">SUM(BO234:BO237)</f>
        <v>0</v>
      </c>
      <c r="BP238" s="5" t="n">
        <f aca="false">SUM(BP234:BP237)</f>
        <v>0</v>
      </c>
      <c r="BQ238" s="24" t="n">
        <f aca="false">SUM(BQ234:BQ237)</f>
        <v>2843357.39</v>
      </c>
      <c r="BR238" s="5" t="n">
        <f aca="false">SUM(BR234:BR237)</f>
        <v>0</v>
      </c>
      <c r="BS238" s="5" t="n">
        <f aca="false">SUM(BS234:BS237)</f>
        <v>0</v>
      </c>
      <c r="BT238" s="5" t="n">
        <f aca="false">SUM(BT234:BT237)</f>
        <v>0</v>
      </c>
      <c r="BU238" s="24" t="n">
        <f aca="false">SUM(BU234:BU237)</f>
        <v>26049019.81</v>
      </c>
      <c r="BV238" s="24" t="n">
        <f aca="false">SUM(BV234:BV237)</f>
        <v>0</v>
      </c>
      <c r="BW238" s="24" t="n">
        <f aca="false">SUM(BW234:BW237)</f>
        <v>26661537.2</v>
      </c>
      <c r="BX238" s="24" t="n">
        <f aca="false">SUM(BX234:BX237)</f>
        <v>0</v>
      </c>
      <c r="BY238" s="24" t="n">
        <f aca="false">SUM(BY234:BY237)</f>
        <v>-34894.2</v>
      </c>
      <c r="BZ238" s="24" t="n">
        <f aca="false">SUM(BZ234:BZ237)</f>
        <v>0</v>
      </c>
      <c r="CA238" s="24"/>
      <c r="CB238" s="24"/>
      <c r="CC238" s="24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4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5"/>
      <c r="BD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18" t="s">
        <v>436</v>
      </c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4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5"/>
      <c r="BD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" hidden="false" customHeight="false" outlineLevel="0" collapsed="false">
      <c r="A241" s="254" t="s">
        <v>437</v>
      </c>
      <c r="B241" s="255"/>
      <c r="C241" s="256"/>
      <c r="D241" s="256"/>
      <c r="E241" s="256"/>
      <c r="F241" s="256"/>
      <c r="G241" s="256"/>
      <c r="H241" s="256"/>
      <c r="I241" s="256"/>
      <c r="J241" s="257"/>
      <c r="K241" s="256"/>
      <c r="L241" s="258"/>
      <c r="M241" s="259"/>
      <c r="N241" s="259"/>
      <c r="O241" s="259"/>
      <c r="P241" s="259"/>
      <c r="Q241" s="259"/>
      <c r="R241" s="260" t="n">
        <f aca="false">R219+R238</f>
        <v>197201653</v>
      </c>
      <c r="S241" s="260" t="n">
        <f aca="false">S219+S238</f>
        <v>0</v>
      </c>
      <c r="T241" s="260" t="n">
        <f aca="false">T219+T238</f>
        <v>0</v>
      </c>
      <c r="U241" s="260" t="n">
        <f aca="false">U219+U238</f>
        <v>0</v>
      </c>
      <c r="V241" s="260" t="n">
        <f aca="false">V219+V238</f>
        <v>0</v>
      </c>
      <c r="W241" s="260" t="n">
        <f aca="false">W219+W238</f>
        <v>0</v>
      </c>
      <c r="X241" s="260" t="n">
        <f aca="false">X219+X238</f>
        <v>0</v>
      </c>
      <c r="Y241" s="260" t="n">
        <f aca="false">Y219+Y238</f>
        <v>0</v>
      </c>
      <c r="Z241" s="260" t="n">
        <f aca="false">Z219+Z238</f>
        <v>0</v>
      </c>
      <c r="AA241" s="260" t="n">
        <f aca="false">AA219+AA238</f>
        <v>0</v>
      </c>
      <c r="AB241" s="260" t="n">
        <f aca="false">AB219+AB238</f>
        <v>0</v>
      </c>
      <c r="AC241" s="260" t="n">
        <f aca="false">AC219+AC238</f>
        <v>0</v>
      </c>
      <c r="AD241" s="260" t="n">
        <f aca="false">AD219+AD238</f>
        <v>0</v>
      </c>
      <c r="AE241" s="260" t="n">
        <f aca="false">AE219+AE238</f>
        <v>0</v>
      </c>
      <c r="AF241" s="260" t="n">
        <f aca="false">AF219+AF238</f>
        <v>0</v>
      </c>
      <c r="AG241" s="260" t="n">
        <f aca="false">AG219+AG238</f>
        <v>0</v>
      </c>
      <c r="AH241" s="260" t="n">
        <f aca="false">AH219+AH238</f>
        <v>0</v>
      </c>
      <c r="AI241" s="260" t="n">
        <f aca="false">AI219+AI238</f>
        <v>0</v>
      </c>
      <c r="AJ241" s="260" t="n">
        <f aca="false">AJ219+AJ238</f>
        <v>13005.81</v>
      </c>
      <c r="AK241" s="260" t="n">
        <f aca="false">AK219+AK238</f>
        <v>0</v>
      </c>
      <c r="AL241" s="260" t="n">
        <f aca="false">AL219+AL238</f>
        <v>93158714.49</v>
      </c>
      <c r="AM241" s="260" t="n">
        <f aca="false">AM219+AM238</f>
        <v>0</v>
      </c>
      <c r="AN241" s="260" t="n">
        <f aca="false">AN219+AN238</f>
        <v>715387.54</v>
      </c>
      <c r="AO241" s="260" t="n">
        <f aca="false">AO219+AO238</f>
        <v>0</v>
      </c>
      <c r="AP241" s="260" t="n">
        <f aca="false">AP219+AP238</f>
        <v>2178269.81267639</v>
      </c>
      <c r="AQ241" s="260" t="n">
        <f aca="false">AQ219+AQ238</f>
        <v>0</v>
      </c>
      <c r="AR241" s="260" t="n">
        <f aca="false">AR219+AR238</f>
        <v>7520808.75322978</v>
      </c>
      <c r="AS241" s="260" t="n">
        <f aca="false">AS219+AS238</f>
        <v>0</v>
      </c>
      <c r="AT241" s="260" t="n">
        <f aca="false">AT219+AT238</f>
        <v>3026267.32527366</v>
      </c>
      <c r="AU241" s="260" t="n">
        <f aca="false">AU219+AU238</f>
        <v>0</v>
      </c>
      <c r="AV241" s="260" t="n">
        <f aca="false">AV219+AV238</f>
        <v>8287387.24694111</v>
      </c>
      <c r="AW241" s="260" t="n">
        <f aca="false">AW219+AW238</f>
        <v>0</v>
      </c>
      <c r="AX241" s="260" t="n">
        <f aca="false">AX219+AX238</f>
        <v>7624290.74806343</v>
      </c>
      <c r="AY241" s="260" t="n">
        <f aca="false">AY219+AY238</f>
        <v>0</v>
      </c>
      <c r="AZ241" s="260" t="n">
        <f aca="false">AZ219+AZ238</f>
        <v>11403531.5261543</v>
      </c>
      <c r="BA241" s="260" t="n">
        <f aca="false">BA219+BA238</f>
        <v>0</v>
      </c>
      <c r="BB241" s="260" t="n">
        <f aca="false">BB219+BB238</f>
        <v>12538176.9300359</v>
      </c>
      <c r="BC241" s="260" t="n">
        <f aca="false">BC219+BC238</f>
        <v>0</v>
      </c>
      <c r="BD241" s="260" t="n">
        <f aca="false">BD219+BD238</f>
        <v>5023594.65</v>
      </c>
      <c r="BE241" s="260" t="n">
        <f aca="false">BE219+BE238</f>
        <v>0</v>
      </c>
      <c r="BF241" s="260" t="n">
        <f aca="false">BF219+BF238</f>
        <v>17362054.5812929</v>
      </c>
      <c r="BG241" s="260" t="n">
        <f aca="false">BG219+BG238</f>
        <v>0</v>
      </c>
      <c r="BH241" s="260" t="n">
        <f aca="false">BH219+BH238</f>
        <v>2172208.6</v>
      </c>
      <c r="BI241" s="260" t="n">
        <f aca="false">BI219+BI238</f>
        <v>0</v>
      </c>
      <c r="BJ241" s="260" t="n">
        <f aca="false">BJ219+BJ238</f>
        <v>-86760.27</v>
      </c>
      <c r="BK241" s="260" t="n">
        <f aca="false">BK219+BK238</f>
        <v>0</v>
      </c>
      <c r="BL241" s="260" t="n">
        <f aca="false">BL219+BL238</f>
        <v>2342310</v>
      </c>
      <c r="BM241" s="260" t="n">
        <f aca="false">BM219+BM238</f>
        <v>54254</v>
      </c>
      <c r="BN241" s="260"/>
      <c r="BO241" s="260" t="n">
        <f aca="false">BO219+BO238</f>
        <v>12522</v>
      </c>
      <c r="BP241" s="260" t="n">
        <f aca="false">BP219+BP238</f>
        <v>0</v>
      </c>
      <c r="BQ241" s="260" t="n">
        <f aca="false">BQ219+BQ238</f>
        <v>173346023.743667</v>
      </c>
      <c r="BR241" s="260" t="n">
        <f aca="false">BR219+BR238</f>
        <v>0</v>
      </c>
      <c r="BS241" s="260" t="n">
        <f aca="false">BS219+BS238</f>
        <v>2607170</v>
      </c>
      <c r="BT241" s="260" t="n">
        <f aca="false">BT219+BT238</f>
        <v>2030320</v>
      </c>
      <c r="BU241" s="260" t="n">
        <f aca="false">BU219+BU238</f>
        <v>31579778.17</v>
      </c>
      <c r="BV241" s="260" t="n">
        <f aca="false">BV219+BV238</f>
        <v>2030320</v>
      </c>
      <c r="BW241" s="260" t="n">
        <f aca="false">BW219+BW238</f>
        <v>202694961.913668</v>
      </c>
      <c r="BX241" s="260" t="n">
        <f aca="false">BX219+BX238</f>
        <v>2030320</v>
      </c>
      <c r="BY241" s="260" t="n">
        <f aca="false">BY219+BY238</f>
        <v>-5493308.91366748</v>
      </c>
      <c r="BZ241" s="260" t="n">
        <f aca="false">BZ235+BZ238</f>
        <v>0</v>
      </c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186"/>
      <c r="DY241" s="186"/>
      <c r="DZ241" s="186"/>
      <c r="EA241" s="186"/>
      <c r="EB241" s="186"/>
      <c r="EC241" s="186"/>
      <c r="ED241" s="186"/>
      <c r="EE241" s="186"/>
      <c r="EF241" s="186"/>
      <c r="EG241" s="186"/>
      <c r="EH241" s="186"/>
      <c r="EI241" s="186"/>
      <c r="EJ241" s="186"/>
      <c r="EK241" s="186"/>
      <c r="EL241" s="186"/>
      <c r="EM241" s="186"/>
      <c r="EN241" s="186"/>
      <c r="EO241" s="186"/>
      <c r="EP241" s="186"/>
      <c r="EQ241" s="186"/>
      <c r="ER241" s="186"/>
      <c r="ES241" s="186"/>
      <c r="ET241" s="186"/>
      <c r="EU241" s="186"/>
      <c r="EV241" s="186"/>
      <c r="EW241" s="186"/>
      <c r="EX241" s="186"/>
      <c r="EY241" s="186"/>
      <c r="EZ241" s="186"/>
      <c r="FA241" s="186"/>
      <c r="FB241" s="186"/>
      <c r="FC241" s="186"/>
      <c r="FD241" s="186"/>
      <c r="FE241" s="186"/>
      <c r="FF241" s="186"/>
      <c r="FG241" s="186"/>
      <c r="FH241" s="186"/>
      <c r="FI241" s="186"/>
      <c r="FJ241" s="186"/>
      <c r="FK241" s="186"/>
      <c r="FL241" s="186"/>
      <c r="FM241" s="186"/>
      <c r="FN241" s="186"/>
      <c r="FO241" s="186"/>
      <c r="FP241" s="186"/>
      <c r="FQ241" s="186"/>
      <c r="FR241" s="186"/>
      <c r="FS241" s="186"/>
      <c r="FT241" s="186"/>
      <c r="FU241" s="186"/>
      <c r="FV241" s="186"/>
      <c r="FW241" s="186"/>
      <c r="FX241" s="186"/>
      <c r="FY241" s="186"/>
      <c r="FZ241" s="186"/>
      <c r="GA241" s="186"/>
      <c r="GB241" s="186"/>
      <c r="GC241" s="186"/>
      <c r="GD241" s="186"/>
      <c r="GE241" s="186"/>
      <c r="GF241" s="186"/>
      <c r="GG241" s="186"/>
      <c r="GH241" s="186"/>
      <c r="GI241" s="186"/>
      <c r="GJ241" s="186"/>
      <c r="GK241" s="186"/>
      <c r="GL241" s="186"/>
      <c r="GM241" s="186"/>
      <c r="GN241" s="186"/>
      <c r="GO241" s="186"/>
      <c r="GP241" s="186"/>
      <c r="GQ241" s="186"/>
      <c r="GR241" s="186"/>
      <c r="GS241" s="186"/>
      <c r="GT241" s="186"/>
      <c r="GU241" s="186"/>
      <c r="GV241" s="186"/>
      <c r="GW241" s="186"/>
      <c r="GX241" s="186"/>
      <c r="GY241" s="186"/>
      <c r="GZ241" s="186"/>
      <c r="HA241" s="186"/>
      <c r="HB241" s="186"/>
      <c r="HC241" s="186"/>
      <c r="HD241" s="186"/>
      <c r="HE241" s="186"/>
      <c r="HF241" s="186"/>
      <c r="HG241" s="186"/>
      <c r="HH241" s="186"/>
      <c r="HI241" s="186"/>
      <c r="HJ241" s="186"/>
      <c r="HK241" s="186"/>
      <c r="HL241" s="186"/>
      <c r="HM241" s="186"/>
      <c r="HN241" s="186"/>
      <c r="HO241" s="186"/>
      <c r="HP241" s="186"/>
      <c r="HQ241" s="186"/>
      <c r="HR241" s="186"/>
      <c r="HS241" s="186"/>
      <c r="HT241" s="186"/>
      <c r="HU241" s="186"/>
      <c r="HV241" s="186"/>
      <c r="HW241" s="186"/>
      <c r="HX241" s="186"/>
      <c r="HY241" s="186"/>
      <c r="HZ241" s="186"/>
      <c r="IA241" s="186"/>
      <c r="IB241" s="186"/>
      <c r="IC241" s="186"/>
      <c r="ID241" s="186"/>
      <c r="IE241" s="186"/>
      <c r="IF241" s="186"/>
      <c r="IG241" s="186"/>
      <c r="IH241" s="186"/>
      <c r="II241" s="186"/>
      <c r="IJ241" s="186"/>
      <c r="IK241" s="186"/>
      <c r="IL241" s="186"/>
      <c r="IM241" s="186"/>
      <c r="IN241" s="186"/>
      <c r="IO241" s="186"/>
      <c r="IP241" s="186"/>
      <c r="IQ241" s="186"/>
      <c r="IR241" s="186"/>
      <c r="IS241" s="186"/>
      <c r="IT241" s="186"/>
      <c r="IU241" s="186"/>
      <c r="IV241" s="186"/>
      <c r="IW241" s="186"/>
    </row>
    <row r="242" customFormat="false" ht="13.5" hidden="false" customHeight="false" outlineLevel="0" collapsed="false">
      <c r="A242" s="18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4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5"/>
      <c r="BD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251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18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4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5"/>
      <c r="BD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251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18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4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5"/>
      <c r="BD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251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18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4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5"/>
      <c r="BD245" s="0"/>
      <c r="BF245" s="0" t="s">
        <v>438</v>
      </c>
      <c r="BG245" s="0"/>
      <c r="BH245" s="0"/>
      <c r="BI245" s="0"/>
      <c r="BJ245" s="0"/>
      <c r="BK245" s="0"/>
      <c r="BL245" s="0"/>
      <c r="BM245" s="0" t="s">
        <v>439</v>
      </c>
      <c r="BN245" s="0"/>
      <c r="BO245" s="0"/>
      <c r="BP245" s="0"/>
      <c r="BQ245" s="251" t="n">
        <f aca="false">169349467-6715</f>
        <v>169342752</v>
      </c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18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4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98"/>
      <c r="AU246" s="0"/>
      <c r="AV246" s="0"/>
      <c r="AW246" s="0"/>
      <c r="AX246" s="0"/>
      <c r="AY246" s="0"/>
      <c r="AZ246" s="0"/>
      <c r="BA246" s="0"/>
      <c r="BB246" s="5"/>
      <c r="BD246" s="0"/>
      <c r="BF246" s="0" t="s">
        <v>440</v>
      </c>
      <c r="BG246" s="0"/>
      <c r="BH246" s="0"/>
      <c r="BI246" s="0"/>
      <c r="BJ246" s="0"/>
      <c r="BK246" s="0"/>
      <c r="BL246" s="0"/>
      <c r="BM246" s="0" t="s">
        <v>441</v>
      </c>
      <c r="BN246" s="0"/>
      <c r="BO246" s="0"/>
      <c r="BP246" s="0"/>
      <c r="BQ246" s="251" t="n">
        <f aca="false">BQ134</f>
        <v>1084341.16</v>
      </c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18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98"/>
      <c r="AU247" s="0"/>
      <c r="AV247" s="0"/>
      <c r="AW247" s="0"/>
      <c r="AX247" s="0"/>
      <c r="AY247" s="0"/>
      <c r="AZ247" s="0"/>
      <c r="BA247" s="0"/>
      <c r="BB247" s="5"/>
      <c r="BD247" s="0"/>
      <c r="BF247" s="0" t="s">
        <v>442</v>
      </c>
      <c r="BG247" s="0"/>
      <c r="BH247" s="0"/>
      <c r="BI247" s="0"/>
      <c r="BJ247" s="0"/>
      <c r="BK247" s="0"/>
      <c r="BL247" s="0"/>
      <c r="BM247" s="0" t="s">
        <v>443</v>
      </c>
      <c r="BN247" s="0"/>
      <c r="BO247" s="0"/>
      <c r="BP247" s="0"/>
      <c r="BQ247" s="251" t="n">
        <f aca="false">BQ238</f>
        <v>2843357.39</v>
      </c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18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98"/>
      <c r="AU248" s="0"/>
      <c r="AV248" s="0"/>
      <c r="AW248" s="0"/>
      <c r="AX248" s="0"/>
      <c r="AY248" s="0"/>
      <c r="AZ248" s="0"/>
      <c r="BA248" s="0"/>
      <c r="BB248" s="5"/>
      <c r="BD248" s="0"/>
      <c r="BF248" s="0" t="s">
        <v>442</v>
      </c>
      <c r="BG248" s="0"/>
      <c r="BH248" s="0"/>
      <c r="BI248" s="0"/>
      <c r="BJ248" s="0"/>
      <c r="BK248" s="0"/>
      <c r="BL248" s="0"/>
      <c r="BM248" s="0" t="s">
        <v>18</v>
      </c>
      <c r="BN248" s="0"/>
      <c r="BO248" s="0"/>
      <c r="BP248" s="0"/>
      <c r="BQ248" s="251" t="n">
        <f aca="false">BQ142</f>
        <v>33710</v>
      </c>
      <c r="BR248" s="0"/>
      <c r="BS248" s="261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18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98"/>
      <c r="AU249" s="0"/>
      <c r="AV249" s="0"/>
      <c r="AW249" s="0"/>
      <c r="AX249" s="0"/>
      <c r="AY249" s="0"/>
      <c r="AZ249" s="0"/>
      <c r="BA249" s="0"/>
      <c r="BB249" s="5"/>
      <c r="BD249" s="0"/>
      <c r="BF249" s="0" t="s">
        <v>444</v>
      </c>
      <c r="BG249" s="0"/>
      <c r="BH249" s="0"/>
      <c r="BI249" s="0"/>
      <c r="BJ249" s="0"/>
      <c r="BK249" s="0"/>
      <c r="BL249" s="0"/>
      <c r="BM249" s="0" t="s">
        <v>445</v>
      </c>
      <c r="BN249" s="0"/>
      <c r="BO249" s="0"/>
      <c r="BP249" s="0"/>
      <c r="BQ249" s="98" t="n">
        <v>0</v>
      </c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18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98"/>
      <c r="AU250" s="0"/>
      <c r="AV250" s="0"/>
      <c r="AW250" s="0"/>
      <c r="AX250" s="0"/>
      <c r="AY250" s="0"/>
      <c r="AZ250" s="0"/>
      <c r="BA250" s="0"/>
      <c r="BB250" s="5"/>
      <c r="BD250" s="0"/>
      <c r="BF250" s="0"/>
      <c r="BG250" s="0"/>
      <c r="BH250" s="0"/>
      <c r="BI250" s="0"/>
      <c r="BJ250" s="0"/>
      <c r="BK250" s="0"/>
      <c r="BL250" s="0"/>
      <c r="BM250" s="0" t="s">
        <v>446</v>
      </c>
      <c r="BN250" s="0"/>
      <c r="BO250" s="0"/>
      <c r="BP250" s="0"/>
      <c r="BQ250" s="98" t="n">
        <v>6715</v>
      </c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18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5"/>
      <c r="BD251" s="0"/>
      <c r="BF251" s="0" t="s">
        <v>447</v>
      </c>
      <c r="BG251" s="0"/>
      <c r="BH251" s="0"/>
      <c r="BI251" s="0"/>
      <c r="BJ251" s="0"/>
      <c r="BK251" s="0"/>
      <c r="BL251" s="0"/>
      <c r="BM251" s="0" t="s">
        <v>448</v>
      </c>
      <c r="BN251" s="0"/>
      <c r="BO251" s="0"/>
      <c r="BP251" s="0"/>
      <c r="BQ251" s="98" t="n">
        <v>22627</v>
      </c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18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D252" s="0"/>
      <c r="BF252" s="0" t="s">
        <v>295</v>
      </c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261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18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D253" s="0"/>
      <c r="BF253" s="0" t="s">
        <v>449</v>
      </c>
      <c r="BG253" s="0"/>
      <c r="BH253" s="0"/>
      <c r="BI253" s="0"/>
      <c r="BJ253" s="0"/>
      <c r="BK253" s="0"/>
      <c r="BL253" s="0"/>
      <c r="BM253" s="0" t="s">
        <v>10</v>
      </c>
      <c r="BN253" s="0"/>
      <c r="BO253" s="0"/>
      <c r="BP253" s="0"/>
      <c r="BQ253" s="261" t="n">
        <f aca="false">SUM(BQ245:BQ252)</f>
        <v>173333502.55</v>
      </c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18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D254" s="0"/>
      <c r="BF254" s="0" t="s">
        <v>450</v>
      </c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98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18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D255" s="0"/>
      <c r="BF255" s="0" t="s">
        <v>451</v>
      </c>
      <c r="BG255" s="0"/>
      <c r="BH255" s="0"/>
      <c r="BI255" s="0"/>
      <c r="BJ255" s="0"/>
      <c r="BK255" s="0"/>
      <c r="BL255" s="0"/>
      <c r="BM255" s="0" t="s">
        <v>452</v>
      </c>
      <c r="BN255" s="0"/>
      <c r="BO255" s="0"/>
      <c r="BP255" s="0"/>
      <c r="BQ255" s="98" t="n">
        <f aca="false">BQ241</f>
        <v>173346023.743667</v>
      </c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18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D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98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18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D257" s="0"/>
      <c r="BF257" s="0"/>
      <c r="BG257" s="0"/>
      <c r="BH257" s="0"/>
      <c r="BI257" s="0"/>
      <c r="BJ257" s="0"/>
      <c r="BK257" s="0"/>
      <c r="BL257" s="0"/>
      <c r="BM257" s="0" t="s">
        <v>453</v>
      </c>
      <c r="BN257" s="0"/>
      <c r="BO257" s="0"/>
      <c r="BP257" s="0"/>
      <c r="BQ257" s="261" t="n">
        <f aca="false">BQ253-BQ255</f>
        <v>-12521.1936674714</v>
      </c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18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D258" s="0"/>
      <c r="BF258" s="0" t="s">
        <v>454</v>
      </c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6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18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D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5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18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D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18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D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261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18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D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18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D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18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D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18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D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18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D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18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D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18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D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18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D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18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D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18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D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18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D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18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D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18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D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18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D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18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D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18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D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18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D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18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D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</sheetData>
  <printOptions headings="false" gridLines="false" gridLinesSet="true" horizontalCentered="true" verticalCentered="false"/>
  <pageMargins left="0.179861111111111" right="0" top="0.420138888888889" bottom="0.329861111111111" header="0.511811023622047" footer="0.511811023622047"/>
  <pageSetup paperSize="1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33" colorId="64" zoomScale="80" zoomScaleNormal="80" zoomScalePageLayoutView="100" workbookViewId="0">
      <selection pane="topLeft" activeCell="B143" activeCellId="0" sqref="B1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1.99"/>
    <col collapsed="false" customWidth="true" hidden="tru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0.99"/>
    <col collapsed="false" customWidth="true" hidden="false" outlineLevel="0" max="19" min="19" style="119" width="1.28"/>
    <col collapsed="false" customWidth="true" hidden="true" outlineLevel="0" max="20" min="20" style="122" width="19.56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8.28"/>
    <col collapsed="false" customWidth="true" hidden="true" outlineLevel="0" max="31" min="31" style="110" width="0.85"/>
    <col collapsed="false" customWidth="true" hidden="true" outlineLevel="0" max="32" min="32" style="110" width="17.85"/>
    <col collapsed="false" customWidth="true" hidden="true" outlineLevel="0" max="33" min="33" style="110" width="0.85"/>
    <col collapsed="false" customWidth="true" hidden="true" outlineLevel="0" max="34" min="34" style="110" width="17.28"/>
    <col collapsed="false" customWidth="true" hidden="true" outlineLevel="0" max="35" min="35" style="110" width="0.99"/>
    <col collapsed="false" customWidth="true" hidden="true" outlineLevel="0" max="36" min="36" style="110" width="17.85"/>
    <col collapsed="false" customWidth="true" hidden="true" outlineLevel="0" max="37" min="37" style="110" width="1.41"/>
    <col collapsed="false" customWidth="true" hidden="true" outlineLevel="0" max="38" min="38" style="110" width="18.56"/>
    <col collapsed="false" customWidth="true" hidden="true" outlineLevel="0" max="39" min="39" style="110" width="1.99"/>
    <col collapsed="false" customWidth="true" hidden="true" outlineLevel="0" max="40" min="40" style="110" width="18.56"/>
    <col collapsed="false" customWidth="true" hidden="true" outlineLevel="0" max="41" min="41" style="110" width="1.56"/>
    <col collapsed="false" customWidth="true" hidden="true" outlineLevel="0" max="42" min="42" style="110" width="17.85"/>
    <col collapsed="false" customWidth="true" hidden="true" outlineLevel="0" max="43" min="43" style="110" width="2.7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85"/>
    <col collapsed="false" customWidth="true" hidden="true" outlineLevel="0" max="48" min="48" style="110" width="17.28"/>
    <col collapsed="false" customWidth="true" hidden="true" outlineLevel="0" max="49" min="49" style="110" width="0.85"/>
    <col collapsed="false" customWidth="true" hidden="true" outlineLevel="0" max="50" min="50" style="110" width="17.28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0" width="0.85"/>
    <col collapsed="false" customWidth="true" hidden="true" outlineLevel="0" max="58" min="58" style="110" width="17.85"/>
    <col collapsed="false" customWidth="true" hidden="true" outlineLevel="0" max="59" min="59" style="110" width="0.85"/>
    <col collapsed="false" customWidth="true" hidden="true" outlineLevel="0" max="60" min="60" style="110" width="0.13"/>
    <col collapsed="false" customWidth="true" hidden="true" outlineLevel="0" max="61" min="61" style="110" width="5.56"/>
    <col collapsed="false" customWidth="true" hidden="true" outlineLevel="0" max="62" min="62" style="122" width="18.56"/>
    <col collapsed="false" customWidth="true" hidden="true" outlineLevel="0" max="63" min="63" style="110" width="1.56"/>
    <col collapsed="false" customWidth="true" hidden="true" outlineLevel="0" max="64" min="64" style="122" width="21.56"/>
    <col collapsed="false" customWidth="true" hidden="true" outlineLevel="0" max="65" min="65" style="122" width="2.13"/>
    <col collapsed="false" customWidth="true" hidden="true" outlineLevel="0" max="66" min="66" style="122" width="21.56"/>
    <col collapsed="false" customWidth="true" hidden="false" outlineLevel="0" max="67" min="67" style="122" width="1.13"/>
    <col collapsed="false" customWidth="true" hidden="false" outlineLevel="0" max="68" min="68" style="110" width="20.85"/>
    <col collapsed="false" customWidth="true" hidden="false" outlineLevel="0" max="69" min="69" style="119" width="0.85"/>
    <col collapsed="false" customWidth="true" hidden="false" outlineLevel="0" max="70" min="70" style="122" width="19.14"/>
    <col collapsed="false" customWidth="true" hidden="false" outlineLevel="0" max="71" min="71" style="119" width="0.85"/>
    <col collapsed="false" customWidth="true" hidden="false" outlineLevel="0" max="72" min="72" style="110" width="24.7"/>
    <col collapsed="false" customWidth="true" hidden="false" outlineLevel="0" max="73" min="73" style="110" width="1.7"/>
    <col collapsed="false" customWidth="true" hidden="false" outlineLevel="0" max="74" min="74" style="110" width="20.85"/>
    <col collapsed="false" customWidth="true" hidden="false" outlineLevel="0" max="75" min="75" style="110" width="1.7"/>
    <col collapsed="false" customWidth="true" hidden="false" outlineLevel="0" max="76" min="76" style="110" width="15.85"/>
    <col collapsed="false" customWidth="true" hidden="false" outlineLevel="0" max="77" min="77" style="119" width="0.85"/>
    <col collapsed="false" customWidth="true" hidden="false" outlineLevel="0" max="78" min="78" style="119" width="75.85"/>
    <col collapsed="false" customWidth="false" hidden="false" outlineLevel="0" max="257" min="79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218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3"/>
      <c r="BK1" s="132"/>
      <c r="BL1" s="133"/>
      <c r="BM1" s="133"/>
      <c r="BN1" s="133"/>
      <c r="BO1" s="133"/>
      <c r="BP1" s="135"/>
      <c r="BQ1" s="131"/>
      <c r="BR1" s="133"/>
      <c r="BS1" s="131"/>
      <c r="BT1" s="135"/>
      <c r="BU1" s="135"/>
      <c r="BV1" s="135"/>
      <c r="BW1" s="135"/>
      <c r="BX1" s="132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218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3"/>
      <c r="BK2" s="132"/>
      <c r="BL2" s="133"/>
      <c r="BM2" s="133"/>
      <c r="BN2" s="133"/>
      <c r="BO2" s="133"/>
      <c r="BP2" s="132"/>
      <c r="BQ2" s="131"/>
      <c r="BR2" s="133"/>
      <c r="BS2" s="131"/>
      <c r="BT2" s="132"/>
      <c r="BU2" s="132"/>
      <c r="BV2" s="132"/>
      <c r="BW2" s="132"/>
      <c r="BX2" s="136" t="str">
        <f aca="true">CELL("filename")</f>
        <v>'file:///mnt/12tb/@roms/datasets/enron/EDRM Enron Email Data Set v2 XML/filtered-attachments/xls/2000_Weekly_Report___112000.xls'#$Wheatland</v>
      </c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83</v>
      </c>
      <c r="B3" s="125"/>
      <c r="C3" s="218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3"/>
      <c r="BK3" s="132"/>
      <c r="BL3" s="133"/>
      <c r="BM3" s="133"/>
      <c r="BN3" s="133"/>
      <c r="BO3" s="133"/>
      <c r="BP3" s="141"/>
      <c r="BQ3" s="131"/>
      <c r="BR3" s="133"/>
      <c r="BS3" s="131"/>
      <c r="BT3" s="141" t="n">
        <f aca="true">NOW()</f>
        <v>45926.9291519093</v>
      </c>
      <c r="BU3" s="131"/>
      <c r="BV3" s="141"/>
      <c r="BW3" s="131"/>
      <c r="BX3" s="135" t="str">
        <f aca="false">Summary!A5</f>
        <v>Revision # 68</v>
      </c>
      <c r="BY3" s="131"/>
      <c r="BZ3" s="131" t="str">
        <f aca="false">Summary!A5</f>
        <v>Revision # 68</v>
      </c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Summary!C15</f>
        <v>470</v>
      </c>
      <c r="C4" s="0"/>
      <c r="D4" s="131"/>
      <c r="E4" s="131"/>
      <c r="F4" s="131"/>
      <c r="G4" s="144"/>
      <c r="H4" s="131"/>
      <c r="I4" s="131"/>
      <c r="J4" s="221" t="s">
        <v>78</v>
      </c>
      <c r="K4" s="131"/>
      <c r="L4" s="145"/>
      <c r="M4" s="131"/>
      <c r="N4" s="133"/>
      <c r="O4" s="146" t="s">
        <v>138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47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E4" s="147"/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47"/>
      <c r="BN4" s="147" t="s">
        <v>69</v>
      </c>
      <c r="BO4" s="147"/>
      <c r="BP4" s="148"/>
      <c r="BQ4" s="131"/>
      <c r="BR4" s="147" t="s">
        <v>139</v>
      </c>
      <c r="BS4" s="131"/>
      <c r="BT4" s="148"/>
      <c r="BU4" s="131"/>
      <c r="BV4" s="148"/>
      <c r="BW4" s="131"/>
      <c r="BX4" s="148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tr">
        <f aca="false">Summary!A5</f>
        <v>Revision # 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140</v>
      </c>
      <c r="M5" s="131"/>
      <c r="N5" s="147" t="s">
        <v>141</v>
      </c>
      <c r="O5" s="146"/>
      <c r="P5" s="147" t="s">
        <v>142</v>
      </c>
      <c r="Q5" s="131"/>
      <c r="R5" s="148" t="s">
        <v>141</v>
      </c>
      <c r="S5" s="131"/>
      <c r="T5" s="147" t="s">
        <v>72</v>
      </c>
      <c r="U5" s="134"/>
      <c r="V5" s="147" t="s">
        <v>143</v>
      </c>
      <c r="W5" s="133"/>
      <c r="X5" s="147" t="s">
        <v>143</v>
      </c>
      <c r="Y5" s="133"/>
      <c r="Z5" s="147" t="s">
        <v>143</v>
      </c>
      <c r="AA5" s="133"/>
      <c r="AB5" s="147" t="s">
        <v>143</v>
      </c>
      <c r="AC5" s="133"/>
      <c r="AD5" s="147" t="s">
        <v>143</v>
      </c>
      <c r="AE5" s="133"/>
      <c r="AF5" s="147" t="s">
        <v>143</v>
      </c>
      <c r="AG5" s="133"/>
      <c r="AH5" s="147" t="s">
        <v>143</v>
      </c>
      <c r="AI5" s="133"/>
      <c r="AJ5" s="147" t="s">
        <v>143</v>
      </c>
      <c r="AK5" s="133"/>
      <c r="AL5" s="147" t="s">
        <v>143</v>
      </c>
      <c r="AM5" s="133"/>
      <c r="AN5" s="147" t="s">
        <v>143</v>
      </c>
      <c r="AO5" s="133"/>
      <c r="AP5" s="147" t="s">
        <v>143</v>
      </c>
      <c r="AQ5" s="133"/>
      <c r="AR5" s="147" t="s">
        <v>143</v>
      </c>
      <c r="AS5" s="133"/>
      <c r="AT5" s="147" t="s">
        <v>143</v>
      </c>
      <c r="AU5" s="147"/>
      <c r="AV5" s="147" t="s">
        <v>143</v>
      </c>
      <c r="AW5" s="147"/>
      <c r="AX5" s="147" t="s">
        <v>143</v>
      </c>
      <c r="AY5" s="147"/>
      <c r="AZ5" s="147" t="s">
        <v>143</v>
      </c>
      <c r="BA5" s="147"/>
      <c r="BB5" s="147" t="s">
        <v>143</v>
      </c>
      <c r="BC5" s="147"/>
      <c r="BD5" s="147" t="s">
        <v>143</v>
      </c>
      <c r="BE5" s="147"/>
      <c r="BF5" s="147" t="s">
        <v>143</v>
      </c>
      <c r="BG5" s="147"/>
      <c r="BH5" s="147" t="s">
        <v>143</v>
      </c>
      <c r="BI5" s="147"/>
      <c r="BJ5" s="147" t="s">
        <v>143</v>
      </c>
      <c r="BK5" s="147"/>
      <c r="BL5" s="147" t="s">
        <v>143</v>
      </c>
      <c r="BM5" s="147"/>
      <c r="BN5" s="147" t="s">
        <v>143</v>
      </c>
      <c r="BO5" s="147"/>
      <c r="BP5" s="148" t="s">
        <v>72</v>
      </c>
      <c r="BQ5" s="131"/>
      <c r="BR5" s="147" t="s">
        <v>142</v>
      </c>
      <c r="BS5" s="131"/>
      <c r="BT5" s="148" t="s">
        <v>144</v>
      </c>
      <c r="BU5" s="131"/>
      <c r="BV5" s="148" t="s">
        <v>145</v>
      </c>
      <c r="BW5" s="131"/>
      <c r="BX5" s="148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147</v>
      </c>
      <c r="D6" s="131"/>
      <c r="E6" s="151" t="s">
        <v>148</v>
      </c>
      <c r="F6" s="131"/>
      <c r="G6" s="151" t="s">
        <v>149</v>
      </c>
      <c r="H6" s="131"/>
      <c r="I6" s="151" t="s">
        <v>150</v>
      </c>
      <c r="J6" s="152"/>
      <c r="K6" s="131"/>
      <c r="L6" s="153" t="s">
        <v>151</v>
      </c>
      <c r="M6" s="131"/>
      <c r="N6" s="154" t="s">
        <v>152</v>
      </c>
      <c r="O6" s="146"/>
      <c r="P6" s="154" t="s">
        <v>153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n">
        <v>36433</v>
      </c>
      <c r="AM6" s="145"/>
      <c r="AN6" s="153" t="n">
        <v>36464</v>
      </c>
      <c r="AO6" s="145"/>
      <c r="AP6" s="153" t="n">
        <v>36494</v>
      </c>
      <c r="AQ6" s="145"/>
      <c r="AR6" s="153" t="n">
        <v>36525</v>
      </c>
      <c r="AS6" s="145"/>
      <c r="AT6" s="153" t="n">
        <v>36556</v>
      </c>
      <c r="AU6" s="150"/>
      <c r="AV6" s="153" t="n">
        <v>36585</v>
      </c>
      <c r="AW6" s="150"/>
      <c r="AX6" s="153" t="n">
        <v>36616</v>
      </c>
      <c r="AY6" s="150"/>
      <c r="AZ6" s="153" t="n">
        <v>36646</v>
      </c>
      <c r="BA6" s="150"/>
      <c r="BB6" s="153" t="n">
        <v>36677</v>
      </c>
      <c r="BC6" s="150"/>
      <c r="BD6" s="153" t="n">
        <v>36707</v>
      </c>
      <c r="BE6" s="150"/>
      <c r="BF6" s="153" t="n">
        <v>36738</v>
      </c>
      <c r="BG6" s="150"/>
      <c r="BH6" s="153" t="n">
        <v>36769</v>
      </c>
      <c r="BI6" s="150"/>
      <c r="BJ6" s="153" t="n">
        <v>36799</v>
      </c>
      <c r="BK6" s="150"/>
      <c r="BL6" s="153" t="n">
        <v>36830</v>
      </c>
      <c r="BM6" s="153"/>
      <c r="BN6" s="153" t="n">
        <v>36860</v>
      </c>
      <c r="BO6" s="153"/>
      <c r="BP6" s="156" t="s">
        <v>154</v>
      </c>
      <c r="BQ6" s="131"/>
      <c r="BR6" s="153" t="s">
        <v>153</v>
      </c>
      <c r="BS6" s="131"/>
      <c r="BT6" s="156" t="s">
        <v>155</v>
      </c>
      <c r="BU6" s="131"/>
      <c r="BV6" s="156" t="s">
        <v>156</v>
      </c>
      <c r="BW6" s="131"/>
      <c r="BX6" s="156" t="s">
        <v>157</v>
      </c>
      <c r="BY6" s="131"/>
      <c r="BZ6" s="156" t="s">
        <v>158</v>
      </c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11/17/00</v>
      </c>
      <c r="U7" s="134"/>
      <c r="V7" s="147" t="str">
        <f aca="false">+Summary!$O$4</f>
        <v> As of 11/17/00</v>
      </c>
      <c r="W7" s="133"/>
      <c r="X7" s="147" t="str">
        <f aca="false">+Summary!$O$4</f>
        <v> As of 11/17/00</v>
      </c>
      <c r="Y7" s="133"/>
      <c r="Z7" s="147" t="str">
        <f aca="false">+Summary!$O$4</f>
        <v> As of 11/17/00</v>
      </c>
      <c r="AA7" s="133"/>
      <c r="AB7" s="147" t="str">
        <f aca="false">+Summary!$O$4</f>
        <v> As of 11/17/00</v>
      </c>
      <c r="AC7" s="133"/>
      <c r="AD7" s="147" t="str">
        <f aca="false">+Summary!$O$4</f>
        <v> As of 11/17/00</v>
      </c>
      <c r="AE7" s="133"/>
      <c r="AF7" s="147" t="str">
        <f aca="false">+Summary!$O$4</f>
        <v> As of 11/17/00</v>
      </c>
      <c r="AG7" s="133"/>
      <c r="AH7" s="147" t="str">
        <f aca="false">+Summary!$O$4</f>
        <v> As of 11/17/00</v>
      </c>
      <c r="AI7" s="133"/>
      <c r="AJ7" s="147" t="str">
        <f aca="false">+Summary!$O$4</f>
        <v> As of 11/17/00</v>
      </c>
      <c r="AK7" s="133"/>
      <c r="AL7" s="147" t="str">
        <f aca="false">+Summary!$O$4</f>
        <v> As of 11/17/00</v>
      </c>
      <c r="AM7" s="133"/>
      <c r="AN7" s="147" t="str">
        <f aca="false">+Summary!$O$4</f>
        <v> As of 11/17/00</v>
      </c>
      <c r="AO7" s="133"/>
      <c r="AP7" s="147" t="str">
        <f aca="false">+Summary!$O$4</f>
        <v> As of 11/17/00</v>
      </c>
      <c r="AQ7" s="133"/>
      <c r="AR7" s="147" t="str">
        <f aca="false">+Summary!$O$4</f>
        <v> As of 11/17/00</v>
      </c>
      <c r="AS7" s="133"/>
      <c r="AT7" s="147" t="str">
        <f aca="false">+Summary!$O$4</f>
        <v> As of 11/17/00</v>
      </c>
      <c r="AU7" s="147"/>
      <c r="AV7" s="147" t="str">
        <f aca="false">+Summary!$O$4</f>
        <v> As of 11/17/00</v>
      </c>
      <c r="AW7" s="147"/>
      <c r="AX7" s="147" t="str">
        <f aca="false">+Summary!$O$4</f>
        <v> As of 11/17/00</v>
      </c>
      <c r="AY7" s="147"/>
      <c r="AZ7" s="147" t="str">
        <f aca="false">+Summary!$O$4</f>
        <v> As of 11/17/00</v>
      </c>
      <c r="BA7" s="147"/>
      <c r="BB7" s="147" t="str">
        <f aca="false">+Summary!$O$4</f>
        <v> As of 11/17/00</v>
      </c>
      <c r="BC7" s="147"/>
      <c r="BD7" s="147" t="str">
        <f aca="false">+Summary!$O$4</f>
        <v> As of 11/17/00</v>
      </c>
      <c r="BE7" s="147"/>
      <c r="BF7" s="147" t="str">
        <f aca="false">+Summary!$O$4</f>
        <v> As of 11/17/00</v>
      </c>
      <c r="BG7" s="147"/>
      <c r="BH7" s="147" t="str">
        <f aca="false">+Summary!$O$4</f>
        <v> As of 11/17/00</v>
      </c>
      <c r="BI7" s="147"/>
      <c r="BJ7" s="147" t="str">
        <f aca="false">+Summary!$O$4</f>
        <v> As of 11/17/00</v>
      </c>
      <c r="BK7" s="147"/>
      <c r="BL7" s="147" t="str">
        <f aca="false">+Summary!$O$4</f>
        <v> As of 11/17/00</v>
      </c>
      <c r="BM7" s="147"/>
      <c r="BN7" s="147" t="str">
        <f aca="false">+Summary!$O$4</f>
        <v> As of 11/17/00</v>
      </c>
      <c r="BO7" s="147"/>
      <c r="BP7" s="148" t="str">
        <f aca="false">+Summary!$O$4</f>
        <v> As of 11/17/00</v>
      </c>
      <c r="BQ7" s="131"/>
      <c r="BR7" s="159" t="str">
        <f aca="false">+Summary!$O$4</f>
        <v> As of 11/17/00</v>
      </c>
      <c r="BS7" s="131"/>
      <c r="BT7" s="148"/>
      <c r="BU7" s="131"/>
      <c r="BV7" s="148"/>
      <c r="BW7" s="131"/>
      <c r="BX7" s="148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159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J8" s="110"/>
      <c r="BL8" s="110"/>
      <c r="BM8" s="110"/>
      <c r="BN8" s="110"/>
      <c r="BO8" s="110"/>
      <c r="BQ8" s="110"/>
      <c r="BR8" s="110"/>
      <c r="BS8" s="110"/>
      <c r="BY8" s="110"/>
    </row>
    <row r="9" customFormat="false" ht="12.75" hidden="false" customHeight="false" outlineLevel="0" collapsed="false">
      <c r="A9" s="164"/>
      <c r="B9" s="161" t="s">
        <v>455</v>
      </c>
      <c r="C9" s="0"/>
      <c r="D9" s="0"/>
      <c r="E9" s="0"/>
      <c r="F9" s="0"/>
      <c r="G9" s="0"/>
      <c r="H9" s="0"/>
      <c r="I9" s="0"/>
      <c r="J9" s="4" t="s">
        <v>141</v>
      </c>
      <c r="K9" s="0"/>
      <c r="L9" s="34" t="s">
        <v>151</v>
      </c>
      <c r="M9" s="110"/>
      <c r="N9" s="110" t="n">
        <v>0</v>
      </c>
      <c r="O9" s="110"/>
      <c r="P9" s="110" t="n">
        <v>0</v>
      </c>
      <c r="Q9" s="110"/>
      <c r="R9" s="110" t="n">
        <v>85821500</v>
      </c>
      <c r="S9" s="110"/>
      <c r="T9" s="110" t="n">
        <v>16673400</v>
      </c>
      <c r="U9" s="110"/>
      <c r="V9" s="110" t="n">
        <v>43401650</v>
      </c>
      <c r="X9" s="110" t="n">
        <v>4291075</v>
      </c>
      <c r="Z9" s="110"/>
      <c r="AB9" s="110" t="n">
        <v>4291075</v>
      </c>
      <c r="AD9" s="110" t="n">
        <f aca="false">8617667-35517</f>
        <v>8582150</v>
      </c>
      <c r="AF9" s="110" t="n">
        <v>0</v>
      </c>
      <c r="AH9" s="110" t="n">
        <v>0</v>
      </c>
      <c r="AJ9" s="110" t="n">
        <v>318420.9</v>
      </c>
      <c r="AL9" s="110" t="n">
        <v>0</v>
      </c>
      <c r="AN9" s="110" t="n">
        <v>0</v>
      </c>
      <c r="AP9" s="110" t="n">
        <v>39600</v>
      </c>
      <c r="AR9" s="110" t="n">
        <v>1077741.26</v>
      </c>
      <c r="AT9" s="110" t="n">
        <v>1077741.26</v>
      </c>
      <c r="AV9" s="110" t="n">
        <f aca="false">1077741.26*2</f>
        <v>2155482.52</v>
      </c>
      <c r="AX9" s="110" t="n">
        <v>0</v>
      </c>
      <c r="AZ9" s="110" t="n">
        <v>0</v>
      </c>
      <c r="BB9" s="110" t="n">
        <v>0</v>
      </c>
      <c r="BD9" s="110" t="n">
        <f aca="false">592658.8+3218306.1</f>
        <v>3810964.9</v>
      </c>
      <c r="BF9" s="110" t="n">
        <v>0</v>
      </c>
      <c r="BH9" s="110" t="n">
        <v>0</v>
      </c>
      <c r="BJ9" s="110" t="n">
        <v>0</v>
      </c>
      <c r="BL9" s="110" t="n">
        <v>0</v>
      </c>
      <c r="BM9" s="110"/>
      <c r="BN9" s="110" t="n">
        <v>0</v>
      </c>
      <c r="BO9" s="110"/>
      <c r="BP9" s="110" t="n">
        <f aca="false">SUM(T9:BO9)</f>
        <v>85719300.84</v>
      </c>
      <c r="BQ9" s="110"/>
      <c r="BR9" s="110" t="n">
        <f aca="false">353801-22200+66200</f>
        <v>397801</v>
      </c>
      <c r="BS9" s="110"/>
      <c r="BT9" s="110" t="n">
        <f aca="false">IF(+R9-BP9+BR9&gt;0,R9-BP9+BR9,0)</f>
        <v>500000.159999996</v>
      </c>
      <c r="BV9" s="110" t="n">
        <f aca="false">+BP9+BT9</f>
        <v>86219301</v>
      </c>
      <c r="BX9" s="110" t="n">
        <f aca="false">+R9-BV9</f>
        <v>-397801</v>
      </c>
      <c r="BY9" s="110"/>
    </row>
    <row r="10" customFormat="false" ht="12.75" hidden="false" customHeight="false" outlineLevel="0" collapsed="false">
      <c r="A10" s="164"/>
      <c r="B10" s="161" t="s">
        <v>128</v>
      </c>
      <c r="C10" s="0"/>
      <c r="D10" s="0"/>
      <c r="E10" s="0"/>
      <c r="F10" s="0"/>
      <c r="G10" s="0"/>
      <c r="H10" s="0"/>
      <c r="I10" s="0"/>
      <c r="J10" s="4" t="s">
        <v>141</v>
      </c>
      <c r="K10" s="0"/>
      <c r="L10" s="34" t="s">
        <v>151</v>
      </c>
      <c r="M10" s="110"/>
      <c r="N10" s="110" t="n">
        <v>93330000</v>
      </c>
      <c r="O10" s="110"/>
      <c r="P10" s="110" t="n">
        <v>0</v>
      </c>
      <c r="Q10" s="110"/>
      <c r="R10" s="110" t="n">
        <v>100000</v>
      </c>
      <c r="S10" s="110"/>
      <c r="T10" s="110"/>
      <c r="U10" s="110"/>
      <c r="V10" s="110"/>
      <c r="X10" s="110"/>
      <c r="Z10" s="110"/>
      <c r="AB10" s="110"/>
      <c r="AD10" s="110" t="n">
        <v>35517</v>
      </c>
      <c r="AF10" s="110" t="n">
        <v>0</v>
      </c>
      <c r="AH10" s="110" t="n">
        <v>0</v>
      </c>
      <c r="AJ10" s="110" t="n">
        <v>0</v>
      </c>
      <c r="AL10" s="110" t="n">
        <v>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633171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/>
      <c r="BN10" s="110" t="n">
        <v>0</v>
      </c>
      <c r="BO10" s="110"/>
      <c r="BP10" s="110" t="n">
        <f aca="false">SUM(T10:BO10)</f>
        <v>668688</v>
      </c>
      <c r="BQ10" s="110"/>
      <c r="BR10" s="110" t="n">
        <f aca="false">35517+533171</f>
        <v>568688</v>
      </c>
      <c r="BS10" s="110"/>
      <c r="BT10" s="110" t="n">
        <f aca="false">IF(+R10-BP10+BR10&gt;0,R10-BP10+BR10,0)</f>
        <v>0</v>
      </c>
      <c r="BV10" s="110" t="n">
        <f aca="false">+BP10+BT10</f>
        <v>668688</v>
      </c>
      <c r="BX10" s="110" t="n">
        <f aca="false">+R10-BV10</f>
        <v>-568688</v>
      </c>
      <c r="BY10" s="110"/>
    </row>
    <row r="11" customFormat="false" ht="12.75" hidden="false" customHeight="false" outlineLevel="0" collapsed="false">
      <c r="A11" s="164"/>
      <c r="B11" s="161"/>
      <c r="C11" s="0"/>
      <c r="D11" s="0"/>
      <c r="E11" s="0"/>
      <c r="F11" s="0"/>
      <c r="G11" s="0"/>
      <c r="H11" s="0"/>
      <c r="I11" s="0"/>
      <c r="J11" s="4"/>
      <c r="K11" s="0"/>
      <c r="L11" s="34"/>
      <c r="M11" s="110"/>
      <c r="O11" s="110"/>
      <c r="Q11" s="110"/>
      <c r="S11" s="110"/>
      <c r="T11" s="110"/>
      <c r="U11" s="110"/>
      <c r="V11" s="110"/>
      <c r="X11" s="110"/>
      <c r="Z11" s="110"/>
      <c r="AB11" s="110"/>
      <c r="AD11" s="110"/>
      <c r="BJ11" s="110"/>
      <c r="BL11" s="110"/>
      <c r="BM11" s="110"/>
      <c r="BN11" s="110"/>
      <c r="BO11" s="110"/>
      <c r="BQ11" s="110"/>
      <c r="BR11" s="110"/>
      <c r="BS11" s="110"/>
      <c r="BX11" s="110" t="n">
        <f aca="false">+R11-BV11</f>
        <v>0</v>
      </c>
      <c r="BY11" s="110"/>
    </row>
    <row r="12" customFormat="false" ht="12.75" hidden="false" customHeight="false" outlineLevel="0" collapsed="false">
      <c r="A12" s="164"/>
      <c r="B12" s="161" t="s">
        <v>315</v>
      </c>
      <c r="C12" s="0"/>
      <c r="D12" s="0"/>
      <c r="E12" s="0"/>
      <c r="F12" s="0"/>
      <c r="G12" s="0"/>
      <c r="H12" s="0"/>
      <c r="I12" s="0"/>
      <c r="J12" s="4"/>
      <c r="K12" s="0"/>
      <c r="L12" s="34"/>
      <c r="M12" s="110"/>
      <c r="N12" s="165" t="n">
        <f aca="false">SUM(N9:N11)</f>
        <v>93330000</v>
      </c>
      <c r="O12" s="110"/>
      <c r="P12" s="165" t="n">
        <f aca="false">SUM(P9:P11)</f>
        <v>0</v>
      </c>
      <c r="Q12" s="110"/>
      <c r="R12" s="165" t="n">
        <f aca="false">SUM(R9:R11)</f>
        <v>85921500</v>
      </c>
      <c r="S12" s="110"/>
      <c r="T12" s="165" t="n">
        <f aca="false">SUM(T9:T11)</f>
        <v>16673400</v>
      </c>
      <c r="U12" s="110"/>
      <c r="V12" s="165" t="n">
        <f aca="false">SUM(V9:V11)</f>
        <v>43401650</v>
      </c>
      <c r="X12" s="165" t="n">
        <f aca="false">SUM(X9:X11)</f>
        <v>4291075</v>
      </c>
      <c r="Z12" s="165" t="n">
        <f aca="false">SUM(Z9:Z11)</f>
        <v>0</v>
      </c>
      <c r="AB12" s="165" t="n">
        <f aca="false">SUM(AB9:AB11)</f>
        <v>4291075</v>
      </c>
      <c r="AD12" s="165" t="n">
        <f aca="false">SUM(AD9:AD11)</f>
        <v>8617667</v>
      </c>
      <c r="AF12" s="165" t="n">
        <f aca="false">SUM(AF9:AF11)</f>
        <v>0</v>
      </c>
      <c r="AH12" s="165" t="n">
        <f aca="false">SUM(AH9:AH11)</f>
        <v>0</v>
      </c>
      <c r="AJ12" s="165" t="n">
        <f aca="false">SUM(AJ9:AJ11)</f>
        <v>318420.9</v>
      </c>
      <c r="AL12" s="165" t="n">
        <f aca="false">SUM(AL9:AL11)</f>
        <v>0</v>
      </c>
      <c r="AN12" s="165" t="n">
        <f aca="false">SUM(AN9:AN11)</f>
        <v>0</v>
      </c>
      <c r="AP12" s="165" t="n">
        <f aca="false">SUM(AP9:AP11)</f>
        <v>39600</v>
      </c>
      <c r="AR12" s="165" t="n">
        <f aca="false">SUM(AR9:AR11)</f>
        <v>1077741.26</v>
      </c>
      <c r="AT12" s="165" t="n">
        <f aca="false">SUM(AT9:AT11)</f>
        <v>1077741.26</v>
      </c>
      <c r="AV12" s="165" t="n">
        <f aca="false">SUM(AV9:AV11)</f>
        <v>2155482.52</v>
      </c>
      <c r="AX12" s="165" t="n">
        <f aca="false">SUM(AX9:AX11)</f>
        <v>0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4444135.9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L12" s="165" t="n">
        <f aca="false">SUM(BL9:BL11)</f>
        <v>0</v>
      </c>
      <c r="BM12" s="165"/>
      <c r="BN12" s="165" t="n">
        <f aca="false">SUM(BN9:BN11)</f>
        <v>0</v>
      </c>
      <c r="BO12" s="165"/>
      <c r="BP12" s="165" t="n">
        <f aca="false">SUM(BP9:BP11)</f>
        <v>86387988.84</v>
      </c>
      <c r="BQ12" s="110"/>
      <c r="BR12" s="165" t="n">
        <f aca="false">SUM(BR9:BR11)</f>
        <v>966489</v>
      </c>
      <c r="BS12" s="110"/>
      <c r="BT12" s="165" t="n">
        <f aca="false">SUM(BT9:BT11)</f>
        <v>500000.159999996</v>
      </c>
      <c r="BV12" s="165" t="n">
        <f aca="false">SUM(BV9:BV11)</f>
        <v>86887989</v>
      </c>
      <c r="BX12" s="165" t="n">
        <f aca="false">SUM(BX9:BX11)</f>
        <v>-966489</v>
      </c>
      <c r="BY12" s="110"/>
    </row>
    <row r="13" customFormat="false" ht="12.75" hidden="false" customHeight="false" outlineLevel="0" collapsed="false">
      <c r="A13" s="164"/>
      <c r="B13" s="161"/>
      <c r="C13" s="0"/>
      <c r="D13" s="0"/>
      <c r="E13" s="0"/>
      <c r="F13" s="0"/>
      <c r="G13" s="0"/>
      <c r="H13" s="0"/>
      <c r="I13" s="0"/>
      <c r="J13" s="4"/>
      <c r="K13" s="0"/>
      <c r="L13" s="34"/>
      <c r="M13" s="110"/>
      <c r="O13" s="110"/>
      <c r="Q13" s="110"/>
      <c r="S13" s="110"/>
      <c r="T13" s="110"/>
      <c r="U13" s="110"/>
      <c r="V13" s="110"/>
      <c r="X13" s="110"/>
      <c r="Z13" s="110"/>
      <c r="AB13" s="110"/>
      <c r="AD13" s="110"/>
      <c r="BJ13" s="110"/>
      <c r="BL13" s="110"/>
      <c r="BM13" s="110"/>
      <c r="BN13" s="110"/>
      <c r="BO13" s="110"/>
      <c r="BQ13" s="110"/>
      <c r="BR13" s="110"/>
      <c r="BS13" s="110"/>
      <c r="BY13" s="110"/>
    </row>
    <row r="14" customFormat="false" ht="12.75" hidden="true" customHeight="false" outlineLevel="0" collapsed="false">
      <c r="A14" s="164"/>
      <c r="B14" s="161" t="s">
        <v>162</v>
      </c>
      <c r="C14" s="0"/>
      <c r="D14" s="0"/>
      <c r="E14" s="0"/>
      <c r="F14" s="0"/>
      <c r="G14" s="0"/>
      <c r="H14" s="0"/>
      <c r="I14" s="0"/>
      <c r="J14" s="4"/>
      <c r="K14" s="0"/>
      <c r="L14" s="34" t="s">
        <v>151</v>
      </c>
      <c r="M14" s="110"/>
      <c r="N14" s="110" t="n">
        <v>0</v>
      </c>
      <c r="O14" s="110"/>
      <c r="P14" s="110" t="n">
        <v>0</v>
      </c>
      <c r="Q14" s="110"/>
      <c r="R14" s="110" t="n">
        <f aca="false">+N14+P14</f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J14" s="110" t="n">
        <v>0</v>
      </c>
      <c r="AL14" s="110" t="n">
        <v>0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L14" s="110" t="n">
        <v>0</v>
      </c>
      <c r="BM14" s="110"/>
      <c r="BN14" s="110" t="n">
        <v>0</v>
      </c>
      <c r="BO14" s="110"/>
      <c r="BP14" s="110" t="n">
        <f aca="false">SUM(T14:BL14)</f>
        <v>0</v>
      </c>
      <c r="BQ14" s="110"/>
      <c r="BR14" s="110" t="n">
        <v>0</v>
      </c>
      <c r="BS14" s="110"/>
      <c r="BT14" s="110" t="n">
        <f aca="false">+R14-BP14+BR14</f>
        <v>0</v>
      </c>
      <c r="BV14" s="110" t="n">
        <f aca="false">+BP14+BT14</f>
        <v>0</v>
      </c>
      <c r="BX14" s="110" t="n">
        <f aca="false">+R14-BV14</f>
        <v>0</v>
      </c>
      <c r="BY14" s="110"/>
    </row>
    <row r="15" customFormat="false" ht="12.75" hidden="false" customHeight="false" outlineLevel="0" collapsed="false">
      <c r="A15" s="164"/>
      <c r="B15" s="161" t="s">
        <v>163</v>
      </c>
      <c r="C15" s="0"/>
      <c r="D15" s="0"/>
      <c r="E15" s="0"/>
      <c r="F15" s="0"/>
      <c r="G15" s="0"/>
      <c r="H15" s="0"/>
      <c r="I15" s="0"/>
      <c r="J15" s="4" t="s">
        <v>141</v>
      </c>
      <c r="K15" s="0"/>
      <c r="L15" s="34" t="s">
        <v>151</v>
      </c>
      <c r="M15" s="110"/>
      <c r="N15" s="110" t="n">
        <v>0</v>
      </c>
      <c r="O15" s="110"/>
      <c r="P15" s="110" t="n">
        <v>0</v>
      </c>
      <c r="Q15" s="110"/>
      <c r="R15" s="110" t="n">
        <v>3949654</v>
      </c>
      <c r="S15" s="110"/>
      <c r="T15" s="110" t="n">
        <v>0</v>
      </c>
      <c r="U15" s="110"/>
      <c r="V15" s="110"/>
      <c r="X15" s="110" t="n">
        <v>0</v>
      </c>
      <c r="Z15" s="110" t="n">
        <v>0</v>
      </c>
      <c r="AB15" s="110" t="n">
        <v>0</v>
      </c>
      <c r="AD15" s="110" t="n">
        <v>0</v>
      </c>
      <c r="AF15" s="110" t="n">
        <v>0</v>
      </c>
      <c r="AH15" s="110" t="n">
        <v>197482.7</v>
      </c>
      <c r="AJ15" s="110" t="n">
        <v>350000</v>
      </c>
      <c r="AL15" s="110" t="n">
        <v>935</v>
      </c>
      <c r="AN15" s="110" t="n">
        <v>595253.1</v>
      </c>
      <c r="AP15" s="110" t="n">
        <v>0</v>
      </c>
      <c r="AR15" s="110" t="n">
        <v>1190506.2</v>
      </c>
      <c r="AT15" s="110" t="n">
        <v>1190506.2</v>
      </c>
      <c r="AV15" s="110" t="n">
        <v>0</v>
      </c>
      <c r="AX15" s="110" t="n">
        <f aca="false">1587342-975006-215500</f>
        <v>396836</v>
      </c>
      <c r="AZ15" s="110" t="n">
        <v>0</v>
      </c>
      <c r="BB15" s="110" t="n">
        <v>396835.4</v>
      </c>
      <c r="BD15" s="110" t="n">
        <v>0</v>
      </c>
      <c r="BF15" s="110" t="n">
        <v>0</v>
      </c>
      <c r="BH15" s="110" t="n">
        <v>0</v>
      </c>
      <c r="BJ15" s="110" t="n">
        <v>0</v>
      </c>
      <c r="BL15" s="110" t="n">
        <v>0</v>
      </c>
      <c r="BM15" s="110"/>
      <c r="BN15" s="110" t="n">
        <v>0</v>
      </c>
      <c r="BO15" s="110"/>
      <c r="BP15" s="110" t="n">
        <f aca="false">SUM(T15:BO15)</f>
        <v>4318354.6</v>
      </c>
      <c r="BQ15" s="110"/>
      <c r="BR15" s="110" t="n">
        <f aca="false">3968354-3949654+215500</f>
        <v>234200</v>
      </c>
      <c r="BS15" s="110"/>
      <c r="BT15" s="110" t="n">
        <f aca="false">IF(+R15-BP15+BR15&gt;0,R15-BP15+BR15,0)</f>
        <v>0</v>
      </c>
      <c r="BV15" s="110" t="n">
        <f aca="false">+BP15+BT15</f>
        <v>4318354.6</v>
      </c>
      <c r="BX15" s="110" t="n">
        <f aca="false">+R15-BV15</f>
        <v>-368700.6</v>
      </c>
      <c r="BY15" s="110"/>
    </row>
    <row r="16" customFormat="false" ht="12.75" hidden="false" customHeight="false" outlineLevel="0" collapsed="false">
      <c r="A16" s="164"/>
      <c r="B16" s="161" t="s">
        <v>456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O16" s="110"/>
      <c r="Q16" s="110"/>
      <c r="R16" s="110" t="n">
        <v>412400</v>
      </c>
      <c r="S16" s="110"/>
      <c r="T16" s="110"/>
      <c r="U16" s="110"/>
      <c r="V16" s="110"/>
      <c r="X16" s="110"/>
      <c r="Z16" s="110"/>
      <c r="AB16" s="110"/>
      <c r="AD16" s="110"/>
      <c r="AH16" s="110" t="n">
        <v>62400</v>
      </c>
      <c r="AN16" s="110" t="n">
        <v>59780</v>
      </c>
      <c r="AX16" s="110" t="n">
        <v>215500</v>
      </c>
      <c r="BJ16" s="110"/>
      <c r="BL16" s="110"/>
      <c r="BM16" s="110"/>
      <c r="BN16" s="110"/>
      <c r="BO16" s="110"/>
      <c r="BP16" s="110" t="n">
        <f aca="false">SUM(T16:BO16)</f>
        <v>337680</v>
      </c>
      <c r="BQ16" s="110"/>
      <c r="BR16" s="110" t="n">
        <v>59780</v>
      </c>
      <c r="BS16" s="110"/>
      <c r="BT16" s="110" t="n">
        <f aca="false">IF(+R16-BP16+BR16&gt;0,R16-BP16+BR16,0)</f>
        <v>134500</v>
      </c>
      <c r="BV16" s="110" t="n">
        <f aca="false">+BP16+BT16</f>
        <v>472180</v>
      </c>
      <c r="BX16" s="110" t="n">
        <f aca="false">+R16-BV16</f>
        <v>-59780</v>
      </c>
      <c r="BY16" s="110"/>
    </row>
    <row r="17" customFormat="false" ht="12.75" hidden="false" customHeight="false" outlineLevel="0" collapsed="false">
      <c r="A17" s="164"/>
      <c r="B17" s="161" t="s">
        <v>164</v>
      </c>
      <c r="C17" s="0"/>
      <c r="D17" s="0"/>
      <c r="E17" s="0"/>
      <c r="F17" s="0"/>
      <c r="G17" s="0"/>
      <c r="H17" s="0"/>
      <c r="I17" s="0"/>
      <c r="J17" s="4" t="s">
        <v>141</v>
      </c>
      <c r="K17" s="0"/>
      <c r="L17" s="34" t="s">
        <v>151</v>
      </c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J17" s="110"/>
      <c r="BL17" s="110"/>
      <c r="BM17" s="110"/>
      <c r="BN17" s="110"/>
      <c r="BO17" s="110"/>
      <c r="BP17" s="110" t="n">
        <f aca="false">SUM(T17:BO17)</f>
        <v>0</v>
      </c>
      <c r="BQ17" s="110"/>
      <c r="BR17" s="110"/>
      <c r="BS17" s="110"/>
      <c r="BT17" s="110" t="n">
        <f aca="false">IF(+R17-BP17+BR17&gt;0,R17-BP17+BR17,0)</f>
        <v>0</v>
      </c>
      <c r="BV17" s="110" t="n">
        <f aca="false">+BP17+BT17</f>
        <v>0</v>
      </c>
      <c r="BX17" s="110" t="n">
        <f aca="false">+R17-BV17</f>
        <v>0</v>
      </c>
      <c r="BY17" s="110"/>
    </row>
    <row r="18" customFormat="false" ht="12.75" hidden="false" customHeight="false" outlineLevel="0" collapsed="false">
      <c r="A18" s="164"/>
      <c r="B18" s="161" t="s">
        <v>165</v>
      </c>
      <c r="C18" s="0"/>
      <c r="D18" s="0"/>
      <c r="E18" s="0"/>
      <c r="F18" s="0"/>
      <c r="G18" s="0"/>
      <c r="H18" s="0"/>
      <c r="I18" s="0"/>
      <c r="J18" s="4" t="s">
        <v>141</v>
      </c>
      <c r="K18" s="0"/>
      <c r="L18" s="34" t="s">
        <v>151</v>
      </c>
      <c r="M18" s="110"/>
      <c r="O18" s="110"/>
      <c r="Q18" s="110"/>
      <c r="S18" s="110"/>
      <c r="T18" s="110"/>
      <c r="U18" s="110"/>
      <c r="V18" s="110"/>
      <c r="X18" s="110"/>
      <c r="Z18" s="110"/>
      <c r="AB18" s="110"/>
      <c r="AD18" s="110"/>
      <c r="BJ18" s="110"/>
      <c r="BL18" s="110"/>
      <c r="BM18" s="110"/>
      <c r="BN18" s="110"/>
      <c r="BO18" s="110"/>
      <c r="BP18" s="110" t="n">
        <f aca="false">SUM(T18:BO18)</f>
        <v>0</v>
      </c>
      <c r="BQ18" s="110"/>
      <c r="BR18" s="110"/>
      <c r="BS18" s="110"/>
      <c r="BT18" s="110" t="n">
        <f aca="false">IF(+R18-BP18+BR18&gt;0,R18-BP18+BR18,0)</f>
        <v>0</v>
      </c>
      <c r="BV18" s="110" t="n">
        <f aca="false">+BP18+BT18</f>
        <v>0</v>
      </c>
      <c r="BX18" s="110" t="n">
        <f aca="false">+R18-BV18</f>
        <v>0</v>
      </c>
      <c r="BY18" s="110"/>
    </row>
    <row r="19" customFormat="false" ht="12.75" hidden="false" customHeight="false" outlineLevel="0" collapsed="false">
      <c r="A19" s="164"/>
      <c r="B19" s="161" t="s">
        <v>166</v>
      </c>
      <c r="C19" s="0"/>
      <c r="D19" s="0"/>
      <c r="E19" s="0"/>
      <c r="F19" s="0"/>
      <c r="G19" s="0"/>
      <c r="H19" s="0"/>
      <c r="I19" s="0"/>
      <c r="J19" s="4" t="s">
        <v>141</v>
      </c>
      <c r="K19" s="0"/>
      <c r="L19" s="34" t="s">
        <v>151</v>
      </c>
      <c r="M19" s="110"/>
      <c r="O19" s="110"/>
      <c r="Q19" s="110"/>
      <c r="S19" s="110"/>
      <c r="T19" s="110"/>
      <c r="U19" s="110"/>
      <c r="V19" s="110"/>
      <c r="X19" s="110"/>
      <c r="Z19" s="110"/>
      <c r="AB19" s="110"/>
      <c r="AD19" s="110"/>
      <c r="BJ19" s="110"/>
      <c r="BL19" s="110"/>
      <c r="BM19" s="110"/>
      <c r="BN19" s="110"/>
      <c r="BO19" s="110"/>
      <c r="BP19" s="110" t="n">
        <f aca="false">SUM(T19:BO19)</f>
        <v>0</v>
      </c>
      <c r="BQ19" s="110"/>
      <c r="BR19" s="110"/>
      <c r="BS19" s="110"/>
      <c r="BT19" s="110" t="n">
        <f aca="false">IF(+R19-BP19+BR19&gt;0,R19-BP19+BR19,0)</f>
        <v>0</v>
      </c>
      <c r="BV19" s="110" t="n">
        <f aca="false">+BP19+BT19</f>
        <v>0</v>
      </c>
      <c r="BX19" s="110" t="n">
        <f aca="false">+R19-BV19</f>
        <v>0</v>
      </c>
      <c r="BY19" s="110"/>
    </row>
    <row r="20" customFormat="false" ht="12.75" hidden="false" customHeight="false" outlineLevel="0" collapsed="false">
      <c r="A20" s="164"/>
      <c r="B20" s="161" t="s">
        <v>167</v>
      </c>
      <c r="C20" s="0"/>
      <c r="D20" s="0"/>
      <c r="E20" s="0"/>
      <c r="F20" s="0"/>
      <c r="G20" s="0"/>
      <c r="H20" s="0"/>
      <c r="I20" s="0"/>
      <c r="J20" s="4" t="s">
        <v>141</v>
      </c>
      <c r="K20" s="0"/>
      <c r="L20" s="34" t="s">
        <v>151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BJ20" s="110"/>
      <c r="BL20" s="110"/>
      <c r="BM20" s="110"/>
      <c r="BN20" s="110"/>
      <c r="BO20" s="110"/>
      <c r="BP20" s="110" t="n">
        <f aca="false">SUM(T20:BO20)</f>
        <v>0</v>
      </c>
      <c r="BQ20" s="110"/>
      <c r="BR20" s="110"/>
      <c r="BS20" s="110"/>
      <c r="BT20" s="110" t="n">
        <f aca="false">IF(+R20-BP20+BR20&gt;0,R20-BP20+BR20,0)</f>
        <v>0</v>
      </c>
      <c r="BV20" s="110" t="n">
        <f aca="false">+BP20+BT20</f>
        <v>0</v>
      </c>
      <c r="BX20" s="110" t="n">
        <f aca="false">+R20-BV20</f>
        <v>0</v>
      </c>
      <c r="BY20" s="110"/>
    </row>
    <row r="21" customFormat="false" ht="12.75" hidden="true" customHeight="false" outlineLevel="0" collapsed="false">
      <c r="A21" s="164"/>
      <c r="B21" s="161"/>
      <c r="C21" s="0"/>
      <c r="D21" s="0"/>
      <c r="E21" s="0"/>
      <c r="F21" s="0"/>
      <c r="G21" s="0"/>
      <c r="H21" s="0"/>
      <c r="I21" s="0"/>
      <c r="J21" s="4" t="s">
        <v>141</v>
      </c>
      <c r="K21" s="0"/>
      <c r="L21" s="34"/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J21" s="110"/>
      <c r="BL21" s="110"/>
      <c r="BM21" s="110"/>
      <c r="BN21" s="110"/>
      <c r="BO21" s="110"/>
      <c r="BP21" s="110" t="n">
        <f aca="false">SUM(T21:BO21)</f>
        <v>0</v>
      </c>
      <c r="BQ21" s="110"/>
      <c r="BR21" s="110"/>
      <c r="BS21" s="110"/>
      <c r="BT21" s="110" t="n">
        <f aca="false">IF(+R21-BP21+BR21&gt;0,R21-BP21+BR21,0)</f>
        <v>0</v>
      </c>
      <c r="BV21" s="110" t="n">
        <f aca="false">+BP21+BT21</f>
        <v>0</v>
      </c>
      <c r="BX21" s="110" t="n">
        <f aca="false">+R21-BV21</f>
        <v>0</v>
      </c>
      <c r="BY21" s="110"/>
    </row>
    <row r="22" customFormat="false" ht="12.75" hidden="true" customHeight="false" outlineLevel="0" collapsed="false">
      <c r="A22" s="164"/>
      <c r="B22" s="161" t="s">
        <v>168</v>
      </c>
      <c r="C22" s="0"/>
      <c r="D22" s="0"/>
      <c r="E22" s="0"/>
      <c r="F22" s="0"/>
      <c r="G22" s="0"/>
      <c r="H22" s="0"/>
      <c r="I22" s="0"/>
      <c r="J22" s="4" t="s">
        <v>141</v>
      </c>
      <c r="K22" s="0"/>
      <c r="L22" s="34" t="s">
        <v>151</v>
      </c>
      <c r="M22" s="110"/>
      <c r="N22" s="110" t="n">
        <v>0</v>
      </c>
      <c r="O22" s="110"/>
      <c r="P22" s="110" t="n">
        <v>0</v>
      </c>
      <c r="Q22" s="110"/>
      <c r="R22" s="110" t="n">
        <f aca="false">+N22+P22</f>
        <v>0</v>
      </c>
      <c r="S22" s="110"/>
      <c r="T22" s="110" t="n">
        <v>0</v>
      </c>
      <c r="U22" s="110"/>
      <c r="V22" s="110" t="n">
        <v>0</v>
      </c>
      <c r="X22" s="110" t="n">
        <v>0</v>
      </c>
      <c r="Z22" s="110" t="n">
        <v>0</v>
      </c>
      <c r="AB22" s="110" t="n">
        <v>0</v>
      </c>
      <c r="AD22" s="110" t="n">
        <v>0</v>
      </c>
      <c r="AF22" s="110" t="n">
        <v>0</v>
      </c>
      <c r="AH22" s="110" t="n">
        <v>0</v>
      </c>
      <c r="AJ22" s="110" t="n">
        <v>0</v>
      </c>
      <c r="AL22" s="110" t="n">
        <v>0</v>
      </c>
      <c r="AN22" s="110" t="n">
        <v>0</v>
      </c>
      <c r="AP22" s="110" t="n">
        <v>0</v>
      </c>
      <c r="AR22" s="110" t="n">
        <v>0</v>
      </c>
      <c r="AT22" s="110" t="n">
        <v>0</v>
      </c>
      <c r="AV22" s="110" t="n">
        <v>0</v>
      </c>
      <c r="AX22" s="110" t="n">
        <v>0</v>
      </c>
      <c r="AZ22" s="110" t="n">
        <v>0</v>
      </c>
      <c r="BB22" s="110" t="n">
        <v>0</v>
      </c>
      <c r="BD22" s="110" t="n">
        <v>0</v>
      </c>
      <c r="BF22" s="110" t="n">
        <v>0</v>
      </c>
      <c r="BH22" s="110" t="n">
        <v>0</v>
      </c>
      <c r="BJ22" s="110" t="n">
        <v>0</v>
      </c>
      <c r="BL22" s="110" t="n">
        <v>0</v>
      </c>
      <c r="BM22" s="110"/>
      <c r="BN22" s="110" t="n">
        <v>0</v>
      </c>
      <c r="BO22" s="110"/>
      <c r="BP22" s="110" t="n">
        <f aca="false">SUM(T22:BO22)</f>
        <v>0</v>
      </c>
      <c r="BQ22" s="110"/>
      <c r="BR22" s="110" t="n">
        <v>0</v>
      </c>
      <c r="BS22" s="110"/>
      <c r="BT22" s="110" t="n">
        <f aca="false">IF(+R22-BP22+BR22&gt;0,R22-BP22+BR22,0)</f>
        <v>0</v>
      </c>
      <c r="BV22" s="110" t="n">
        <f aca="false">+BP22+BT22</f>
        <v>0</v>
      </c>
      <c r="BX22" s="110" t="n">
        <f aca="false">+R22-BV22</f>
        <v>0</v>
      </c>
      <c r="BY22" s="110"/>
    </row>
    <row r="23" customFormat="false" ht="12.75" hidden="true" customHeight="false" outlineLevel="0" collapsed="false">
      <c r="A23" s="164"/>
      <c r="B23" s="161" t="s">
        <v>169</v>
      </c>
      <c r="C23" s="0"/>
      <c r="D23" s="0"/>
      <c r="E23" s="0"/>
      <c r="F23" s="0"/>
      <c r="G23" s="0"/>
      <c r="H23" s="0"/>
      <c r="I23" s="0"/>
      <c r="J23" s="4" t="s">
        <v>141</v>
      </c>
      <c r="K23" s="0"/>
      <c r="L23" s="34" t="s">
        <v>151</v>
      </c>
      <c r="M23" s="110"/>
      <c r="N23" s="110" t="n">
        <v>0</v>
      </c>
      <c r="O23" s="110"/>
      <c r="P23" s="110" t="n">
        <v>0</v>
      </c>
      <c r="Q23" s="110"/>
      <c r="R23" s="110" t="n">
        <f aca="false">+N23+P23</f>
        <v>0</v>
      </c>
      <c r="S23" s="110"/>
      <c r="T23" s="110" t="n">
        <v>0</v>
      </c>
      <c r="U23" s="110"/>
      <c r="V23" s="110" t="n">
        <v>0</v>
      </c>
      <c r="X23" s="110" t="n">
        <v>0</v>
      </c>
      <c r="Z23" s="110" t="n">
        <v>0</v>
      </c>
      <c r="AB23" s="110" t="n">
        <v>0</v>
      </c>
      <c r="AD23" s="110" t="n">
        <v>0</v>
      </c>
      <c r="AF23" s="110" t="n">
        <v>0</v>
      </c>
      <c r="AH23" s="110" t="n">
        <v>0</v>
      </c>
      <c r="AJ23" s="110" t="n">
        <v>0</v>
      </c>
      <c r="AL23" s="110" t="n">
        <v>0</v>
      </c>
      <c r="AN23" s="110" t="n">
        <v>0</v>
      </c>
      <c r="AP23" s="110" t="n">
        <v>0</v>
      </c>
      <c r="AR23" s="110" t="n">
        <v>0</v>
      </c>
      <c r="AT23" s="110" t="n">
        <v>0</v>
      </c>
      <c r="AV23" s="110" t="n">
        <v>0</v>
      </c>
      <c r="AX23" s="110" t="n">
        <v>0</v>
      </c>
      <c r="AZ23" s="110" t="n">
        <v>0</v>
      </c>
      <c r="BB23" s="110" t="n">
        <v>0</v>
      </c>
      <c r="BD23" s="110" t="n">
        <v>0</v>
      </c>
      <c r="BF23" s="110" t="n">
        <v>0</v>
      </c>
      <c r="BH23" s="110" t="n">
        <v>0</v>
      </c>
      <c r="BJ23" s="110" t="n">
        <v>0</v>
      </c>
      <c r="BL23" s="110" t="n">
        <v>0</v>
      </c>
      <c r="BM23" s="110"/>
      <c r="BN23" s="110" t="n">
        <v>0</v>
      </c>
      <c r="BO23" s="110"/>
      <c r="BP23" s="110" t="n">
        <f aca="false">SUM(T23:BO23)</f>
        <v>0</v>
      </c>
      <c r="BQ23" s="110"/>
      <c r="BR23" s="110" t="n">
        <v>0</v>
      </c>
      <c r="BS23" s="110"/>
      <c r="BT23" s="110" t="n">
        <f aca="false">IF(+R23-BP23+BR23&gt;0,R23-BP23+BR23,0)</f>
        <v>0</v>
      </c>
      <c r="BV23" s="110" t="n">
        <f aca="false">+BP23+BT23</f>
        <v>0</v>
      </c>
      <c r="BX23" s="110" t="n">
        <f aca="false">+R23-BV23</f>
        <v>0</v>
      </c>
      <c r="BY23" s="110"/>
    </row>
    <row r="24" customFormat="false" ht="12.75" hidden="true" customHeight="false" outlineLevel="0" collapsed="false">
      <c r="A24" s="164"/>
      <c r="B24" s="161" t="s">
        <v>170</v>
      </c>
      <c r="C24" s="0"/>
      <c r="D24" s="0"/>
      <c r="E24" s="0"/>
      <c r="F24" s="0"/>
      <c r="G24" s="0"/>
      <c r="H24" s="0"/>
      <c r="I24" s="0"/>
      <c r="J24" s="4" t="s">
        <v>141</v>
      </c>
      <c r="K24" s="0"/>
      <c r="L24" s="34" t="s">
        <v>151</v>
      </c>
      <c r="M24" s="110"/>
      <c r="N24" s="110" t="n">
        <v>0</v>
      </c>
      <c r="O24" s="110"/>
      <c r="P24" s="110" t="n">
        <v>0</v>
      </c>
      <c r="Q24" s="110"/>
      <c r="R24" s="110" t="n">
        <f aca="false">+N24+P24</f>
        <v>0</v>
      </c>
      <c r="S24" s="110"/>
      <c r="T24" s="110" t="n">
        <v>0</v>
      </c>
      <c r="U24" s="110"/>
      <c r="V24" s="110" t="n">
        <v>0</v>
      </c>
      <c r="X24" s="110" t="n">
        <v>0</v>
      </c>
      <c r="Z24" s="110" t="n">
        <v>0</v>
      </c>
      <c r="AB24" s="110" t="n">
        <v>0</v>
      </c>
      <c r="AD24" s="110" t="n">
        <v>0</v>
      </c>
      <c r="AF24" s="110" t="n">
        <v>0</v>
      </c>
      <c r="AH24" s="110" t="n">
        <v>0</v>
      </c>
      <c r="AJ24" s="110" t="n">
        <v>0</v>
      </c>
      <c r="AL24" s="110" t="n">
        <v>0</v>
      </c>
      <c r="AN24" s="110" t="n">
        <v>0</v>
      </c>
      <c r="AP24" s="110" t="n">
        <v>0</v>
      </c>
      <c r="AR24" s="110" t="n">
        <v>0</v>
      </c>
      <c r="AT24" s="110" t="n">
        <v>0</v>
      </c>
      <c r="AV24" s="110" t="n">
        <v>0</v>
      </c>
      <c r="AX24" s="110" t="n">
        <v>0</v>
      </c>
      <c r="AZ24" s="110" t="n">
        <v>0</v>
      </c>
      <c r="BB24" s="110" t="n">
        <v>0</v>
      </c>
      <c r="BD24" s="110" t="n">
        <v>0</v>
      </c>
      <c r="BF24" s="110" t="n">
        <v>0</v>
      </c>
      <c r="BH24" s="110" t="n">
        <v>0</v>
      </c>
      <c r="BJ24" s="110" t="n">
        <v>0</v>
      </c>
      <c r="BL24" s="110" t="n">
        <v>0</v>
      </c>
      <c r="BM24" s="110"/>
      <c r="BN24" s="110" t="n">
        <v>0</v>
      </c>
      <c r="BO24" s="110"/>
      <c r="BP24" s="110" t="n">
        <f aca="false">SUM(T24:BO24)</f>
        <v>0</v>
      </c>
      <c r="BQ24" s="110"/>
      <c r="BR24" s="110" t="n">
        <v>0</v>
      </c>
      <c r="BS24" s="110"/>
      <c r="BT24" s="110" t="n">
        <f aca="false">IF(+R24-BP24+BR24&gt;0,R24-BP24+BR24,0)</f>
        <v>0</v>
      </c>
      <c r="BV24" s="110" t="n">
        <f aca="false">+BP24+BT24</f>
        <v>0</v>
      </c>
      <c r="BX24" s="110" t="n">
        <f aca="false">+R24-BV24</f>
        <v>0</v>
      </c>
      <c r="BY24" s="110"/>
    </row>
    <row r="25" customFormat="false" ht="12.75" hidden="true" customHeight="false" outlineLevel="0" collapsed="false">
      <c r="A25" s="164"/>
      <c r="B25" s="161" t="s">
        <v>171</v>
      </c>
      <c r="C25" s="0"/>
      <c r="D25" s="0"/>
      <c r="E25" s="0"/>
      <c r="F25" s="0"/>
      <c r="G25" s="0"/>
      <c r="H25" s="0"/>
      <c r="I25" s="0"/>
      <c r="J25" s="4" t="s">
        <v>141</v>
      </c>
      <c r="K25" s="0"/>
      <c r="L25" s="34" t="s">
        <v>151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L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/>
      <c r="BN25" s="110" t="n">
        <v>0</v>
      </c>
      <c r="BO25" s="110"/>
      <c r="BP25" s="110" t="n">
        <f aca="false">SUM(T25:BO25)</f>
        <v>0</v>
      </c>
      <c r="BQ25" s="110"/>
      <c r="BR25" s="110" t="n">
        <v>0</v>
      </c>
      <c r="BS25" s="110"/>
      <c r="BT25" s="110" t="n">
        <f aca="false">IF(+R25-BP25+BR25&gt;0,R25-BP25+BR25,0)</f>
        <v>0</v>
      </c>
      <c r="BV25" s="110" t="n">
        <f aca="false">+BP25+BT25</f>
        <v>0</v>
      </c>
      <c r="BX25" s="110" t="n">
        <f aca="false">+R25-BV25</f>
        <v>0</v>
      </c>
      <c r="BY25" s="110"/>
    </row>
    <row r="26" customFormat="false" ht="12.75" hidden="true" customHeight="false" outlineLevel="0" collapsed="false">
      <c r="A26" s="164"/>
      <c r="B26" s="161" t="s">
        <v>172</v>
      </c>
      <c r="C26" s="0"/>
      <c r="D26" s="0"/>
      <c r="E26" s="0"/>
      <c r="F26" s="0"/>
      <c r="G26" s="0"/>
      <c r="H26" s="0"/>
      <c r="I26" s="0"/>
      <c r="J26" s="4" t="s">
        <v>141</v>
      </c>
      <c r="K26" s="0"/>
      <c r="L26" s="34" t="s">
        <v>151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L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/>
      <c r="BN26" s="110" t="n">
        <v>0</v>
      </c>
      <c r="BO26" s="110"/>
      <c r="BP26" s="110" t="n">
        <f aca="false">SUM(T26:BO26)</f>
        <v>0</v>
      </c>
      <c r="BQ26" s="110"/>
      <c r="BR26" s="110" t="n">
        <v>0</v>
      </c>
      <c r="BS26" s="110"/>
      <c r="BT26" s="110" t="n">
        <f aca="false">IF(+R26-BP26+BR26&gt;0,R26-BP26+BR26,0)</f>
        <v>0</v>
      </c>
      <c r="BV26" s="110" t="n">
        <f aca="false">+BP26+BT26</f>
        <v>0</v>
      </c>
      <c r="BX26" s="110" t="n">
        <f aca="false">+R26-BV26</f>
        <v>0</v>
      </c>
      <c r="BY26" s="110"/>
    </row>
    <row r="27" customFormat="false" ht="12.75" hidden="true" customHeight="false" outlineLevel="0" collapsed="false">
      <c r="A27" s="166"/>
      <c r="B27" s="161" t="s">
        <v>173</v>
      </c>
      <c r="C27" s="0"/>
      <c r="D27" s="0"/>
      <c r="E27" s="0"/>
      <c r="F27" s="0"/>
      <c r="G27" s="0"/>
      <c r="H27" s="0"/>
      <c r="I27" s="0"/>
      <c r="J27" s="4" t="s">
        <v>141</v>
      </c>
      <c r="K27" s="0"/>
      <c r="L27" s="34" t="s">
        <v>151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L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/>
      <c r="BN27" s="110" t="n">
        <v>0</v>
      </c>
      <c r="BO27" s="110"/>
      <c r="BP27" s="110" t="n">
        <f aca="false">SUM(T27:BO27)</f>
        <v>0</v>
      </c>
      <c r="BQ27" s="110"/>
      <c r="BR27" s="110" t="n">
        <v>0</v>
      </c>
      <c r="BS27" s="110"/>
      <c r="BT27" s="110" t="n">
        <f aca="false">IF(+R27-BP27+BR27&gt;0,R27-BP27+BR27,0)</f>
        <v>0</v>
      </c>
      <c r="BV27" s="110" t="n">
        <f aca="false">+BP27+BT27</f>
        <v>0</v>
      </c>
      <c r="BX27" s="110" t="n">
        <f aca="false">+R27-BV27</f>
        <v>0</v>
      </c>
      <c r="BY27" s="110"/>
    </row>
    <row r="28" customFormat="false" ht="12.75" hidden="true" customHeight="false" outlineLevel="0" collapsed="false">
      <c r="A28" s="166"/>
      <c r="B28" s="161" t="s">
        <v>174</v>
      </c>
      <c r="C28" s="0"/>
      <c r="D28" s="0"/>
      <c r="E28" s="0"/>
      <c r="F28" s="0"/>
      <c r="G28" s="0"/>
      <c r="H28" s="0"/>
      <c r="I28" s="0"/>
      <c r="J28" s="4" t="s">
        <v>141</v>
      </c>
      <c r="K28" s="0"/>
      <c r="L28" s="34" t="s">
        <v>151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L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/>
      <c r="BN28" s="110" t="n">
        <v>0</v>
      </c>
      <c r="BO28" s="110"/>
      <c r="BP28" s="110" t="n">
        <f aca="false">SUM(T28:BO28)</f>
        <v>0</v>
      </c>
      <c r="BQ28" s="110"/>
      <c r="BR28" s="110" t="n">
        <v>0</v>
      </c>
      <c r="BS28" s="110"/>
      <c r="BT28" s="110" t="n">
        <f aca="false">IF(+R28-BP28+BR28&gt;0,R28-BP28+BR28,0)</f>
        <v>0</v>
      </c>
      <c r="BV28" s="110" t="n">
        <f aca="false">+BP28+BT28</f>
        <v>0</v>
      </c>
      <c r="BX28" s="110" t="n">
        <f aca="false">+R28-BV28</f>
        <v>0</v>
      </c>
      <c r="BY28" s="110"/>
    </row>
    <row r="29" customFormat="false" ht="12.75" hidden="true" customHeight="false" outlineLevel="0" collapsed="false">
      <c r="A29" s="164"/>
      <c r="B29" s="161" t="s">
        <v>175</v>
      </c>
      <c r="C29" s="18"/>
      <c r="D29" s="18"/>
      <c r="E29" s="18"/>
      <c r="F29" s="18"/>
      <c r="G29" s="18"/>
      <c r="H29" s="18"/>
      <c r="I29" s="18"/>
      <c r="J29" s="4" t="s">
        <v>141</v>
      </c>
      <c r="K29" s="18"/>
      <c r="L29" s="34" t="s">
        <v>151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L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/>
      <c r="BN29" s="110" t="n">
        <v>0</v>
      </c>
      <c r="BO29" s="110"/>
      <c r="BP29" s="110" t="n">
        <f aca="false">SUM(T29:BO29)</f>
        <v>0</v>
      </c>
      <c r="BQ29" s="110"/>
      <c r="BR29" s="110" t="n">
        <v>0</v>
      </c>
      <c r="BS29" s="110"/>
      <c r="BT29" s="110" t="n">
        <f aca="false">IF(+R29-BP29+BR29&gt;0,R29-BP29+BR29,0)</f>
        <v>0</v>
      </c>
      <c r="BV29" s="110" t="n">
        <f aca="false">+BP29+BT29</f>
        <v>0</v>
      </c>
      <c r="BX29" s="110" t="n">
        <f aca="false">+R29-BV29</f>
        <v>0</v>
      </c>
      <c r="BY29" s="110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  <c r="IW29" s="118"/>
    </row>
    <row r="30" customFormat="false" ht="12.75" hidden="false" customHeight="false" outlineLevel="0" collapsed="false">
      <c r="A30" s="164"/>
      <c r="B30" s="161" t="s">
        <v>128</v>
      </c>
      <c r="C30" s="0"/>
      <c r="D30" s="0"/>
      <c r="E30" s="0"/>
      <c r="F30" s="0"/>
      <c r="G30" s="0"/>
      <c r="H30" s="0"/>
      <c r="I30" s="0"/>
      <c r="J30" s="4" t="s">
        <v>141</v>
      </c>
      <c r="K30" s="0"/>
      <c r="L30" s="34" t="s">
        <v>151</v>
      </c>
      <c r="M30" s="110"/>
      <c r="N30" s="110" t="n">
        <v>0</v>
      </c>
      <c r="O30" s="110"/>
      <c r="P30" s="110" t="n">
        <v>0</v>
      </c>
      <c r="Q30" s="110"/>
      <c r="R30" s="110" t="n"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/>
      <c r="AF30" s="110" t="n">
        <v>0</v>
      </c>
      <c r="AH30" s="110" t="n">
        <v>0</v>
      </c>
      <c r="AJ30" s="110" t="n">
        <v>0</v>
      </c>
      <c r="AL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/>
      <c r="BN30" s="110" t="n">
        <v>0</v>
      </c>
      <c r="BO30" s="110"/>
      <c r="BP30" s="110" t="n">
        <f aca="false">SUM(T30:BO30)</f>
        <v>0</v>
      </c>
      <c r="BQ30" s="110"/>
      <c r="BR30" s="110" t="n">
        <v>0</v>
      </c>
      <c r="BS30" s="110"/>
      <c r="BT30" s="110" t="n">
        <f aca="false">IF(+R30-BP30+BR30&gt;0,R30-BP30+BR30,0)</f>
        <v>0</v>
      </c>
      <c r="BV30" s="110" t="n">
        <f aca="false">+BP30+BT30</f>
        <v>0</v>
      </c>
      <c r="BX30" s="110" t="n">
        <f aca="false">+R30-BV30</f>
        <v>0</v>
      </c>
      <c r="BY30" s="110"/>
    </row>
    <row r="31" customFormat="false" ht="12.75" hidden="false" customHeight="false" outlineLevel="0" collapsed="false">
      <c r="A31" s="164"/>
      <c r="B31" s="161"/>
      <c r="C31" s="0"/>
      <c r="D31" s="0"/>
      <c r="E31" s="0"/>
      <c r="F31" s="0"/>
      <c r="G31" s="0"/>
      <c r="H31" s="0"/>
      <c r="I31" s="0"/>
      <c r="J31" s="4"/>
      <c r="K31" s="0"/>
      <c r="L31" s="34"/>
      <c r="M31" s="110"/>
      <c r="O31" s="110"/>
      <c r="Q31" s="110"/>
      <c r="S31" s="110"/>
      <c r="T31" s="110"/>
      <c r="U31" s="110"/>
      <c r="V31" s="110"/>
      <c r="X31" s="110"/>
      <c r="Z31" s="110"/>
      <c r="AB31" s="110"/>
      <c r="AD31" s="110"/>
      <c r="BJ31" s="110"/>
      <c r="BL31" s="110"/>
      <c r="BM31" s="110"/>
      <c r="BN31" s="110"/>
      <c r="BO31" s="110"/>
      <c r="BQ31" s="110"/>
      <c r="BR31" s="110"/>
      <c r="BS31" s="110"/>
      <c r="BT31" s="110" t="n">
        <f aca="false">IF(+R31-BP31+BR31&gt;0,R31-BP31+BR31,0)</f>
        <v>0</v>
      </c>
      <c r="BV31" s="110" t="n">
        <f aca="false">+BP31+BT31</f>
        <v>0</v>
      </c>
      <c r="BX31" s="110" t="n">
        <f aca="false">+R31-BV31</f>
        <v>0</v>
      </c>
      <c r="BY31" s="110"/>
    </row>
    <row r="32" customFormat="false" ht="12.75" hidden="false" customHeight="false" outlineLevel="0" collapsed="false">
      <c r="A32" s="164"/>
      <c r="B32" s="161" t="s">
        <v>176</v>
      </c>
      <c r="C32" s="0"/>
      <c r="D32" s="0"/>
      <c r="E32" s="0"/>
      <c r="F32" s="0"/>
      <c r="G32" s="0"/>
      <c r="H32" s="0"/>
      <c r="I32" s="0"/>
      <c r="J32" s="4"/>
      <c r="K32" s="0"/>
      <c r="L32" s="34"/>
      <c r="M32" s="110"/>
      <c r="N32" s="165" t="n">
        <f aca="false">SUM(N14:N31)</f>
        <v>0</v>
      </c>
      <c r="O32" s="110"/>
      <c r="P32" s="165" t="n">
        <f aca="false">SUM(P14:P31)</f>
        <v>0</v>
      </c>
      <c r="Q32" s="110"/>
      <c r="R32" s="165" t="n">
        <f aca="false">SUM(R14:R31)</f>
        <v>4362054</v>
      </c>
      <c r="S32" s="110"/>
      <c r="T32" s="165" t="n">
        <f aca="false">SUM(T14:T31)</f>
        <v>0</v>
      </c>
      <c r="U32" s="110"/>
      <c r="V32" s="165" t="n">
        <f aca="false">SUM(V14:V31)</f>
        <v>0</v>
      </c>
      <c r="X32" s="165" t="n">
        <f aca="false">SUM(X14:X31)</f>
        <v>0</v>
      </c>
      <c r="Z32" s="165" t="n">
        <f aca="false">SUM(Z14:Z31)</f>
        <v>0</v>
      </c>
      <c r="AB32" s="165" t="n">
        <f aca="false">SUM(AB14:AB31)</f>
        <v>0</v>
      </c>
      <c r="AD32" s="165" t="n">
        <f aca="false">SUM(AD14:AD31)</f>
        <v>0</v>
      </c>
      <c r="AF32" s="165" t="n">
        <f aca="false">SUM(AF14:AF31)</f>
        <v>0</v>
      </c>
      <c r="AH32" s="165" t="n">
        <f aca="false">SUM(AH14:AH31)</f>
        <v>259882.7</v>
      </c>
      <c r="AJ32" s="165" t="n">
        <f aca="false">SUM(AJ14:AJ31)</f>
        <v>350000</v>
      </c>
      <c r="AL32" s="165" t="n">
        <f aca="false">SUM(AL14:AL31)</f>
        <v>935</v>
      </c>
      <c r="AN32" s="165" t="n">
        <f aca="false">SUM(AN14:AN31)</f>
        <v>655033.1</v>
      </c>
      <c r="AP32" s="165" t="n">
        <f aca="false">SUM(AP14:AP31)</f>
        <v>0</v>
      </c>
      <c r="AR32" s="165" t="n">
        <f aca="false">SUM(AR14:AR31)</f>
        <v>1190506.2</v>
      </c>
      <c r="AT32" s="165" t="n">
        <f aca="false">SUM(AT14:AT31)</f>
        <v>1190506.2</v>
      </c>
      <c r="AV32" s="165" t="n">
        <f aca="false">SUM(AV14:AV31)</f>
        <v>0</v>
      </c>
      <c r="AX32" s="165" t="n">
        <f aca="false">SUM(AX14:AX31)</f>
        <v>612336</v>
      </c>
      <c r="AZ32" s="165" t="n">
        <f aca="false">SUM(AZ14:AZ31)</f>
        <v>0</v>
      </c>
      <c r="BB32" s="165" t="n">
        <f aca="false">SUM(BB14:BB31)</f>
        <v>396835.4</v>
      </c>
      <c r="BD32" s="165" t="n">
        <f aca="false">SUM(BD14:BD31)</f>
        <v>0</v>
      </c>
      <c r="BF32" s="165" t="n">
        <f aca="false">SUM(BF14:BF31)</f>
        <v>0</v>
      </c>
      <c r="BH32" s="165" t="n">
        <f aca="false">SUM(BH14:BH31)</f>
        <v>0</v>
      </c>
      <c r="BJ32" s="165" t="n">
        <f aca="false">SUM(BJ14:BJ31)</f>
        <v>0</v>
      </c>
      <c r="BL32" s="165" t="n">
        <f aca="false">SUM(BL14:BL31)</f>
        <v>0</v>
      </c>
      <c r="BM32" s="165"/>
      <c r="BN32" s="165" t="n">
        <f aca="false">SUM(BN14:BN31)</f>
        <v>0</v>
      </c>
      <c r="BO32" s="165"/>
      <c r="BP32" s="165" t="n">
        <f aca="false">SUM(BP14:BP31)</f>
        <v>4656034.6</v>
      </c>
      <c r="BQ32" s="110"/>
      <c r="BR32" s="165" t="n">
        <f aca="false">SUM(BR14:BR31)</f>
        <v>293980</v>
      </c>
      <c r="BS32" s="110"/>
      <c r="BT32" s="165" t="n">
        <f aca="false">SUM(BT14:BT31)</f>
        <v>134500</v>
      </c>
      <c r="BV32" s="165" t="n">
        <f aca="false">SUM(BV14:BV31)</f>
        <v>4790534.6</v>
      </c>
      <c r="BX32" s="165" t="n">
        <f aca="false">SUM(BX14:BX31)</f>
        <v>-428480.6</v>
      </c>
      <c r="BY32" s="110"/>
    </row>
    <row r="33" customFormat="false" ht="12.75" hidden="false" customHeight="false" outlineLevel="0" collapsed="false">
      <c r="A33" s="164"/>
      <c r="B33" s="161"/>
      <c r="C33" s="0"/>
      <c r="D33" s="0"/>
      <c r="E33" s="0"/>
      <c r="F33" s="0"/>
      <c r="G33" s="0"/>
      <c r="H33" s="0"/>
      <c r="I33" s="0"/>
      <c r="J33" s="4"/>
      <c r="K33" s="0"/>
      <c r="L33" s="34"/>
      <c r="M33" s="110"/>
      <c r="O33" s="110"/>
      <c r="Q33" s="110"/>
      <c r="S33" s="110"/>
      <c r="T33" s="110"/>
      <c r="U33" s="110"/>
      <c r="V33" s="110"/>
      <c r="X33" s="110"/>
      <c r="Z33" s="110"/>
      <c r="AB33" s="110"/>
      <c r="AD33" s="110"/>
      <c r="BJ33" s="110"/>
      <c r="BL33" s="110"/>
      <c r="BM33" s="110"/>
      <c r="BN33" s="110"/>
      <c r="BO33" s="110"/>
      <c r="BQ33" s="110"/>
      <c r="BR33" s="110"/>
      <c r="BS33" s="110"/>
      <c r="BY33" s="110"/>
    </row>
    <row r="34" customFormat="false" ht="12.75" hidden="false" customHeight="false" outlineLevel="0" collapsed="false">
      <c r="A34" s="167"/>
      <c r="B34" s="168" t="s">
        <v>177</v>
      </c>
      <c r="C34" s="169"/>
      <c r="D34" s="169"/>
      <c r="E34" s="169"/>
      <c r="F34" s="169"/>
      <c r="G34" s="169"/>
      <c r="H34" s="169"/>
      <c r="I34" s="169"/>
      <c r="J34" s="170"/>
      <c r="K34" s="169"/>
      <c r="L34" s="171"/>
      <c r="M34" s="172"/>
      <c r="N34" s="172" t="n">
        <f aca="false">+N32+N12</f>
        <v>93330000</v>
      </c>
      <c r="O34" s="172"/>
      <c r="P34" s="172" t="n">
        <f aca="false">+P32+P12</f>
        <v>0</v>
      </c>
      <c r="Q34" s="172"/>
      <c r="R34" s="172" t="n">
        <f aca="false">+R32+R12</f>
        <v>90283554</v>
      </c>
      <c r="S34" s="172"/>
      <c r="T34" s="172" t="n">
        <f aca="false">+T32+T12</f>
        <v>16673400</v>
      </c>
      <c r="U34" s="172"/>
      <c r="V34" s="172" t="n">
        <f aca="false">+V32+V12</f>
        <v>43401650</v>
      </c>
      <c r="W34" s="172"/>
      <c r="X34" s="172" t="n">
        <f aca="false">+X32+X12</f>
        <v>4291075</v>
      </c>
      <c r="Y34" s="172"/>
      <c r="Z34" s="172" t="n">
        <f aca="false">+Z32+Z12</f>
        <v>0</v>
      </c>
      <c r="AA34" s="172"/>
      <c r="AB34" s="172" t="n">
        <f aca="false">+AB32+AB12</f>
        <v>4291075</v>
      </c>
      <c r="AC34" s="172"/>
      <c r="AD34" s="172" t="n">
        <f aca="false">+AD32+AD12</f>
        <v>8617667</v>
      </c>
      <c r="AE34" s="172"/>
      <c r="AF34" s="172" t="n">
        <f aca="false">+AF32+AF12</f>
        <v>0</v>
      </c>
      <c r="AG34" s="172"/>
      <c r="AH34" s="172" t="n">
        <f aca="false">+AH32+AH12</f>
        <v>259882.7</v>
      </c>
      <c r="AI34" s="172"/>
      <c r="AJ34" s="172" t="n">
        <f aca="false">+AJ32+AJ12</f>
        <v>668420.9</v>
      </c>
      <c r="AK34" s="172"/>
      <c r="AL34" s="172" t="n">
        <f aca="false">+AL32+AL12</f>
        <v>935</v>
      </c>
      <c r="AM34" s="172"/>
      <c r="AN34" s="172" t="n">
        <f aca="false">+AN32+AN12</f>
        <v>655033.1</v>
      </c>
      <c r="AO34" s="172"/>
      <c r="AP34" s="172" t="n">
        <f aca="false">+AP32+AP12</f>
        <v>39600</v>
      </c>
      <c r="AQ34" s="172"/>
      <c r="AR34" s="172" t="n">
        <f aca="false">+AR32+AR12</f>
        <v>2268247.46</v>
      </c>
      <c r="AS34" s="172"/>
      <c r="AT34" s="172" t="n">
        <f aca="false">+AT32+AT12</f>
        <v>2268247.46</v>
      </c>
      <c r="AU34" s="172"/>
      <c r="AV34" s="172" t="n">
        <f aca="false">+AV32+AV12</f>
        <v>2155482.52</v>
      </c>
      <c r="AW34" s="172"/>
      <c r="AX34" s="172" t="n">
        <f aca="false">+AX32+AX12</f>
        <v>612336</v>
      </c>
      <c r="AY34" s="172"/>
      <c r="AZ34" s="172" t="n">
        <f aca="false">+AZ32+AZ12</f>
        <v>0</v>
      </c>
      <c r="BA34" s="172"/>
      <c r="BB34" s="172" t="n">
        <f aca="false">+BB32+BB12</f>
        <v>396835.4</v>
      </c>
      <c r="BC34" s="172"/>
      <c r="BD34" s="172" t="n">
        <f aca="false">+BD32+BD12</f>
        <v>4444135.9</v>
      </c>
      <c r="BE34" s="172"/>
      <c r="BF34" s="172" t="n">
        <f aca="false">+BF32+BF12</f>
        <v>0</v>
      </c>
      <c r="BG34" s="172"/>
      <c r="BH34" s="172" t="n">
        <f aca="false">+BH32+BH12</f>
        <v>0</v>
      </c>
      <c r="BI34" s="172"/>
      <c r="BJ34" s="172" t="n">
        <f aca="false">+BJ32+BJ12</f>
        <v>0</v>
      </c>
      <c r="BK34" s="172"/>
      <c r="BL34" s="172" t="n">
        <f aca="false">+BL32+BL12</f>
        <v>0</v>
      </c>
      <c r="BM34" s="172"/>
      <c r="BN34" s="172" t="n">
        <f aca="false">+BN32+BN12</f>
        <v>0</v>
      </c>
      <c r="BO34" s="172"/>
      <c r="BP34" s="172" t="n">
        <f aca="false">+BP32+BP12</f>
        <v>91044023.44</v>
      </c>
      <c r="BQ34" s="172"/>
      <c r="BR34" s="172" t="n">
        <f aca="false">+BR32+BR12</f>
        <v>1260469</v>
      </c>
      <c r="BS34" s="172"/>
      <c r="BT34" s="172" t="n">
        <f aca="false">+BT32+BT12</f>
        <v>634500.159999996</v>
      </c>
      <c r="BU34" s="172"/>
      <c r="BV34" s="172" t="n">
        <f aca="false">+BV32+BV12</f>
        <v>91678523.6</v>
      </c>
      <c r="BW34" s="172"/>
      <c r="BX34" s="172" t="n">
        <f aca="false">+BX32+BX12</f>
        <v>-1394969.6</v>
      </c>
      <c r="BY34" s="172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</row>
    <row r="35" customFormat="false" ht="12.75" hidden="false" customHeight="false" outlineLevel="0" collapsed="false">
      <c r="A35" s="164"/>
      <c r="B35" s="173"/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O35" s="110"/>
      <c r="Q35" s="110"/>
      <c r="S35" s="110"/>
      <c r="T35" s="110"/>
      <c r="U35" s="110"/>
      <c r="V35" s="110"/>
      <c r="X35" s="110"/>
      <c r="Z35" s="110"/>
      <c r="AB35" s="110"/>
      <c r="AD35" s="110"/>
      <c r="BJ35" s="110"/>
      <c r="BL35" s="110"/>
      <c r="BM35" s="110"/>
      <c r="BN35" s="110"/>
      <c r="BO35" s="110"/>
      <c r="BQ35" s="110"/>
      <c r="BR35" s="110"/>
      <c r="BS35" s="110"/>
      <c r="BY35" s="110"/>
    </row>
    <row r="36" customFormat="false" ht="12.75" hidden="false" customHeight="false" outlineLevel="0" collapsed="false">
      <c r="A36" s="164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J36" s="110"/>
      <c r="BL36" s="110"/>
      <c r="BM36" s="110"/>
      <c r="BN36" s="110"/>
      <c r="BO36" s="110"/>
      <c r="BQ36" s="110"/>
      <c r="BR36" s="110"/>
      <c r="BS36" s="110"/>
      <c r="BY36" s="110"/>
    </row>
    <row r="37" customFormat="false" ht="12.75" hidden="false" customHeight="false" outlineLevel="0" collapsed="false">
      <c r="A37" s="160" t="s">
        <v>178</v>
      </c>
      <c r="B37" s="161"/>
      <c r="C37" s="0"/>
      <c r="D37" s="0"/>
      <c r="E37" s="0"/>
      <c r="F37" s="0"/>
      <c r="G37" s="0"/>
      <c r="H37" s="0"/>
      <c r="I37" s="0"/>
      <c r="J37" s="4"/>
      <c r="K37" s="0"/>
      <c r="L37" s="34"/>
      <c r="M37" s="110"/>
      <c r="O37" s="110"/>
      <c r="Q37" s="110"/>
      <c r="S37" s="110"/>
      <c r="T37" s="110"/>
      <c r="U37" s="110"/>
      <c r="V37" s="110"/>
      <c r="X37" s="110"/>
      <c r="Z37" s="110"/>
      <c r="AB37" s="110"/>
      <c r="AD37" s="110"/>
      <c r="AI37" s="0"/>
      <c r="AK37" s="0"/>
      <c r="AM37" s="0"/>
      <c r="BJ37" s="110"/>
      <c r="BL37" s="110"/>
      <c r="BM37" s="110"/>
      <c r="BN37" s="110"/>
      <c r="BO37" s="110"/>
      <c r="BQ37" s="110"/>
      <c r="BR37" s="110"/>
      <c r="BS37" s="110"/>
      <c r="BY37" s="110"/>
    </row>
    <row r="38" customFormat="false" ht="12.75" hidden="false" customHeight="false" outlineLevel="0" collapsed="false">
      <c r="A38" s="164"/>
      <c r="B38" s="161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 t="n">
        <v>0</v>
      </c>
      <c r="U38" s="110"/>
      <c r="V38" s="110" t="n">
        <v>0</v>
      </c>
      <c r="X38" s="110" t="n">
        <v>0</v>
      </c>
      <c r="Z38" s="110" t="n">
        <v>0</v>
      </c>
      <c r="AB38" s="110" t="n">
        <v>0</v>
      </c>
      <c r="AD38" s="110" t="n">
        <v>0</v>
      </c>
      <c r="AF38" s="110" t="n">
        <v>0</v>
      </c>
      <c r="AH38" s="110" t="n">
        <v>0</v>
      </c>
      <c r="AI38" s="0"/>
      <c r="AJ38" s="110" t="n">
        <v>0</v>
      </c>
      <c r="AK38" s="0"/>
      <c r="AL38" s="110" t="n">
        <v>0</v>
      </c>
      <c r="AM38" s="0"/>
      <c r="AN38" s="110" t="n">
        <v>0</v>
      </c>
      <c r="AP38" s="110" t="n">
        <v>0</v>
      </c>
      <c r="AR38" s="110" t="n">
        <v>0</v>
      </c>
      <c r="AT38" s="110" t="n">
        <v>0</v>
      </c>
      <c r="AV38" s="110" t="n">
        <v>0</v>
      </c>
      <c r="AX38" s="110" t="n">
        <v>0</v>
      </c>
      <c r="AZ38" s="110" t="n">
        <v>0</v>
      </c>
      <c r="BB38" s="110" t="n">
        <v>0</v>
      </c>
      <c r="BD38" s="110" t="n">
        <v>0</v>
      </c>
      <c r="BF38" s="110" t="n">
        <v>0</v>
      </c>
      <c r="BH38" s="110" t="n">
        <v>0</v>
      </c>
      <c r="BJ38" s="110" t="n">
        <v>0</v>
      </c>
      <c r="BL38" s="110" t="n">
        <v>0</v>
      </c>
      <c r="BM38" s="110"/>
      <c r="BN38" s="110" t="n">
        <v>0</v>
      </c>
      <c r="BO38" s="110"/>
      <c r="BQ38" s="110"/>
      <c r="BR38" s="110"/>
      <c r="BS38" s="110"/>
      <c r="BY38" s="110"/>
    </row>
    <row r="39" customFormat="false" ht="12.75" hidden="false" customHeight="false" outlineLevel="0" collapsed="false">
      <c r="A39" s="164"/>
      <c r="B39" s="239" t="s">
        <v>179</v>
      </c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AI39" s="0"/>
      <c r="AK39" s="0"/>
      <c r="AM39" s="0"/>
      <c r="BJ39" s="110"/>
      <c r="BL39" s="110"/>
      <c r="BM39" s="110"/>
      <c r="BN39" s="110"/>
      <c r="BO39" s="110"/>
      <c r="BQ39" s="110"/>
      <c r="BR39" s="110"/>
      <c r="BS39" s="110"/>
      <c r="BY39" s="110"/>
    </row>
    <row r="40" customFormat="false" ht="13.5" hidden="false" customHeight="false" outlineLevel="0" collapsed="false">
      <c r="A40" s="164"/>
      <c r="B40" s="175" t="s">
        <v>180</v>
      </c>
      <c r="C40" s="0"/>
      <c r="D40" s="0"/>
      <c r="E40" s="0"/>
      <c r="F40" s="0"/>
      <c r="G40" s="0"/>
      <c r="H40" s="0"/>
      <c r="I40" s="0"/>
      <c r="J40" s="4" t="s">
        <v>181</v>
      </c>
      <c r="K40" s="0"/>
      <c r="L40" s="34" t="s">
        <v>151</v>
      </c>
      <c r="M40" s="110"/>
      <c r="O40" s="110"/>
      <c r="Q40" s="110"/>
      <c r="R40" s="240" t="n">
        <v>1132854</v>
      </c>
      <c r="S40" s="110"/>
      <c r="T40" s="110"/>
      <c r="U40" s="110"/>
      <c r="V40" s="110"/>
      <c r="X40" s="110"/>
      <c r="Z40" s="110"/>
      <c r="AB40" s="110"/>
      <c r="AD40" s="110"/>
      <c r="AI40" s="0"/>
      <c r="AK40" s="0"/>
      <c r="AM40" s="0"/>
      <c r="AP40" s="110" t="n">
        <v>19960</v>
      </c>
      <c r="AT40" s="110" t="n">
        <f aca="false">128593-19960</f>
        <v>108633</v>
      </c>
      <c r="AX40" s="110" t="n">
        <f aca="false">434961-128593</f>
        <v>306368</v>
      </c>
      <c r="BJ40" s="110"/>
      <c r="BL40" s="110"/>
      <c r="BM40" s="110"/>
      <c r="BN40" s="110"/>
      <c r="BO40" s="110"/>
      <c r="BP40" s="110" t="n">
        <f aca="false">SUM(T40:BO40)</f>
        <v>434961</v>
      </c>
      <c r="BQ40" s="110"/>
      <c r="BR40" s="110" t="n">
        <f aca="false">1164271-1132835</f>
        <v>31436</v>
      </c>
      <c r="BS40" s="110"/>
      <c r="BT40" s="110" t="n">
        <f aca="false">IF(+R40-BP40+BR40&gt;0,R40-BP40+BR40,0)</f>
        <v>729329</v>
      </c>
      <c r="BV40" s="110" t="n">
        <f aca="false">+BP40+BT40</f>
        <v>1164290</v>
      </c>
      <c r="BX40" s="110" t="n">
        <f aca="false">+R40-BV40</f>
        <v>-31436</v>
      </c>
      <c r="BY40" s="110"/>
    </row>
    <row r="41" customFormat="false" ht="13.5" hidden="false" customHeight="false" outlineLevel="0" collapsed="false">
      <c r="A41" s="164"/>
      <c r="B41" s="175" t="s">
        <v>182</v>
      </c>
      <c r="C41" s="0"/>
      <c r="D41" s="0"/>
      <c r="E41" s="0"/>
      <c r="F41" s="0"/>
      <c r="G41" s="0"/>
      <c r="H41" s="0"/>
      <c r="I41" s="0"/>
      <c r="J41" s="4" t="s">
        <v>181</v>
      </c>
      <c r="K41" s="0"/>
      <c r="L41" s="34" t="s">
        <v>151</v>
      </c>
      <c r="M41" s="110"/>
      <c r="O41" s="110"/>
      <c r="Q41" s="110"/>
      <c r="R41" s="240" t="n">
        <v>1580972</v>
      </c>
      <c r="S41" s="110"/>
      <c r="T41" s="110"/>
      <c r="U41" s="110"/>
      <c r="V41" s="110"/>
      <c r="X41" s="110"/>
      <c r="Z41" s="110"/>
      <c r="AB41" s="110"/>
      <c r="AD41" s="110"/>
      <c r="AI41" s="0"/>
      <c r="AK41" s="0"/>
      <c r="AM41" s="0"/>
      <c r="AP41" s="110" t="n">
        <f aca="false">77323+10575</f>
        <v>87898</v>
      </c>
      <c r="AT41" s="110" t="n">
        <f aca="false">399600-77323+12402</f>
        <v>334679</v>
      </c>
      <c r="AX41" s="110" t="n">
        <f aca="false">717041-422577</f>
        <v>294464</v>
      </c>
      <c r="BJ41" s="110"/>
      <c r="BL41" s="110"/>
      <c r="BM41" s="110"/>
      <c r="BN41" s="110"/>
      <c r="BO41" s="110"/>
      <c r="BP41" s="110" t="n">
        <f aca="false">SUM(T41:BO41)</f>
        <v>717041</v>
      </c>
      <c r="BQ41" s="110"/>
      <c r="BR41" s="110" t="n">
        <f aca="false">2003210-1580972</f>
        <v>422238</v>
      </c>
      <c r="BS41" s="110"/>
      <c r="BT41" s="110" t="n">
        <f aca="false">IF(+R41-BP41+BR41&gt;0,R41-BP41+BR41,0)</f>
        <v>1286169</v>
      </c>
      <c r="BV41" s="110" t="n">
        <f aca="false">+BP41+BT41</f>
        <v>2003210</v>
      </c>
      <c r="BX41" s="110" t="n">
        <f aca="false">+R41-BV41</f>
        <v>-422238</v>
      </c>
      <c r="BY41" s="110"/>
    </row>
    <row r="42" customFormat="false" ht="13.5" hidden="false" customHeight="false" outlineLevel="0" collapsed="false">
      <c r="A42" s="164"/>
      <c r="B42" s="175" t="s">
        <v>183</v>
      </c>
      <c r="C42" s="0"/>
      <c r="D42" s="0"/>
      <c r="E42" s="0"/>
      <c r="F42" s="0"/>
      <c r="G42" s="0"/>
      <c r="H42" s="0"/>
      <c r="I42" s="0"/>
      <c r="J42" s="4" t="s">
        <v>181</v>
      </c>
      <c r="K42" s="0"/>
      <c r="L42" s="34" t="s">
        <v>151</v>
      </c>
      <c r="M42" s="110"/>
      <c r="O42" s="110"/>
      <c r="Q42" s="110"/>
      <c r="R42" s="240" t="n">
        <v>8636948</v>
      </c>
      <c r="S42" s="110"/>
      <c r="T42" s="110"/>
      <c r="U42" s="110"/>
      <c r="V42" s="110"/>
      <c r="X42" s="110"/>
      <c r="Z42" s="110"/>
      <c r="AB42" s="110"/>
      <c r="AD42" s="110"/>
      <c r="AI42" s="0"/>
      <c r="AK42" s="0"/>
      <c r="AM42" s="0"/>
      <c r="AP42" s="110" t="n">
        <f aca="false">54748+22150+123159+88926+47401+83850</f>
        <v>420234</v>
      </c>
      <c r="AT42" s="110" t="n">
        <f aca="false">515063-54748+112868+268862+74246+31002+606132+21454</f>
        <v>1574879</v>
      </c>
      <c r="AX42" s="110" t="n">
        <f aca="false">3988889-1973659-21454</f>
        <v>1993776</v>
      </c>
      <c r="BJ42" s="110"/>
      <c r="BL42" s="110"/>
      <c r="BM42" s="110"/>
      <c r="BN42" s="110"/>
      <c r="BO42" s="110"/>
      <c r="BP42" s="110" t="n">
        <f aca="false">SUM(T42:BO42)</f>
        <v>3988889</v>
      </c>
      <c r="BQ42" s="110"/>
      <c r="BR42" s="110" t="n">
        <f aca="false">9627760-8636947</f>
        <v>990813</v>
      </c>
      <c r="BS42" s="110"/>
      <c r="BT42" s="110" t="n">
        <f aca="false">IF(+R42-BP42+BR42&gt;0,R42-BP42+BR42,0)</f>
        <v>5638872</v>
      </c>
      <c r="BV42" s="110" t="n">
        <f aca="false">+BP42+BT42</f>
        <v>9627761</v>
      </c>
      <c r="BX42" s="110" t="n">
        <f aca="false">+R42-BV42</f>
        <v>-990813</v>
      </c>
      <c r="BY42" s="110"/>
    </row>
    <row r="43" customFormat="false" ht="13.5" hidden="false" customHeight="false" outlineLevel="0" collapsed="false">
      <c r="A43" s="164"/>
      <c r="B43" s="175" t="s">
        <v>184</v>
      </c>
      <c r="C43" s="0"/>
      <c r="D43" s="0"/>
      <c r="E43" s="0"/>
      <c r="F43" s="0"/>
      <c r="G43" s="0"/>
      <c r="H43" s="0"/>
      <c r="I43" s="0"/>
      <c r="J43" s="4" t="s">
        <v>181</v>
      </c>
      <c r="K43" s="0"/>
      <c r="L43" s="34" t="s">
        <v>151</v>
      </c>
      <c r="M43" s="110"/>
      <c r="N43" s="110" t="n">
        <v>0</v>
      </c>
      <c r="O43" s="110"/>
      <c r="P43" s="110" t="n">
        <v>0</v>
      </c>
      <c r="Q43" s="110"/>
      <c r="R43" s="240" t="n">
        <v>384721</v>
      </c>
      <c r="S43" s="110"/>
      <c r="T43" s="110" t="n">
        <v>0</v>
      </c>
      <c r="U43" s="110"/>
      <c r="V43" s="110" t="n">
        <v>0</v>
      </c>
      <c r="X43" s="110" t="n">
        <v>0</v>
      </c>
      <c r="Z43" s="110" t="n">
        <v>0</v>
      </c>
      <c r="AB43" s="110" t="n">
        <v>0</v>
      </c>
      <c r="AD43" s="110" t="n">
        <v>0</v>
      </c>
      <c r="AF43" s="110" t="n">
        <v>0</v>
      </c>
      <c r="AH43" s="110" t="n">
        <v>0</v>
      </c>
      <c r="AI43" s="0"/>
      <c r="AJ43" s="110" t="n">
        <v>0</v>
      </c>
      <c r="AK43" s="0"/>
      <c r="AL43" s="110" t="n">
        <v>0</v>
      </c>
      <c r="AM43" s="0"/>
      <c r="AN43" s="110" t="n">
        <v>0</v>
      </c>
      <c r="AP43" s="110" t="n">
        <v>84553</v>
      </c>
      <c r="AR43" s="110" t="n">
        <v>0</v>
      </c>
      <c r="AT43" s="110" t="n">
        <f aca="false">179861-84553</f>
        <v>95308</v>
      </c>
      <c r="AV43" s="110" t="n">
        <v>0</v>
      </c>
      <c r="AX43" s="110" t="n">
        <f aca="false">421749-179861</f>
        <v>241888</v>
      </c>
      <c r="AZ43" s="110" t="n">
        <v>0</v>
      </c>
      <c r="BB43" s="110" t="n">
        <v>0</v>
      </c>
      <c r="BD43" s="110" t="n">
        <v>0</v>
      </c>
      <c r="BF43" s="110" t="n">
        <v>0</v>
      </c>
      <c r="BH43" s="110" t="n">
        <v>0</v>
      </c>
      <c r="BJ43" s="110" t="n">
        <v>0</v>
      </c>
      <c r="BL43" s="110" t="n">
        <v>0</v>
      </c>
      <c r="BM43" s="110"/>
      <c r="BN43" s="110" t="n">
        <v>0</v>
      </c>
      <c r="BO43" s="110"/>
      <c r="BP43" s="110" t="n">
        <f aca="false">SUM(T43:BO43)</f>
        <v>421749</v>
      </c>
      <c r="BQ43" s="110"/>
      <c r="BR43" s="110" t="n">
        <f aca="false">465690-384721</f>
        <v>80969</v>
      </c>
      <c r="BS43" s="110"/>
      <c r="BT43" s="110" t="n">
        <f aca="false">IF(+R43-BP43+BR43&gt;0,R43-BP43+BR43,0)</f>
        <v>43941</v>
      </c>
      <c r="BV43" s="110" t="n">
        <f aca="false">+BP43+BT43</f>
        <v>465690</v>
      </c>
      <c r="BX43" s="110" t="n">
        <f aca="false">+R43-BV43</f>
        <v>-80969</v>
      </c>
      <c r="BY43" s="110"/>
    </row>
    <row r="44" customFormat="false" ht="13.5" hidden="false" customHeight="false" outlineLevel="0" collapsed="false">
      <c r="A44" s="164"/>
      <c r="B44" s="175" t="s">
        <v>185</v>
      </c>
      <c r="C44" s="0"/>
      <c r="D44" s="0"/>
      <c r="E44" s="0"/>
      <c r="F44" s="0"/>
      <c r="G44" s="0"/>
      <c r="H44" s="0"/>
      <c r="I44" s="0"/>
      <c r="J44" s="4" t="s">
        <v>181</v>
      </c>
      <c r="K44" s="0"/>
      <c r="L44" s="34" t="s">
        <v>151</v>
      </c>
      <c r="M44" s="110"/>
      <c r="N44" s="110" t="n">
        <v>0</v>
      </c>
      <c r="O44" s="110"/>
      <c r="P44" s="110" t="n">
        <v>0</v>
      </c>
      <c r="Q44" s="110"/>
      <c r="R44" s="240" t="n">
        <v>150000</v>
      </c>
      <c r="S44" s="110"/>
      <c r="T44" s="110" t="n">
        <v>0</v>
      </c>
      <c r="U44" s="110"/>
      <c r="V44" s="110" t="n">
        <v>0</v>
      </c>
      <c r="X44" s="110" t="n">
        <v>0</v>
      </c>
      <c r="Z44" s="110" t="n">
        <v>0</v>
      </c>
      <c r="AB44" s="110" t="n">
        <v>0</v>
      </c>
      <c r="AD44" s="110" t="n">
        <v>0</v>
      </c>
      <c r="AF44" s="110" t="n">
        <v>0</v>
      </c>
      <c r="AH44" s="110" t="n">
        <v>0</v>
      </c>
      <c r="AI44" s="0"/>
      <c r="AJ44" s="110" t="n">
        <v>0</v>
      </c>
      <c r="AK44" s="0"/>
      <c r="AL44" s="110" t="n">
        <v>0</v>
      </c>
      <c r="AM44" s="0"/>
      <c r="AN44" s="110" t="n">
        <v>0</v>
      </c>
      <c r="AP44" s="110" t="n">
        <v>14301</v>
      </c>
      <c r="AR44" s="110" t="n">
        <v>0</v>
      </c>
      <c r="AT44" s="110" t="n">
        <f aca="false">70124-14301</f>
        <v>55823</v>
      </c>
      <c r="AV44" s="110" t="n">
        <v>0</v>
      </c>
      <c r="AX44" s="110" t="n">
        <f aca="false">33294-70124</f>
        <v>-36830</v>
      </c>
      <c r="AZ44" s="110" t="n">
        <v>0</v>
      </c>
      <c r="BB44" s="110" t="n">
        <v>0</v>
      </c>
      <c r="BD44" s="110" t="n">
        <v>0</v>
      </c>
      <c r="BF44" s="110" t="n">
        <v>0</v>
      </c>
      <c r="BH44" s="110" t="n">
        <v>0</v>
      </c>
      <c r="BJ44" s="110" t="n">
        <v>0</v>
      </c>
      <c r="BL44" s="110" t="n">
        <v>0</v>
      </c>
      <c r="BM44" s="110"/>
      <c r="BN44" s="110" t="n">
        <v>0</v>
      </c>
      <c r="BO44" s="110"/>
      <c r="BP44" s="110" t="n">
        <f aca="false">SUM(T44:BO44)</f>
        <v>33294</v>
      </c>
      <c r="BQ44" s="110"/>
      <c r="BR44" s="110" t="n">
        <v>0</v>
      </c>
      <c r="BS44" s="110"/>
      <c r="BT44" s="110" t="n">
        <f aca="false">IF(+R44-BP44+BR44&gt;0,R44-BP44+BR44,0)</f>
        <v>116706</v>
      </c>
      <c r="BV44" s="110" t="n">
        <f aca="false">+BP44+BT44</f>
        <v>150000</v>
      </c>
      <c r="BX44" s="110" t="n">
        <f aca="false">+R44-BV44</f>
        <v>0</v>
      </c>
      <c r="BY44" s="110"/>
    </row>
    <row r="45" customFormat="false" ht="13.5" hidden="false" customHeight="false" outlineLevel="0" collapsed="false">
      <c r="A45" s="164"/>
      <c r="B45" s="175" t="s">
        <v>186</v>
      </c>
      <c r="C45" s="0"/>
      <c r="D45" s="0"/>
      <c r="E45" s="0"/>
      <c r="F45" s="0"/>
      <c r="G45" s="0"/>
      <c r="H45" s="0"/>
      <c r="I45" s="0"/>
      <c r="J45" s="4" t="s">
        <v>181</v>
      </c>
      <c r="K45" s="0"/>
      <c r="L45" s="34" t="s">
        <v>151</v>
      </c>
      <c r="M45" s="110"/>
      <c r="N45" s="110" t="n">
        <v>0</v>
      </c>
      <c r="O45" s="110"/>
      <c r="P45" s="110" t="n">
        <v>0</v>
      </c>
      <c r="Q45" s="110"/>
      <c r="R45" s="240" t="n">
        <v>547484</v>
      </c>
      <c r="S45" s="110"/>
      <c r="T45" s="110" t="n">
        <v>0</v>
      </c>
      <c r="U45" s="110"/>
      <c r="V45" s="110" t="n">
        <v>0</v>
      </c>
      <c r="X45" s="110" t="n">
        <v>0</v>
      </c>
      <c r="Z45" s="110" t="n">
        <v>0</v>
      </c>
      <c r="AB45" s="110" t="n">
        <v>0</v>
      </c>
      <c r="AD45" s="110" t="n">
        <v>0</v>
      </c>
      <c r="AF45" s="110" t="n">
        <v>0</v>
      </c>
      <c r="AH45" s="110" t="n">
        <v>0</v>
      </c>
      <c r="AI45" s="0"/>
      <c r="AJ45" s="110" t="n">
        <v>0</v>
      </c>
      <c r="AK45" s="0"/>
      <c r="AL45" s="110" t="n">
        <v>0</v>
      </c>
      <c r="AM45" s="0"/>
      <c r="AN45" s="110" t="n">
        <v>0</v>
      </c>
      <c r="AP45" s="110" t="n">
        <v>0</v>
      </c>
      <c r="AR45" s="110" t="n">
        <v>0</v>
      </c>
      <c r="AT45" s="110" t="n">
        <v>0</v>
      </c>
      <c r="AV45" s="110" t="n">
        <v>0</v>
      </c>
      <c r="AX45" s="110" t="n">
        <v>0</v>
      </c>
      <c r="AZ45" s="110" t="n">
        <v>0</v>
      </c>
      <c r="BB45" s="110" t="n">
        <v>0</v>
      </c>
      <c r="BD45" s="110" t="n">
        <v>0</v>
      </c>
      <c r="BF45" s="110" t="n">
        <v>0</v>
      </c>
      <c r="BH45" s="110" t="n">
        <v>0</v>
      </c>
      <c r="BJ45" s="110" t="n">
        <v>0</v>
      </c>
      <c r="BL45" s="110" t="n">
        <v>0</v>
      </c>
      <c r="BM45" s="110"/>
      <c r="BN45" s="110" t="n">
        <v>0</v>
      </c>
      <c r="BO45" s="110"/>
      <c r="BP45" s="110" t="n">
        <f aca="false">SUM(T45:BO45)</f>
        <v>0</v>
      </c>
      <c r="BQ45" s="110"/>
      <c r="BR45" s="110" t="n">
        <v>-547484</v>
      </c>
      <c r="BS45" s="110"/>
      <c r="BT45" s="110" t="n">
        <f aca="false">IF(+R45-BP45+BR45&gt;0,R45-BP45+BR45,0)</f>
        <v>0</v>
      </c>
      <c r="BV45" s="110" t="n">
        <f aca="false">+BP45+BT45</f>
        <v>0</v>
      </c>
      <c r="BX45" s="110" t="n">
        <f aca="false">+R45-BV45</f>
        <v>547484</v>
      </c>
      <c r="BY45" s="110"/>
    </row>
    <row r="46" customFormat="false" ht="13.5" hidden="false" customHeight="false" outlineLevel="0" collapsed="false">
      <c r="A46" s="164"/>
      <c r="B46" s="175" t="s">
        <v>187</v>
      </c>
      <c r="C46" s="0"/>
      <c r="D46" s="0"/>
      <c r="E46" s="0"/>
      <c r="F46" s="0"/>
      <c r="G46" s="0"/>
      <c r="H46" s="0"/>
      <c r="I46" s="0"/>
      <c r="J46" s="4"/>
      <c r="K46" s="0"/>
      <c r="L46" s="34" t="s">
        <v>151</v>
      </c>
      <c r="M46" s="110"/>
      <c r="N46" s="110" t="n">
        <v>0</v>
      </c>
      <c r="O46" s="110"/>
      <c r="P46" s="110" t="n">
        <v>0</v>
      </c>
      <c r="Q46" s="110"/>
      <c r="R46" s="240" t="n">
        <v>-231</v>
      </c>
      <c r="S46" s="110"/>
      <c r="T46" s="110" t="n">
        <v>0</v>
      </c>
      <c r="U46" s="110"/>
      <c r="V46" s="110" t="n">
        <v>0</v>
      </c>
      <c r="X46" s="110" t="n">
        <v>0</v>
      </c>
      <c r="Z46" s="110" t="n">
        <v>0</v>
      </c>
      <c r="AB46" s="110" t="n">
        <v>0</v>
      </c>
      <c r="AD46" s="110" t="n">
        <v>0</v>
      </c>
      <c r="AF46" s="110" t="n">
        <v>0</v>
      </c>
      <c r="AH46" s="110" t="n">
        <v>0</v>
      </c>
      <c r="AI46" s="0"/>
      <c r="AJ46" s="110" t="n">
        <v>0</v>
      </c>
      <c r="AK46" s="0"/>
      <c r="AL46" s="110" t="n">
        <v>0</v>
      </c>
      <c r="AM46" s="0"/>
      <c r="AN46" s="110" t="n">
        <v>0</v>
      </c>
      <c r="AP46" s="110" t="n">
        <v>0</v>
      </c>
      <c r="AR46" s="110" t="n">
        <v>0</v>
      </c>
      <c r="AT46" s="110" t="n">
        <v>0</v>
      </c>
      <c r="AV46" s="110" t="n">
        <v>0</v>
      </c>
      <c r="AX46" s="110" t="n">
        <v>0</v>
      </c>
      <c r="AZ46" s="110" t="n">
        <v>0</v>
      </c>
      <c r="BB46" s="110" t="n">
        <v>0</v>
      </c>
      <c r="BD46" s="110" t="n">
        <v>0</v>
      </c>
      <c r="BF46" s="110" t="n">
        <v>0</v>
      </c>
      <c r="BH46" s="110" t="n">
        <v>0</v>
      </c>
      <c r="BJ46" s="110" t="n">
        <v>0</v>
      </c>
      <c r="BL46" s="110" t="n">
        <v>0</v>
      </c>
      <c r="BM46" s="110"/>
      <c r="BN46" s="110" t="n">
        <v>0</v>
      </c>
      <c r="BO46" s="110"/>
      <c r="BP46" s="110" t="n">
        <f aca="false">SUM(T46:BO46)</f>
        <v>0</v>
      </c>
      <c r="BQ46" s="110"/>
      <c r="BR46" s="110" t="n">
        <v>-485</v>
      </c>
      <c r="BS46" s="110"/>
      <c r="BT46" s="110" t="n">
        <f aca="false">IF(+R46-BP46+BR46&gt;0,R46-BP46+BR46,0)</f>
        <v>0</v>
      </c>
      <c r="BV46" s="110" t="n">
        <f aca="false">+BP46+BT46</f>
        <v>0</v>
      </c>
      <c r="BX46" s="110" t="n">
        <f aca="false">+R46-BV46</f>
        <v>-231</v>
      </c>
      <c r="BY46" s="110"/>
    </row>
    <row r="47" customFormat="false" ht="13.5" hidden="false" customHeight="false" outlineLevel="0" collapsed="false">
      <c r="A47" s="164"/>
      <c r="B47" s="175"/>
      <c r="C47" s="0"/>
      <c r="D47" s="0"/>
      <c r="E47" s="0"/>
      <c r="F47" s="0"/>
      <c r="G47" s="0"/>
      <c r="H47" s="0"/>
      <c r="I47" s="0"/>
      <c r="J47" s="4"/>
      <c r="K47" s="0"/>
      <c r="L47" s="34" t="s">
        <v>151</v>
      </c>
      <c r="M47" s="110"/>
      <c r="N47" s="110" t="n">
        <v>0</v>
      </c>
      <c r="O47" s="110"/>
      <c r="P47" s="110" t="n">
        <v>0</v>
      </c>
      <c r="Q47" s="110"/>
      <c r="S47" s="110"/>
      <c r="T47" s="110" t="n">
        <v>0</v>
      </c>
      <c r="U47" s="110"/>
      <c r="V47" s="110" t="n">
        <v>0</v>
      </c>
      <c r="X47" s="110" t="n">
        <v>0</v>
      </c>
      <c r="Z47" s="110" t="n">
        <v>0</v>
      </c>
      <c r="AB47" s="110" t="n">
        <v>0</v>
      </c>
      <c r="AD47" s="110" t="n">
        <v>0</v>
      </c>
      <c r="AF47" s="110" t="n">
        <v>0</v>
      </c>
      <c r="AH47" s="110" t="n">
        <v>0</v>
      </c>
      <c r="AI47" s="0"/>
      <c r="AJ47" s="110" t="n">
        <v>0</v>
      </c>
      <c r="AK47" s="0"/>
      <c r="AL47" s="110" t="n">
        <v>0</v>
      </c>
      <c r="AM47" s="0"/>
      <c r="AN47" s="110" t="n">
        <v>0</v>
      </c>
      <c r="AP47" s="110" t="n">
        <v>0</v>
      </c>
      <c r="AR47" s="110" t="n">
        <v>0</v>
      </c>
      <c r="AT47" s="110" t="n">
        <v>0</v>
      </c>
      <c r="AV47" s="110" t="n">
        <v>0</v>
      </c>
      <c r="AX47" s="110" t="n">
        <v>0</v>
      </c>
      <c r="AZ47" s="110" t="n">
        <v>0</v>
      </c>
      <c r="BB47" s="110" t="n">
        <v>0</v>
      </c>
      <c r="BD47" s="110" t="n">
        <v>0</v>
      </c>
      <c r="BF47" s="110" t="n">
        <v>0</v>
      </c>
      <c r="BH47" s="110" t="n">
        <v>0</v>
      </c>
      <c r="BJ47" s="110" t="n">
        <v>0</v>
      </c>
      <c r="BL47" s="110" t="n">
        <v>0</v>
      </c>
      <c r="BM47" s="110"/>
      <c r="BN47" s="110" t="n">
        <v>0</v>
      </c>
      <c r="BO47" s="110"/>
      <c r="BP47" s="110" t="n">
        <f aca="false">SUM(T47:BO47)</f>
        <v>0</v>
      </c>
      <c r="BQ47" s="110"/>
      <c r="BR47" s="110" t="n">
        <v>0</v>
      </c>
      <c r="BS47" s="110"/>
      <c r="BT47" s="110" t="n">
        <f aca="false">IF(+R47-BP47+BR47&gt;0,R47-BP47+BR47,0)</f>
        <v>0</v>
      </c>
      <c r="BV47" s="110" t="n">
        <f aca="false">+BP47+BT47</f>
        <v>0</v>
      </c>
      <c r="BY47" s="110"/>
    </row>
    <row r="48" customFormat="false" ht="12.75" hidden="false" customHeight="false" outlineLevel="0" collapsed="false">
      <c r="A48" s="177"/>
      <c r="B48" s="178" t="s">
        <v>188</v>
      </c>
      <c r="C48" s="2"/>
      <c r="D48" s="2"/>
      <c r="E48" s="2"/>
      <c r="F48" s="2"/>
      <c r="G48" s="2"/>
      <c r="H48" s="2"/>
      <c r="I48" s="2"/>
      <c r="J48" s="3"/>
      <c r="K48" s="2"/>
      <c r="L48" s="179" t="s">
        <v>151</v>
      </c>
      <c r="M48" s="24"/>
      <c r="N48" s="24" t="n">
        <v>0</v>
      </c>
      <c r="O48" s="24"/>
      <c r="P48" s="24" t="n">
        <v>0</v>
      </c>
      <c r="Q48" s="24"/>
      <c r="R48" s="24" t="n">
        <f aca="false">SUM(R40:R47)</f>
        <v>12432748</v>
      </c>
      <c r="S48" s="24"/>
      <c r="T48" s="24" t="n">
        <f aca="false">SUM(T40:T47)</f>
        <v>0</v>
      </c>
      <c r="U48" s="24" t="n">
        <f aca="false">SUM(U40:U47)</f>
        <v>0</v>
      </c>
      <c r="V48" s="24" t="n">
        <f aca="false">SUM(V40:V47)</f>
        <v>0</v>
      </c>
      <c r="W48" s="24" t="n">
        <f aca="false">SUM(W40:W47)</f>
        <v>0</v>
      </c>
      <c r="X48" s="24" t="n">
        <f aca="false">SUM(X40:X47)</f>
        <v>0</v>
      </c>
      <c r="Y48" s="24" t="n">
        <f aca="false">SUM(Y40:Y47)</f>
        <v>0</v>
      </c>
      <c r="Z48" s="24" t="n">
        <f aca="false">SUM(Z40:Z47)</f>
        <v>0</v>
      </c>
      <c r="AA48" s="24" t="n">
        <f aca="false">SUM(AA40:AA47)</f>
        <v>0</v>
      </c>
      <c r="AB48" s="24" t="n">
        <f aca="false">SUM(AB40:AB47)</f>
        <v>0</v>
      </c>
      <c r="AC48" s="24" t="n">
        <f aca="false">SUM(AC40:AC47)</f>
        <v>0</v>
      </c>
      <c r="AD48" s="24" t="n">
        <f aca="false">SUM(AD40:AD47)</f>
        <v>0</v>
      </c>
      <c r="AE48" s="24" t="n">
        <f aca="false">SUM(AE40:AE47)</f>
        <v>0</v>
      </c>
      <c r="AF48" s="24" t="n">
        <f aca="false">SUM(AF40:AF47)</f>
        <v>0</v>
      </c>
      <c r="AG48" s="24" t="n">
        <f aca="false">SUM(AG40:AG47)</f>
        <v>0</v>
      </c>
      <c r="AH48" s="24" t="n">
        <f aca="false">SUM(AH40:AH47)</f>
        <v>0</v>
      </c>
      <c r="AI48" s="24" t="n">
        <f aca="false">SUM(AI40:AI47)</f>
        <v>0</v>
      </c>
      <c r="AJ48" s="24" t="n">
        <f aca="false">SUM(AJ40:AJ47)</f>
        <v>0</v>
      </c>
      <c r="AK48" s="24" t="n">
        <f aca="false">SUM(AK40:AK47)</f>
        <v>0</v>
      </c>
      <c r="AL48" s="24" t="n">
        <f aca="false">SUM(AL40:AL47)</f>
        <v>0</v>
      </c>
      <c r="AM48" s="24" t="n">
        <f aca="false">SUM(AM40:AM47)</f>
        <v>0</v>
      </c>
      <c r="AN48" s="24" t="n">
        <f aca="false">SUM(AN40:AN47)</f>
        <v>0</v>
      </c>
      <c r="AO48" s="24" t="n">
        <f aca="false">SUM(AO40:AO47)</f>
        <v>0</v>
      </c>
      <c r="AP48" s="24" t="n">
        <f aca="false">SUM(AP40:AP47)</f>
        <v>626946</v>
      </c>
      <c r="AQ48" s="24"/>
      <c r="AR48" s="24" t="n">
        <f aca="false">SUM(AR40:AR47)</f>
        <v>0</v>
      </c>
      <c r="AS48" s="24" t="n">
        <f aca="false">SUM(AS40:AS47)</f>
        <v>0</v>
      </c>
      <c r="AT48" s="24" t="n">
        <f aca="false">SUM(AT40:AT47)</f>
        <v>2169322</v>
      </c>
      <c r="AU48" s="24" t="n">
        <f aca="false">SUM(AU40:AU47)</f>
        <v>0</v>
      </c>
      <c r="AV48" s="24" t="n">
        <f aca="false">SUM(AV40:AV47)</f>
        <v>0</v>
      </c>
      <c r="AW48" s="24" t="n">
        <f aca="false">SUM(AW40:AW47)</f>
        <v>0</v>
      </c>
      <c r="AX48" s="24" t="n">
        <f aca="false">SUM(AX40:AX47)</f>
        <v>2799666</v>
      </c>
      <c r="AY48" s="24" t="n">
        <f aca="false">SUM(AY40:AY47)</f>
        <v>0</v>
      </c>
      <c r="AZ48" s="24" t="n">
        <f aca="false">SUM(AZ40:AZ47)</f>
        <v>0</v>
      </c>
      <c r="BA48" s="24" t="n">
        <f aca="false">SUM(BA40:BA47)</f>
        <v>0</v>
      </c>
      <c r="BB48" s="24" t="n">
        <f aca="false">SUM(BB40:BB47)</f>
        <v>0</v>
      </c>
      <c r="BC48" s="24" t="n">
        <f aca="false">SUM(BC40:BC47)</f>
        <v>0</v>
      </c>
      <c r="BD48" s="24" t="n">
        <f aca="false">SUM(BD40:BD47)</f>
        <v>0</v>
      </c>
      <c r="BE48" s="24" t="n">
        <f aca="false">SUM(BE40:BE47)</f>
        <v>0</v>
      </c>
      <c r="BF48" s="24" t="n">
        <f aca="false">SUM(BF40:BF47)</f>
        <v>0</v>
      </c>
      <c r="BG48" s="24" t="n">
        <f aca="false">SUM(BG40:BG47)</f>
        <v>0</v>
      </c>
      <c r="BH48" s="24" t="n">
        <f aca="false">SUM(BH40:BH47)</f>
        <v>0</v>
      </c>
      <c r="BI48" s="24" t="n">
        <f aca="false">SUM(BI40:BI47)</f>
        <v>0</v>
      </c>
      <c r="BJ48" s="24" t="n">
        <f aca="false">SUM(BJ40:BJ47)</f>
        <v>0</v>
      </c>
      <c r="BK48" s="24" t="n">
        <f aca="false">SUM(BK40:BK47)</f>
        <v>0</v>
      </c>
      <c r="BL48" s="24" t="n">
        <f aca="false">SUM(BL40:BL47)</f>
        <v>0</v>
      </c>
      <c r="BM48" s="24"/>
      <c r="BN48" s="24" t="n">
        <f aca="false">SUM(BN40:BN47)</f>
        <v>0</v>
      </c>
      <c r="BO48" s="24"/>
      <c r="BP48" s="24" t="n">
        <f aca="false">SUM(BP40:BP47)</f>
        <v>5595934</v>
      </c>
      <c r="BQ48" s="24" t="n">
        <f aca="false">SUM(BQ40:BQ47)</f>
        <v>0</v>
      </c>
      <c r="BR48" s="24" t="n">
        <f aca="false">SUM(BR40:BR47)</f>
        <v>977487</v>
      </c>
      <c r="BS48" s="24" t="n">
        <f aca="false">SUM(BS40:BS47)</f>
        <v>0</v>
      </c>
      <c r="BT48" s="24" t="n">
        <f aca="false">SUM(BT40:BT47)</f>
        <v>7815017</v>
      </c>
      <c r="BU48" s="24" t="n">
        <f aca="false">SUM(BU40:BU47)</f>
        <v>0</v>
      </c>
      <c r="BV48" s="24" t="n">
        <f aca="false">SUM(BV40:BV47)</f>
        <v>13410951</v>
      </c>
      <c r="BW48" s="24" t="n">
        <f aca="false">SUM(BW40:BW47)</f>
        <v>0</v>
      </c>
      <c r="BX48" s="24" t="n">
        <f aca="false">SUM(BX40:BX47)</f>
        <v>-978203</v>
      </c>
      <c r="BY48" s="24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64"/>
      <c r="B49" s="242"/>
      <c r="C49" s="0"/>
      <c r="D49" s="0"/>
      <c r="E49" s="0"/>
      <c r="F49" s="0"/>
      <c r="G49" s="0"/>
      <c r="H49" s="0"/>
      <c r="I49" s="0"/>
      <c r="J49" s="4"/>
      <c r="K49" s="0"/>
      <c r="L49" s="34"/>
      <c r="M49" s="110"/>
      <c r="O49" s="110"/>
      <c r="Q49" s="110"/>
      <c r="S49" s="110"/>
      <c r="T49" s="110"/>
      <c r="U49" s="110"/>
      <c r="V49" s="110"/>
      <c r="X49" s="110"/>
      <c r="Z49" s="110"/>
      <c r="AB49" s="110"/>
      <c r="AD49" s="110"/>
      <c r="AI49" s="0"/>
      <c r="AK49" s="0"/>
      <c r="AM49" s="0"/>
      <c r="BJ49" s="110"/>
      <c r="BL49" s="110"/>
      <c r="BM49" s="110"/>
      <c r="BN49" s="110"/>
      <c r="BO49" s="110"/>
      <c r="BQ49" s="110"/>
      <c r="BR49" s="110"/>
      <c r="BS49" s="110"/>
      <c r="BY49" s="110"/>
    </row>
    <row r="50" customFormat="false" ht="12.75" hidden="false" customHeight="false" outlineLevel="0" collapsed="false">
      <c r="B50" s="2" t="s">
        <v>189</v>
      </c>
      <c r="C50" s="0"/>
      <c r="D50" s="0"/>
      <c r="E50" s="0"/>
      <c r="F50" s="0"/>
      <c r="G50" s="0"/>
      <c r="H50" s="0"/>
      <c r="I50" s="0"/>
      <c r="J50" s="4"/>
      <c r="K50" s="0"/>
      <c r="L50" s="34"/>
      <c r="M50" s="110"/>
      <c r="O50" s="110"/>
      <c r="Q50" s="110"/>
      <c r="S50" s="110"/>
      <c r="T50" s="110"/>
      <c r="U50" s="110"/>
      <c r="V50" s="110"/>
      <c r="X50" s="110"/>
      <c r="Z50" s="110"/>
      <c r="AB50" s="110"/>
      <c r="AD50" s="110"/>
      <c r="AI50" s="0"/>
      <c r="AK50" s="0"/>
      <c r="AM50" s="0"/>
      <c r="BJ50" s="110"/>
      <c r="BL50" s="110"/>
      <c r="BM50" s="110"/>
      <c r="BN50" s="110"/>
      <c r="BO50" s="110"/>
      <c r="BP50" s="110" t="n">
        <f aca="false">SUM(T50:BL50)</f>
        <v>0</v>
      </c>
      <c r="BQ50" s="110"/>
      <c r="BR50" s="110"/>
      <c r="BS50" s="110"/>
      <c r="BY50" s="110"/>
    </row>
    <row r="51" customFormat="false" ht="13.5" hidden="false" customHeight="false" outlineLevel="0" collapsed="false">
      <c r="A51" s="18"/>
      <c r="B51" s="175" t="s">
        <v>190</v>
      </c>
      <c r="C51" s="0"/>
      <c r="D51" s="0"/>
      <c r="E51" s="0"/>
      <c r="F51" s="0"/>
      <c r="G51" s="0"/>
      <c r="H51" s="0"/>
      <c r="I51" s="0"/>
      <c r="J51" s="4" t="s">
        <v>181</v>
      </c>
      <c r="K51" s="0"/>
      <c r="L51" s="34"/>
      <c r="M51" s="110"/>
      <c r="O51" s="110"/>
      <c r="Q51" s="110"/>
      <c r="R51" s="240" t="n">
        <v>337160</v>
      </c>
      <c r="S51" s="110"/>
      <c r="T51" s="110"/>
      <c r="U51" s="110"/>
      <c r="V51" s="110"/>
      <c r="X51" s="110"/>
      <c r="Z51" s="110"/>
      <c r="AB51" s="110"/>
      <c r="AD51" s="110"/>
      <c r="AI51" s="0"/>
      <c r="AK51" s="0"/>
      <c r="AM51" s="0"/>
      <c r="AX51" s="110" t="n">
        <v>124742</v>
      </c>
      <c r="BJ51" s="110"/>
      <c r="BL51" s="110"/>
      <c r="BM51" s="110"/>
      <c r="BN51" s="110"/>
      <c r="BO51" s="110"/>
      <c r="BP51" s="110" t="n">
        <f aca="false">SUM(T51:BO51)</f>
        <v>124742</v>
      </c>
      <c r="BQ51" s="110"/>
      <c r="BR51" s="110"/>
      <c r="BS51" s="110"/>
      <c r="BT51" s="110" t="n">
        <f aca="false">IF(+R51-BP51+BR51&gt;0,R51-BP51+BR51,0)</f>
        <v>212418</v>
      </c>
      <c r="BV51" s="110" t="n">
        <f aca="false">+BP51+BT51</f>
        <v>337160</v>
      </c>
      <c r="BX51" s="110" t="n">
        <f aca="false">+R51-BV51</f>
        <v>0</v>
      </c>
      <c r="BY51" s="110"/>
    </row>
    <row r="52" customFormat="false" ht="13.5" hidden="false" customHeight="false" outlineLevel="0" collapsed="false">
      <c r="A52" s="18"/>
      <c r="B52" s="175" t="s">
        <v>191</v>
      </c>
      <c r="C52" s="0"/>
      <c r="D52" s="0"/>
      <c r="E52" s="0"/>
      <c r="F52" s="0"/>
      <c r="G52" s="0"/>
      <c r="H52" s="0"/>
      <c r="I52" s="0"/>
      <c r="J52" s="4" t="s">
        <v>181</v>
      </c>
      <c r="K52" s="0"/>
      <c r="L52" s="34"/>
      <c r="M52" s="110"/>
      <c r="O52" s="110"/>
      <c r="Q52" s="110"/>
      <c r="R52" s="240" t="n">
        <v>3526570</v>
      </c>
      <c r="S52" s="110"/>
      <c r="T52" s="110"/>
      <c r="U52" s="110"/>
      <c r="V52" s="110"/>
      <c r="X52" s="110"/>
      <c r="Z52" s="110"/>
      <c r="AB52" s="110"/>
      <c r="AD52" s="110"/>
      <c r="AI52" s="0"/>
      <c r="AK52" s="0"/>
      <c r="AM52" s="0"/>
      <c r="AP52" s="110" t="n">
        <v>115533</v>
      </c>
      <c r="AT52" s="110" t="n">
        <f aca="false">9367+346600</f>
        <v>355967</v>
      </c>
      <c r="AX52" s="110" t="n">
        <f aca="false">1125407-471500</f>
        <v>653907</v>
      </c>
      <c r="BJ52" s="110"/>
      <c r="BL52" s="110"/>
      <c r="BM52" s="110"/>
      <c r="BN52" s="110"/>
      <c r="BO52" s="110"/>
      <c r="BP52" s="110" t="n">
        <f aca="false">SUM(T52:BO52)</f>
        <v>1125407</v>
      </c>
      <c r="BQ52" s="110"/>
      <c r="BR52" s="110" t="n">
        <f aca="false">3268613-3526570</f>
        <v>-257957</v>
      </c>
      <c r="BS52" s="110"/>
      <c r="BT52" s="110" t="n">
        <f aca="false">IF(+R52-BP52+BR52&gt;0,R52-BP52+BR52,0)</f>
        <v>2143206</v>
      </c>
      <c r="BV52" s="110" t="n">
        <f aca="false">+BP52+BT52</f>
        <v>3268613</v>
      </c>
      <c r="BX52" s="110" t="n">
        <f aca="false">+R52-BV52</f>
        <v>257957</v>
      </c>
      <c r="BY52" s="110"/>
    </row>
    <row r="53" customFormat="false" ht="13.5" hidden="false" customHeight="false" outlineLevel="0" collapsed="false">
      <c r="A53" s="18"/>
      <c r="B53" s="175" t="s">
        <v>192</v>
      </c>
      <c r="C53" s="0"/>
      <c r="D53" s="0"/>
      <c r="E53" s="0"/>
      <c r="F53" s="0"/>
      <c r="G53" s="0"/>
      <c r="H53" s="0"/>
      <c r="I53" s="0"/>
      <c r="J53" s="4" t="s">
        <v>181</v>
      </c>
      <c r="K53" s="0"/>
      <c r="L53" s="34"/>
      <c r="M53" s="110"/>
      <c r="O53" s="110"/>
      <c r="Q53" s="110"/>
      <c r="R53" s="240" t="n">
        <v>967394</v>
      </c>
      <c r="S53" s="110"/>
      <c r="T53" s="110"/>
      <c r="U53" s="110"/>
      <c r="V53" s="110"/>
      <c r="X53" s="110"/>
      <c r="Z53" s="110"/>
      <c r="AB53" s="110"/>
      <c r="AD53" s="110"/>
      <c r="AI53" s="0"/>
      <c r="AK53" s="0"/>
      <c r="AM53" s="0"/>
      <c r="AX53" s="110" t="n">
        <v>7369</v>
      </c>
      <c r="BJ53" s="110"/>
      <c r="BL53" s="110"/>
      <c r="BM53" s="110"/>
      <c r="BN53" s="110"/>
      <c r="BO53" s="110"/>
      <c r="BP53" s="110" t="n">
        <f aca="false">SUM(T53:BO53)</f>
        <v>7369</v>
      </c>
      <c r="BQ53" s="110"/>
      <c r="BR53" s="110" t="n">
        <f aca="false">877394-967394</f>
        <v>-90000</v>
      </c>
      <c r="BS53" s="110"/>
      <c r="BT53" s="110" t="n">
        <f aca="false">IF(+R53-BP53+BR53&gt;0,R53-BP53+BR53,0)</f>
        <v>870025</v>
      </c>
      <c r="BV53" s="110" t="n">
        <f aca="false">+BP53+BT53</f>
        <v>877394</v>
      </c>
      <c r="BX53" s="110" t="n">
        <f aca="false">+R53-BV53</f>
        <v>90000</v>
      </c>
      <c r="BY53" s="110"/>
    </row>
    <row r="54" customFormat="false" ht="13.5" hidden="false" customHeight="false" outlineLevel="0" collapsed="false">
      <c r="A54" s="18"/>
      <c r="B54" s="175" t="s">
        <v>193</v>
      </c>
      <c r="C54" s="0"/>
      <c r="D54" s="0"/>
      <c r="E54" s="0"/>
      <c r="F54" s="0"/>
      <c r="G54" s="0"/>
      <c r="H54" s="0"/>
      <c r="I54" s="0"/>
      <c r="J54" s="4" t="s">
        <v>181</v>
      </c>
      <c r="K54" s="0"/>
      <c r="L54" s="34"/>
      <c r="M54" s="110"/>
      <c r="O54" s="110"/>
      <c r="Q54" s="110"/>
      <c r="R54" s="240" t="n">
        <v>577625</v>
      </c>
      <c r="S54" s="110"/>
      <c r="T54" s="110"/>
      <c r="U54" s="110"/>
      <c r="V54" s="110"/>
      <c r="X54" s="110"/>
      <c r="Z54" s="110"/>
      <c r="AB54" s="110"/>
      <c r="AD54" s="110"/>
      <c r="AI54" s="0"/>
      <c r="AK54" s="0"/>
      <c r="AM54" s="0"/>
      <c r="AT54" s="110" t="n">
        <v>3829</v>
      </c>
      <c r="AX54" s="110" t="n">
        <f aca="false">4953-3829</f>
        <v>1124</v>
      </c>
      <c r="BJ54" s="110"/>
      <c r="BL54" s="110"/>
      <c r="BM54" s="110"/>
      <c r="BN54" s="110"/>
      <c r="BO54" s="110"/>
      <c r="BP54" s="110" t="n">
        <f aca="false">SUM(T54:BO54)</f>
        <v>4953</v>
      </c>
      <c r="BQ54" s="110"/>
      <c r="BR54" s="110" t="n">
        <f aca="false">466609-577625</f>
        <v>-111016</v>
      </c>
      <c r="BS54" s="110"/>
      <c r="BT54" s="110" t="n">
        <f aca="false">IF(+R54-BP54+BR54&gt;0,R54-BP54+BR54,0)</f>
        <v>461656</v>
      </c>
      <c r="BV54" s="110" t="n">
        <f aca="false">+BP54+BT54</f>
        <v>466609</v>
      </c>
      <c r="BX54" s="110" t="n">
        <f aca="false">+R54-BV54</f>
        <v>111016</v>
      </c>
      <c r="BY54" s="110"/>
    </row>
    <row r="55" customFormat="false" ht="12.75" hidden="false" customHeight="false" outlineLevel="0" collapsed="false">
      <c r="A55" s="174"/>
      <c r="B55" s="178" t="s">
        <v>194</v>
      </c>
      <c r="C55" s="2"/>
      <c r="D55" s="2"/>
      <c r="E55" s="2"/>
      <c r="F55" s="2"/>
      <c r="G55" s="2"/>
      <c r="H55" s="2"/>
      <c r="I55" s="2"/>
      <c r="J55" s="3"/>
      <c r="K55" s="2"/>
      <c r="L55" s="179" t="s">
        <v>151</v>
      </c>
      <c r="M55" s="24"/>
      <c r="N55" s="24" t="n">
        <v>0</v>
      </c>
      <c r="O55" s="24"/>
      <c r="P55" s="24" t="n">
        <v>0</v>
      </c>
      <c r="Q55" s="24"/>
      <c r="R55" s="24" t="n">
        <f aca="false">SUM(R51:R54)</f>
        <v>5408749</v>
      </c>
      <c r="S55" s="24"/>
      <c r="T55" s="24" t="n">
        <f aca="false">SUM(T51:T54)</f>
        <v>0</v>
      </c>
      <c r="U55" s="24" t="n">
        <f aca="false">SUM(U51:U54)</f>
        <v>0</v>
      </c>
      <c r="V55" s="24" t="n">
        <f aca="false">SUM(V51:V54)</f>
        <v>0</v>
      </c>
      <c r="W55" s="24" t="n">
        <f aca="false">SUM(W51:W54)</f>
        <v>0</v>
      </c>
      <c r="X55" s="24" t="n">
        <f aca="false">SUM(X51:X54)</f>
        <v>0</v>
      </c>
      <c r="Y55" s="24" t="n">
        <f aca="false">SUM(Y51:Y54)</f>
        <v>0</v>
      </c>
      <c r="Z55" s="24" t="n">
        <f aca="false">SUM(Z51:Z54)</f>
        <v>0</v>
      </c>
      <c r="AA55" s="24" t="n">
        <f aca="false">SUM(AA51:AA54)</f>
        <v>0</v>
      </c>
      <c r="AB55" s="24" t="n">
        <f aca="false">SUM(AB51:AB54)</f>
        <v>0</v>
      </c>
      <c r="AC55" s="24" t="n">
        <f aca="false">SUM(AC51:AC54)</f>
        <v>0</v>
      </c>
      <c r="AD55" s="24" t="n">
        <f aca="false">SUM(AD51:AD54)</f>
        <v>0</v>
      </c>
      <c r="AE55" s="24" t="n">
        <f aca="false">SUM(AE51:AE54)</f>
        <v>0</v>
      </c>
      <c r="AF55" s="24" t="n">
        <f aca="false">SUM(AF51:AF54)</f>
        <v>0</v>
      </c>
      <c r="AG55" s="24" t="n">
        <f aca="false">SUM(AG51:AG54)</f>
        <v>0</v>
      </c>
      <c r="AH55" s="24" t="n">
        <f aca="false">SUM(AH51:AH54)</f>
        <v>0</v>
      </c>
      <c r="AI55" s="24" t="n">
        <f aca="false">SUM(AI51:AI54)</f>
        <v>0</v>
      </c>
      <c r="AJ55" s="24" t="n">
        <f aca="false">SUM(AJ51:AJ54)</f>
        <v>0</v>
      </c>
      <c r="AK55" s="24" t="n">
        <f aca="false">SUM(AK51:AK54)</f>
        <v>0</v>
      </c>
      <c r="AL55" s="24" t="n">
        <f aca="false">SUM(AL51:AL54)</f>
        <v>0</v>
      </c>
      <c r="AM55" s="24" t="n">
        <f aca="false">SUM(AM51:AM54)</f>
        <v>0</v>
      </c>
      <c r="AN55" s="24" t="n">
        <f aca="false">SUM(AN51:AN54)</f>
        <v>0</v>
      </c>
      <c r="AO55" s="24" t="n">
        <f aca="false">SUM(AO51:AO54)</f>
        <v>0</v>
      </c>
      <c r="AP55" s="24" t="n">
        <f aca="false">SUM(AP51:AP54)</f>
        <v>115533</v>
      </c>
      <c r="AQ55" s="24"/>
      <c r="AR55" s="24" t="n">
        <f aca="false">SUM(AR51:AR54)</f>
        <v>0</v>
      </c>
      <c r="AS55" s="24" t="n">
        <f aca="false">SUM(AS51:AS54)</f>
        <v>0</v>
      </c>
      <c r="AT55" s="24" t="n">
        <f aca="false">SUM(AT51:AT54)</f>
        <v>359796</v>
      </c>
      <c r="AU55" s="24" t="n">
        <f aca="false">SUM(AU51:AU54)</f>
        <v>0</v>
      </c>
      <c r="AV55" s="24" t="n">
        <f aca="false">SUM(AV51:AV54)</f>
        <v>0</v>
      </c>
      <c r="AW55" s="24" t="n">
        <f aca="false">SUM(AW51:AW54)</f>
        <v>0</v>
      </c>
      <c r="AX55" s="24" t="n">
        <f aca="false">SUM(AX51:AX54)</f>
        <v>787142</v>
      </c>
      <c r="AY55" s="24" t="n">
        <f aca="false">SUM(AY51:AY54)</f>
        <v>0</v>
      </c>
      <c r="AZ55" s="24" t="n">
        <f aca="false">SUM(AZ51:AZ54)</f>
        <v>0</v>
      </c>
      <c r="BA55" s="24" t="n">
        <f aca="false">SUM(BA51:BA54)</f>
        <v>0</v>
      </c>
      <c r="BB55" s="24" t="n">
        <f aca="false">SUM(BB51:BB54)</f>
        <v>0</v>
      </c>
      <c r="BC55" s="24" t="n">
        <f aca="false">SUM(BC51:BC54)</f>
        <v>0</v>
      </c>
      <c r="BD55" s="24" t="n">
        <f aca="false">SUM(BD51:BD54)</f>
        <v>0</v>
      </c>
      <c r="BE55" s="24" t="n">
        <f aca="false">SUM(BE51:BE54)</f>
        <v>0</v>
      </c>
      <c r="BF55" s="24" t="n">
        <f aca="false">SUM(BF51:BF54)</f>
        <v>0</v>
      </c>
      <c r="BG55" s="24" t="n">
        <f aca="false">SUM(BG51:BG54)</f>
        <v>0</v>
      </c>
      <c r="BH55" s="24" t="n">
        <f aca="false">SUM(BH51:BH54)</f>
        <v>0</v>
      </c>
      <c r="BI55" s="24" t="n">
        <f aca="false">SUM(BI51:BI54)</f>
        <v>0</v>
      </c>
      <c r="BJ55" s="24" t="n">
        <f aca="false">SUM(BJ51:BJ54)</f>
        <v>0</v>
      </c>
      <c r="BK55" s="24" t="n">
        <f aca="false">SUM(BK51:BK54)</f>
        <v>0</v>
      </c>
      <c r="BL55" s="24" t="n">
        <f aca="false">SUM(BL51:BL54)</f>
        <v>0</v>
      </c>
      <c r="BM55" s="24"/>
      <c r="BN55" s="24" t="n">
        <f aca="false">SUM(BN51:BN54)</f>
        <v>0</v>
      </c>
      <c r="BO55" s="24"/>
      <c r="BP55" s="24" t="n">
        <f aca="false">SUM(BP51:BP54)</f>
        <v>1262471</v>
      </c>
      <c r="BQ55" s="24" t="n">
        <f aca="false">SUM(BQ51:BQ54)</f>
        <v>0</v>
      </c>
      <c r="BR55" s="24" t="n">
        <f aca="false">SUM(BR51:BR54)</f>
        <v>-458973</v>
      </c>
      <c r="BS55" s="24" t="n">
        <f aca="false">SUM(BS51:BS54)</f>
        <v>0</v>
      </c>
      <c r="BT55" s="24" t="n">
        <f aca="false">SUM(BT51:BT54)</f>
        <v>3687305</v>
      </c>
      <c r="BU55" s="24" t="n">
        <f aca="false">SUM(BU51:BU54)</f>
        <v>0</v>
      </c>
      <c r="BV55" s="24" t="n">
        <f aca="false">SUM(BV51:BV54)</f>
        <v>4949776</v>
      </c>
      <c r="BW55" s="24" t="n">
        <f aca="false">SUM(BW51:BW54)</f>
        <v>0</v>
      </c>
      <c r="BX55" s="24" t="n">
        <f aca="false">SUM(BX51:BX54)</f>
        <v>458973</v>
      </c>
      <c r="BY55" s="24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74"/>
      <c r="B56" s="178"/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74"/>
      <c r="B57" s="243" t="s">
        <v>195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3.5" hidden="false" customHeight="false" outlineLevel="0" collapsed="false">
      <c r="A58" s="174"/>
      <c r="B58" s="181" t="s">
        <v>196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240" t="n">
        <f aca="false">93420+927905</f>
        <v>1021325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24"/>
      <c r="AS58" s="24"/>
      <c r="AT58" s="110" t="n">
        <v>673702</v>
      </c>
      <c r="AU58" s="24"/>
      <c r="AV58" s="24"/>
      <c r="AW58" s="24"/>
      <c r="AX58" s="110" t="n">
        <f aca="false">335475+372897-673702</f>
        <v>34670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110" t="n">
        <f aca="false">SUM(T58:BO58)</f>
        <v>708372</v>
      </c>
      <c r="BQ58" s="24"/>
      <c r="BR58" s="110" t="n">
        <f aca="false">431043+930942-1021325</f>
        <v>340660</v>
      </c>
      <c r="BS58" s="24"/>
      <c r="BT58" s="110" t="n">
        <f aca="false">IF(+R58-BP58+BR58&gt;0,R58-BP58+BR58,0)</f>
        <v>653613</v>
      </c>
      <c r="BV58" s="110" t="n">
        <f aca="false">+BP58+BT58</f>
        <v>1361985</v>
      </c>
      <c r="BX58" s="110" t="n">
        <f aca="false">+R58-BV58</f>
        <v>-340660</v>
      </c>
      <c r="BY58" s="24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3.5" hidden="false" customHeight="false" outlineLevel="0" collapsed="false">
      <c r="A59" s="174"/>
      <c r="B59" s="181" t="s">
        <v>197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240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24"/>
      <c r="AS59" s="24"/>
      <c r="AT59" s="110" t="n">
        <v>3903</v>
      </c>
      <c r="AU59" s="24"/>
      <c r="AV59" s="24"/>
      <c r="AW59" s="24"/>
      <c r="AX59" s="110" t="n">
        <f aca="false">56319-3903</f>
        <v>52416</v>
      </c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110" t="n">
        <f aca="false">SUM(T59:BO59)</f>
        <v>56319</v>
      </c>
      <c r="BQ59" s="110" t="n">
        <f aca="false">SUM(U59:BP59)</f>
        <v>112638</v>
      </c>
      <c r="BR59" s="110" t="n">
        <v>2535</v>
      </c>
      <c r="BS59" s="110" t="n">
        <f aca="false">SUM(W59:BR59)</f>
        <v>227811</v>
      </c>
      <c r="BT59" s="110" t="n">
        <f aca="false">IF(+R59-BP59+BR59&gt;0,R59-BP59+BR59,0)</f>
        <v>0</v>
      </c>
      <c r="BU59" s="110" t="n">
        <f aca="false">SUM(Y59:BT59)</f>
        <v>455622</v>
      </c>
      <c r="BV59" s="110" t="n">
        <f aca="false">+BP59+BT59</f>
        <v>56319</v>
      </c>
      <c r="BW59" s="110" t="n">
        <f aca="false">SUM(AA59:BV59)</f>
        <v>967563</v>
      </c>
      <c r="BX59" s="110" t="n">
        <f aca="false">+R59-BV59</f>
        <v>-56319</v>
      </c>
      <c r="BY59" s="24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174"/>
      <c r="B60" s="181" t="s">
        <v>199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240" t="n">
        <v>520119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110" t="n">
        <v>3780</v>
      </c>
      <c r="AQ60" s="24"/>
      <c r="AR60" s="24"/>
      <c r="AS60" s="24"/>
      <c r="AT60" s="110" t="n">
        <f aca="false">271106-3780</f>
        <v>267326</v>
      </c>
      <c r="AU60" s="24"/>
      <c r="AV60" s="24"/>
      <c r="AW60" s="24"/>
      <c r="AX60" s="110" t="n">
        <f aca="false">518815-271106</f>
        <v>247709</v>
      </c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110" t="n">
        <f aca="false">SUM(T60:BO60)</f>
        <v>518815</v>
      </c>
      <c r="BQ60" s="110" t="n">
        <f aca="false">SUM(U60:BP60)</f>
        <v>1037630</v>
      </c>
      <c r="BR60" s="110" t="n">
        <f aca="false">763505-520119</f>
        <v>243386</v>
      </c>
      <c r="BS60" s="110" t="n">
        <f aca="false">SUM(W60:BR60)</f>
        <v>2318646</v>
      </c>
      <c r="BT60" s="110" t="n">
        <f aca="false">IF(+R60-BP60+BR60&gt;0,R60-BP60+BR60,0)</f>
        <v>244690</v>
      </c>
      <c r="BU60" s="110" t="n">
        <f aca="false">SUM(Y60:BT60)</f>
        <v>4881982</v>
      </c>
      <c r="BV60" s="110" t="n">
        <f aca="false">+BP60+BT60</f>
        <v>763505</v>
      </c>
      <c r="BW60" s="110" t="n">
        <f aca="false">SUM(AA60:BV60)</f>
        <v>10527469</v>
      </c>
      <c r="BX60" s="110" t="n">
        <f aca="false">+R60-BV60</f>
        <v>-243386</v>
      </c>
      <c r="BY60" s="24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3.5" hidden="false" customHeight="false" outlineLevel="0" collapsed="false">
      <c r="A61" s="174"/>
      <c r="B61" s="181" t="s">
        <v>198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240" t="n">
        <v>375128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110" t="n">
        <v>28611</v>
      </c>
      <c r="AQ61" s="24"/>
      <c r="AR61" s="24"/>
      <c r="AS61" s="24"/>
      <c r="AT61" s="110" t="n">
        <f aca="false">127939-28611</f>
        <v>99328</v>
      </c>
      <c r="AU61" s="24"/>
      <c r="AV61" s="24"/>
      <c r="AW61" s="24"/>
      <c r="AX61" s="110" t="n">
        <f aca="false">146856-127939</f>
        <v>18917</v>
      </c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110" t="n">
        <f aca="false">SUM(T61:BO61)</f>
        <v>146856</v>
      </c>
      <c r="BQ61" s="24"/>
      <c r="BR61" s="24"/>
      <c r="BS61" s="24"/>
      <c r="BT61" s="110" t="n">
        <f aca="false">IF(+R61-BP61+BR61&gt;0,R61-BP61+BR61,0)</f>
        <v>228272</v>
      </c>
      <c r="BV61" s="110" t="n">
        <f aca="false">+BP61+BT61</f>
        <v>375128</v>
      </c>
      <c r="BX61" s="110" t="n">
        <f aca="false">+R61-BV61</f>
        <v>0</v>
      </c>
      <c r="BY61" s="24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3.5" hidden="false" customHeight="false" outlineLevel="0" collapsed="false">
      <c r="A62" s="174"/>
      <c r="B62" s="181" t="s">
        <v>200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240" t="n">
        <v>460629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110" t="n">
        <v>3169</v>
      </c>
      <c r="AQ62" s="24"/>
      <c r="AR62" s="24"/>
      <c r="AS62" s="24"/>
      <c r="AT62" s="110" t="n">
        <f aca="false">205467-3169</f>
        <v>202298</v>
      </c>
      <c r="AU62" s="24"/>
      <c r="AV62" s="24"/>
      <c r="AW62" s="24"/>
      <c r="AX62" s="110" t="n">
        <f aca="false">362820-205467</f>
        <v>157353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110" t="n">
        <f aca="false">SUM(T62:BO62)</f>
        <v>362820</v>
      </c>
      <c r="BQ62" s="24"/>
      <c r="BR62" s="110" t="n">
        <f aca="false">678416-460629</f>
        <v>217787</v>
      </c>
      <c r="BS62" s="24"/>
      <c r="BT62" s="110" t="n">
        <f aca="false">IF(+R62-BP62+BR62&gt;0,R62-BP62+BR62,0)</f>
        <v>315596</v>
      </c>
      <c r="BV62" s="110" t="n">
        <f aca="false">+BP62+BT62</f>
        <v>678416</v>
      </c>
      <c r="BX62" s="110" t="n">
        <f aca="false">+R62-BV62</f>
        <v>-217787</v>
      </c>
      <c r="BY62" s="24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3.5" hidden="false" customHeight="false" outlineLevel="0" collapsed="false">
      <c r="A63" s="174"/>
      <c r="B63" s="181" t="s">
        <v>201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240" t="n">
        <v>193150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110" t="n">
        <v>17185</v>
      </c>
      <c r="AQ63" s="24"/>
      <c r="AR63" s="24"/>
      <c r="AS63" s="24"/>
      <c r="AT63" s="110" t="n">
        <f aca="false">101228-17185</f>
        <v>84043</v>
      </c>
      <c r="AU63" s="24"/>
      <c r="AV63" s="24"/>
      <c r="AW63" s="24"/>
      <c r="AX63" s="110" t="n">
        <f aca="false">123436-101228</f>
        <v>22208</v>
      </c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110" t="n">
        <f aca="false">SUM(T63:BO63)</f>
        <v>123436</v>
      </c>
      <c r="BQ63" s="24"/>
      <c r="BR63" s="24"/>
      <c r="BS63" s="24"/>
      <c r="BT63" s="110" t="n">
        <f aca="false">IF(+R63-BP63+BR63&gt;0,R63-BP63+BR63,0)</f>
        <v>69714</v>
      </c>
      <c r="BV63" s="110" t="n">
        <f aca="false">+BP63+BT63</f>
        <v>193150</v>
      </c>
      <c r="BX63" s="110" t="n">
        <f aca="false">+R63-BV63</f>
        <v>0</v>
      </c>
      <c r="BY63" s="24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3.5" hidden="false" customHeight="false" outlineLevel="0" collapsed="false">
      <c r="A64" s="174"/>
      <c r="B64" s="181" t="s">
        <v>202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240" t="n">
        <v>896017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110" t="n">
        <v>3445</v>
      </c>
      <c r="AQ64" s="24"/>
      <c r="AR64" s="24"/>
      <c r="AS64" s="24"/>
      <c r="AT64" s="110" t="n">
        <f aca="false">374616-3445+20800</f>
        <v>391971</v>
      </c>
      <c r="AU64" s="24"/>
      <c r="AV64" s="24"/>
      <c r="AW64" s="24"/>
      <c r="AX64" s="110" t="n">
        <f aca="false">796722-395416</f>
        <v>401306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110" t="n">
        <f aca="false">SUM(T64:BO64)</f>
        <v>796722</v>
      </c>
      <c r="BQ64" s="24"/>
      <c r="BR64" s="110" t="n">
        <f aca="false">1395362-896017</f>
        <v>499345</v>
      </c>
      <c r="BS64" s="24"/>
      <c r="BT64" s="110" t="n">
        <f aca="false">IF(+R64-BP64+BR64&gt;0,R64-BP64+BR64,0)</f>
        <v>598640</v>
      </c>
      <c r="BV64" s="110" t="n">
        <f aca="false">+BP64+BT64</f>
        <v>1395362</v>
      </c>
      <c r="BX64" s="110" t="n">
        <f aca="false">+R64-BV64</f>
        <v>-499345</v>
      </c>
      <c r="BY64" s="24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3.5" hidden="false" customHeight="false" outlineLevel="0" collapsed="false">
      <c r="A65" s="174"/>
      <c r="B65" s="181" t="s">
        <v>203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240" t="n">
        <v>664866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110" t="n">
        <v>0</v>
      </c>
      <c r="AQ65" s="24"/>
      <c r="AR65" s="24"/>
      <c r="AS65" s="24"/>
      <c r="AT65" s="110" t="n">
        <v>250012</v>
      </c>
      <c r="AU65" s="24"/>
      <c r="AV65" s="24"/>
      <c r="AW65" s="24"/>
      <c r="AX65" s="110" t="n">
        <f aca="false">520612-250012</f>
        <v>270600</v>
      </c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110" t="n">
        <f aca="false">SUM(T65:BO65)</f>
        <v>520612</v>
      </c>
      <c r="BQ65" s="24"/>
      <c r="BR65" s="24"/>
      <c r="BS65" s="24"/>
      <c r="BT65" s="110" t="n">
        <f aca="false">IF(+R65-BP65+BR65&gt;0,R65-BP65+BR65,0)</f>
        <v>144254</v>
      </c>
      <c r="BV65" s="110" t="n">
        <f aca="false">+BP65+BT65</f>
        <v>664866</v>
      </c>
      <c r="BX65" s="110" t="n">
        <f aca="false">+R65-BV65</f>
        <v>0</v>
      </c>
      <c r="BY65" s="24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457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240" t="n">
        <v>94449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110" t="n">
        <v>0</v>
      </c>
      <c r="AQ66" s="24"/>
      <c r="AR66" s="24"/>
      <c r="AS66" s="24"/>
      <c r="AT66" s="110" t="n">
        <v>4537</v>
      </c>
      <c r="AU66" s="24"/>
      <c r="AV66" s="24"/>
      <c r="AW66" s="24"/>
      <c r="AX66" s="110" t="n">
        <f aca="false">10758-4537</f>
        <v>6221</v>
      </c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110" t="n">
        <f aca="false">SUM(T66:BO66)</f>
        <v>10758</v>
      </c>
      <c r="BQ66" s="110" t="n">
        <f aca="false">SUM(U66:BP66)</f>
        <v>21516</v>
      </c>
      <c r="BR66" s="110" t="n">
        <f aca="false">148255-94449</f>
        <v>53806</v>
      </c>
      <c r="BS66" s="110" t="n">
        <f aca="false">SUM(W66:BR66)</f>
        <v>96838</v>
      </c>
      <c r="BT66" s="110" t="n">
        <f aca="false">IF(+R66-BP66+BR66&gt;0,R66-BP66+BR66,0)</f>
        <v>137497</v>
      </c>
      <c r="BU66" s="110" t="n">
        <f aca="false">SUM(Y66:BT66)</f>
        <v>331173</v>
      </c>
      <c r="BV66" s="110" t="n">
        <f aca="false">+BP66+BT66</f>
        <v>148255</v>
      </c>
      <c r="BW66" s="110" t="n">
        <f aca="false">SUM(AA66:BV66)</f>
        <v>810601</v>
      </c>
      <c r="BX66" s="110" t="n">
        <f aca="false">+R66-BV66</f>
        <v>-53806</v>
      </c>
      <c r="BY66" s="110" t="n">
        <f aca="false">SUM(AC66:BX66)</f>
        <v>1567396</v>
      </c>
      <c r="BZ66" s="110" t="n">
        <f aca="false">SUM(AD66:BY66)</f>
        <v>3134792</v>
      </c>
      <c r="CA66" s="110" t="n">
        <f aca="false">SUM(AE66:BZ66)</f>
        <v>6269584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205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240" t="n">
        <v>46881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110" t="n">
        <v>0</v>
      </c>
      <c r="AQ67" s="24"/>
      <c r="AR67" s="24"/>
      <c r="AS67" s="24"/>
      <c r="AT67" s="110" t="n">
        <v>1645</v>
      </c>
      <c r="AU67" s="24"/>
      <c r="AV67" s="24"/>
      <c r="AW67" s="24"/>
      <c r="AX67" s="110" t="n">
        <f aca="false">7700-1645</f>
        <v>6055</v>
      </c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110" t="n">
        <f aca="false">SUM(T67:BO67)</f>
        <v>7700</v>
      </c>
      <c r="BQ67" s="24"/>
      <c r="BR67" s="24"/>
      <c r="BS67" s="24"/>
      <c r="BT67" s="110" t="n">
        <f aca="false">IF(+R67-BP67+BR67&gt;0,R67-BP67+BR67,0)</f>
        <v>39181</v>
      </c>
      <c r="BV67" s="110" t="n">
        <f aca="false">+BP67+BT67</f>
        <v>46881</v>
      </c>
      <c r="BX67" s="110" t="n">
        <f aca="false">+R67-BV67</f>
        <v>0</v>
      </c>
      <c r="BY67" s="24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206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240" t="n">
        <v>26528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110" t="n">
        <v>0</v>
      </c>
      <c r="AQ68" s="24"/>
      <c r="AR68" s="24"/>
      <c r="AS68" s="24"/>
      <c r="AT68" s="110" t="n">
        <v>182</v>
      </c>
      <c r="AU68" s="24"/>
      <c r="AV68" s="24"/>
      <c r="AW68" s="24"/>
      <c r="AX68" s="110" t="n">
        <f aca="false">2197-182</f>
        <v>2015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110" t="n">
        <f aca="false">SUM(T68:BO68)</f>
        <v>2197</v>
      </c>
      <c r="BQ68" s="24"/>
      <c r="BR68" s="110" t="n">
        <f aca="false">41160-26528</f>
        <v>14632</v>
      </c>
      <c r="BS68" s="24"/>
      <c r="BT68" s="110" t="n">
        <f aca="false">IF(+R68-BP68+BR68&gt;0,R68-BP68+BR68,0)</f>
        <v>38963</v>
      </c>
      <c r="BV68" s="110" t="n">
        <f aca="false">+BP68+BT68</f>
        <v>41160</v>
      </c>
      <c r="BX68" s="110" t="n">
        <f aca="false">+R68-BV68</f>
        <v>-14632</v>
      </c>
      <c r="BY68" s="24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207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240" t="n">
        <v>94700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110" t="n">
        <v>0</v>
      </c>
      <c r="AQ69" s="24"/>
      <c r="AR69" s="24"/>
      <c r="AS69" s="24"/>
      <c r="AT69" s="110" t="n">
        <v>0</v>
      </c>
      <c r="AU69" s="24"/>
      <c r="AV69" s="24"/>
      <c r="AW69" s="24"/>
      <c r="AX69" s="110" t="n">
        <v>41858</v>
      </c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110" t="n">
        <f aca="false">SUM(T69:BO69)</f>
        <v>41858</v>
      </c>
      <c r="BQ69" s="24"/>
      <c r="BR69" s="24"/>
      <c r="BS69" s="24"/>
      <c r="BT69" s="110" t="n">
        <f aca="false">IF(+R69-BP69+BR69&gt;0,R69-BP69+BR69,0)</f>
        <v>52842</v>
      </c>
      <c r="BV69" s="110" t="n">
        <f aca="false">+BP69+BT69</f>
        <v>94700</v>
      </c>
      <c r="BX69" s="110" t="n">
        <f aca="false">+R69-BV69</f>
        <v>0</v>
      </c>
      <c r="BY69" s="24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208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240" t="n">
        <v>70928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110" t="n">
        <v>0</v>
      </c>
      <c r="AQ70" s="24"/>
      <c r="AR70" s="24"/>
      <c r="AS70" s="24"/>
      <c r="AT70" s="110" t="n">
        <v>0</v>
      </c>
      <c r="AU70" s="24"/>
      <c r="AV70" s="24"/>
      <c r="AW70" s="24"/>
      <c r="AX70" s="110" t="n">
        <f aca="false">5580+1244</f>
        <v>6824</v>
      </c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110" t="n">
        <f aca="false">SUM(T70:BO70)</f>
        <v>6824</v>
      </c>
      <c r="BQ70" s="24"/>
      <c r="BR70" s="24" t="n">
        <v>0</v>
      </c>
      <c r="BS70" s="24"/>
      <c r="BT70" s="110" t="n">
        <f aca="false">IF(+R70-BP70+BR70&gt;0,R70-BP70+BR70,0)</f>
        <v>64104</v>
      </c>
      <c r="BV70" s="110" t="n">
        <f aca="false">+BP70+BT70</f>
        <v>70928</v>
      </c>
      <c r="BX70" s="110" t="n">
        <f aca="false">+R70-BV70</f>
        <v>0</v>
      </c>
      <c r="BY70" s="24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400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240" t="n">
        <v>625218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110" t="n">
        <v>0</v>
      </c>
      <c r="AQ71" s="24"/>
      <c r="AR71" s="24"/>
      <c r="AS71" s="24"/>
      <c r="AT71" s="110" t="n">
        <v>0</v>
      </c>
      <c r="AU71" s="24"/>
      <c r="AV71" s="24"/>
      <c r="AW71" s="24"/>
      <c r="AX71" s="110" t="n">
        <v>130320</v>
      </c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110" t="n">
        <f aca="false">SUM(T71:BO71)</f>
        <v>130320</v>
      </c>
      <c r="BQ71" s="24"/>
      <c r="BR71" s="24"/>
      <c r="BS71" s="24"/>
      <c r="BT71" s="110" t="n">
        <f aca="false">IF(+R71-BP71+BR71&gt;0,R71-BP71+BR71,0)</f>
        <v>494898</v>
      </c>
      <c r="BV71" s="110" t="n">
        <f aca="false">+BP71+BT71</f>
        <v>625218</v>
      </c>
      <c r="BX71" s="110" t="n">
        <f aca="false">+R71-BV71</f>
        <v>0</v>
      </c>
      <c r="BY71" s="24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210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240" t="n">
        <v>351660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110" t="n">
        <v>0</v>
      </c>
      <c r="AQ72" s="24"/>
      <c r="AR72" s="24"/>
      <c r="AS72" s="24"/>
      <c r="AT72" s="110" t="n">
        <v>3409</v>
      </c>
      <c r="AU72" s="24"/>
      <c r="AV72" s="24"/>
      <c r="AW72" s="24"/>
      <c r="AX72" s="110" t="n">
        <f aca="false">4374-3409</f>
        <v>965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110" t="n">
        <f aca="false">SUM(T72:BO72)</f>
        <v>4374</v>
      </c>
      <c r="BQ72" s="24"/>
      <c r="BR72" s="110" t="n">
        <f aca="false">521832-351660</f>
        <v>170172</v>
      </c>
      <c r="BS72" s="24"/>
      <c r="BT72" s="110" t="n">
        <f aca="false">IF(+R72-BP72+BR72&gt;0,R72-BP72+BR72,0)</f>
        <v>517458</v>
      </c>
      <c r="BV72" s="110" t="n">
        <f aca="false">+BP72+BT72</f>
        <v>521832</v>
      </c>
      <c r="BX72" s="110" t="n">
        <f aca="false">+R72-BV72</f>
        <v>-170172</v>
      </c>
      <c r="BY72" s="24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211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240" t="n">
        <v>1672316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110" t="n">
        <v>0</v>
      </c>
      <c r="AQ73" s="24"/>
      <c r="AR73" s="24"/>
      <c r="AS73" s="24"/>
      <c r="AT73" s="110" t="n">
        <v>3559</v>
      </c>
      <c r="AU73" s="24"/>
      <c r="AV73" s="24"/>
      <c r="AW73" s="24"/>
      <c r="AX73" s="110" t="n">
        <f aca="false">48259-3559</f>
        <v>44700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110" t="n">
        <f aca="false">SUM(T73:BO73)</f>
        <v>48259</v>
      </c>
      <c r="BQ73" s="24"/>
      <c r="BR73" s="110" t="n">
        <f aca="false">2693778-1672316</f>
        <v>1021462</v>
      </c>
      <c r="BS73" s="24"/>
      <c r="BT73" s="110" t="n">
        <f aca="false">IF(+R73-BP73+BR73&gt;0,R73-BP73+BR73,0)</f>
        <v>2645519</v>
      </c>
      <c r="BV73" s="110" t="n">
        <f aca="false">+BP73+BT73</f>
        <v>2693778</v>
      </c>
      <c r="BX73" s="110" t="n">
        <f aca="false">+R73-BV73</f>
        <v>-1021462</v>
      </c>
      <c r="BY73" s="24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401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240" t="n">
        <v>373497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110" t="n">
        <v>308</v>
      </c>
      <c r="AQ74" s="24"/>
      <c r="AR74" s="24"/>
      <c r="AS74" s="24"/>
      <c r="AT74" s="110" t="n">
        <v>0</v>
      </c>
      <c r="AU74" s="24"/>
      <c r="AV74" s="24"/>
      <c r="AW74" s="24"/>
      <c r="AX74" s="110" t="n">
        <f aca="false">15157-308</f>
        <v>14849</v>
      </c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110" t="n">
        <f aca="false">SUM(T74:BO74)</f>
        <v>15157</v>
      </c>
      <c r="BQ74" s="24"/>
      <c r="BR74" s="110" t="n">
        <f aca="false">510525-373497</f>
        <v>137028</v>
      </c>
      <c r="BS74" s="24"/>
      <c r="BT74" s="110" t="n">
        <f aca="false">IF(+R74-BP74+BR74&gt;0,R74-BP74+BR74,0)</f>
        <v>495368</v>
      </c>
      <c r="BV74" s="110" t="n">
        <f aca="false">+BP74+BT74</f>
        <v>510525</v>
      </c>
      <c r="BX74" s="110" t="n">
        <f aca="false">+R74-BV74</f>
        <v>-137028</v>
      </c>
      <c r="BY74" s="24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213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240" t="n">
        <f aca="false">357127+230665</f>
        <v>587792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110" t="n">
        <v>0</v>
      </c>
      <c r="AQ75" s="24"/>
      <c r="AR75" s="24"/>
      <c r="AS75" s="24"/>
      <c r="AT75" s="110" t="n">
        <v>0</v>
      </c>
      <c r="AU75" s="24"/>
      <c r="AV75" s="24"/>
      <c r="AW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110" t="n">
        <f aca="false">SUM(T75:BO75)</f>
        <v>0</v>
      </c>
      <c r="BQ75" s="24"/>
      <c r="BR75" s="24"/>
      <c r="BS75" s="24"/>
      <c r="BT75" s="110" t="n">
        <f aca="false">IF(+R75-BP75+BR75&gt;0,R75-BP75+BR75,0)</f>
        <v>587792</v>
      </c>
      <c r="BV75" s="110" t="n">
        <f aca="false">+BP75+BT75</f>
        <v>587792</v>
      </c>
      <c r="BX75" s="110" t="n">
        <f aca="false">+R75-BV75</f>
        <v>0</v>
      </c>
      <c r="BY75" s="24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214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240" t="n">
        <v>3449390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110" t="n">
        <f aca="false">3795+1050</f>
        <v>4845</v>
      </c>
      <c r="AQ76" s="24"/>
      <c r="AR76" s="24"/>
      <c r="AS76" s="24"/>
      <c r="AT76" s="110" t="n">
        <f aca="false">85455-3795+41645</f>
        <v>123305</v>
      </c>
      <c r="AU76" s="24"/>
      <c r="AV76" s="24"/>
      <c r="AW76" s="24"/>
      <c r="AX76" s="110" t="n">
        <f aca="false">519279-127100-1050</f>
        <v>391129</v>
      </c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110" t="n">
        <f aca="false">SUM(T76:BO76)</f>
        <v>519279</v>
      </c>
      <c r="BQ76" s="24"/>
      <c r="BR76" s="110" t="n">
        <f aca="false">4266355-3449390</f>
        <v>816965</v>
      </c>
      <c r="BS76" s="24"/>
      <c r="BT76" s="110" t="n">
        <f aca="false">IF(+R76-BP76+BR76&gt;0,R76-BP76+BR76,0)</f>
        <v>3747076</v>
      </c>
      <c r="BV76" s="110" t="n">
        <f aca="false">+BP76+BT76</f>
        <v>4266355</v>
      </c>
      <c r="BX76" s="110" t="n">
        <f aca="false">+R76-BV76</f>
        <v>-816965</v>
      </c>
      <c r="BY76" s="24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402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240" t="n">
        <v>752310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110" t="n">
        <v>0</v>
      </c>
      <c r="AQ77" s="24"/>
      <c r="AR77" s="24"/>
      <c r="AS77" s="24"/>
      <c r="AT77" s="110" t="n">
        <v>544</v>
      </c>
      <c r="AU77" s="24"/>
      <c r="AV77" s="24"/>
      <c r="AW77" s="24"/>
      <c r="AX77" s="110" t="n">
        <f aca="false">46182-544</f>
        <v>45638</v>
      </c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110" t="n">
        <f aca="false">SUM(T77:BO77)</f>
        <v>46182</v>
      </c>
      <c r="BQ77" s="24"/>
      <c r="BR77" s="110" t="n">
        <f aca="false">1011805-752310</f>
        <v>259495</v>
      </c>
      <c r="BS77" s="24"/>
      <c r="BT77" s="110" t="n">
        <f aca="false">IF(+R77-BP77+BR77&gt;0,R77-BP77+BR77,0)</f>
        <v>965623</v>
      </c>
      <c r="BV77" s="110" t="n">
        <f aca="false">+BP77+BT77</f>
        <v>1011805</v>
      </c>
      <c r="BX77" s="110" t="n">
        <f aca="false">+R77-BV77</f>
        <v>-259495</v>
      </c>
      <c r="BY77" s="24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397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110" t="n">
        <v>3058</v>
      </c>
      <c r="AU78" s="24"/>
      <c r="AV78" s="24"/>
      <c r="AW78" s="24"/>
      <c r="AX78" s="110" t="n">
        <f aca="false">17027-3058</f>
        <v>13969</v>
      </c>
      <c r="AY78" s="24"/>
      <c r="AZ78" s="24"/>
      <c r="BA78" s="24"/>
      <c r="BB78" s="24"/>
      <c r="BC78" s="24"/>
      <c r="BD78" s="24"/>
      <c r="BE78" s="24"/>
      <c r="BF78" s="24" t="n">
        <v>1534960</v>
      </c>
      <c r="BG78" s="24"/>
      <c r="BH78" s="24"/>
      <c r="BI78" s="24"/>
      <c r="BJ78" s="24"/>
      <c r="BK78" s="24"/>
      <c r="BL78" s="24"/>
      <c r="BM78" s="24"/>
      <c r="BN78" s="24"/>
      <c r="BO78" s="24"/>
      <c r="BP78" s="110" t="n">
        <f aca="false">SUM(T78:BO78)</f>
        <v>1551987</v>
      </c>
      <c r="BQ78" s="24"/>
      <c r="BR78" s="110" t="n">
        <v>0</v>
      </c>
      <c r="BS78" s="24"/>
      <c r="BT78" s="110" t="n">
        <f aca="false">IF(+R78-BP78+BR78&gt;0,R78-BP78+BR78,0)</f>
        <v>0</v>
      </c>
      <c r="BV78" s="110" t="n">
        <f aca="false">+BP78+BT78</f>
        <v>1551987</v>
      </c>
      <c r="BX78" s="110" t="n">
        <f aca="false">+R78-BV78</f>
        <v>-1551987</v>
      </c>
      <c r="BY78" s="24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74"/>
      <c r="B79" s="244"/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74"/>
      <c r="B80" s="178" t="s">
        <v>220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SUM(R58:R79)</f>
        <v>12276903</v>
      </c>
      <c r="S80" s="24"/>
      <c r="T80" s="24" t="n">
        <f aca="false">SUM(T58:T79)</f>
        <v>0</v>
      </c>
      <c r="U80" s="24" t="n">
        <f aca="false">SUM(U58:U79)</f>
        <v>0</v>
      </c>
      <c r="V80" s="24" t="n">
        <f aca="false">SUM(V58:V79)</f>
        <v>0</v>
      </c>
      <c r="W80" s="24" t="n">
        <f aca="false">SUM(W58:W79)</f>
        <v>0</v>
      </c>
      <c r="X80" s="24" t="n">
        <f aca="false">SUM(X58:X79)</f>
        <v>0</v>
      </c>
      <c r="Y80" s="24" t="n">
        <f aca="false">SUM(Y58:Y79)</f>
        <v>0</v>
      </c>
      <c r="Z80" s="24" t="n">
        <f aca="false">SUM(Z58:Z79)</f>
        <v>0</v>
      </c>
      <c r="AA80" s="24" t="n">
        <f aca="false">SUM(AA58:AA79)</f>
        <v>0</v>
      </c>
      <c r="AB80" s="24" t="n">
        <f aca="false">SUM(AB58:AB79)</f>
        <v>0</v>
      </c>
      <c r="AC80" s="24" t="n">
        <f aca="false">SUM(AC58:AC79)</f>
        <v>0</v>
      </c>
      <c r="AD80" s="24" t="n">
        <f aca="false">SUM(AD58:AD79)</f>
        <v>0</v>
      </c>
      <c r="AE80" s="24" t="n">
        <f aca="false">SUM(AE58:AE79)</f>
        <v>0</v>
      </c>
      <c r="AF80" s="24" t="n">
        <f aca="false">SUM(AF58:AF79)</f>
        <v>0</v>
      </c>
      <c r="AG80" s="24" t="n">
        <f aca="false">SUM(AG58:AG79)</f>
        <v>0</v>
      </c>
      <c r="AH80" s="24" t="n">
        <f aca="false">SUM(AH58:AH79)</f>
        <v>0</v>
      </c>
      <c r="AI80" s="24" t="n">
        <f aca="false">SUM(AI58:AI79)</f>
        <v>0</v>
      </c>
      <c r="AJ80" s="24" t="n">
        <f aca="false">SUM(AJ58:AJ79)</f>
        <v>0</v>
      </c>
      <c r="AK80" s="24" t="n">
        <f aca="false">SUM(AK58:AK79)</f>
        <v>0</v>
      </c>
      <c r="AL80" s="24" t="n">
        <f aca="false">SUM(AL58:AL79)</f>
        <v>0</v>
      </c>
      <c r="AM80" s="24" t="n">
        <f aca="false">SUM(AM58:AM79)</f>
        <v>0</v>
      </c>
      <c r="AN80" s="24" t="n">
        <f aca="false">SUM(AN58:AN79)</f>
        <v>0</v>
      </c>
      <c r="AO80" s="24" t="n">
        <f aca="false">SUM(AO58:AO79)</f>
        <v>0</v>
      </c>
      <c r="AP80" s="24" t="n">
        <f aca="false">SUM(AP58:AP79)</f>
        <v>61343</v>
      </c>
      <c r="AQ80" s="24"/>
      <c r="AR80" s="24" t="n">
        <f aca="false">SUM(AR58:AR79)</f>
        <v>0</v>
      </c>
      <c r="AS80" s="24" t="n">
        <f aca="false">SUM(AS58:AS79)</f>
        <v>0</v>
      </c>
      <c r="AT80" s="24" t="n">
        <f aca="false">SUM(AT58:AT79)</f>
        <v>2112822</v>
      </c>
      <c r="AU80" s="24" t="n">
        <f aca="false">SUM(AU58:AU79)</f>
        <v>0</v>
      </c>
      <c r="AV80" s="24" t="n">
        <f aca="false">SUM(AV58:AV79)</f>
        <v>0</v>
      </c>
      <c r="AW80" s="24" t="n">
        <f aca="false">SUM(AW58:AW79)</f>
        <v>0</v>
      </c>
      <c r="AX80" s="24" t="n">
        <f aca="false">SUM(AX58:AX79)</f>
        <v>1909722</v>
      </c>
      <c r="AY80" s="24" t="n">
        <f aca="false">SUM(AY58:AY79)</f>
        <v>0</v>
      </c>
      <c r="AZ80" s="24" t="n">
        <f aca="false">SUM(AZ58:AZ79)</f>
        <v>0</v>
      </c>
      <c r="BA80" s="24" t="n">
        <f aca="false">SUM(BA58:BA79)</f>
        <v>0</v>
      </c>
      <c r="BB80" s="24" t="n">
        <f aca="false">SUM(BB58:BB79)</f>
        <v>0</v>
      </c>
      <c r="BC80" s="24" t="n">
        <f aca="false">SUM(BC58:BC79)</f>
        <v>0</v>
      </c>
      <c r="BD80" s="24" t="n">
        <f aca="false">SUM(BD58:BD79)</f>
        <v>0</v>
      </c>
      <c r="BE80" s="24" t="n">
        <f aca="false">SUM(BE58:BE79)</f>
        <v>0</v>
      </c>
      <c r="BF80" s="24" t="n">
        <f aca="false">SUM(BF58:BF79)</f>
        <v>1534960</v>
      </c>
      <c r="BG80" s="24" t="n">
        <f aca="false">SUM(BG58:BG79)</f>
        <v>0</v>
      </c>
      <c r="BH80" s="24" t="n">
        <f aca="false">SUM(BH58:BH79)</f>
        <v>0</v>
      </c>
      <c r="BI80" s="24" t="n">
        <f aca="false">SUM(BI58:BI79)</f>
        <v>0</v>
      </c>
      <c r="BJ80" s="24" t="n">
        <f aca="false">SUM(BJ58:BJ79)</f>
        <v>0</v>
      </c>
      <c r="BK80" s="24" t="n">
        <f aca="false">SUM(BK58:BK79)</f>
        <v>0</v>
      </c>
      <c r="BL80" s="24" t="n">
        <f aca="false">SUM(BL58:BL79)</f>
        <v>0</v>
      </c>
      <c r="BM80" s="24"/>
      <c r="BN80" s="24" t="n">
        <f aca="false">SUM(BN58:BN79)</f>
        <v>0</v>
      </c>
      <c r="BO80" s="24"/>
      <c r="BP80" s="24" t="n">
        <f aca="false">SUM(BP58:BP79)</f>
        <v>5618847</v>
      </c>
      <c r="BQ80" s="24" t="n">
        <f aca="false">SUM(BQ58:BQ79)</f>
        <v>1171784</v>
      </c>
      <c r="BR80" s="24" t="n">
        <f aca="false">SUM(BR58:BR79)</f>
        <v>3777273</v>
      </c>
      <c r="BS80" s="24" t="n">
        <f aca="false">SUM(BS58:BS79)</f>
        <v>2643295</v>
      </c>
      <c r="BT80" s="24" t="n">
        <f aca="false">SUM(BT58:BT79)</f>
        <v>12041100</v>
      </c>
      <c r="BU80" s="24" t="n">
        <f aca="false">SUM(BU58:BU79)</f>
        <v>5668777</v>
      </c>
      <c r="BV80" s="24" t="n">
        <f aca="false">SUM(BV58:BV79)</f>
        <v>17659947</v>
      </c>
      <c r="BW80" s="24" t="n">
        <f aca="false">SUM(BW58:BW79)</f>
        <v>12305633</v>
      </c>
      <c r="BX80" s="24" t="n">
        <f aca="false">SUM(BX58:BX79)</f>
        <v>-5383044</v>
      </c>
      <c r="BY80" s="24" t="n">
        <f aca="false">SUM(BY58:BY79)</f>
        <v>1567396</v>
      </c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74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74"/>
      <c r="B82" s="245" t="s">
        <v>221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3" t="s">
        <v>222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240" t="n">
        <v>7824800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110" t="n">
        <v>355795</v>
      </c>
      <c r="AU83" s="24"/>
      <c r="AV83" s="24"/>
      <c r="AW83" s="24"/>
      <c r="AX83" s="110" t="n">
        <f aca="false">2255645-355795</f>
        <v>1899850</v>
      </c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110" t="n">
        <f aca="false">SUM(T83:BO83)</f>
        <v>2255645</v>
      </c>
      <c r="BQ83" s="24"/>
      <c r="BR83" s="110" t="n">
        <f aca="false">10145929-7824800</f>
        <v>2321129</v>
      </c>
      <c r="BS83" s="24"/>
      <c r="BT83" s="110" t="n">
        <f aca="false">IF(+R83-BP83+BR83&gt;0,R83-BP83+BR83,0)</f>
        <v>7890284</v>
      </c>
      <c r="BV83" s="110" t="n">
        <f aca="false">+BP83+BT83</f>
        <v>10145929</v>
      </c>
      <c r="BX83" s="110" t="n">
        <f aca="false">+R83-BV83</f>
        <v>-2321129</v>
      </c>
      <c r="BY83" s="24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242" t="s">
        <v>223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7824800</v>
      </c>
      <c r="S85" s="24"/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 t="n">
        <f aca="false">SUM(AE83:AE84)</f>
        <v>0</v>
      </c>
      <c r="AF85" s="24" t="n">
        <f aca="false">SUM(AF83:AF84)</f>
        <v>0</v>
      </c>
      <c r="AG85" s="24" t="n">
        <f aca="false">SUM(AG83:AG84)</f>
        <v>0</v>
      </c>
      <c r="AH85" s="24" t="n">
        <f aca="false">SUM(AH83:AH84)</f>
        <v>0</v>
      </c>
      <c r="AI85" s="24" t="n">
        <f aca="false">SUM(AI83:AI84)</f>
        <v>0</v>
      </c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/>
      <c r="AR85" s="24" t="n">
        <f aca="false">SUM(AR83:AR84)</f>
        <v>0</v>
      </c>
      <c r="AS85" s="24" t="n">
        <f aca="false">SUM(AS83:AS84)</f>
        <v>0</v>
      </c>
      <c r="AT85" s="24" t="n">
        <f aca="false">SUM(AT83:AT84)</f>
        <v>355795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1899850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 t="n">
        <f aca="false">SUM(BC83:BC84)</f>
        <v>0</v>
      </c>
      <c r="BD85" s="24" t="n">
        <f aca="false">SUM(BD83:BD84)</f>
        <v>0</v>
      </c>
      <c r="BE85" s="24" t="n">
        <f aca="false">SUM(BE83:BE84)</f>
        <v>0</v>
      </c>
      <c r="BF85" s="24" t="n">
        <f aca="false">SUM(BF83:BF84)</f>
        <v>0</v>
      </c>
      <c r="BG85" s="24" t="n">
        <f aca="false">SUM(BG83:BG84)</f>
        <v>0</v>
      </c>
      <c r="BH85" s="24" t="n">
        <f aca="false">SUM(BH83:BH84)</f>
        <v>0</v>
      </c>
      <c r="BI85" s="24" t="n">
        <f aca="false">SUM(BI83:BI84)</f>
        <v>0</v>
      </c>
      <c r="BJ85" s="24" t="n">
        <f aca="false">SUM(BJ83:BJ84)</f>
        <v>0</v>
      </c>
      <c r="BK85" s="24" t="n">
        <f aca="false">SUM(BK83:BK84)</f>
        <v>0</v>
      </c>
      <c r="BL85" s="24" t="n">
        <f aca="false">SUM(BL83:BL84)</f>
        <v>0</v>
      </c>
      <c r="BM85" s="24"/>
      <c r="BN85" s="24" t="n">
        <f aca="false">SUM(BN83:BN84)</f>
        <v>0</v>
      </c>
      <c r="BO85" s="24"/>
      <c r="BP85" s="24" t="n">
        <f aca="false">SUM(BP83:BP84)</f>
        <v>2255645</v>
      </c>
      <c r="BQ85" s="24" t="n">
        <f aca="false">SUM(BQ83:BQ84)</f>
        <v>0</v>
      </c>
      <c r="BR85" s="24" t="n">
        <f aca="false">SUM(BR83:BR84)</f>
        <v>2321129</v>
      </c>
      <c r="BS85" s="24" t="n">
        <f aca="false">SUM(BS83:BS84)</f>
        <v>0</v>
      </c>
      <c r="BT85" s="24" t="n">
        <f aca="false">SUM(BT83:BT84)</f>
        <v>7890284</v>
      </c>
      <c r="BU85" s="24" t="n">
        <f aca="false">SUM(BU83:BU84)</f>
        <v>0</v>
      </c>
      <c r="BV85" s="24" t="n">
        <f aca="false">SUM(BV83:BV84)</f>
        <v>10145929</v>
      </c>
      <c r="BW85" s="24" t="n">
        <f aca="false">SUM(BW83:BW84)</f>
        <v>0</v>
      </c>
      <c r="BX85" s="24" t="n">
        <f aca="false">SUM(BX83:BX84)</f>
        <v>-2321129</v>
      </c>
      <c r="BY85" s="24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242"/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245" t="s">
        <v>458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 t="n">
        <f aca="false">-6181306+5237441</f>
        <v>-943865</v>
      </c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110" t="n">
        <f aca="false">SUM(T87:BO87)</f>
        <v>-943865</v>
      </c>
      <c r="BQ87" s="24"/>
      <c r="BR87" s="24"/>
      <c r="BS87" s="24"/>
      <c r="BT87" s="24" t="n">
        <v>0</v>
      </c>
      <c r="BU87" s="24"/>
      <c r="BW87" s="24"/>
      <c r="BX87" s="110" t="n">
        <f aca="false">+R87-BV87</f>
        <v>0</v>
      </c>
      <c r="BY87" s="24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242"/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74"/>
      <c r="B89" s="245" t="s">
        <v>403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24" t="n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 t="n">
        <f aca="false">4455378.55-803822</f>
        <v>3651556.55</v>
      </c>
      <c r="AQ89" s="24"/>
      <c r="AR89" s="24" t="n">
        <v>0</v>
      </c>
      <c r="AS89" s="24"/>
      <c r="AT89" s="24" t="n">
        <f aca="false">6181305.57-4997735</f>
        <v>1183570.57</v>
      </c>
      <c r="AU89" s="24"/>
      <c r="AV89" s="24" t="n">
        <v>5993551</v>
      </c>
      <c r="AW89" s="24"/>
      <c r="AX89" s="24" t="n">
        <v>123980</v>
      </c>
      <c r="AY89" s="24"/>
      <c r="AZ89" s="24" t="n">
        <f aca="false">6627015+1.5</f>
        <v>6627016.5</v>
      </c>
      <c r="BA89" s="24"/>
      <c r="BB89" s="24"/>
      <c r="BC89" s="24"/>
      <c r="BD89" s="24" t="n">
        <f aca="false">8209613+2815680</f>
        <v>11025293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110" t="n">
        <f aca="false">SUM(T89:BO89)</f>
        <v>28604967.62</v>
      </c>
      <c r="BQ89" s="24"/>
      <c r="BR89" s="24" t="n">
        <f aca="false">43494000-40678250</f>
        <v>2815750</v>
      </c>
      <c r="BS89" s="24"/>
      <c r="BT89" s="110" t="n">
        <f aca="false">-31433706+2634960.45</f>
        <v>-28798745.55</v>
      </c>
      <c r="BU89" s="24"/>
      <c r="BV89" s="110" t="n">
        <f aca="false">-46166603+43494000</f>
        <v>-2672603</v>
      </c>
      <c r="BX89" s="110" t="n">
        <f aca="false">+R89-BV89</f>
        <v>2672603</v>
      </c>
      <c r="BY89" s="24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174"/>
      <c r="B90" s="178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84"/>
      <c r="B91" s="185" t="s">
        <v>227</v>
      </c>
      <c r="C91" s="186"/>
      <c r="D91" s="186"/>
      <c r="E91" s="186"/>
      <c r="F91" s="186"/>
      <c r="G91" s="186"/>
      <c r="H91" s="186"/>
      <c r="I91" s="186"/>
      <c r="J91" s="187"/>
      <c r="K91" s="186"/>
      <c r="L91" s="188"/>
      <c r="M91" s="189"/>
      <c r="N91" s="190" t="n">
        <f aca="false">SUM(N38:N90)</f>
        <v>0</v>
      </c>
      <c r="O91" s="189"/>
      <c r="P91" s="190" t="n">
        <f aca="false">SUM(P38:P90)</f>
        <v>0</v>
      </c>
      <c r="Q91" s="189"/>
      <c r="R91" s="190" t="n">
        <f aca="false">R85+R80+R55+R48+R89</f>
        <v>37943200</v>
      </c>
      <c r="S91" s="190"/>
      <c r="T91" s="190" t="n">
        <f aca="false">T85+T80+T55+T48+T89</f>
        <v>0</v>
      </c>
      <c r="U91" s="190" t="n">
        <f aca="false">U85+U80+U55+U48+U89</f>
        <v>0</v>
      </c>
      <c r="V91" s="190" t="n">
        <f aca="false">V85+V80+V55+V48+V89</f>
        <v>0</v>
      </c>
      <c r="W91" s="190" t="n">
        <f aca="false">W85+W80+W55+W48+W89</f>
        <v>0</v>
      </c>
      <c r="X91" s="190" t="n">
        <f aca="false">X85+X80+X55+X48+X89</f>
        <v>0</v>
      </c>
      <c r="Y91" s="190" t="n">
        <f aca="false">Y85+Y80+Y55+Y48+Y89</f>
        <v>0</v>
      </c>
      <c r="Z91" s="190" t="n">
        <f aca="false">Z85+Z80+Z55+Z48+Z89</f>
        <v>0</v>
      </c>
      <c r="AA91" s="190" t="n">
        <f aca="false">AA85+AA80+AA55+AA48+AA89</f>
        <v>0</v>
      </c>
      <c r="AB91" s="190" t="n">
        <f aca="false">AB85+AB80+AB55+AB48+AB89</f>
        <v>0</v>
      </c>
      <c r="AC91" s="190" t="n">
        <f aca="false">AC85+AC80+AC55+AC48+AC89</f>
        <v>0</v>
      </c>
      <c r="AD91" s="190" t="n">
        <f aca="false">AD85+AD80+AD55+AD48+AD89</f>
        <v>0</v>
      </c>
      <c r="AE91" s="190" t="n">
        <f aca="false">AE85+AE80+AE55+AE48+AE89</f>
        <v>0</v>
      </c>
      <c r="AF91" s="190" t="n">
        <f aca="false">AF85+AF80+AF55+AF48+AF89</f>
        <v>0</v>
      </c>
      <c r="AG91" s="190" t="n">
        <f aca="false">AG85+AG80+AG55+AG48+AG89</f>
        <v>0</v>
      </c>
      <c r="AH91" s="190" t="n">
        <f aca="false">AH85+AH80+AH55+AH48+AH89</f>
        <v>0</v>
      </c>
      <c r="AI91" s="190" t="n">
        <f aca="false">AI85+AI80+AI55+AI48+AI89</f>
        <v>0</v>
      </c>
      <c r="AJ91" s="190" t="n">
        <f aca="false">AJ85+AJ80+AJ55+AJ48+AJ89</f>
        <v>0</v>
      </c>
      <c r="AK91" s="190" t="n">
        <f aca="false">AK85+AK80+AK55+AK48+AK89</f>
        <v>0</v>
      </c>
      <c r="AL91" s="190" t="n">
        <f aca="false">AL85+AL80+AL55+AL48+AL89</f>
        <v>0</v>
      </c>
      <c r="AM91" s="190" t="n">
        <f aca="false">AM85+AM80+AM55+AM48+AM89</f>
        <v>0</v>
      </c>
      <c r="AN91" s="190" t="n">
        <f aca="false">AN85+AN80+AN55+AN48+AN89</f>
        <v>0</v>
      </c>
      <c r="AO91" s="190" t="n">
        <f aca="false">AO85+AO80+AO55+AO48+AO89</f>
        <v>0</v>
      </c>
      <c r="AP91" s="190" t="n">
        <f aca="false">AP85+AP80+AP55+AP48+AP89</f>
        <v>4455378.55</v>
      </c>
      <c r="AQ91" s="190"/>
      <c r="AR91" s="190" t="n">
        <f aca="false">AR85+AR80+AR55+AR48+AR89</f>
        <v>0</v>
      </c>
      <c r="AS91" s="190" t="n">
        <f aca="false">AS85+AS80+AS55+AS48+AS89</f>
        <v>0</v>
      </c>
      <c r="AT91" s="190" t="n">
        <f aca="false">AT85+AT80+AT55+AT48+AT89+AT87</f>
        <v>5237440.57</v>
      </c>
      <c r="AU91" s="190" t="n">
        <f aca="false">AU85+AU80+AU55+AU48+AU89+AU87</f>
        <v>0</v>
      </c>
      <c r="AV91" s="190" t="n">
        <f aca="false">AV85+AV80+AV55+AV48+AV89+AV87</f>
        <v>5993551</v>
      </c>
      <c r="AW91" s="190" t="n">
        <f aca="false">AW85+AW80+AW55+AW48+AW89+AW87</f>
        <v>0</v>
      </c>
      <c r="AX91" s="190" t="n">
        <f aca="false">AX85+AX80+AX55+AX48+AX89+AX87</f>
        <v>7520360</v>
      </c>
      <c r="AY91" s="190" t="n">
        <f aca="false">AY85+AY80+AY55+AY48+AY89+AY87</f>
        <v>0</v>
      </c>
      <c r="AZ91" s="190" t="n">
        <f aca="false">AZ85+AZ80+AZ55+AZ48+AZ89+AZ87</f>
        <v>6627016.5</v>
      </c>
      <c r="BA91" s="190" t="n">
        <f aca="false">BA85+BA80+BA55+BA48+BA89+BA87</f>
        <v>0</v>
      </c>
      <c r="BB91" s="190" t="n">
        <f aca="false">BB85+BB80+BB55+BB48+BB89+BB87</f>
        <v>0</v>
      </c>
      <c r="BC91" s="190" t="n">
        <f aca="false">BC85+BC80+BC55+BC48+BC89+BC87</f>
        <v>0</v>
      </c>
      <c r="BD91" s="190" t="n">
        <f aca="false">BD85+BD80+BD55+BD48+BD89+BD87</f>
        <v>11025293</v>
      </c>
      <c r="BE91" s="190" t="n">
        <f aca="false">BE85+BE80+BE55+BE48+BE89+BE87</f>
        <v>0</v>
      </c>
      <c r="BF91" s="190" t="n">
        <f aca="false">BF85+BF80+BF55+BF48+BF89+BF87</f>
        <v>1534960</v>
      </c>
      <c r="BG91" s="190" t="n">
        <f aca="false">BG85+BG80+BG55+BG48+BG89+BG87</f>
        <v>0</v>
      </c>
      <c r="BH91" s="190" t="n">
        <f aca="false">BH85+BH80+BH55+BH48+BH89+BH87</f>
        <v>0</v>
      </c>
      <c r="BI91" s="190" t="n">
        <f aca="false">BI85+BI80+BI55+BI48+BI89+BI87</f>
        <v>0</v>
      </c>
      <c r="BJ91" s="190" t="n">
        <f aca="false">BJ85+BJ80+BJ55+BJ48+BJ89+BJ87</f>
        <v>0</v>
      </c>
      <c r="BK91" s="190" t="n">
        <f aca="false">BK85+BK80+BK55+BK48+BK89+BK87</f>
        <v>0</v>
      </c>
      <c r="BL91" s="190" t="n">
        <f aca="false">BL85+BL80+BL55+BL48+BL89+BL87</f>
        <v>0</v>
      </c>
      <c r="BM91" s="190"/>
      <c r="BN91" s="190" t="n">
        <f aca="false">BN85+BN80+BN55+BN48+BN89+BN87</f>
        <v>0</v>
      </c>
      <c r="BO91" s="190"/>
      <c r="BP91" s="190" t="n">
        <f aca="false">BP85+BP80+BP55+BP48+BP89+BP87</f>
        <v>42393999.62</v>
      </c>
      <c r="BQ91" s="190" t="n">
        <f aca="false">BQ85+BQ80+BQ55+BQ48+BQ89+BQ87</f>
        <v>1171784</v>
      </c>
      <c r="BR91" s="190" t="n">
        <f aca="false">BR85+BR80+BR55+BR48+BR89+BR87</f>
        <v>9432666</v>
      </c>
      <c r="BS91" s="190" t="n">
        <f aca="false">BS85+BS80+BS55+BS48+BS89+BS87</f>
        <v>2643295</v>
      </c>
      <c r="BT91" s="190" t="n">
        <f aca="false">BT85+BT80+BT55+BT48+BT89+BT87</f>
        <v>2634960.45</v>
      </c>
      <c r="BU91" s="190" t="n">
        <f aca="false">BU85+BU80+BU55+BU48+BU89+BU87</f>
        <v>5668777</v>
      </c>
      <c r="BV91" s="190" t="n">
        <f aca="false">BV85+BV80+BV55+BV48+BV89+BV87</f>
        <v>43494000</v>
      </c>
      <c r="BW91" s="190" t="n">
        <f aca="false">BW85+BW80+BW55+BW48+BW89+BW87</f>
        <v>12305633</v>
      </c>
      <c r="BX91" s="190" t="n">
        <f aca="false">BX85+BX80+BX55+BX48+BX89+BX87</f>
        <v>-5550800</v>
      </c>
      <c r="BY91" s="190" t="n">
        <f aca="false">BY85+BY80+BY55+BY48+BY89</f>
        <v>1567396</v>
      </c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  <c r="DK91" s="186"/>
      <c r="DL91" s="186"/>
      <c r="DM91" s="186"/>
      <c r="DN91" s="186"/>
      <c r="DO91" s="186"/>
      <c r="DP91" s="186"/>
      <c r="DQ91" s="186"/>
      <c r="DR91" s="186"/>
      <c r="DS91" s="186"/>
      <c r="DT91" s="186"/>
      <c r="DU91" s="186"/>
      <c r="DV91" s="186"/>
      <c r="DW91" s="186"/>
      <c r="DX91" s="186"/>
      <c r="DY91" s="186"/>
      <c r="DZ91" s="186"/>
      <c r="EA91" s="186"/>
      <c r="EB91" s="186"/>
      <c r="EC91" s="186"/>
      <c r="ED91" s="186"/>
      <c r="EE91" s="186"/>
      <c r="EF91" s="186"/>
      <c r="EG91" s="186"/>
      <c r="EH91" s="186"/>
      <c r="EI91" s="186"/>
      <c r="EJ91" s="186"/>
      <c r="EK91" s="186"/>
      <c r="EL91" s="186"/>
      <c r="EM91" s="186"/>
      <c r="EN91" s="186"/>
      <c r="EO91" s="186"/>
      <c r="EP91" s="186"/>
      <c r="EQ91" s="186"/>
      <c r="ER91" s="186"/>
      <c r="ES91" s="186"/>
      <c r="ET91" s="186"/>
      <c r="EU91" s="186"/>
      <c r="EV91" s="186"/>
      <c r="EW91" s="186"/>
      <c r="EX91" s="186"/>
      <c r="EY91" s="186"/>
      <c r="EZ91" s="186"/>
      <c r="FA91" s="186"/>
      <c r="FB91" s="186"/>
      <c r="FC91" s="186"/>
      <c r="FD91" s="186"/>
      <c r="FE91" s="186"/>
      <c r="FF91" s="186"/>
      <c r="FG91" s="186"/>
      <c r="FH91" s="186"/>
      <c r="FI91" s="186"/>
      <c r="FJ91" s="186"/>
      <c r="FK91" s="186"/>
      <c r="FL91" s="186"/>
      <c r="FM91" s="186"/>
      <c r="FN91" s="186"/>
      <c r="FO91" s="186"/>
      <c r="FP91" s="186"/>
      <c r="FQ91" s="186"/>
      <c r="FR91" s="186"/>
      <c r="FS91" s="186"/>
      <c r="FT91" s="186"/>
      <c r="FU91" s="186"/>
      <c r="FV91" s="186"/>
      <c r="FW91" s="186"/>
      <c r="FX91" s="186"/>
      <c r="FY91" s="186"/>
      <c r="FZ91" s="186"/>
      <c r="GA91" s="186"/>
      <c r="GB91" s="186"/>
      <c r="GC91" s="186"/>
      <c r="GD91" s="186"/>
      <c r="GE91" s="186"/>
      <c r="GF91" s="186"/>
      <c r="GG91" s="186"/>
      <c r="GH91" s="186"/>
      <c r="GI91" s="186"/>
      <c r="GJ91" s="186"/>
      <c r="GK91" s="186"/>
      <c r="GL91" s="186"/>
      <c r="GM91" s="186"/>
      <c r="GN91" s="186"/>
      <c r="GO91" s="186"/>
      <c r="GP91" s="186"/>
      <c r="GQ91" s="186"/>
      <c r="GR91" s="186"/>
      <c r="GS91" s="186"/>
      <c r="GT91" s="186"/>
      <c r="GU91" s="186"/>
      <c r="GV91" s="186"/>
      <c r="GW91" s="186"/>
      <c r="GX91" s="186"/>
      <c r="GY91" s="186"/>
      <c r="GZ91" s="186"/>
      <c r="HA91" s="186"/>
      <c r="HB91" s="186"/>
      <c r="HC91" s="186"/>
      <c r="HD91" s="186"/>
      <c r="HE91" s="186"/>
      <c r="HF91" s="186"/>
      <c r="HG91" s="186"/>
      <c r="HH91" s="186"/>
      <c r="HI91" s="186"/>
      <c r="HJ91" s="186"/>
      <c r="HK91" s="186"/>
      <c r="HL91" s="186"/>
      <c r="HM91" s="186"/>
      <c r="HN91" s="186"/>
      <c r="HO91" s="186"/>
      <c r="HP91" s="186"/>
      <c r="HQ91" s="186"/>
      <c r="HR91" s="186"/>
      <c r="HS91" s="186"/>
      <c r="HT91" s="186"/>
      <c r="HU91" s="186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  <c r="IN91" s="186"/>
      <c r="IO91" s="186"/>
      <c r="IP91" s="186"/>
      <c r="IQ91" s="186"/>
      <c r="IR91" s="186"/>
      <c r="IS91" s="186"/>
      <c r="IT91" s="186"/>
      <c r="IU91" s="186"/>
      <c r="IV91" s="186"/>
      <c r="IW91" s="186"/>
    </row>
    <row r="92" customFormat="false" ht="12.75" hidden="false" customHeight="false" outlineLevel="0" collapsed="false">
      <c r="A92" s="164"/>
      <c r="B92" s="161"/>
      <c r="C92" s="0"/>
      <c r="D92" s="0"/>
      <c r="E92" s="0"/>
      <c r="F92" s="0"/>
      <c r="G92" s="0"/>
      <c r="H92" s="0"/>
      <c r="I92" s="0"/>
      <c r="J92" s="4"/>
      <c r="K92" s="0"/>
      <c r="L92" s="34"/>
      <c r="M92" s="110"/>
      <c r="O92" s="110"/>
      <c r="Q92" s="110"/>
      <c r="S92" s="110"/>
      <c r="T92" s="110"/>
      <c r="U92" s="110"/>
      <c r="V92" s="110"/>
      <c r="X92" s="110"/>
      <c r="Z92" s="110"/>
      <c r="AB92" s="110"/>
      <c r="AD92" s="110"/>
      <c r="BJ92" s="110"/>
      <c r="BL92" s="110"/>
      <c r="BM92" s="110"/>
      <c r="BN92" s="110"/>
      <c r="BO92" s="110"/>
      <c r="BQ92" s="110"/>
      <c r="BR92" s="110"/>
      <c r="BS92" s="110"/>
      <c r="BY92" s="110"/>
    </row>
    <row r="93" customFormat="false" ht="12.75" hidden="false" customHeight="false" outlineLevel="0" collapsed="false">
      <c r="A93" s="164"/>
      <c r="B93" s="161"/>
      <c r="C93" s="0"/>
      <c r="D93" s="0"/>
      <c r="E93" s="0"/>
      <c r="F93" s="0"/>
      <c r="G93" s="0"/>
      <c r="H93" s="0"/>
      <c r="I93" s="0"/>
      <c r="J93" s="4"/>
      <c r="K93" s="0"/>
      <c r="L93" s="34"/>
      <c r="M93" s="110"/>
      <c r="O93" s="110"/>
      <c r="Q93" s="110"/>
      <c r="S93" s="110"/>
      <c r="T93" s="110"/>
      <c r="U93" s="110"/>
      <c r="V93" s="110"/>
      <c r="X93" s="110"/>
      <c r="Z93" s="110"/>
      <c r="AB93" s="110"/>
      <c r="AD93" s="110"/>
      <c r="BJ93" s="110"/>
      <c r="BL93" s="110"/>
      <c r="BM93" s="110"/>
      <c r="BN93" s="110"/>
      <c r="BO93" s="110"/>
      <c r="BQ93" s="110"/>
      <c r="BR93" s="110"/>
      <c r="BS93" s="110"/>
      <c r="BY93" s="110"/>
    </row>
    <row r="94" customFormat="false" ht="12.75" hidden="false" customHeight="false" outlineLevel="0" collapsed="false">
      <c r="A94" s="160" t="s">
        <v>228</v>
      </c>
      <c r="B94" s="118"/>
      <c r="C94" s="0"/>
      <c r="D94" s="0"/>
      <c r="E94" s="0"/>
      <c r="F94" s="0"/>
      <c r="G94" s="0"/>
      <c r="H94" s="0"/>
      <c r="I94" s="0"/>
      <c r="J94" s="4"/>
      <c r="K94" s="0"/>
      <c r="L94" s="34"/>
      <c r="M94" s="110"/>
      <c r="O94" s="110"/>
      <c r="Q94" s="110"/>
      <c r="S94" s="110"/>
      <c r="T94" s="110"/>
      <c r="U94" s="110"/>
      <c r="V94" s="110"/>
      <c r="X94" s="110"/>
      <c r="Z94" s="110"/>
      <c r="AB94" s="110"/>
      <c r="AD94" s="110"/>
      <c r="BJ94" s="110"/>
      <c r="BL94" s="110"/>
      <c r="BM94" s="110"/>
      <c r="BN94" s="110"/>
      <c r="BO94" s="110"/>
      <c r="BQ94" s="110"/>
      <c r="BR94" s="110"/>
      <c r="BS94" s="110"/>
      <c r="BY94" s="110"/>
    </row>
    <row r="95" customFormat="false" ht="12.75" hidden="false" customHeight="false" outlineLevel="0" collapsed="false">
      <c r="A95" s="161"/>
      <c r="B95" s="161" t="s">
        <v>229</v>
      </c>
      <c r="C95" s="0"/>
      <c r="D95" s="0"/>
      <c r="E95" s="0"/>
      <c r="F95" s="0"/>
      <c r="G95" s="0"/>
      <c r="H95" s="0"/>
      <c r="I95" s="0"/>
      <c r="J95" s="4" t="s">
        <v>230</v>
      </c>
      <c r="K95" s="0"/>
      <c r="L95" s="34" t="s">
        <v>151</v>
      </c>
      <c r="M95" s="110"/>
      <c r="N95" s="110" t="n">
        <v>0</v>
      </c>
      <c r="O95" s="110"/>
      <c r="P95" s="110" t="n">
        <v>0</v>
      </c>
      <c r="Q95" s="110"/>
      <c r="R95" s="110" t="n">
        <v>929800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f aca="false">929800/12</f>
        <v>77483.3333333333</v>
      </c>
      <c r="AJ95" s="110" t="n">
        <v>77483.33</v>
      </c>
      <c r="AL95" s="110" t="n">
        <v>77483.33</v>
      </c>
      <c r="AN95" s="110" t="n">
        <v>77483.33</v>
      </c>
      <c r="AP95" s="110" t="n">
        <v>77483.34</v>
      </c>
      <c r="AR95" s="110" t="n">
        <v>77483.33</v>
      </c>
      <c r="AT95" s="110" t="n">
        <v>77483.33</v>
      </c>
      <c r="AV95" s="110" t="n">
        <v>77483.33</v>
      </c>
      <c r="AX95" s="110" t="n">
        <v>77483.34</v>
      </c>
      <c r="AZ95" s="110" t="n">
        <v>77483</v>
      </c>
      <c r="BB95" s="110" t="n">
        <v>77483.34</v>
      </c>
      <c r="BD95" s="110" t="n">
        <v>77483.33</v>
      </c>
      <c r="BF95" s="110" t="n">
        <v>0</v>
      </c>
      <c r="BH95" s="110" t="n">
        <v>0</v>
      </c>
      <c r="BJ95" s="110" t="n">
        <v>6741</v>
      </c>
      <c r="BL95" s="110" t="n">
        <v>0</v>
      </c>
      <c r="BM95" s="110"/>
      <c r="BN95" s="110" t="n">
        <v>0</v>
      </c>
      <c r="BO95" s="110"/>
      <c r="BP95" s="110" t="n">
        <f aca="false">SUM(T95:BO95)</f>
        <v>936540.663333333</v>
      </c>
      <c r="BQ95" s="110"/>
      <c r="BR95" s="110" t="n">
        <v>0</v>
      </c>
      <c r="BS95" s="110"/>
      <c r="BT95" s="110" t="n">
        <f aca="false">IF(+R95-BP95+BR95&gt;0,R95-BP95+BR95,0)</f>
        <v>0</v>
      </c>
      <c r="BV95" s="110" t="n">
        <f aca="false">+BP95+BT95</f>
        <v>936540.663333333</v>
      </c>
      <c r="BX95" s="110" t="n">
        <f aca="false">+R95-BV95</f>
        <v>-6740.66333333333</v>
      </c>
      <c r="BY95" s="110"/>
    </row>
    <row r="96" customFormat="false" ht="12.75" hidden="false" customHeight="false" outlineLevel="0" collapsed="false">
      <c r="A96" s="161"/>
      <c r="B96" s="161" t="s">
        <v>231</v>
      </c>
      <c r="C96" s="0"/>
      <c r="D96" s="0"/>
      <c r="E96" s="0"/>
      <c r="F96" s="0"/>
      <c r="G96" s="0"/>
      <c r="H96" s="0"/>
      <c r="I96" s="0"/>
      <c r="J96" s="4" t="s">
        <v>231</v>
      </c>
      <c r="K96" s="0"/>
      <c r="L96" s="34" t="s">
        <v>151</v>
      </c>
      <c r="M96" s="110"/>
      <c r="N96" s="110" t="n">
        <v>0</v>
      </c>
      <c r="O96" s="110"/>
      <c r="P96" s="110" t="n">
        <v>0</v>
      </c>
      <c r="Q96" s="110"/>
      <c r="R96" s="110" t="n">
        <v>2386700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f aca="false">2386700/12</f>
        <v>198891.666666667</v>
      </c>
      <c r="AJ96" s="110" t="n">
        <v>198891.67</v>
      </c>
      <c r="AL96" s="110" t="n">
        <v>198888.67</v>
      </c>
      <c r="AN96" s="110" t="n">
        <v>198888.67</v>
      </c>
      <c r="AP96" s="110" t="n">
        <v>198888.67</v>
      </c>
      <c r="AR96" s="110" t="n">
        <v>198899</v>
      </c>
      <c r="AT96" s="110" t="n">
        <v>198889</v>
      </c>
      <c r="AV96" s="110" t="n">
        <v>198889</v>
      </c>
      <c r="AX96" s="110" t="n">
        <v>198889</v>
      </c>
      <c r="AZ96" s="110" t="n">
        <v>198889</v>
      </c>
      <c r="BB96" s="110" t="n">
        <v>198889</v>
      </c>
      <c r="BD96" s="110" t="n">
        <v>198889</v>
      </c>
      <c r="BF96" s="110" t="n">
        <v>0</v>
      </c>
      <c r="BH96" s="110" t="n">
        <v>0</v>
      </c>
      <c r="BJ96" s="110" t="n">
        <v>0</v>
      </c>
      <c r="BL96" s="110" t="n">
        <v>0</v>
      </c>
      <c r="BM96" s="110"/>
      <c r="BN96" s="110" t="n">
        <v>0</v>
      </c>
      <c r="BO96" s="110"/>
      <c r="BP96" s="110" t="n">
        <f aca="false">SUM(T96:BO96)</f>
        <v>2386682.34666667</v>
      </c>
      <c r="BQ96" s="110"/>
      <c r="BR96" s="110" t="n">
        <v>0</v>
      </c>
      <c r="BS96" s="110"/>
      <c r="BT96" s="110" t="n">
        <f aca="false">IF(+R96-BP96+BR96&gt;0,R96-BP96+BR96,0)</f>
        <v>17.6533333333209</v>
      </c>
      <c r="BV96" s="110" t="n">
        <f aca="false">+BP96+BT96</f>
        <v>2386700</v>
      </c>
      <c r="BX96" s="110" t="n">
        <f aca="false">+R96-BV96</f>
        <v>0</v>
      </c>
      <c r="BY96" s="110"/>
    </row>
    <row r="97" customFormat="false" ht="12.75" hidden="false" customHeight="false" outlineLevel="0" collapsed="false">
      <c r="A97" s="161"/>
      <c r="B97" s="161" t="s">
        <v>232</v>
      </c>
      <c r="C97" s="0"/>
      <c r="D97" s="0"/>
      <c r="E97" s="0"/>
      <c r="F97" s="0"/>
      <c r="G97" s="0"/>
      <c r="H97" s="0"/>
      <c r="I97" s="0"/>
      <c r="J97" s="4" t="s">
        <v>230</v>
      </c>
      <c r="K97" s="0"/>
      <c r="L97" s="34" t="s">
        <v>151</v>
      </c>
      <c r="M97" s="110"/>
      <c r="N97" s="110" t="n">
        <v>0</v>
      </c>
      <c r="O97" s="110"/>
      <c r="P97" s="110" t="n">
        <v>0</v>
      </c>
      <c r="Q97" s="110"/>
      <c r="R97" s="110" t="n"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J97" s="110" t="n">
        <v>0</v>
      </c>
      <c r="AL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L97" s="110" t="n">
        <v>0</v>
      </c>
      <c r="BM97" s="110"/>
      <c r="BN97" s="110" t="n">
        <v>0</v>
      </c>
      <c r="BO97" s="110"/>
      <c r="BP97" s="110" t="n">
        <f aca="false">SUM(T97:BO97)</f>
        <v>0</v>
      </c>
      <c r="BQ97" s="110"/>
      <c r="BR97" s="110" t="n">
        <v>0</v>
      </c>
      <c r="BS97" s="110"/>
      <c r="BT97" s="110" t="n">
        <f aca="false">IF(+R97-BP97+BR97&gt;0,R97-BP97+BR97,0)</f>
        <v>0</v>
      </c>
      <c r="BV97" s="110" t="n">
        <f aca="false">+BP97+BT97</f>
        <v>0</v>
      </c>
      <c r="BX97" s="110" t="n">
        <f aca="false">+R97-BV97</f>
        <v>0</v>
      </c>
      <c r="BY97" s="110"/>
    </row>
    <row r="98" customFormat="false" ht="12.75" hidden="false" customHeight="false" outlineLevel="0" collapsed="false">
      <c r="A98" s="161"/>
      <c r="B98" s="161" t="s">
        <v>233</v>
      </c>
      <c r="C98" s="0"/>
      <c r="D98" s="0"/>
      <c r="E98" s="0"/>
      <c r="F98" s="0"/>
      <c r="G98" s="0"/>
      <c r="H98" s="0"/>
      <c r="I98" s="0"/>
      <c r="J98" s="4" t="s">
        <v>230</v>
      </c>
      <c r="K98" s="0"/>
      <c r="L98" s="34" t="s">
        <v>151</v>
      </c>
      <c r="M98" s="110"/>
      <c r="N98" s="110" t="n">
        <v>0</v>
      </c>
      <c r="O98" s="110"/>
      <c r="P98" s="110" t="n">
        <v>0</v>
      </c>
      <c r="Q98" s="110"/>
      <c r="R98" s="110" t="n">
        <f aca="false">+N98+P98</f>
        <v>0</v>
      </c>
      <c r="S98" s="110"/>
      <c r="T98" s="110" t="n">
        <v>0</v>
      </c>
      <c r="U98" s="110"/>
      <c r="V98" s="110" t="n">
        <v>0</v>
      </c>
      <c r="X98" s="110" t="n">
        <v>0</v>
      </c>
      <c r="Z98" s="110" t="n">
        <v>0</v>
      </c>
      <c r="AB98" s="110" t="n">
        <v>0</v>
      </c>
      <c r="AD98" s="110" t="n">
        <v>0</v>
      </c>
      <c r="AF98" s="110" t="n">
        <v>0</v>
      </c>
      <c r="AH98" s="110" t="n">
        <v>0</v>
      </c>
      <c r="AJ98" s="110" t="n">
        <v>0</v>
      </c>
      <c r="AL98" s="110" t="n">
        <v>0</v>
      </c>
      <c r="AN98" s="110" t="n">
        <v>0</v>
      </c>
      <c r="AP98" s="110" t="n">
        <v>0</v>
      </c>
      <c r="AR98" s="110" t="n">
        <v>0</v>
      </c>
      <c r="AT98" s="110" t="n">
        <v>0</v>
      </c>
      <c r="AV98" s="110" t="n">
        <v>0</v>
      </c>
      <c r="AX98" s="110" t="n">
        <v>0</v>
      </c>
      <c r="AZ98" s="110" t="n">
        <v>0</v>
      </c>
      <c r="BB98" s="110" t="n">
        <v>0</v>
      </c>
      <c r="BD98" s="110" t="n">
        <v>0</v>
      </c>
      <c r="BF98" s="110" t="n">
        <v>0</v>
      </c>
      <c r="BH98" s="110" t="n">
        <v>0</v>
      </c>
      <c r="BJ98" s="110" t="n">
        <v>0</v>
      </c>
      <c r="BL98" s="110" t="n">
        <v>0</v>
      </c>
      <c r="BM98" s="110"/>
      <c r="BN98" s="110" t="n">
        <v>0</v>
      </c>
      <c r="BO98" s="110"/>
      <c r="BP98" s="110" t="n">
        <f aca="false">SUM(T98:BO98)</f>
        <v>0</v>
      </c>
      <c r="BQ98" s="110"/>
      <c r="BR98" s="110" t="n">
        <v>0</v>
      </c>
      <c r="BS98" s="110"/>
      <c r="BT98" s="110" t="n">
        <f aca="false">IF(+R98-BP98+BR98&gt;0,R98-BP98+BR98,0)</f>
        <v>0</v>
      </c>
      <c r="BV98" s="110" t="n">
        <f aca="false">+BP98+BT98</f>
        <v>0</v>
      </c>
      <c r="BX98" s="110" t="n">
        <f aca="false">+R98-BV98</f>
        <v>0</v>
      </c>
      <c r="BY98" s="110"/>
    </row>
    <row r="99" customFormat="false" ht="12.75" hidden="false" customHeight="false" outlineLevel="0" collapsed="false">
      <c r="A99" s="161"/>
      <c r="B99" s="161" t="s">
        <v>234</v>
      </c>
      <c r="C99" s="18"/>
      <c r="D99" s="18"/>
      <c r="E99" s="18"/>
      <c r="F99" s="18"/>
      <c r="G99" s="18"/>
      <c r="H99" s="18"/>
      <c r="I99" s="18"/>
      <c r="J99" s="229" t="s">
        <v>230</v>
      </c>
      <c r="K99" s="18"/>
      <c r="L99" s="34" t="s">
        <v>151</v>
      </c>
      <c r="M99" s="110"/>
      <c r="N99" s="110" t="n">
        <v>0</v>
      </c>
      <c r="O99" s="110"/>
      <c r="P99" s="110" t="n">
        <v>0</v>
      </c>
      <c r="Q99" s="110"/>
      <c r="R99" s="110" t="n">
        <f aca="false">+N99+P99</f>
        <v>0</v>
      </c>
      <c r="S99" s="110"/>
      <c r="T99" s="110" t="n">
        <v>0</v>
      </c>
      <c r="U99" s="110"/>
      <c r="V99" s="110" t="n">
        <v>0</v>
      </c>
      <c r="X99" s="110" t="n">
        <v>0</v>
      </c>
      <c r="Z99" s="110" t="n">
        <v>0</v>
      </c>
      <c r="AB99" s="110" t="n">
        <v>0</v>
      </c>
      <c r="AD99" s="110" t="n">
        <v>0</v>
      </c>
      <c r="AF99" s="110" t="n">
        <v>0</v>
      </c>
      <c r="AH99" s="110" t="n">
        <v>0</v>
      </c>
      <c r="AJ99" s="110" t="n">
        <v>0</v>
      </c>
      <c r="AL99" s="110" t="n">
        <v>0</v>
      </c>
      <c r="AN99" s="110" t="n">
        <v>0</v>
      </c>
      <c r="AP99" s="110" t="n">
        <v>0</v>
      </c>
      <c r="AR99" s="110" t="n">
        <v>0</v>
      </c>
      <c r="AT99" s="110" t="n">
        <v>0</v>
      </c>
      <c r="AV99" s="110" t="n">
        <v>0</v>
      </c>
      <c r="AX99" s="110" t="n">
        <v>0</v>
      </c>
      <c r="AZ99" s="110" t="n">
        <v>0</v>
      </c>
      <c r="BB99" s="110" t="n">
        <v>0</v>
      </c>
      <c r="BD99" s="110" t="n">
        <v>0</v>
      </c>
      <c r="BF99" s="110" t="n">
        <v>0</v>
      </c>
      <c r="BH99" s="110" t="n">
        <v>0</v>
      </c>
      <c r="BJ99" s="110" t="n">
        <v>0</v>
      </c>
      <c r="BL99" s="110" t="n">
        <v>0</v>
      </c>
      <c r="BM99" s="110"/>
      <c r="BN99" s="110" t="n">
        <v>0</v>
      </c>
      <c r="BO99" s="110"/>
      <c r="BP99" s="110" t="n">
        <f aca="false">SUM(T99:BO99)</f>
        <v>0</v>
      </c>
      <c r="BQ99" s="110"/>
      <c r="BR99" s="110" t="n">
        <v>0</v>
      </c>
      <c r="BS99" s="110"/>
      <c r="BT99" s="110" t="n">
        <f aca="false">IF(+R99-BP99+BR99&gt;0,R99-BP99+BR99,0)</f>
        <v>0</v>
      </c>
      <c r="BV99" s="110" t="n">
        <f aca="false">+BP99+BT99</f>
        <v>0</v>
      </c>
      <c r="BX99" s="110" t="n">
        <f aca="false">+R99-BV99</f>
        <v>0</v>
      </c>
      <c r="BY99" s="110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  <c r="ER99" s="118"/>
      <c r="ES99" s="118"/>
      <c r="ET99" s="118"/>
      <c r="EU99" s="118"/>
      <c r="EV99" s="118"/>
      <c r="EW99" s="118"/>
      <c r="EX99" s="118"/>
      <c r="EY99" s="118"/>
      <c r="EZ99" s="118"/>
      <c r="FA99" s="118"/>
      <c r="FB99" s="118"/>
      <c r="FC99" s="118"/>
      <c r="FD99" s="118"/>
      <c r="FE99" s="118"/>
      <c r="FF99" s="118"/>
      <c r="FG99" s="118"/>
      <c r="FH99" s="118"/>
      <c r="FI99" s="118"/>
      <c r="FJ99" s="118"/>
      <c r="FK99" s="118"/>
      <c r="FL99" s="118"/>
      <c r="FM99" s="118"/>
      <c r="FN99" s="118"/>
      <c r="FO99" s="118"/>
      <c r="FP99" s="118"/>
      <c r="FQ99" s="11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  <c r="GW99" s="118"/>
      <c r="GX99" s="118"/>
      <c r="GY99" s="118"/>
      <c r="GZ99" s="118"/>
      <c r="HA99" s="118"/>
      <c r="HB99" s="118"/>
      <c r="HC99" s="118"/>
      <c r="HD99" s="118"/>
      <c r="HE99" s="118"/>
      <c r="HF99" s="118"/>
      <c r="HG99" s="118"/>
      <c r="HH99" s="118"/>
      <c r="HI99" s="118"/>
      <c r="HJ99" s="118"/>
      <c r="HK99" s="118"/>
      <c r="HL99" s="118"/>
      <c r="HM99" s="118"/>
      <c r="HN99" s="118"/>
      <c r="HO99" s="118"/>
      <c r="HP99" s="118"/>
      <c r="HQ99" s="118"/>
      <c r="HR99" s="118"/>
      <c r="HS99" s="118"/>
      <c r="HT99" s="118"/>
      <c r="HU99" s="118"/>
      <c r="HV99" s="118"/>
      <c r="HW99" s="118"/>
      <c r="HX99" s="118"/>
      <c r="HY99" s="118"/>
      <c r="HZ99" s="118"/>
      <c r="IA99" s="118"/>
      <c r="IB99" s="118"/>
      <c r="IC99" s="118"/>
      <c r="ID99" s="118"/>
      <c r="IE99" s="118"/>
      <c r="IF99" s="118"/>
      <c r="IG99" s="118"/>
      <c r="IH99" s="118"/>
      <c r="II99" s="118"/>
      <c r="IJ99" s="118"/>
      <c r="IK99" s="118"/>
      <c r="IL99" s="118"/>
      <c r="IM99" s="118"/>
      <c r="IN99" s="118"/>
      <c r="IO99" s="118"/>
      <c r="IP99" s="118"/>
      <c r="IQ99" s="118"/>
      <c r="IR99" s="118"/>
      <c r="IS99" s="118"/>
      <c r="IT99" s="118"/>
      <c r="IU99" s="118"/>
      <c r="IV99" s="118"/>
      <c r="IW99" s="118"/>
    </row>
    <row r="100" customFormat="false" ht="12.75" hidden="false" customHeight="false" outlineLevel="0" collapsed="false">
      <c r="A100" s="161"/>
      <c r="B100" s="161" t="s">
        <v>128</v>
      </c>
      <c r="C100" s="0"/>
      <c r="D100" s="0"/>
      <c r="E100" s="0"/>
      <c r="F100" s="0"/>
      <c r="G100" s="0"/>
      <c r="H100" s="0"/>
      <c r="I100" s="0"/>
      <c r="J100" s="4"/>
      <c r="K100" s="0"/>
      <c r="L100" s="34" t="s">
        <v>151</v>
      </c>
      <c r="M100" s="110"/>
      <c r="N100" s="110" t="n">
        <v>0</v>
      </c>
      <c r="O100" s="110"/>
      <c r="P100" s="110" t="n">
        <v>0</v>
      </c>
      <c r="Q100" s="110"/>
      <c r="R100" s="110" t="n">
        <f aca="false">+N100+P100</f>
        <v>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L100" s="110" t="n">
        <v>0</v>
      </c>
      <c r="AN100" s="110" t="n">
        <v>0</v>
      </c>
      <c r="AP100" s="110" t="n">
        <v>0</v>
      </c>
      <c r="AR100" s="110" t="n">
        <v>0</v>
      </c>
      <c r="AT100" s="110" t="n">
        <v>0</v>
      </c>
      <c r="AV100" s="110" t="n">
        <v>0</v>
      </c>
      <c r="AX100" s="110" t="n">
        <v>0</v>
      </c>
      <c r="AZ100" s="110" t="n">
        <v>0</v>
      </c>
      <c r="BB100" s="110" t="n">
        <v>0</v>
      </c>
      <c r="BD100" s="110" t="n">
        <v>0</v>
      </c>
      <c r="BF100" s="110" t="n">
        <v>0</v>
      </c>
      <c r="BH100" s="110" t="n">
        <v>0</v>
      </c>
      <c r="BJ100" s="110" t="n">
        <v>0</v>
      </c>
      <c r="BL100" s="110" t="n">
        <v>0</v>
      </c>
      <c r="BM100" s="110"/>
      <c r="BN100" s="110" t="n">
        <v>0</v>
      </c>
      <c r="BO100" s="110"/>
      <c r="BP100" s="110" t="n">
        <f aca="false">SUM(T100:BO100)</f>
        <v>0</v>
      </c>
      <c r="BQ100" s="110"/>
      <c r="BR100" s="110" t="n">
        <v>0</v>
      </c>
      <c r="BS100" s="110"/>
      <c r="BT100" s="110" t="n">
        <f aca="false">IF(+R100-BP100+BR100&gt;0,R100-BP100+BR100,0)</f>
        <v>0</v>
      </c>
      <c r="BV100" s="110" t="n">
        <f aca="false">+BP100+BT100</f>
        <v>0</v>
      </c>
      <c r="BX100" s="110" t="n">
        <f aca="false">+R100-BV100</f>
        <v>0</v>
      </c>
      <c r="BY100" s="110"/>
    </row>
    <row r="101" customFormat="false" ht="12.75" hidden="false" customHeight="false" outlineLevel="0" collapsed="false">
      <c r="A101" s="161"/>
      <c r="B101" s="161"/>
      <c r="C101" s="0"/>
      <c r="D101" s="0"/>
      <c r="E101" s="0"/>
      <c r="F101" s="0"/>
      <c r="G101" s="0"/>
      <c r="H101" s="0"/>
      <c r="I101" s="0"/>
      <c r="J101" s="4"/>
      <c r="K101" s="0"/>
      <c r="L101" s="34"/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BJ101" s="110"/>
      <c r="BL101" s="110"/>
      <c r="BM101" s="110"/>
      <c r="BN101" s="110"/>
      <c r="BO101" s="110"/>
      <c r="BQ101" s="110"/>
      <c r="BR101" s="110"/>
      <c r="BS101" s="110"/>
      <c r="BT101" s="110" t="n">
        <f aca="false">IF(+R101-BP101+BR101&gt;0,R101-BP101+BR101,0)</f>
        <v>0</v>
      </c>
      <c r="BX101" s="110" t="n">
        <f aca="false">+R101-BV101</f>
        <v>0</v>
      </c>
      <c r="BY101" s="110"/>
    </row>
    <row r="102" customFormat="false" ht="12.75" hidden="false" customHeight="false" outlineLevel="0" collapsed="false">
      <c r="A102" s="167"/>
      <c r="B102" s="168" t="s">
        <v>235</v>
      </c>
      <c r="C102" s="169"/>
      <c r="D102" s="169"/>
      <c r="E102" s="169"/>
      <c r="F102" s="169"/>
      <c r="G102" s="169"/>
      <c r="H102" s="169"/>
      <c r="I102" s="169"/>
      <c r="J102" s="170"/>
      <c r="K102" s="169"/>
      <c r="L102" s="171"/>
      <c r="M102" s="172"/>
      <c r="N102" s="193" t="n">
        <f aca="false">SUM(N95:N101)</f>
        <v>0</v>
      </c>
      <c r="O102" s="172"/>
      <c r="P102" s="193" t="n">
        <f aca="false">SUM(P95:P101)</f>
        <v>0</v>
      </c>
      <c r="Q102" s="172"/>
      <c r="R102" s="193" t="n">
        <f aca="false">SUM(R95:R101)</f>
        <v>3316500</v>
      </c>
      <c r="S102" s="172"/>
      <c r="T102" s="193" t="n">
        <f aca="false">SUM(T95:T101)</f>
        <v>0</v>
      </c>
      <c r="U102" s="172"/>
      <c r="V102" s="193" t="n">
        <f aca="false">SUM(V95:V101)</f>
        <v>0</v>
      </c>
      <c r="W102" s="172"/>
      <c r="X102" s="193" t="n">
        <f aca="false">SUM(X95:X101)</f>
        <v>0</v>
      </c>
      <c r="Y102" s="172"/>
      <c r="Z102" s="193" t="n">
        <f aca="false">SUM(Z95:Z101)</f>
        <v>0</v>
      </c>
      <c r="AA102" s="172"/>
      <c r="AB102" s="193" t="n">
        <f aca="false">SUM(AB95:AB101)</f>
        <v>0</v>
      </c>
      <c r="AC102" s="172"/>
      <c r="AD102" s="193" t="n">
        <f aca="false">SUM(AD95:AD101)</f>
        <v>0</v>
      </c>
      <c r="AE102" s="172"/>
      <c r="AF102" s="193" t="n">
        <f aca="false">SUM(AF95:AF101)</f>
        <v>0</v>
      </c>
      <c r="AG102" s="172"/>
      <c r="AH102" s="193" t="n">
        <f aca="false">SUM(AH95:AH101)</f>
        <v>276375</v>
      </c>
      <c r="AI102" s="172"/>
      <c r="AJ102" s="193" t="n">
        <f aca="false">SUM(AJ95:AJ101)</f>
        <v>276375</v>
      </c>
      <c r="AK102" s="172"/>
      <c r="AL102" s="193" t="n">
        <f aca="false">SUM(AL95:AL101)</f>
        <v>276372</v>
      </c>
      <c r="AM102" s="172"/>
      <c r="AN102" s="193" t="n">
        <f aca="false">SUM(AN95:AN101)</f>
        <v>276372</v>
      </c>
      <c r="AO102" s="172"/>
      <c r="AP102" s="193" t="n">
        <f aca="false">SUM(AP95:AP101)</f>
        <v>276372.01</v>
      </c>
      <c r="AQ102" s="172"/>
      <c r="AR102" s="193" t="n">
        <f aca="false">SUM(AR95:AR101)</f>
        <v>276382.33</v>
      </c>
      <c r="AS102" s="172"/>
      <c r="AT102" s="193" t="n">
        <f aca="false">SUM(AT95:AT101)</f>
        <v>276372.33</v>
      </c>
      <c r="AU102" s="172"/>
      <c r="AV102" s="193" t="n">
        <f aca="false">SUM(AV95:AV101)</f>
        <v>276372.33</v>
      </c>
      <c r="AW102" s="172"/>
      <c r="AX102" s="193" t="n">
        <f aca="false">SUM(AX95:AX101)</f>
        <v>276372.34</v>
      </c>
      <c r="AY102" s="172"/>
      <c r="AZ102" s="193" t="n">
        <f aca="false">SUM(AZ95:AZ101)</f>
        <v>276372</v>
      </c>
      <c r="BA102" s="172"/>
      <c r="BB102" s="193" t="n">
        <f aca="false">SUM(BB95:BB101)</f>
        <v>276372.34</v>
      </c>
      <c r="BC102" s="172"/>
      <c r="BD102" s="193" t="n">
        <f aca="false">SUM(BD95:BD101)</f>
        <v>276372.33</v>
      </c>
      <c r="BE102" s="172"/>
      <c r="BF102" s="193" t="n">
        <f aca="false">SUM(BF95:BF101)</f>
        <v>0</v>
      </c>
      <c r="BG102" s="172"/>
      <c r="BH102" s="193" t="n">
        <f aca="false">SUM(BH95:BH101)</f>
        <v>0</v>
      </c>
      <c r="BI102" s="172"/>
      <c r="BJ102" s="193" t="n">
        <f aca="false">SUM(BJ95:BJ101)</f>
        <v>6741</v>
      </c>
      <c r="BK102" s="172"/>
      <c r="BL102" s="193" t="n">
        <f aca="false">SUM(BL95:BL101)</f>
        <v>0</v>
      </c>
      <c r="BM102" s="193"/>
      <c r="BN102" s="193" t="n">
        <f aca="false">SUM(BN95:BN101)</f>
        <v>0</v>
      </c>
      <c r="BO102" s="193"/>
      <c r="BP102" s="193" t="n">
        <f aca="false">SUM(BP95:BP101)</f>
        <v>3323223.01</v>
      </c>
      <c r="BQ102" s="172"/>
      <c r="BR102" s="193" t="n">
        <f aca="false">SUM(BR95:BR101)</f>
        <v>0</v>
      </c>
      <c r="BS102" s="172"/>
      <c r="BT102" s="193" t="n">
        <f aca="false">SUM(BT95:BT101)</f>
        <v>17.6533333333209</v>
      </c>
      <c r="BU102" s="172"/>
      <c r="BV102" s="193" t="n">
        <f aca="false">SUM(BV95:BV101)</f>
        <v>3323240.66333333</v>
      </c>
      <c r="BW102" s="172"/>
      <c r="BX102" s="193" t="n">
        <f aca="false">SUM(BX95:BX101)</f>
        <v>-6740.66333333333</v>
      </c>
      <c r="BY102" s="172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  <c r="CY102" s="169"/>
      <c r="CZ102" s="169"/>
      <c r="DA102" s="169"/>
      <c r="DB102" s="169"/>
      <c r="DC102" s="169"/>
      <c r="DD102" s="169"/>
      <c r="DE102" s="169"/>
      <c r="DF102" s="169"/>
      <c r="DG102" s="169"/>
      <c r="DH102" s="169"/>
      <c r="DI102" s="169"/>
      <c r="DJ102" s="169"/>
      <c r="DK102" s="169"/>
      <c r="DL102" s="169"/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/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69"/>
      <c r="EG102" s="169"/>
      <c r="EH102" s="169"/>
      <c r="EI102" s="169"/>
      <c r="EJ102" s="169"/>
      <c r="EK102" s="169"/>
      <c r="EL102" s="169"/>
      <c r="EM102" s="169"/>
      <c r="EN102" s="169"/>
      <c r="EO102" s="169"/>
      <c r="EP102" s="169"/>
      <c r="EQ102" s="169"/>
      <c r="ER102" s="169"/>
      <c r="ES102" s="169"/>
      <c r="ET102" s="169"/>
      <c r="EU102" s="169"/>
      <c r="EV102" s="169"/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/>
      <c r="FG102" s="169"/>
      <c r="FH102" s="169"/>
      <c r="FI102" s="169"/>
      <c r="FJ102" s="169"/>
      <c r="FK102" s="169"/>
      <c r="FL102" s="169"/>
      <c r="FM102" s="169"/>
      <c r="FN102" s="169"/>
      <c r="FO102" s="169"/>
      <c r="FP102" s="169"/>
      <c r="FQ102" s="169"/>
      <c r="FR102" s="169"/>
      <c r="FS102" s="169"/>
      <c r="FT102" s="169"/>
      <c r="FU102" s="169"/>
      <c r="FV102" s="169"/>
      <c r="FW102" s="169"/>
      <c r="FX102" s="169"/>
      <c r="FY102" s="169"/>
      <c r="FZ102" s="169"/>
      <c r="GA102" s="169"/>
      <c r="GB102" s="169"/>
      <c r="GC102" s="169"/>
      <c r="GD102" s="169"/>
      <c r="GE102" s="169"/>
      <c r="GF102" s="169"/>
      <c r="GG102" s="169"/>
      <c r="GH102" s="169"/>
      <c r="GI102" s="169"/>
      <c r="GJ102" s="169"/>
      <c r="GK102" s="169"/>
      <c r="GL102" s="169"/>
      <c r="GM102" s="169"/>
      <c r="GN102" s="169"/>
      <c r="GO102" s="169"/>
      <c r="GP102" s="169"/>
      <c r="GQ102" s="169"/>
      <c r="GR102" s="169"/>
      <c r="GS102" s="169"/>
      <c r="GT102" s="169"/>
      <c r="GU102" s="169"/>
      <c r="GV102" s="169"/>
      <c r="GW102" s="169"/>
      <c r="GX102" s="169"/>
      <c r="GY102" s="169"/>
      <c r="GZ102" s="169"/>
      <c r="HA102" s="169"/>
      <c r="HB102" s="169"/>
      <c r="HC102" s="169"/>
      <c r="HD102" s="169"/>
      <c r="HE102" s="169"/>
      <c r="HF102" s="169"/>
      <c r="HG102" s="169"/>
      <c r="HH102" s="169"/>
      <c r="HI102" s="169"/>
      <c r="HJ102" s="169"/>
      <c r="HK102" s="169"/>
      <c r="HL102" s="169"/>
      <c r="HM102" s="169"/>
      <c r="HN102" s="169"/>
      <c r="HO102" s="169"/>
      <c r="HP102" s="169"/>
      <c r="HQ102" s="169"/>
      <c r="HR102" s="169"/>
      <c r="HS102" s="169"/>
      <c r="HT102" s="169"/>
      <c r="HU102" s="169"/>
      <c r="HV102" s="169"/>
      <c r="HW102" s="169"/>
      <c r="HX102" s="169"/>
      <c r="HY102" s="169"/>
      <c r="HZ102" s="169"/>
      <c r="IA102" s="169"/>
      <c r="IB102" s="169"/>
      <c r="IC102" s="169"/>
      <c r="ID102" s="169"/>
      <c r="IE102" s="169"/>
      <c r="IF102" s="169"/>
      <c r="IG102" s="169"/>
      <c r="IH102" s="169"/>
      <c r="II102" s="169"/>
      <c r="IJ102" s="169"/>
      <c r="IK102" s="169"/>
      <c r="IL102" s="169"/>
      <c r="IM102" s="169"/>
      <c r="IN102" s="169"/>
      <c r="IO102" s="169"/>
      <c r="IP102" s="169"/>
      <c r="IQ102" s="169"/>
      <c r="IR102" s="169"/>
      <c r="IS102" s="169"/>
      <c r="IT102" s="169"/>
      <c r="IU102" s="169"/>
      <c r="IV102" s="169"/>
      <c r="IW102" s="169"/>
    </row>
    <row r="103" customFormat="false" ht="12.75" hidden="false" customHeight="false" outlineLevel="0" collapsed="false">
      <c r="A103" s="18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177" t="s">
        <v>236</v>
      </c>
      <c r="B104" s="161"/>
      <c r="C104" s="0"/>
      <c r="D104" s="0"/>
      <c r="E104" s="0"/>
      <c r="F104" s="0"/>
      <c r="G104" s="0"/>
      <c r="H104" s="0"/>
      <c r="I104" s="0"/>
      <c r="J104" s="4"/>
      <c r="K104" s="0"/>
      <c r="L104" s="34" t="s">
        <v>151</v>
      </c>
      <c r="M104" s="110"/>
      <c r="O104" s="110"/>
      <c r="Q104" s="110"/>
      <c r="S104" s="110"/>
      <c r="T104" s="110"/>
      <c r="U104" s="110"/>
      <c r="V104" s="110"/>
      <c r="X104" s="110"/>
      <c r="Z104" s="110"/>
      <c r="AB104" s="110"/>
      <c r="AD104" s="110"/>
      <c r="BJ104" s="110"/>
      <c r="BL104" s="110"/>
      <c r="BM104" s="110"/>
      <c r="BN104" s="110"/>
      <c r="BO104" s="110"/>
      <c r="BQ104" s="110"/>
      <c r="BR104" s="110"/>
      <c r="BS104" s="110"/>
      <c r="BY104" s="110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false" customHeight="false" outlineLevel="0" collapsed="false">
      <c r="A105" s="177"/>
      <c r="B105" s="161" t="s">
        <v>128</v>
      </c>
      <c r="C105" s="0"/>
      <c r="D105" s="0"/>
      <c r="E105" s="0"/>
      <c r="F105" s="0"/>
      <c r="G105" s="0"/>
      <c r="H105" s="0"/>
      <c r="I105" s="0"/>
      <c r="J105" s="4" t="s">
        <v>141</v>
      </c>
      <c r="K105" s="0"/>
      <c r="L105" s="34" t="s">
        <v>151</v>
      </c>
      <c r="M105" s="110"/>
      <c r="N105" s="110" t="n">
        <v>0</v>
      </c>
      <c r="O105" s="110"/>
      <c r="P105" s="110" t="n">
        <v>0</v>
      </c>
      <c r="Q105" s="110"/>
      <c r="R105" s="110" t="n"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J105" s="110" t="n">
        <v>0</v>
      </c>
      <c r="AL105" s="110" t="n">
        <v>0</v>
      </c>
      <c r="AN105" s="110" t="n">
        <v>0</v>
      </c>
      <c r="AP105" s="110" t="n">
        <v>0</v>
      </c>
      <c r="AR105" s="110" t="n">
        <v>0</v>
      </c>
      <c r="AT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L105" s="110" t="n">
        <v>0</v>
      </c>
      <c r="BM105" s="110"/>
      <c r="BN105" s="110" t="n">
        <v>0</v>
      </c>
      <c r="BO105" s="110"/>
      <c r="BP105" s="110" t="n">
        <f aca="false">SUM(T105:BO105)</f>
        <v>0</v>
      </c>
      <c r="BQ105" s="110"/>
      <c r="BR105" s="110" t="n">
        <v>0</v>
      </c>
      <c r="BS105" s="110"/>
      <c r="BT105" s="110" t="n">
        <f aca="false">IF(+R105-BP105+BR105&gt;0,R105-BP105+BR105,0)</f>
        <v>0</v>
      </c>
      <c r="BV105" s="110" t="n">
        <f aca="false">+BP105+BT105</f>
        <v>0</v>
      </c>
      <c r="BX105" s="110" t="n">
        <f aca="false">+R105-BV105</f>
        <v>0</v>
      </c>
      <c r="BY105" s="110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  <c r="DB105" s="194"/>
      <c r="DC105" s="194"/>
      <c r="DD105" s="194"/>
      <c r="DE105" s="194"/>
      <c r="DF105" s="194"/>
      <c r="DG105" s="194"/>
      <c r="DH105" s="194"/>
      <c r="DI105" s="194"/>
      <c r="DJ105" s="194"/>
      <c r="DK105" s="194"/>
      <c r="DL105" s="194"/>
      <c r="DM105" s="194"/>
      <c r="DN105" s="194"/>
      <c r="DO105" s="194"/>
      <c r="DP105" s="194"/>
      <c r="DQ105" s="194"/>
      <c r="DR105" s="194"/>
      <c r="DS105" s="194"/>
      <c r="DT105" s="194"/>
      <c r="DU105" s="194"/>
      <c r="DV105" s="194"/>
      <c r="DW105" s="194"/>
      <c r="DX105" s="194"/>
      <c r="DY105" s="194"/>
      <c r="DZ105" s="194"/>
      <c r="EA105" s="194"/>
      <c r="EB105" s="194"/>
      <c r="EC105" s="194"/>
      <c r="ED105" s="194"/>
      <c r="EE105" s="194"/>
      <c r="EF105" s="194"/>
      <c r="EG105" s="194"/>
      <c r="EH105" s="194"/>
      <c r="EI105" s="194"/>
      <c r="EJ105" s="194"/>
      <c r="EK105" s="194"/>
      <c r="EL105" s="194"/>
      <c r="EM105" s="194"/>
      <c r="EN105" s="194"/>
      <c r="EO105" s="194"/>
      <c r="EP105" s="194"/>
      <c r="EQ105" s="194"/>
      <c r="ER105" s="194"/>
      <c r="ES105" s="194"/>
      <c r="ET105" s="194"/>
      <c r="EU105" s="194"/>
      <c r="EV105" s="194"/>
      <c r="EW105" s="194"/>
      <c r="EX105" s="194"/>
      <c r="EY105" s="194"/>
      <c r="EZ105" s="194"/>
      <c r="FA105" s="194"/>
      <c r="FB105" s="194"/>
      <c r="FC105" s="194"/>
      <c r="FD105" s="194"/>
      <c r="FE105" s="194"/>
      <c r="FF105" s="194"/>
      <c r="FG105" s="194"/>
      <c r="FH105" s="194"/>
      <c r="FI105" s="194"/>
      <c r="FJ105" s="194"/>
      <c r="FK105" s="194"/>
      <c r="FL105" s="194"/>
      <c r="FM105" s="194"/>
      <c r="FN105" s="194"/>
      <c r="FO105" s="194"/>
      <c r="FP105" s="194"/>
      <c r="FQ105" s="194"/>
      <c r="FR105" s="194"/>
      <c r="FS105" s="194"/>
      <c r="FT105" s="194"/>
      <c r="FU105" s="194"/>
      <c r="FV105" s="194"/>
      <c r="FW105" s="194"/>
      <c r="FX105" s="194"/>
      <c r="FY105" s="194"/>
      <c r="FZ105" s="194"/>
      <c r="GA105" s="194"/>
      <c r="GB105" s="194"/>
      <c r="GC105" s="194"/>
      <c r="GD105" s="194"/>
      <c r="GE105" s="194"/>
      <c r="GF105" s="194"/>
      <c r="GG105" s="194"/>
      <c r="GH105" s="194"/>
      <c r="GI105" s="194"/>
      <c r="GJ105" s="194"/>
      <c r="GK105" s="194"/>
      <c r="GL105" s="194"/>
      <c r="GM105" s="194"/>
      <c r="GN105" s="194"/>
      <c r="GO105" s="194"/>
      <c r="GP105" s="194"/>
      <c r="GQ105" s="194"/>
      <c r="GR105" s="194"/>
      <c r="GS105" s="194"/>
      <c r="GT105" s="194"/>
      <c r="GU105" s="194"/>
      <c r="GV105" s="194"/>
      <c r="GW105" s="194"/>
      <c r="GX105" s="194"/>
      <c r="GY105" s="194"/>
      <c r="GZ105" s="194"/>
      <c r="HA105" s="194"/>
      <c r="HB105" s="194"/>
      <c r="HC105" s="194"/>
      <c r="HD105" s="194"/>
      <c r="HE105" s="194"/>
      <c r="HF105" s="194"/>
      <c r="HG105" s="194"/>
      <c r="HH105" s="194"/>
      <c r="HI105" s="194"/>
      <c r="HJ105" s="194"/>
      <c r="HK105" s="194"/>
      <c r="HL105" s="194"/>
      <c r="HM105" s="194"/>
      <c r="HN105" s="194"/>
      <c r="HO105" s="194"/>
      <c r="HP105" s="194"/>
      <c r="HQ105" s="194"/>
      <c r="HR105" s="194"/>
      <c r="HS105" s="194"/>
      <c r="HT105" s="194"/>
      <c r="HU105" s="194"/>
      <c r="HV105" s="194"/>
      <c r="HW105" s="194"/>
      <c r="HX105" s="194"/>
      <c r="HY105" s="194"/>
      <c r="HZ105" s="194"/>
      <c r="IA105" s="194"/>
      <c r="IB105" s="194"/>
      <c r="IC105" s="194"/>
      <c r="ID105" s="194"/>
      <c r="IE105" s="194"/>
      <c r="IF105" s="194"/>
      <c r="IG105" s="194"/>
      <c r="IH105" s="194"/>
      <c r="II105" s="194"/>
      <c r="IJ105" s="194"/>
      <c r="IK105" s="194"/>
      <c r="IL105" s="194"/>
      <c r="IM105" s="194"/>
      <c r="IN105" s="194"/>
      <c r="IO105" s="194"/>
      <c r="IP105" s="194"/>
      <c r="IQ105" s="194"/>
      <c r="IR105" s="194"/>
      <c r="IS105" s="194"/>
      <c r="IT105" s="194"/>
      <c r="IU105" s="194"/>
      <c r="IV105" s="194"/>
      <c r="IW105" s="194"/>
    </row>
    <row r="106" customFormat="false" ht="12.75" hidden="false" customHeight="false" outlineLevel="0" collapsed="false">
      <c r="A106" s="164"/>
      <c r="B106" s="161"/>
      <c r="C106" s="0"/>
      <c r="D106" s="0"/>
      <c r="E106" s="0"/>
      <c r="F106" s="0"/>
      <c r="G106" s="0"/>
      <c r="H106" s="0"/>
      <c r="I106" s="0"/>
      <c r="J106" s="4"/>
      <c r="K106" s="0"/>
      <c r="L106" s="34"/>
      <c r="M106" s="110"/>
      <c r="O106" s="110"/>
      <c r="Q106" s="110"/>
      <c r="S106" s="110"/>
      <c r="T106" s="110"/>
      <c r="U106" s="110"/>
      <c r="V106" s="110"/>
      <c r="X106" s="110"/>
      <c r="Z106" s="110"/>
      <c r="AB106" s="110"/>
      <c r="AD106" s="110"/>
      <c r="BJ106" s="110"/>
      <c r="BL106" s="110"/>
      <c r="BM106" s="110"/>
      <c r="BN106" s="110"/>
      <c r="BO106" s="110"/>
      <c r="BQ106" s="110"/>
      <c r="BR106" s="110"/>
      <c r="BS106" s="110"/>
      <c r="BX106" s="110" t="n">
        <f aca="false">+R106-BV106</f>
        <v>0</v>
      </c>
      <c r="BY106" s="110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false" customHeight="false" outlineLevel="0" collapsed="false">
      <c r="A107" s="197"/>
      <c r="B107" s="177" t="s">
        <v>242</v>
      </c>
      <c r="C107" s="2"/>
      <c r="D107" s="2"/>
      <c r="E107" s="2"/>
      <c r="F107" s="2"/>
      <c r="G107" s="2"/>
      <c r="H107" s="2"/>
      <c r="I107" s="2"/>
      <c r="J107" s="3"/>
      <c r="K107" s="2"/>
      <c r="L107" s="179"/>
      <c r="M107" s="24"/>
      <c r="N107" s="198" t="n">
        <f aca="false">SUM(N105:N106)</f>
        <v>0</v>
      </c>
      <c r="O107" s="24"/>
      <c r="P107" s="198" t="n">
        <f aca="false">SUM(P105:P106)</f>
        <v>0</v>
      </c>
      <c r="Q107" s="24"/>
      <c r="R107" s="198" t="n">
        <f aca="false">SUM(R105:R106)</f>
        <v>0</v>
      </c>
      <c r="S107" s="24"/>
      <c r="T107" s="198" t="n">
        <f aca="false">SUM(T105:T106)</f>
        <v>0</v>
      </c>
      <c r="U107" s="24"/>
      <c r="V107" s="198" t="n">
        <f aca="false">SUM(V105:V106)</f>
        <v>0</v>
      </c>
      <c r="W107" s="24"/>
      <c r="X107" s="198" t="n">
        <f aca="false">SUM(X105:X106)</f>
        <v>0</v>
      </c>
      <c r="Y107" s="24"/>
      <c r="Z107" s="198" t="n">
        <f aca="false">SUM(Z105:Z106)</f>
        <v>0</v>
      </c>
      <c r="AA107" s="24"/>
      <c r="AB107" s="198" t="n">
        <f aca="false">SUM(AB105:AB106)</f>
        <v>0</v>
      </c>
      <c r="AC107" s="24"/>
      <c r="AD107" s="198" t="n">
        <f aca="false">SUM(AD105:AD106)</f>
        <v>0</v>
      </c>
      <c r="AE107" s="24"/>
      <c r="AF107" s="198" t="n">
        <f aca="false">SUM(AF105:AF106)</f>
        <v>0</v>
      </c>
      <c r="AG107" s="24"/>
      <c r="AH107" s="198" t="n">
        <f aca="false">SUM(AH105:AH106)</f>
        <v>0</v>
      </c>
      <c r="AI107" s="24"/>
      <c r="AJ107" s="198" t="n">
        <f aca="false">SUM(AJ105:AJ106)</f>
        <v>0</v>
      </c>
      <c r="AK107" s="24"/>
      <c r="AL107" s="198" t="n">
        <f aca="false">SUM(AL105:AL106)</f>
        <v>0</v>
      </c>
      <c r="AM107" s="24"/>
      <c r="AN107" s="198" t="n">
        <f aca="false">SUM(AN105:AN106)</f>
        <v>0</v>
      </c>
      <c r="AO107" s="24"/>
      <c r="AP107" s="198" t="n">
        <f aca="false">SUM(AP105:AP106)</f>
        <v>0</v>
      </c>
      <c r="AQ107" s="24"/>
      <c r="AR107" s="198" t="n">
        <f aca="false">SUM(AR105:AR106)</f>
        <v>0</v>
      </c>
      <c r="AS107" s="24"/>
      <c r="AT107" s="198" t="n">
        <f aca="false">SUM(AT105:AT106)</f>
        <v>0</v>
      </c>
      <c r="AU107" s="24"/>
      <c r="AV107" s="198" t="n">
        <f aca="false">SUM(AV105:AV106)</f>
        <v>0</v>
      </c>
      <c r="AW107" s="24"/>
      <c r="AX107" s="198" t="n">
        <f aca="false">SUM(AX105:AX106)</f>
        <v>0</v>
      </c>
      <c r="AY107" s="24"/>
      <c r="AZ107" s="198" t="n">
        <f aca="false">SUM(AZ105:AZ106)</f>
        <v>0</v>
      </c>
      <c r="BA107" s="24"/>
      <c r="BB107" s="198" t="n">
        <f aca="false">SUM(BB105:BB106)</f>
        <v>0</v>
      </c>
      <c r="BC107" s="24"/>
      <c r="BD107" s="198" t="n">
        <f aca="false">SUM(BD105:BD106)</f>
        <v>0</v>
      </c>
      <c r="BE107" s="24"/>
      <c r="BF107" s="198" t="n">
        <f aca="false">SUM(BF105:BF106)</f>
        <v>0</v>
      </c>
      <c r="BG107" s="24"/>
      <c r="BH107" s="198" t="n">
        <f aca="false">SUM(BH105:BH106)</f>
        <v>0</v>
      </c>
      <c r="BI107" s="24"/>
      <c r="BJ107" s="198" t="n">
        <f aca="false">SUM(BJ105:BJ106)</f>
        <v>0</v>
      </c>
      <c r="BK107" s="24"/>
      <c r="BL107" s="198" t="n">
        <f aca="false">SUM(BL105:BL106)</f>
        <v>0</v>
      </c>
      <c r="BM107" s="198"/>
      <c r="BN107" s="198" t="n">
        <f aca="false">SUM(BN105:BN106)</f>
        <v>0</v>
      </c>
      <c r="BO107" s="198"/>
      <c r="BP107" s="198" t="n">
        <f aca="false">SUM(BP105:BP106)</f>
        <v>0</v>
      </c>
      <c r="BQ107" s="24"/>
      <c r="BR107" s="198" t="n">
        <f aca="false">SUM(BR105:BR106)</f>
        <v>0</v>
      </c>
      <c r="BS107" s="24"/>
      <c r="BT107" s="198" t="n">
        <f aca="false">SUM(BT105:BT106)</f>
        <v>0</v>
      </c>
      <c r="BU107" s="24"/>
      <c r="BV107" s="198" t="n">
        <f aca="false">SUM(BV105:BV106)</f>
        <v>0</v>
      </c>
      <c r="BW107" s="24"/>
      <c r="BX107" s="198" t="n">
        <f aca="false">SUM(BX105:BX106)</f>
        <v>0</v>
      </c>
      <c r="BY107" s="24"/>
      <c r="BZ107" s="199"/>
      <c r="CA107" s="199"/>
      <c r="CB107" s="199"/>
      <c r="CC107" s="199"/>
      <c r="CD107" s="199"/>
      <c r="CE107" s="199"/>
      <c r="CF107" s="199"/>
      <c r="CG107" s="199"/>
      <c r="CH107" s="199"/>
      <c r="CI107" s="199"/>
      <c r="CJ107" s="199"/>
      <c r="CK107" s="199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199"/>
      <c r="CZ107" s="199"/>
      <c r="DA107" s="199"/>
      <c r="DB107" s="199"/>
      <c r="DC107" s="199"/>
      <c r="DD107" s="199"/>
      <c r="DE107" s="199"/>
      <c r="DF107" s="199"/>
      <c r="DG107" s="199"/>
      <c r="DH107" s="199"/>
      <c r="DI107" s="199"/>
      <c r="DJ107" s="199"/>
      <c r="DK107" s="199"/>
      <c r="DL107" s="199"/>
      <c r="DM107" s="199"/>
      <c r="DN107" s="199"/>
      <c r="DO107" s="199"/>
      <c r="DP107" s="199"/>
      <c r="DQ107" s="199"/>
      <c r="DR107" s="199"/>
      <c r="DS107" s="199"/>
      <c r="DT107" s="199"/>
      <c r="DU107" s="199"/>
      <c r="DV107" s="199"/>
      <c r="DW107" s="199"/>
      <c r="DX107" s="199"/>
      <c r="DY107" s="199"/>
      <c r="DZ107" s="199"/>
      <c r="EA107" s="199"/>
      <c r="EB107" s="199"/>
      <c r="EC107" s="199"/>
      <c r="ED107" s="199"/>
      <c r="EE107" s="199"/>
      <c r="EF107" s="199"/>
      <c r="EG107" s="199"/>
      <c r="EH107" s="199"/>
      <c r="EI107" s="199"/>
      <c r="EJ107" s="199"/>
      <c r="EK107" s="199"/>
      <c r="EL107" s="199"/>
      <c r="EM107" s="199"/>
      <c r="EN107" s="199"/>
      <c r="EO107" s="199"/>
      <c r="EP107" s="199"/>
      <c r="EQ107" s="199"/>
      <c r="ER107" s="199"/>
      <c r="ES107" s="199"/>
      <c r="ET107" s="199"/>
      <c r="EU107" s="199"/>
      <c r="EV107" s="199"/>
      <c r="EW107" s="199"/>
      <c r="EX107" s="199"/>
      <c r="EY107" s="199"/>
      <c r="EZ107" s="199"/>
      <c r="FA107" s="199"/>
      <c r="FB107" s="199"/>
      <c r="FC107" s="199"/>
      <c r="FD107" s="199"/>
      <c r="FE107" s="199"/>
      <c r="FF107" s="199"/>
      <c r="FG107" s="199"/>
      <c r="FH107" s="199"/>
      <c r="FI107" s="199"/>
      <c r="FJ107" s="199"/>
      <c r="FK107" s="199"/>
      <c r="FL107" s="199"/>
      <c r="FM107" s="199"/>
      <c r="FN107" s="199"/>
      <c r="FO107" s="199"/>
      <c r="FP107" s="199"/>
      <c r="FQ107" s="199"/>
      <c r="FR107" s="199"/>
      <c r="FS107" s="199"/>
      <c r="FT107" s="199"/>
      <c r="FU107" s="199"/>
      <c r="FV107" s="199"/>
      <c r="FW107" s="199"/>
      <c r="FX107" s="199"/>
      <c r="FY107" s="199"/>
      <c r="FZ107" s="199"/>
      <c r="GA107" s="199"/>
      <c r="GB107" s="199"/>
      <c r="GC107" s="199"/>
      <c r="GD107" s="199"/>
      <c r="GE107" s="199"/>
      <c r="GF107" s="199"/>
      <c r="GG107" s="199"/>
      <c r="GH107" s="199"/>
      <c r="GI107" s="199"/>
      <c r="GJ107" s="199"/>
      <c r="GK107" s="199"/>
      <c r="GL107" s="199"/>
      <c r="GM107" s="199"/>
      <c r="GN107" s="199"/>
      <c r="GO107" s="199"/>
      <c r="GP107" s="199"/>
      <c r="GQ107" s="199"/>
      <c r="GR107" s="199"/>
      <c r="GS107" s="199"/>
      <c r="GT107" s="199"/>
      <c r="GU107" s="199"/>
      <c r="GV107" s="199"/>
      <c r="GW107" s="199"/>
      <c r="GX107" s="199"/>
      <c r="GY107" s="199"/>
      <c r="GZ107" s="199"/>
      <c r="HA107" s="199"/>
      <c r="HB107" s="199"/>
      <c r="HC107" s="199"/>
      <c r="HD107" s="199"/>
      <c r="HE107" s="199"/>
      <c r="HF107" s="199"/>
      <c r="HG107" s="199"/>
      <c r="HH107" s="199"/>
      <c r="HI107" s="199"/>
      <c r="HJ107" s="199"/>
      <c r="HK107" s="199"/>
      <c r="HL107" s="199"/>
      <c r="HM107" s="199"/>
      <c r="HN107" s="199"/>
      <c r="HO107" s="199"/>
      <c r="HP107" s="199"/>
      <c r="HQ107" s="199"/>
      <c r="HR107" s="199"/>
      <c r="HS107" s="199"/>
      <c r="HT107" s="199"/>
      <c r="HU107" s="199"/>
      <c r="HV107" s="199"/>
      <c r="HW107" s="199"/>
      <c r="HX107" s="199"/>
      <c r="HY107" s="199"/>
      <c r="HZ107" s="199"/>
      <c r="IA107" s="199"/>
      <c r="IB107" s="199"/>
      <c r="IC107" s="199"/>
      <c r="ID107" s="199"/>
      <c r="IE107" s="199"/>
      <c r="IF107" s="199"/>
      <c r="IG107" s="199"/>
      <c r="IH107" s="199"/>
      <c r="II107" s="199"/>
      <c r="IJ107" s="199"/>
      <c r="IK107" s="199"/>
      <c r="IL107" s="199"/>
      <c r="IM107" s="199"/>
      <c r="IN107" s="199"/>
      <c r="IO107" s="199"/>
      <c r="IP107" s="199"/>
      <c r="IQ107" s="199"/>
      <c r="IR107" s="199"/>
      <c r="IS107" s="199"/>
      <c r="IT107" s="199"/>
      <c r="IU107" s="199"/>
      <c r="IV107" s="199"/>
      <c r="IW107" s="199"/>
    </row>
    <row r="108" customFormat="false" ht="12.75" hidden="false" customHeight="false" outlineLevel="0" collapsed="false">
      <c r="A108" s="164"/>
      <c r="B108" s="161"/>
      <c r="C108" s="0"/>
      <c r="D108" s="0"/>
      <c r="E108" s="0"/>
      <c r="F108" s="0"/>
      <c r="G108" s="0"/>
      <c r="H108" s="0"/>
      <c r="I108" s="0"/>
      <c r="J108" s="4"/>
      <c r="K108" s="0"/>
      <c r="L108" s="34"/>
      <c r="M108" s="110"/>
      <c r="O108" s="110"/>
      <c r="Q108" s="110"/>
      <c r="S108" s="110"/>
      <c r="T108" s="110"/>
      <c r="U108" s="110"/>
      <c r="V108" s="110"/>
      <c r="X108" s="110"/>
      <c r="Z108" s="110"/>
      <c r="AB108" s="110"/>
      <c r="AD108" s="110"/>
      <c r="BJ108" s="110"/>
      <c r="BL108" s="110"/>
      <c r="BM108" s="110"/>
      <c r="BN108" s="110"/>
      <c r="BO108" s="110"/>
      <c r="BQ108" s="110"/>
      <c r="BR108" s="110"/>
      <c r="BS108" s="110"/>
      <c r="BY108" s="110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4"/>
      <c r="DW108" s="194"/>
      <c r="DX108" s="194"/>
      <c r="DY108" s="194"/>
      <c r="DZ108" s="194"/>
      <c r="EA108" s="194"/>
      <c r="EB108" s="194"/>
      <c r="EC108" s="194"/>
      <c r="ED108" s="194"/>
      <c r="EE108" s="194"/>
      <c r="EF108" s="194"/>
      <c r="EG108" s="194"/>
      <c r="EH108" s="194"/>
      <c r="EI108" s="194"/>
      <c r="EJ108" s="194"/>
      <c r="EK108" s="194"/>
      <c r="EL108" s="194"/>
      <c r="EM108" s="194"/>
      <c r="EN108" s="194"/>
      <c r="EO108" s="194"/>
      <c r="EP108" s="194"/>
      <c r="EQ108" s="194"/>
      <c r="ER108" s="194"/>
      <c r="ES108" s="194"/>
      <c r="ET108" s="194"/>
      <c r="EU108" s="194"/>
      <c r="EV108" s="194"/>
      <c r="EW108" s="194"/>
      <c r="EX108" s="194"/>
      <c r="EY108" s="194"/>
      <c r="EZ108" s="194"/>
      <c r="FA108" s="194"/>
      <c r="FB108" s="194"/>
      <c r="FC108" s="194"/>
      <c r="FD108" s="194"/>
      <c r="FE108" s="194"/>
      <c r="FF108" s="194"/>
      <c r="FG108" s="194"/>
      <c r="FH108" s="194"/>
      <c r="FI108" s="194"/>
      <c r="FJ108" s="194"/>
      <c r="FK108" s="194"/>
      <c r="FL108" s="194"/>
      <c r="FM108" s="194"/>
      <c r="FN108" s="194"/>
      <c r="FO108" s="194"/>
      <c r="FP108" s="194"/>
      <c r="FQ108" s="194"/>
      <c r="FR108" s="194"/>
      <c r="FS108" s="194"/>
      <c r="FT108" s="194"/>
      <c r="FU108" s="194"/>
      <c r="FV108" s="194"/>
      <c r="FW108" s="194"/>
      <c r="FX108" s="194"/>
      <c r="FY108" s="194"/>
      <c r="FZ108" s="194"/>
      <c r="GA108" s="194"/>
      <c r="GB108" s="194"/>
      <c r="GC108" s="194"/>
      <c r="GD108" s="194"/>
      <c r="GE108" s="194"/>
      <c r="GF108" s="194"/>
      <c r="GG108" s="194"/>
      <c r="GH108" s="194"/>
      <c r="GI108" s="194"/>
      <c r="GJ108" s="194"/>
      <c r="GK108" s="194"/>
      <c r="GL108" s="194"/>
      <c r="GM108" s="194"/>
      <c r="GN108" s="194"/>
      <c r="GO108" s="194"/>
      <c r="GP108" s="194"/>
      <c r="GQ108" s="194"/>
      <c r="GR108" s="194"/>
      <c r="GS108" s="194"/>
      <c r="GT108" s="194"/>
      <c r="GU108" s="194"/>
      <c r="GV108" s="194"/>
      <c r="GW108" s="194"/>
      <c r="GX108" s="194"/>
      <c r="GY108" s="194"/>
      <c r="GZ108" s="194"/>
      <c r="HA108" s="194"/>
      <c r="HB108" s="194"/>
      <c r="HC108" s="194"/>
      <c r="HD108" s="194"/>
      <c r="HE108" s="194"/>
      <c r="HF108" s="194"/>
      <c r="HG108" s="194"/>
      <c r="HH108" s="194"/>
      <c r="HI108" s="194"/>
      <c r="HJ108" s="194"/>
      <c r="HK108" s="194"/>
      <c r="HL108" s="194"/>
      <c r="HM108" s="194"/>
      <c r="HN108" s="194"/>
      <c r="HO108" s="194"/>
      <c r="HP108" s="194"/>
      <c r="HQ108" s="194"/>
      <c r="HR108" s="194"/>
      <c r="HS108" s="194"/>
      <c r="HT108" s="194"/>
      <c r="HU108" s="194"/>
      <c r="HV108" s="194"/>
      <c r="HW108" s="194"/>
      <c r="HX108" s="194"/>
      <c r="HY108" s="194"/>
      <c r="HZ108" s="194"/>
      <c r="IA108" s="194"/>
      <c r="IB108" s="194"/>
      <c r="IC108" s="194"/>
      <c r="ID108" s="194"/>
      <c r="IE108" s="194"/>
      <c r="IF108" s="194"/>
      <c r="IG108" s="194"/>
      <c r="IH108" s="194"/>
      <c r="II108" s="194"/>
      <c r="IJ108" s="194"/>
      <c r="IK108" s="194"/>
      <c r="IL108" s="194"/>
      <c r="IM108" s="194"/>
      <c r="IN108" s="194"/>
      <c r="IO108" s="194"/>
      <c r="IP108" s="194"/>
      <c r="IQ108" s="194"/>
      <c r="IR108" s="194"/>
      <c r="IS108" s="194"/>
      <c r="IT108" s="194"/>
      <c r="IU108" s="194"/>
      <c r="IV108" s="194"/>
      <c r="IW108" s="194"/>
    </row>
    <row r="109" customFormat="false" ht="12.75" hidden="false" customHeight="false" outlineLevel="0" collapsed="false">
      <c r="A109" s="185" t="s">
        <v>243</v>
      </c>
      <c r="B109" s="200"/>
      <c r="C109" s="186"/>
      <c r="D109" s="186"/>
      <c r="E109" s="186"/>
      <c r="F109" s="186"/>
      <c r="G109" s="186"/>
      <c r="H109" s="186"/>
      <c r="I109" s="186"/>
      <c r="J109" s="187"/>
      <c r="K109" s="186"/>
      <c r="L109" s="188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6"/>
      <c r="CA109" s="186"/>
      <c r="CB109" s="186"/>
      <c r="CC109" s="186"/>
      <c r="CD109" s="186"/>
      <c r="CE109" s="186"/>
      <c r="CF109" s="186"/>
      <c r="CG109" s="186"/>
      <c r="CH109" s="186"/>
      <c r="CI109" s="186"/>
      <c r="CJ109" s="186"/>
      <c r="CK109" s="186"/>
      <c r="CL109" s="186"/>
      <c r="CM109" s="186"/>
      <c r="CN109" s="186"/>
      <c r="CO109" s="186"/>
      <c r="CP109" s="186"/>
      <c r="CQ109" s="186"/>
      <c r="CR109" s="186"/>
      <c r="CS109" s="186"/>
      <c r="CT109" s="186"/>
      <c r="CU109" s="186"/>
      <c r="CV109" s="186"/>
      <c r="CW109" s="186"/>
      <c r="CX109" s="186"/>
      <c r="CY109" s="186"/>
      <c r="CZ109" s="186"/>
      <c r="DA109" s="186"/>
      <c r="DB109" s="186"/>
      <c r="DC109" s="186"/>
      <c r="DD109" s="186"/>
      <c r="DE109" s="186"/>
      <c r="DF109" s="186"/>
      <c r="DG109" s="186"/>
      <c r="DH109" s="186"/>
      <c r="DI109" s="186"/>
      <c r="DJ109" s="186"/>
      <c r="DK109" s="186"/>
      <c r="DL109" s="186"/>
      <c r="DM109" s="186"/>
      <c r="DN109" s="186"/>
      <c r="DO109" s="186"/>
      <c r="DP109" s="186"/>
      <c r="DQ109" s="186"/>
      <c r="DR109" s="186"/>
      <c r="DS109" s="186"/>
      <c r="DT109" s="186"/>
      <c r="DU109" s="186"/>
      <c r="DV109" s="186"/>
      <c r="DW109" s="186"/>
      <c r="DX109" s="186"/>
      <c r="DY109" s="186"/>
      <c r="DZ109" s="186"/>
      <c r="EA109" s="186"/>
      <c r="EB109" s="186"/>
      <c r="EC109" s="186"/>
      <c r="ED109" s="186"/>
      <c r="EE109" s="186"/>
      <c r="EF109" s="186"/>
      <c r="EG109" s="186"/>
      <c r="EH109" s="186"/>
      <c r="EI109" s="186"/>
      <c r="EJ109" s="186"/>
      <c r="EK109" s="186"/>
      <c r="EL109" s="186"/>
      <c r="EM109" s="186"/>
      <c r="EN109" s="186"/>
      <c r="EO109" s="186"/>
      <c r="EP109" s="186"/>
      <c r="EQ109" s="186"/>
      <c r="ER109" s="186"/>
      <c r="ES109" s="186"/>
      <c r="ET109" s="186"/>
      <c r="EU109" s="186"/>
      <c r="EV109" s="186"/>
      <c r="EW109" s="186"/>
      <c r="EX109" s="186"/>
      <c r="EY109" s="186"/>
      <c r="EZ109" s="186"/>
      <c r="FA109" s="186"/>
      <c r="FB109" s="186"/>
      <c r="FC109" s="186"/>
      <c r="FD109" s="186"/>
      <c r="FE109" s="186"/>
      <c r="FF109" s="186"/>
      <c r="FG109" s="186"/>
      <c r="FH109" s="186"/>
      <c r="FI109" s="186"/>
      <c r="FJ109" s="186"/>
      <c r="FK109" s="186"/>
      <c r="FL109" s="186"/>
      <c r="FM109" s="186"/>
      <c r="FN109" s="186"/>
      <c r="FO109" s="186"/>
      <c r="FP109" s="186"/>
      <c r="FQ109" s="186"/>
      <c r="FR109" s="186"/>
      <c r="FS109" s="186"/>
      <c r="FT109" s="186"/>
      <c r="FU109" s="186"/>
      <c r="FV109" s="186"/>
      <c r="FW109" s="186"/>
      <c r="FX109" s="186"/>
      <c r="FY109" s="186"/>
      <c r="FZ109" s="186"/>
      <c r="GA109" s="186"/>
      <c r="GB109" s="186"/>
      <c r="GC109" s="186"/>
      <c r="GD109" s="186"/>
      <c r="GE109" s="186"/>
      <c r="GF109" s="186"/>
      <c r="GG109" s="186"/>
      <c r="GH109" s="186"/>
      <c r="GI109" s="186"/>
      <c r="GJ109" s="186"/>
      <c r="GK109" s="186"/>
      <c r="GL109" s="186"/>
      <c r="GM109" s="186"/>
      <c r="GN109" s="186"/>
      <c r="GO109" s="186"/>
      <c r="GP109" s="186"/>
      <c r="GQ109" s="186"/>
      <c r="GR109" s="186"/>
      <c r="GS109" s="186"/>
      <c r="GT109" s="186"/>
      <c r="GU109" s="186"/>
      <c r="GV109" s="186"/>
      <c r="GW109" s="186"/>
      <c r="GX109" s="186"/>
      <c r="GY109" s="186"/>
      <c r="GZ109" s="186"/>
      <c r="HA109" s="186"/>
      <c r="HB109" s="186"/>
      <c r="HC109" s="186"/>
      <c r="HD109" s="186"/>
      <c r="HE109" s="186"/>
      <c r="HF109" s="186"/>
      <c r="HG109" s="186"/>
      <c r="HH109" s="186"/>
      <c r="HI109" s="186"/>
      <c r="HJ109" s="186"/>
      <c r="HK109" s="186"/>
      <c r="HL109" s="186"/>
      <c r="HM109" s="186"/>
      <c r="HN109" s="186"/>
      <c r="HO109" s="186"/>
      <c r="HP109" s="186"/>
      <c r="HQ109" s="186"/>
      <c r="HR109" s="186"/>
      <c r="HS109" s="186"/>
      <c r="HT109" s="186"/>
      <c r="HU109" s="186"/>
      <c r="HV109" s="186"/>
      <c r="HW109" s="186"/>
      <c r="HX109" s="186"/>
      <c r="HY109" s="186"/>
      <c r="HZ109" s="186"/>
      <c r="IA109" s="186"/>
      <c r="IB109" s="186"/>
      <c r="IC109" s="186"/>
      <c r="ID109" s="186"/>
      <c r="IE109" s="186"/>
      <c r="IF109" s="186"/>
      <c r="IG109" s="186"/>
      <c r="IH109" s="186"/>
      <c r="II109" s="186"/>
      <c r="IJ109" s="186"/>
      <c r="IK109" s="186"/>
      <c r="IL109" s="186"/>
      <c r="IM109" s="186"/>
      <c r="IN109" s="186"/>
      <c r="IO109" s="186"/>
      <c r="IP109" s="186"/>
      <c r="IQ109" s="186"/>
      <c r="IR109" s="186"/>
      <c r="IS109" s="186"/>
      <c r="IT109" s="186"/>
      <c r="IU109" s="186"/>
      <c r="IV109" s="186"/>
      <c r="IW109" s="186"/>
    </row>
    <row r="110" customFormat="false" ht="12.75" hidden="false" customHeight="false" outlineLevel="0" collapsed="false">
      <c r="A110" s="196"/>
      <c r="B110" s="164"/>
      <c r="C110" s="0"/>
      <c r="D110" s="0"/>
      <c r="E110" s="0"/>
      <c r="F110" s="0"/>
      <c r="G110" s="0"/>
      <c r="H110" s="0"/>
      <c r="I110" s="0"/>
      <c r="J110" s="4"/>
      <c r="K110" s="0"/>
      <c r="L110" s="34"/>
      <c r="M110" s="110"/>
      <c r="O110" s="110"/>
      <c r="Q110" s="110"/>
      <c r="S110" s="110"/>
      <c r="T110" s="110"/>
      <c r="U110" s="110"/>
      <c r="V110" s="110"/>
      <c r="X110" s="110"/>
      <c r="Z110" s="110"/>
      <c r="AB110" s="110"/>
      <c r="AD110" s="110"/>
      <c r="BJ110" s="110"/>
      <c r="BL110" s="110"/>
      <c r="BM110" s="110"/>
      <c r="BN110" s="110"/>
      <c r="BO110" s="110"/>
      <c r="BQ110" s="110"/>
      <c r="BR110" s="110"/>
      <c r="BS110" s="110"/>
      <c r="BY110" s="110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false" customHeight="false" outlineLevel="0" collapsed="false">
      <c r="A111" s="160" t="s">
        <v>244</v>
      </c>
      <c r="B111" s="160"/>
      <c r="C111" s="0"/>
      <c r="D111" s="0"/>
      <c r="E111" s="0"/>
      <c r="F111" s="0"/>
      <c r="G111" s="0"/>
      <c r="H111" s="0"/>
      <c r="I111" s="0"/>
      <c r="J111" s="4"/>
      <c r="K111" s="0"/>
      <c r="L111" s="34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BJ111" s="110"/>
      <c r="BL111" s="110"/>
      <c r="BM111" s="110"/>
      <c r="BN111" s="110"/>
      <c r="BO111" s="110"/>
      <c r="BQ111" s="110"/>
      <c r="BR111" s="110"/>
      <c r="BS111" s="110"/>
      <c r="BY111" s="110"/>
    </row>
    <row r="112" customFormat="false" ht="12.75" hidden="false" customHeight="false" outlineLevel="0" collapsed="false">
      <c r="A112" s="161"/>
      <c r="B112" s="161" t="s">
        <v>245</v>
      </c>
      <c r="E112" s="119"/>
      <c r="G112" s="119"/>
      <c r="I112" s="119"/>
      <c r="J112" s="120" t="s">
        <v>141</v>
      </c>
      <c r="L112" s="34" t="s">
        <v>151</v>
      </c>
      <c r="M112" s="110"/>
      <c r="N112" s="110" t="n">
        <v>0</v>
      </c>
      <c r="O112" s="110"/>
      <c r="P112" s="110" t="n">
        <v>0</v>
      </c>
      <c r="Q112" s="110"/>
      <c r="R112" s="110" t="n">
        <v>185000</v>
      </c>
      <c r="S112" s="110"/>
      <c r="T112" s="110" t="n">
        <v>0</v>
      </c>
      <c r="U112" s="110"/>
      <c r="V112" s="110" t="n">
        <v>0</v>
      </c>
      <c r="X112" s="110" t="n">
        <v>0</v>
      </c>
      <c r="Z112" s="110" t="n">
        <v>0</v>
      </c>
      <c r="AB112" s="110" t="n">
        <v>0</v>
      </c>
      <c r="AD112" s="110" t="n">
        <v>0</v>
      </c>
      <c r="AF112" s="110" t="n">
        <v>0</v>
      </c>
      <c r="AH112" s="110" t="n">
        <v>0</v>
      </c>
      <c r="AJ112" s="110" t="n">
        <v>0</v>
      </c>
      <c r="AL112" s="110" t="n">
        <v>0</v>
      </c>
      <c r="AN112" s="110" t="n">
        <v>0</v>
      </c>
      <c r="AP112" s="110" t="n">
        <v>0</v>
      </c>
      <c r="AR112" s="110" t="n">
        <v>0</v>
      </c>
      <c r="AT112" s="110" t="n">
        <v>0</v>
      </c>
      <c r="AV112" s="110" t="n">
        <v>37000</v>
      </c>
      <c r="AX112" s="110" t="n">
        <v>37000</v>
      </c>
      <c r="AZ112" s="110" t="n">
        <v>37000</v>
      </c>
      <c r="BB112" s="110" t="n">
        <v>37000</v>
      </c>
      <c r="BD112" s="110" t="n">
        <v>37000</v>
      </c>
      <c r="BF112" s="110" t="n">
        <v>0</v>
      </c>
      <c r="BH112" s="110" t="n">
        <v>0</v>
      </c>
      <c r="BJ112" s="110" t="n">
        <v>0</v>
      </c>
      <c r="BL112" s="110" t="n">
        <v>0</v>
      </c>
      <c r="BM112" s="110"/>
      <c r="BN112" s="110" t="n">
        <v>0</v>
      </c>
      <c r="BO112" s="110"/>
      <c r="BP112" s="110" t="n">
        <f aca="false">SUM(T112:BO112)</f>
        <v>185000</v>
      </c>
      <c r="BQ112" s="110"/>
      <c r="BR112" s="110" t="n">
        <v>0</v>
      </c>
      <c r="BS112" s="110"/>
      <c r="BT112" s="110" t="n">
        <f aca="false">IF(+R112-BP112+BR112&gt;0,R112-BP112+BR112,0)</f>
        <v>0</v>
      </c>
      <c r="BV112" s="110" t="n">
        <f aca="false">+BP112+BT112</f>
        <v>185000</v>
      </c>
      <c r="BX112" s="110" t="n">
        <f aca="false">+R112-BV112</f>
        <v>0</v>
      </c>
      <c r="BY112" s="110"/>
    </row>
    <row r="113" customFormat="false" ht="12.75" hidden="false" customHeight="false" outlineLevel="0" collapsed="false">
      <c r="A113" s="161"/>
      <c r="B113" s="161" t="s">
        <v>459</v>
      </c>
      <c r="E113" s="119"/>
      <c r="G113" s="119"/>
      <c r="I113" s="119"/>
      <c r="L113" s="34" t="s">
        <v>151</v>
      </c>
      <c r="M113" s="110"/>
      <c r="N113" s="110" t="n">
        <v>0</v>
      </c>
      <c r="O113" s="110"/>
      <c r="P113" s="110" t="n">
        <v>0</v>
      </c>
      <c r="Q113" s="110"/>
      <c r="R113" s="110" t="n">
        <v>723786</v>
      </c>
      <c r="S113" s="110"/>
      <c r="T113" s="110" t="n">
        <v>0</v>
      </c>
      <c r="U113" s="110"/>
      <c r="V113" s="110" t="n">
        <v>0</v>
      </c>
      <c r="X113" s="110" t="n">
        <v>0</v>
      </c>
      <c r="Z113" s="110" t="n">
        <v>0</v>
      </c>
      <c r="AB113" s="110" t="n">
        <v>0</v>
      </c>
      <c r="AD113" s="110" t="n">
        <v>0</v>
      </c>
      <c r="AF113" s="110" t="n">
        <v>0</v>
      </c>
      <c r="AH113" s="110" t="n">
        <v>0</v>
      </c>
      <c r="AJ113" s="110" t="n">
        <v>0</v>
      </c>
      <c r="AL113" s="110" t="n">
        <v>0</v>
      </c>
      <c r="AN113" s="110" t="n">
        <v>0</v>
      </c>
      <c r="AP113" s="110" t="n">
        <v>0</v>
      </c>
      <c r="AR113" s="110" t="n">
        <v>0</v>
      </c>
      <c r="AT113" s="110" t="n">
        <v>0</v>
      </c>
      <c r="AV113" s="110" t="n">
        <v>0</v>
      </c>
      <c r="AX113" s="110" t="n">
        <f aca="false">62387.82+110932</f>
        <v>173319.82</v>
      </c>
      <c r="AZ113" s="110" t="n">
        <v>125493.07</v>
      </c>
      <c r="BB113" s="110" t="n">
        <v>179683.78</v>
      </c>
      <c r="BD113" s="110" t="n">
        <v>146125.89</v>
      </c>
      <c r="BF113" s="110" t="n">
        <v>164872.12</v>
      </c>
      <c r="BH113" s="24" t="n">
        <v>85226.45</v>
      </c>
      <c r="BJ113" s="110" t="n">
        <v>27389</v>
      </c>
      <c r="BL113" s="110" t="n">
        <v>33049</v>
      </c>
      <c r="BM113" s="110"/>
      <c r="BN113" s="110" t="n">
        <v>0</v>
      </c>
      <c r="BO113" s="110"/>
      <c r="BP113" s="110" t="n">
        <f aca="false">SUM(T113:BO113)</f>
        <v>935159.13</v>
      </c>
      <c r="BQ113" s="110"/>
      <c r="BR113" s="110" t="n">
        <v>0</v>
      </c>
      <c r="BS113" s="110"/>
      <c r="BT113" s="110" t="n">
        <f aca="false">IF(+R113-BP113+BR113&gt;0,R113-BP113+BR113,0)</f>
        <v>0</v>
      </c>
      <c r="BV113" s="110" t="n">
        <f aca="false">+BP113+BT113</f>
        <v>935159.13</v>
      </c>
      <c r="BX113" s="110" t="n">
        <f aca="false">+R113-BV113</f>
        <v>-211373.13</v>
      </c>
      <c r="BY113" s="110"/>
    </row>
    <row r="114" customFormat="false" ht="12.75" hidden="true" customHeight="false" outlineLevel="0" collapsed="false">
      <c r="A114" s="161"/>
      <c r="B114" s="161" t="s">
        <v>128</v>
      </c>
      <c r="E114" s="119"/>
      <c r="G114" s="119"/>
      <c r="I114" s="119"/>
      <c r="L114" s="34" t="s">
        <v>151</v>
      </c>
      <c r="M114" s="110"/>
      <c r="N114" s="110" t="n">
        <v>0</v>
      </c>
      <c r="O114" s="110"/>
      <c r="P114" s="110" t="n">
        <v>0</v>
      </c>
      <c r="Q114" s="110"/>
      <c r="R114" s="110" t="n">
        <v>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J114" s="110" t="n">
        <v>0</v>
      </c>
      <c r="AL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0</v>
      </c>
      <c r="AX114" s="110" t="n">
        <v>0</v>
      </c>
      <c r="AZ114" s="110" t="n">
        <v>0</v>
      </c>
      <c r="BB114" s="110" t="n">
        <v>0</v>
      </c>
      <c r="BD114" s="110" t="n">
        <v>0</v>
      </c>
      <c r="BF114" s="110" t="n">
        <v>0</v>
      </c>
      <c r="BH114" s="110" t="n">
        <v>0</v>
      </c>
      <c r="BJ114" s="110" t="n">
        <v>0</v>
      </c>
      <c r="BL114" s="110" t="n">
        <v>0</v>
      </c>
      <c r="BM114" s="110"/>
      <c r="BN114" s="110" t="n">
        <v>0</v>
      </c>
      <c r="BO114" s="110"/>
      <c r="BP114" s="110" t="n">
        <f aca="false">SUM(T114:BL114)</f>
        <v>0</v>
      </c>
      <c r="BQ114" s="110"/>
      <c r="BR114" s="110" t="n">
        <v>0</v>
      </c>
      <c r="BS114" s="110"/>
      <c r="BT114" s="110" t="n">
        <f aca="false">+R114-BP114+BR114</f>
        <v>0</v>
      </c>
      <c r="BV114" s="110" t="n">
        <f aca="false">+BP114+BT114</f>
        <v>0</v>
      </c>
      <c r="BX114" s="110" t="n">
        <f aca="false">+R114-BV114</f>
        <v>0</v>
      </c>
      <c r="BY114" s="110"/>
    </row>
    <row r="115" customFormat="false" ht="12.75" hidden="false" customHeight="false" outlineLevel="0" collapsed="false">
      <c r="A115" s="160"/>
      <c r="B115" s="160" t="s">
        <v>247</v>
      </c>
      <c r="C115" s="2"/>
      <c r="D115" s="2"/>
      <c r="E115" s="2"/>
      <c r="F115" s="2"/>
      <c r="G115" s="2"/>
      <c r="H115" s="2"/>
      <c r="I115" s="2"/>
      <c r="J115" s="3"/>
      <c r="K115" s="2"/>
      <c r="L115" s="179"/>
      <c r="M115" s="24"/>
      <c r="N115" s="198" t="n">
        <f aca="false">SUM(N112:N114)</f>
        <v>0</v>
      </c>
      <c r="O115" s="24"/>
      <c r="P115" s="198" t="n">
        <f aca="false">SUM(P112:P114)</f>
        <v>0</v>
      </c>
      <c r="Q115" s="24"/>
      <c r="R115" s="198" t="n">
        <f aca="false">SUM(R112:R114)</f>
        <v>908786</v>
      </c>
      <c r="S115" s="24"/>
      <c r="T115" s="198" t="n">
        <f aca="false">SUM(T112:T114)</f>
        <v>0</v>
      </c>
      <c r="U115" s="24"/>
      <c r="V115" s="198" t="n">
        <f aca="false">SUM(V112:V114)</f>
        <v>0</v>
      </c>
      <c r="W115" s="24"/>
      <c r="X115" s="198" t="n">
        <f aca="false">SUM(X112:X114)</f>
        <v>0</v>
      </c>
      <c r="Y115" s="24"/>
      <c r="Z115" s="198" t="n">
        <f aca="false">SUM(Z112:Z114)</f>
        <v>0</v>
      </c>
      <c r="AA115" s="24"/>
      <c r="AB115" s="198" t="n">
        <f aca="false">SUM(AB112:AB114)</f>
        <v>0</v>
      </c>
      <c r="AC115" s="24"/>
      <c r="AD115" s="198" t="n">
        <f aca="false">SUM(AD112:AD114)</f>
        <v>0</v>
      </c>
      <c r="AE115" s="24"/>
      <c r="AF115" s="198" t="n">
        <f aca="false">SUM(AF112:AF114)</f>
        <v>0</v>
      </c>
      <c r="AG115" s="24"/>
      <c r="AH115" s="198" t="n">
        <f aca="false">SUM(AH112:AH114)</f>
        <v>0</v>
      </c>
      <c r="AI115" s="24"/>
      <c r="AJ115" s="198" t="n">
        <f aca="false">SUM(AJ112:AJ114)</f>
        <v>0</v>
      </c>
      <c r="AK115" s="24"/>
      <c r="AL115" s="198" t="n">
        <f aca="false">SUM(AL112:AL114)</f>
        <v>0</v>
      </c>
      <c r="AM115" s="24"/>
      <c r="AN115" s="198" t="n">
        <f aca="false">SUM(AN112:AN114)</f>
        <v>0</v>
      </c>
      <c r="AO115" s="24"/>
      <c r="AP115" s="198" t="n">
        <f aca="false">SUM(AP112:AP114)</f>
        <v>0</v>
      </c>
      <c r="AQ115" s="24"/>
      <c r="AR115" s="198" t="n">
        <f aca="false">SUM(AR112:AR114)</f>
        <v>0</v>
      </c>
      <c r="AS115" s="24"/>
      <c r="AT115" s="198" t="n">
        <f aca="false">SUM(AT112:AT114)</f>
        <v>0</v>
      </c>
      <c r="AU115" s="24"/>
      <c r="AV115" s="198" t="n">
        <f aca="false">SUM(AV112:AV114)</f>
        <v>37000</v>
      </c>
      <c r="AW115" s="24"/>
      <c r="AX115" s="198" t="n">
        <f aca="false">SUM(AX112:AX114)</f>
        <v>210319.82</v>
      </c>
      <c r="AY115" s="24"/>
      <c r="AZ115" s="198" t="n">
        <f aca="false">SUM(AZ112:AZ114)</f>
        <v>162493.07</v>
      </c>
      <c r="BA115" s="24"/>
      <c r="BB115" s="198" t="n">
        <f aca="false">SUM(BB112:BB114)</f>
        <v>216683.78</v>
      </c>
      <c r="BC115" s="24"/>
      <c r="BD115" s="198" t="n">
        <f aca="false">SUM(BD112:BD114)</f>
        <v>183125.89</v>
      </c>
      <c r="BE115" s="24"/>
      <c r="BF115" s="198" t="n">
        <f aca="false">SUM(BF112:BF114)</f>
        <v>164872.12</v>
      </c>
      <c r="BG115" s="24"/>
      <c r="BH115" s="198" t="n">
        <f aca="false">SUM(BH112:BH114)</f>
        <v>85226.45</v>
      </c>
      <c r="BI115" s="24"/>
      <c r="BJ115" s="198" t="n">
        <f aca="false">SUM(BJ112:BJ114)</f>
        <v>27389</v>
      </c>
      <c r="BK115" s="24"/>
      <c r="BL115" s="198" t="n">
        <f aca="false">SUM(BL112:BL114)</f>
        <v>33049</v>
      </c>
      <c r="BM115" s="198"/>
      <c r="BN115" s="198" t="n">
        <f aca="false">SUM(BN112:BN114)</f>
        <v>0</v>
      </c>
      <c r="BO115" s="198"/>
      <c r="BP115" s="198" t="n">
        <f aca="false">SUM(BP112:BP114)</f>
        <v>1120159.13</v>
      </c>
      <c r="BQ115" s="24"/>
      <c r="BR115" s="198" t="n">
        <f aca="false">SUM(BR112:BR114)</f>
        <v>0</v>
      </c>
      <c r="BS115" s="24"/>
      <c r="BT115" s="198" t="n">
        <f aca="false">SUM(BT112:BT114)</f>
        <v>0</v>
      </c>
      <c r="BU115" s="24"/>
      <c r="BV115" s="198" t="n">
        <f aca="false">SUM(BV112:BV114)</f>
        <v>1120159.13</v>
      </c>
      <c r="BW115" s="24"/>
      <c r="BX115" s="198" t="n">
        <f aca="false">SUM(BX112:BX114)</f>
        <v>-211373.13</v>
      </c>
      <c r="BY115" s="24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60"/>
      <c r="B116" s="160"/>
      <c r="C116" s="2"/>
      <c r="D116" s="2"/>
      <c r="E116" s="2"/>
      <c r="F116" s="2"/>
      <c r="G116" s="2"/>
      <c r="H116" s="2"/>
      <c r="I116" s="2"/>
      <c r="J116" s="3"/>
      <c r="K116" s="2"/>
      <c r="L116" s="179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177" t="s">
        <v>375</v>
      </c>
      <c r="B117" s="160"/>
      <c r="C117" s="2"/>
      <c r="D117" s="2"/>
      <c r="E117" s="2"/>
      <c r="F117" s="2"/>
      <c r="G117" s="2"/>
      <c r="H117" s="2"/>
      <c r="I117" s="2"/>
      <c r="J117" s="3" t="s">
        <v>141</v>
      </c>
      <c r="K117" s="2"/>
      <c r="L117" s="179" t="s">
        <v>151</v>
      </c>
      <c r="M117" s="24"/>
      <c r="N117" s="24" t="n">
        <v>0</v>
      </c>
      <c r="O117" s="24"/>
      <c r="P117" s="24" t="n">
        <v>0</v>
      </c>
      <c r="Q117" s="24"/>
      <c r="R117" s="24" t="n">
        <v>0</v>
      </c>
      <c r="S117" s="24"/>
      <c r="T117" s="24" t="n">
        <v>0</v>
      </c>
      <c r="U117" s="24"/>
      <c r="V117" s="24" t="n">
        <v>0</v>
      </c>
      <c r="W117" s="24"/>
      <c r="X117" s="24" t="n">
        <v>0</v>
      </c>
      <c r="Y117" s="24"/>
      <c r="Z117" s="24" t="n">
        <v>0</v>
      </c>
      <c r="AA117" s="24"/>
      <c r="AB117" s="24" t="n">
        <v>0</v>
      </c>
      <c r="AC117" s="24"/>
      <c r="AD117" s="24" t="n">
        <v>0</v>
      </c>
      <c r="AE117" s="24"/>
      <c r="AF117" s="24" t="n">
        <v>0</v>
      </c>
      <c r="AG117" s="24"/>
      <c r="AH117" s="24" t="n">
        <v>0</v>
      </c>
      <c r="AI117" s="24"/>
      <c r="AJ117" s="24" t="n">
        <v>0</v>
      </c>
      <c r="AK117" s="24"/>
      <c r="AL117" s="24" t="n">
        <v>0</v>
      </c>
      <c r="AM117" s="24"/>
      <c r="AN117" s="24" t="n">
        <v>0</v>
      </c>
      <c r="AO117" s="24"/>
      <c r="AP117" s="24" t="n">
        <v>0</v>
      </c>
      <c r="AQ117" s="24"/>
      <c r="AR117" s="24" t="n">
        <v>0</v>
      </c>
      <c r="AS117" s="24"/>
      <c r="AT117" s="24" t="n">
        <v>0</v>
      </c>
      <c r="AU117" s="24"/>
      <c r="AV117" s="24" t="n">
        <v>0</v>
      </c>
      <c r="AW117" s="24"/>
      <c r="AX117" s="24" t="n">
        <v>0</v>
      </c>
      <c r="AY117" s="24"/>
      <c r="AZ117" s="24" t="n">
        <v>0</v>
      </c>
      <c r="BA117" s="24"/>
      <c r="BB117" s="24" t="n">
        <v>0</v>
      </c>
      <c r="BC117" s="24"/>
      <c r="BD117" s="24" t="n">
        <v>0</v>
      </c>
      <c r="BE117" s="24"/>
      <c r="BF117" s="24" t="n">
        <v>0</v>
      </c>
      <c r="BG117" s="24"/>
      <c r="BH117" s="24" t="n">
        <v>0</v>
      </c>
      <c r="BI117" s="24"/>
      <c r="BJ117" s="24" t="n">
        <v>0</v>
      </c>
      <c r="BK117" s="24"/>
      <c r="BL117" s="24" t="n">
        <v>0</v>
      </c>
      <c r="BM117" s="24"/>
      <c r="BN117" s="24" t="n">
        <v>0</v>
      </c>
      <c r="BO117" s="24"/>
      <c r="BP117" s="24" t="n">
        <f aca="false">SUM(T117:BO117)</f>
        <v>0</v>
      </c>
      <c r="BQ117" s="24"/>
      <c r="BR117" s="24" t="n">
        <v>0</v>
      </c>
      <c r="BS117" s="24"/>
      <c r="BT117" s="110" t="n">
        <f aca="false">IF(+R117-BP117+BR117&gt;0,R117-BP117+BR117,0)</f>
        <v>0</v>
      </c>
      <c r="BU117" s="24"/>
      <c r="BV117" s="24" t="n">
        <f aca="false">+BP117+BT117</f>
        <v>0</v>
      </c>
      <c r="BW117" s="24"/>
      <c r="BX117" s="24" t="n">
        <f aca="false">+R117-BV117</f>
        <v>0</v>
      </c>
      <c r="BY117" s="24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77"/>
      <c r="B118" s="160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160" t="s">
        <v>248</v>
      </c>
      <c r="B119" s="174"/>
      <c r="C119" s="2"/>
      <c r="D119" s="2"/>
      <c r="E119" s="2"/>
      <c r="F119" s="2"/>
      <c r="G119" s="2"/>
      <c r="H119" s="2"/>
      <c r="I119" s="2"/>
      <c r="J119" s="3" t="s">
        <v>141</v>
      </c>
      <c r="K119" s="2"/>
      <c r="L119" s="34" t="s">
        <v>151</v>
      </c>
      <c r="M119" s="24"/>
      <c r="N119" s="24" t="n">
        <v>400000</v>
      </c>
      <c r="O119" s="24"/>
      <c r="P119" s="24" t="n">
        <v>100000</v>
      </c>
      <c r="Q119" s="24"/>
      <c r="R119" s="24" t="n">
        <v>1500000</v>
      </c>
      <c r="S119" s="24"/>
      <c r="T119" s="24" t="n">
        <v>0</v>
      </c>
      <c r="U119" s="24"/>
      <c r="V119" s="24" t="n">
        <v>0</v>
      </c>
      <c r="W119" s="24"/>
      <c r="X119" s="24" t="n">
        <v>0</v>
      </c>
      <c r="Y119" s="24"/>
      <c r="Z119" s="24" t="n">
        <v>0</v>
      </c>
      <c r="AA119" s="24"/>
      <c r="AB119" s="24" t="n">
        <v>0</v>
      </c>
      <c r="AC119" s="24"/>
      <c r="AD119" s="24" t="n">
        <v>0</v>
      </c>
      <c r="AE119" s="24"/>
      <c r="AF119" s="24" t="n">
        <v>0</v>
      </c>
      <c r="AG119" s="24"/>
      <c r="AH119" s="24" t="n">
        <v>0</v>
      </c>
      <c r="AI119" s="24"/>
      <c r="AJ119" s="24" t="n">
        <v>0</v>
      </c>
      <c r="AK119" s="24"/>
      <c r="AL119" s="24" t="n">
        <v>0</v>
      </c>
      <c r="AM119" s="24"/>
      <c r="AN119" s="24" t="n">
        <v>0</v>
      </c>
      <c r="AO119" s="24"/>
      <c r="AP119" s="24" t="n">
        <v>38083.5</v>
      </c>
      <c r="AQ119" s="24"/>
      <c r="AR119" s="24" t="n">
        <v>0</v>
      </c>
      <c r="AS119" s="24"/>
      <c r="AT119" s="24" t="n">
        <v>16047.5</v>
      </c>
      <c r="AU119" s="24"/>
      <c r="AV119" s="24" t="n">
        <v>750</v>
      </c>
      <c r="AW119" s="24"/>
      <c r="AX119" s="24" t="n">
        <v>44229</v>
      </c>
      <c r="AY119" s="24"/>
      <c r="AZ119" s="24" t="n">
        <v>0</v>
      </c>
      <c r="BA119" s="24"/>
      <c r="BB119" s="24" t="n">
        <v>0</v>
      </c>
      <c r="BC119" s="24"/>
      <c r="BD119" s="24" t="n">
        <v>0</v>
      </c>
      <c r="BE119" s="24"/>
      <c r="BF119" s="24" t="n">
        <v>0</v>
      </c>
      <c r="BG119" s="24"/>
      <c r="BH119" s="24" t="n">
        <v>0</v>
      </c>
      <c r="BI119" s="24"/>
      <c r="BJ119" s="24" t="n">
        <v>0</v>
      </c>
      <c r="BK119" s="24"/>
      <c r="BL119" s="24" t="n">
        <v>0</v>
      </c>
      <c r="BM119" s="24"/>
      <c r="BN119" s="24" t="n">
        <v>0</v>
      </c>
      <c r="BO119" s="24"/>
      <c r="BP119" s="24" t="n">
        <f aca="false">SUM(T119:BO119)</f>
        <v>99110</v>
      </c>
      <c r="BQ119" s="24"/>
      <c r="BR119" s="24" t="n">
        <v>0</v>
      </c>
      <c r="BS119" s="24"/>
      <c r="BT119" s="110" t="n">
        <f aca="false">IF(+R119-BP119+BR119&gt;0,R119-BP119+BR119,0)</f>
        <v>1400890</v>
      </c>
      <c r="BU119" s="24"/>
      <c r="BV119" s="24" t="n">
        <f aca="false">+BP119+BT119</f>
        <v>1500000</v>
      </c>
      <c r="BW119" s="24"/>
      <c r="BX119" s="24" t="n">
        <f aca="false">+R119-BV119</f>
        <v>0</v>
      </c>
      <c r="BY119" s="24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160"/>
      <c r="B120" s="174"/>
      <c r="C120" s="2"/>
      <c r="D120" s="2"/>
      <c r="E120" s="2"/>
      <c r="F120" s="2"/>
      <c r="G120" s="2"/>
      <c r="H120" s="2"/>
      <c r="I120" s="2"/>
      <c r="J120" s="3"/>
      <c r="K120" s="2"/>
      <c r="L120" s="3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60" t="s">
        <v>249</v>
      </c>
      <c r="B121" s="174"/>
      <c r="C121" s="174"/>
      <c r="D121" s="174"/>
      <c r="E121" s="174"/>
      <c r="F121" s="174"/>
      <c r="G121" s="174"/>
      <c r="H121" s="174"/>
      <c r="I121" s="174"/>
      <c r="J121" s="201" t="s">
        <v>141</v>
      </c>
      <c r="K121" s="174"/>
      <c r="L121" s="202" t="s">
        <v>151</v>
      </c>
      <c r="M121" s="24"/>
      <c r="N121" s="24" t="n">
        <v>0</v>
      </c>
      <c r="O121" s="24"/>
      <c r="P121" s="24" t="n">
        <v>0</v>
      </c>
      <c r="Q121" s="24"/>
      <c r="R121" s="24" t="n">
        <v>50000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24"/>
      <c r="AJ121" s="24" t="n">
        <v>0</v>
      </c>
      <c r="AK121" s="24"/>
      <c r="AL121" s="24" t="n">
        <v>0</v>
      </c>
      <c r="AM121" s="24"/>
      <c r="AN121" s="24" t="n">
        <v>0</v>
      </c>
      <c r="AO121" s="24"/>
      <c r="AP121" s="24" t="n">
        <v>0</v>
      </c>
      <c r="AQ121" s="24"/>
      <c r="AR121" s="24" t="n">
        <v>0</v>
      </c>
      <c r="AS121" s="24"/>
      <c r="AT121" s="24" t="n">
        <v>0</v>
      </c>
      <c r="AU121" s="24"/>
      <c r="AV121" s="24" t="n">
        <v>0</v>
      </c>
      <c r="AW121" s="24"/>
      <c r="AX121" s="24" t="n">
        <v>0</v>
      </c>
      <c r="AY121" s="24"/>
      <c r="AZ121" s="24" t="n">
        <v>0</v>
      </c>
      <c r="BA121" s="24"/>
      <c r="BB121" s="24" t="n">
        <v>0</v>
      </c>
      <c r="BC121" s="24"/>
      <c r="BD121" s="24" t="n">
        <v>0</v>
      </c>
      <c r="BE121" s="24"/>
      <c r="BF121" s="24" t="n">
        <v>0</v>
      </c>
      <c r="BG121" s="24"/>
      <c r="BH121" s="24" t="n">
        <v>13668.55</v>
      </c>
      <c r="BI121" s="24"/>
      <c r="BJ121" s="24" t="n">
        <v>0</v>
      </c>
      <c r="BK121" s="24"/>
      <c r="BL121" s="24" t="n">
        <v>0</v>
      </c>
      <c r="BM121" s="24"/>
      <c r="BN121" s="24" t="n">
        <v>0</v>
      </c>
      <c r="BO121" s="24"/>
      <c r="BP121" s="24" t="n">
        <f aca="false">SUM(T121:BO121)</f>
        <v>13668.55</v>
      </c>
      <c r="BQ121" s="24"/>
      <c r="BR121" s="24" t="n">
        <v>0</v>
      </c>
      <c r="BS121" s="24"/>
      <c r="BT121" s="110" t="n">
        <f aca="false">IF(+R121-BP121+BR121&gt;0,R121-BP121+BR121,0)</f>
        <v>36331.45</v>
      </c>
      <c r="BU121" s="24"/>
      <c r="BV121" s="24" t="n">
        <f aca="false">+BP121+BT121</f>
        <v>50000</v>
      </c>
      <c r="BW121" s="24"/>
      <c r="BX121" s="24" t="n">
        <f aca="false">+R121-BV121</f>
        <v>0</v>
      </c>
      <c r="BY121" s="24"/>
      <c r="BZ121" s="174"/>
      <c r="CA121" s="174"/>
      <c r="CB121" s="174"/>
      <c r="CC121" s="174"/>
      <c r="CD121" s="174"/>
      <c r="CE121" s="174"/>
      <c r="CF121" s="174"/>
      <c r="CG121" s="174"/>
      <c r="CH121" s="174"/>
      <c r="CI121" s="174"/>
      <c r="CJ121" s="174"/>
      <c r="CK121" s="174"/>
      <c r="CL121" s="174"/>
      <c r="CM121" s="174"/>
      <c r="CN121" s="174"/>
      <c r="CO121" s="174"/>
      <c r="CP121" s="174"/>
      <c r="CQ121" s="174"/>
      <c r="CR121" s="174"/>
      <c r="CS121" s="174"/>
      <c r="CT121" s="174"/>
      <c r="CU121" s="174"/>
      <c r="CV121" s="174"/>
      <c r="CW121" s="174"/>
      <c r="CX121" s="174"/>
      <c r="CY121" s="174"/>
      <c r="CZ121" s="174"/>
      <c r="DA121" s="174"/>
      <c r="DB121" s="174"/>
      <c r="DC121" s="174"/>
      <c r="DD121" s="174"/>
      <c r="DE121" s="174"/>
      <c r="DF121" s="174"/>
      <c r="DG121" s="174"/>
      <c r="DH121" s="174"/>
      <c r="DI121" s="174"/>
      <c r="DJ121" s="174"/>
      <c r="DK121" s="174"/>
      <c r="DL121" s="174"/>
      <c r="DM121" s="174"/>
      <c r="DN121" s="174"/>
      <c r="DO121" s="174"/>
      <c r="DP121" s="174"/>
      <c r="DQ121" s="174"/>
      <c r="DR121" s="174"/>
      <c r="DS121" s="174"/>
      <c r="DT121" s="174"/>
      <c r="DU121" s="174"/>
      <c r="DV121" s="174"/>
      <c r="DW121" s="174"/>
      <c r="DX121" s="174"/>
      <c r="DY121" s="174"/>
      <c r="DZ121" s="174"/>
      <c r="EA121" s="174"/>
      <c r="EB121" s="174"/>
      <c r="EC121" s="174"/>
      <c r="ED121" s="174"/>
      <c r="EE121" s="174"/>
      <c r="EF121" s="174"/>
      <c r="EG121" s="174"/>
      <c r="EH121" s="174"/>
      <c r="EI121" s="174"/>
      <c r="EJ121" s="174"/>
      <c r="EK121" s="174"/>
      <c r="EL121" s="174"/>
      <c r="EM121" s="174"/>
      <c r="EN121" s="174"/>
      <c r="EO121" s="174"/>
      <c r="EP121" s="174"/>
      <c r="EQ121" s="174"/>
      <c r="ER121" s="174"/>
      <c r="ES121" s="174"/>
      <c r="ET121" s="174"/>
      <c r="EU121" s="174"/>
      <c r="EV121" s="174"/>
      <c r="EW121" s="174"/>
      <c r="EX121" s="174"/>
      <c r="EY121" s="174"/>
      <c r="EZ121" s="174"/>
      <c r="FA121" s="174"/>
      <c r="FB121" s="174"/>
      <c r="FC121" s="174"/>
      <c r="FD121" s="174"/>
      <c r="FE121" s="174"/>
      <c r="FF121" s="174"/>
      <c r="FG121" s="174"/>
      <c r="FH121" s="174"/>
      <c r="FI121" s="174"/>
      <c r="FJ121" s="174"/>
      <c r="FK121" s="174"/>
      <c r="FL121" s="174"/>
      <c r="FM121" s="174"/>
      <c r="FN121" s="174"/>
      <c r="FO121" s="174"/>
      <c r="FP121" s="174"/>
      <c r="FQ121" s="174"/>
      <c r="FR121" s="174"/>
      <c r="FS121" s="174"/>
      <c r="FT121" s="174"/>
      <c r="FU121" s="174"/>
      <c r="FV121" s="174"/>
      <c r="FW121" s="174"/>
      <c r="FX121" s="174"/>
      <c r="FY121" s="174"/>
      <c r="FZ121" s="174"/>
      <c r="GA121" s="174"/>
      <c r="GB121" s="174"/>
      <c r="GC121" s="174"/>
      <c r="GD121" s="174"/>
      <c r="GE121" s="174"/>
      <c r="GF121" s="174"/>
      <c r="GG121" s="174"/>
      <c r="GH121" s="174"/>
      <c r="GI121" s="174"/>
      <c r="GJ121" s="174"/>
      <c r="GK121" s="174"/>
      <c r="GL121" s="174"/>
      <c r="GM121" s="174"/>
      <c r="GN121" s="174"/>
      <c r="GO121" s="174"/>
      <c r="GP121" s="174"/>
      <c r="GQ121" s="174"/>
      <c r="GR121" s="174"/>
      <c r="GS121" s="174"/>
      <c r="GT121" s="174"/>
      <c r="GU121" s="174"/>
      <c r="GV121" s="174"/>
      <c r="GW121" s="174"/>
      <c r="GX121" s="174"/>
      <c r="GY121" s="174"/>
      <c r="GZ121" s="174"/>
      <c r="HA121" s="174"/>
      <c r="HB121" s="174"/>
      <c r="HC121" s="174"/>
      <c r="HD121" s="174"/>
      <c r="HE121" s="174"/>
      <c r="HF121" s="174"/>
      <c r="HG121" s="174"/>
      <c r="HH121" s="174"/>
      <c r="HI121" s="174"/>
      <c r="HJ121" s="174"/>
      <c r="HK121" s="174"/>
      <c r="HL121" s="174"/>
      <c r="HM121" s="174"/>
      <c r="HN121" s="174"/>
      <c r="HO121" s="174"/>
      <c r="HP121" s="174"/>
      <c r="HQ121" s="174"/>
      <c r="HR121" s="174"/>
      <c r="HS121" s="174"/>
      <c r="HT121" s="174"/>
      <c r="HU121" s="174"/>
      <c r="HV121" s="174"/>
      <c r="HW121" s="174"/>
      <c r="HX121" s="174"/>
      <c r="HY121" s="174"/>
      <c r="HZ121" s="174"/>
      <c r="IA121" s="174"/>
      <c r="IB121" s="174"/>
      <c r="IC121" s="174"/>
      <c r="ID121" s="174"/>
      <c r="IE121" s="174"/>
      <c r="IF121" s="174"/>
      <c r="IG121" s="174"/>
      <c r="IH121" s="174"/>
      <c r="II121" s="174"/>
      <c r="IJ121" s="174"/>
      <c r="IK121" s="174"/>
      <c r="IL121" s="174"/>
      <c r="IM121" s="174"/>
      <c r="IN121" s="174"/>
      <c r="IO121" s="174"/>
      <c r="IP121" s="174"/>
      <c r="IQ121" s="174"/>
      <c r="IR121" s="174"/>
      <c r="IS121" s="174"/>
      <c r="IT121" s="174"/>
      <c r="IU121" s="174"/>
      <c r="IV121" s="174"/>
      <c r="IW121" s="174"/>
    </row>
    <row r="122" customFormat="false" ht="12.75" hidden="false" customHeight="false" outlineLevel="0" collapsed="false">
      <c r="A122" s="160"/>
      <c r="B122" s="174"/>
      <c r="C122" s="2"/>
      <c r="D122" s="2"/>
      <c r="E122" s="2"/>
      <c r="F122" s="2"/>
      <c r="G122" s="2"/>
      <c r="H122" s="2"/>
      <c r="I122" s="2"/>
      <c r="J122" s="3"/>
      <c r="K122" s="2"/>
      <c r="L122" s="3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60" t="s">
        <v>162</v>
      </c>
      <c r="B123" s="160"/>
      <c r="C123" s="2"/>
      <c r="D123" s="2"/>
      <c r="E123" s="2"/>
      <c r="F123" s="2"/>
      <c r="G123" s="2"/>
      <c r="H123" s="2"/>
      <c r="I123" s="2"/>
      <c r="J123" s="3" t="s">
        <v>141</v>
      </c>
      <c r="K123" s="2"/>
      <c r="L123" s="34" t="s">
        <v>151</v>
      </c>
      <c r="M123" s="24"/>
      <c r="N123" s="24" t="n">
        <v>0</v>
      </c>
      <c r="O123" s="24"/>
      <c r="P123" s="24" t="n">
        <v>0</v>
      </c>
      <c r="Q123" s="24"/>
      <c r="R123" s="24" t="n">
        <v>1172731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24"/>
      <c r="AJ123" s="24" t="n">
        <v>0</v>
      </c>
      <c r="AK123" s="24"/>
      <c r="AL123" s="24" t="n">
        <v>0</v>
      </c>
      <c r="AM123" s="24"/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E123" s="24"/>
      <c r="BF123" s="24" t="n">
        <v>0</v>
      </c>
      <c r="BG123" s="24"/>
      <c r="BH123" s="24" t="n">
        <v>35636.88</v>
      </c>
      <c r="BI123" s="24"/>
      <c r="BJ123" s="24" t="n">
        <f aca="false">-35637+42515</f>
        <v>6878</v>
      </c>
      <c r="BK123" s="24"/>
      <c r="BL123" s="24" t="n">
        <v>0</v>
      </c>
      <c r="BM123" s="24"/>
      <c r="BN123" s="24" t="n">
        <v>0</v>
      </c>
      <c r="BO123" s="24"/>
      <c r="BP123" s="24" t="n">
        <f aca="false">SUM(T123:BO123)</f>
        <v>42514.88</v>
      </c>
      <c r="BQ123" s="24"/>
      <c r="BR123" s="24" t="n">
        <v>0</v>
      </c>
      <c r="BS123" s="24"/>
      <c r="BT123" s="110" t="n">
        <v>0</v>
      </c>
      <c r="BU123" s="24"/>
      <c r="BV123" s="24" t="n">
        <f aca="false">+BP123+BT123</f>
        <v>42514.88</v>
      </c>
      <c r="BW123" s="24"/>
      <c r="BX123" s="24" t="n">
        <f aca="false">+R123-BV123</f>
        <v>1130216.12</v>
      </c>
      <c r="BY123" s="24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160"/>
      <c r="B124" s="174"/>
      <c r="C124" s="2"/>
      <c r="D124" s="2"/>
      <c r="E124" s="2"/>
      <c r="F124" s="2"/>
      <c r="G124" s="2"/>
      <c r="H124" s="2"/>
      <c r="I124" s="2"/>
      <c r="J124" s="3"/>
      <c r="K124" s="2"/>
      <c r="L124" s="3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60" t="s">
        <v>250</v>
      </c>
      <c r="B125" s="118"/>
      <c r="C125" s="0"/>
      <c r="D125" s="0"/>
      <c r="E125" s="0"/>
      <c r="F125" s="0"/>
      <c r="G125" s="0"/>
      <c r="H125" s="0"/>
      <c r="I125" s="0"/>
      <c r="J125" s="4"/>
      <c r="K125" s="0"/>
      <c r="L125" s="34"/>
      <c r="M125" s="110"/>
      <c r="O125" s="110"/>
      <c r="Q125" s="110"/>
      <c r="S125" s="110"/>
      <c r="T125" s="110"/>
      <c r="U125" s="110"/>
      <c r="V125" s="110"/>
      <c r="X125" s="110"/>
      <c r="Z125" s="110"/>
      <c r="AB125" s="110"/>
      <c r="AD125" s="110"/>
      <c r="BJ125" s="110"/>
      <c r="BL125" s="110"/>
      <c r="BM125" s="110"/>
      <c r="BN125" s="110"/>
      <c r="BO125" s="110"/>
      <c r="BQ125" s="110"/>
      <c r="BR125" s="110"/>
      <c r="BS125" s="110"/>
      <c r="BY125" s="110"/>
    </row>
    <row r="126" customFormat="false" ht="12.75" hidden="false" customHeight="false" outlineLevel="0" collapsed="false">
      <c r="A126" s="161"/>
      <c r="B126" s="118" t="s">
        <v>251</v>
      </c>
      <c r="E126" s="119"/>
      <c r="G126" s="119"/>
      <c r="I126" s="119"/>
      <c r="J126" s="120" t="s">
        <v>141</v>
      </c>
      <c r="L126" s="34" t="s">
        <v>151</v>
      </c>
      <c r="M126" s="110"/>
      <c r="N126" s="110" t="n">
        <v>0</v>
      </c>
      <c r="O126" s="110"/>
      <c r="P126" s="110" t="n">
        <v>0</v>
      </c>
      <c r="Q126" s="110"/>
      <c r="R126" s="110" t="n">
        <v>42500</v>
      </c>
      <c r="S126" s="110"/>
      <c r="T126" s="110" t="n">
        <v>0</v>
      </c>
      <c r="U126" s="110"/>
      <c r="V126" s="110" t="n">
        <v>0</v>
      </c>
      <c r="X126" s="110" t="n">
        <v>15000</v>
      </c>
      <c r="Z126" s="110" t="n">
        <v>10000</v>
      </c>
      <c r="AB126" s="110" t="n">
        <v>10000</v>
      </c>
      <c r="AD126" s="110" t="n">
        <v>7500</v>
      </c>
      <c r="AF126" s="110" t="n">
        <v>0</v>
      </c>
      <c r="AH126" s="110" t="n">
        <v>0</v>
      </c>
      <c r="AJ126" s="110" t="n">
        <v>0</v>
      </c>
      <c r="AL126" s="110" t="n">
        <v>0</v>
      </c>
      <c r="AN126" s="110" t="n">
        <v>0</v>
      </c>
      <c r="AP126" s="110" t="n">
        <v>0</v>
      </c>
      <c r="AR126" s="110" t="n">
        <v>0</v>
      </c>
      <c r="AT126" s="110" t="n">
        <v>1500</v>
      </c>
      <c r="AV126" s="110" t="n">
        <v>15000</v>
      </c>
      <c r="AX126" s="110" t="n">
        <v>3220.61</v>
      </c>
      <c r="AZ126" s="110" t="n">
        <v>7500</v>
      </c>
      <c r="BB126" s="110" t="n">
        <v>5700</v>
      </c>
      <c r="BD126" s="110" t="n">
        <v>0</v>
      </c>
      <c r="BF126" s="110" t="n">
        <v>0</v>
      </c>
      <c r="BH126" s="110" t="n">
        <v>0</v>
      </c>
      <c r="BJ126" s="110" t="n">
        <v>0</v>
      </c>
      <c r="BL126" s="110" t="n">
        <v>0</v>
      </c>
      <c r="BM126" s="110"/>
      <c r="BN126" s="110" t="n">
        <v>0</v>
      </c>
      <c r="BO126" s="110"/>
      <c r="BP126" s="110" t="n">
        <f aca="false">SUM(T126:BO126)</f>
        <v>75420.61</v>
      </c>
      <c r="BQ126" s="110"/>
      <c r="BR126" s="110" t="n">
        <v>1000</v>
      </c>
      <c r="BS126" s="110"/>
      <c r="BT126" s="110" t="n">
        <f aca="false">IF(+R126-BP126+BR126&gt;0,R126-BP126+BR126,0)</f>
        <v>0</v>
      </c>
      <c r="BV126" s="110" t="n">
        <f aca="false">+BP126+BT126</f>
        <v>75420.61</v>
      </c>
      <c r="BX126" s="110" t="n">
        <f aca="false">+R126-BV126</f>
        <v>-32920.61</v>
      </c>
      <c r="BY126" s="110"/>
    </row>
    <row r="127" customFormat="false" ht="12.75" hidden="false" customHeight="false" outlineLevel="0" collapsed="false">
      <c r="A127" s="161"/>
      <c r="B127" s="118" t="s">
        <v>252</v>
      </c>
      <c r="E127" s="119"/>
      <c r="G127" s="119"/>
      <c r="I127" s="119"/>
      <c r="J127" s="120" t="s">
        <v>141</v>
      </c>
      <c r="L127" s="34" t="s">
        <v>151</v>
      </c>
      <c r="M127" s="110"/>
      <c r="O127" s="110"/>
      <c r="Q127" s="110"/>
      <c r="R127" s="110" t="n">
        <v>0</v>
      </c>
      <c r="S127" s="110"/>
      <c r="T127" s="110" t="n">
        <v>0</v>
      </c>
      <c r="U127" s="110"/>
      <c r="V127" s="110" t="n">
        <v>0</v>
      </c>
      <c r="X127" s="110" t="n">
        <v>0</v>
      </c>
      <c r="Z127" s="110" t="n">
        <v>0</v>
      </c>
      <c r="AB127" s="110" t="n">
        <v>0</v>
      </c>
      <c r="AD127" s="110" t="n">
        <v>0</v>
      </c>
      <c r="AF127" s="110" t="n">
        <v>0</v>
      </c>
      <c r="AH127" s="110" t="n">
        <v>0</v>
      </c>
      <c r="AJ127" s="110" t="n">
        <v>0</v>
      </c>
      <c r="AL127" s="110" t="n">
        <v>0</v>
      </c>
      <c r="AN127" s="110" t="n">
        <v>0</v>
      </c>
      <c r="AP127" s="110" t="n">
        <v>0</v>
      </c>
      <c r="AR127" s="110" t="n">
        <v>0</v>
      </c>
      <c r="AT127" s="110" t="n">
        <v>0</v>
      </c>
      <c r="AV127" s="110" t="n">
        <v>0</v>
      </c>
      <c r="AX127" s="110" t="n">
        <v>0</v>
      </c>
      <c r="AZ127" s="110" t="n">
        <v>0</v>
      </c>
      <c r="BB127" s="110" t="n">
        <v>0</v>
      </c>
      <c r="BD127" s="110" t="n">
        <v>0</v>
      </c>
      <c r="BF127" s="110" t="n">
        <v>0</v>
      </c>
      <c r="BH127" s="110" t="n">
        <v>0</v>
      </c>
      <c r="BJ127" s="110" t="n">
        <v>0</v>
      </c>
      <c r="BL127" s="110" t="n">
        <v>0</v>
      </c>
      <c r="BM127" s="110"/>
      <c r="BN127" s="110" t="n">
        <v>0</v>
      </c>
      <c r="BO127" s="110"/>
      <c r="BP127" s="110" t="n">
        <f aca="false">SUM(T127:BO127)</f>
        <v>0</v>
      </c>
      <c r="BQ127" s="110"/>
      <c r="BR127" s="110" t="n">
        <v>0</v>
      </c>
      <c r="BS127" s="110"/>
      <c r="BT127" s="110" t="n">
        <f aca="false">IF(+R127-BP127+BR127&gt;0,R127-BP127+BR127,0)</f>
        <v>0</v>
      </c>
      <c r="BV127" s="110" t="n">
        <f aca="false">+BP127+BT127</f>
        <v>0</v>
      </c>
      <c r="BX127" s="110" t="n">
        <f aca="false">+R127-BV127</f>
        <v>0</v>
      </c>
      <c r="BY127" s="110"/>
    </row>
    <row r="128" customFormat="false" ht="12.75" hidden="false" customHeight="false" outlineLevel="0" collapsed="false">
      <c r="A128" s="161"/>
      <c r="B128" s="118" t="s">
        <v>253</v>
      </c>
      <c r="E128" s="119"/>
      <c r="G128" s="119"/>
      <c r="I128" s="119"/>
      <c r="J128" s="120" t="s">
        <v>141</v>
      </c>
      <c r="L128" s="34" t="s">
        <v>151</v>
      </c>
      <c r="M128" s="110"/>
      <c r="O128" s="110"/>
      <c r="Q128" s="110"/>
      <c r="R128" s="110" t="n">
        <f aca="false">770000-42500</f>
        <v>727500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0</v>
      </c>
      <c r="AB128" s="110"/>
      <c r="AD128" s="110" t="n">
        <v>0</v>
      </c>
      <c r="AF128" s="110" t="n">
        <v>0</v>
      </c>
      <c r="AH128" s="110" t="n">
        <v>0</v>
      </c>
      <c r="AJ128" s="110" t="n">
        <v>0</v>
      </c>
      <c r="AL128" s="110" t="n">
        <f aca="false">101925+797359.26+33000</f>
        <v>932284.26</v>
      </c>
      <c r="AN128" s="110" t="n">
        <f aca="false">127995.16+664.44</f>
        <v>128659.6</v>
      </c>
      <c r="AP128" s="110" t="n">
        <v>8500</v>
      </c>
      <c r="AR128" s="110" t="n">
        <v>5000</v>
      </c>
      <c r="AT128" s="110" t="n">
        <v>257825</v>
      </c>
      <c r="AV128" s="110" t="n">
        <f aca="false">498821.1+2500</f>
        <v>501321.1</v>
      </c>
      <c r="AX128" s="110" t="n">
        <v>-25183</v>
      </c>
      <c r="AZ128" s="110" t="n">
        <v>28975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23213</v>
      </c>
      <c r="BL128" s="110" t="n">
        <v>230000</v>
      </c>
      <c r="BM128" s="110"/>
      <c r="BN128" s="110" t="n">
        <v>0</v>
      </c>
      <c r="BO128" s="110"/>
      <c r="BP128" s="110" t="n">
        <f aca="false">SUM(T128:BO128)</f>
        <v>2090594.96</v>
      </c>
      <c r="BQ128" s="110"/>
      <c r="BR128" s="110" t="n">
        <f aca="false">341944+23213</f>
        <v>365157</v>
      </c>
      <c r="BS128" s="110"/>
      <c r="BT128" s="110" t="n">
        <v>0</v>
      </c>
      <c r="BV128" s="110" t="n">
        <f aca="false">+BP128+BT128</f>
        <v>2090594.96</v>
      </c>
      <c r="BX128" s="110" t="n">
        <f aca="false">+R128-BV128</f>
        <v>-1363094.96</v>
      </c>
      <c r="BY128" s="110"/>
    </row>
    <row r="129" customFormat="false" ht="12.75" hidden="false" customHeight="false" outlineLevel="0" collapsed="false">
      <c r="A129" s="161"/>
      <c r="B129" s="118" t="s">
        <v>254</v>
      </c>
      <c r="E129" s="119"/>
      <c r="G129" s="119"/>
      <c r="I129" s="119"/>
      <c r="J129" s="120" t="s">
        <v>141</v>
      </c>
      <c r="L129" s="34" t="s">
        <v>151</v>
      </c>
      <c r="M129" s="110"/>
      <c r="O129" s="110"/>
      <c r="Q129" s="110"/>
      <c r="R129" s="110" t="n">
        <v>0</v>
      </c>
      <c r="S129" s="110"/>
      <c r="T129" s="110"/>
      <c r="U129" s="110"/>
      <c r="V129" s="110"/>
      <c r="X129" s="110"/>
      <c r="Z129" s="110"/>
      <c r="AB129" s="110"/>
      <c r="AD129" s="110"/>
      <c r="BJ129" s="110"/>
      <c r="BL129" s="110"/>
      <c r="BM129" s="110"/>
      <c r="BN129" s="110"/>
      <c r="BO129" s="110"/>
      <c r="BQ129" s="110"/>
      <c r="BR129" s="110"/>
      <c r="BS129" s="110"/>
      <c r="BT129" s="110" t="n">
        <f aca="false">IF(+R129-BP129+BR129&gt;0,R129-BP129+BR129,0)</f>
        <v>0</v>
      </c>
      <c r="BV129" s="110" t="n">
        <f aca="false">+BP129+BT129</f>
        <v>0</v>
      </c>
      <c r="BX129" s="110" t="n">
        <f aca="false">+R129-BV129</f>
        <v>0</v>
      </c>
      <c r="BY129" s="110"/>
    </row>
    <row r="130" customFormat="false" ht="12.75" hidden="false" customHeight="false" outlineLevel="0" collapsed="false">
      <c r="A130" s="160"/>
      <c r="B130" s="174" t="s">
        <v>255</v>
      </c>
      <c r="C130" s="2"/>
      <c r="D130" s="2"/>
      <c r="E130" s="2"/>
      <c r="F130" s="2"/>
      <c r="G130" s="2"/>
      <c r="H130" s="2"/>
      <c r="I130" s="2"/>
      <c r="J130" s="3"/>
      <c r="K130" s="2"/>
      <c r="L130" s="179"/>
      <c r="M130" s="24"/>
      <c r="N130" s="198" t="n">
        <f aca="false">SUM(N126:N129)</f>
        <v>0</v>
      </c>
      <c r="O130" s="24"/>
      <c r="P130" s="198" t="n">
        <f aca="false">SUM(P126:P129)</f>
        <v>0</v>
      </c>
      <c r="Q130" s="24"/>
      <c r="R130" s="198" t="n">
        <f aca="false">SUM(R126:R129)</f>
        <v>770000</v>
      </c>
      <c r="S130" s="24"/>
      <c r="T130" s="198" t="n">
        <f aca="false">SUM(T126:T129)</f>
        <v>0</v>
      </c>
      <c r="U130" s="24"/>
      <c r="V130" s="198" t="n">
        <f aca="false">SUM(V126:V129)</f>
        <v>0</v>
      </c>
      <c r="W130" s="24"/>
      <c r="X130" s="198" t="n">
        <f aca="false">SUM(X126:X129)</f>
        <v>15000</v>
      </c>
      <c r="Y130" s="24"/>
      <c r="Z130" s="198" t="n">
        <f aca="false">SUM(Z126:Z129)</f>
        <v>10000</v>
      </c>
      <c r="AA130" s="24"/>
      <c r="AB130" s="198" t="n">
        <f aca="false">SUM(AB126:AB129)</f>
        <v>10000</v>
      </c>
      <c r="AC130" s="24"/>
      <c r="AD130" s="198" t="n">
        <f aca="false">SUM(AD126:AD129)</f>
        <v>7500</v>
      </c>
      <c r="AE130" s="24"/>
      <c r="AF130" s="198" t="n">
        <f aca="false">SUM(AF126:AF129)</f>
        <v>0</v>
      </c>
      <c r="AG130" s="24"/>
      <c r="AH130" s="198" t="n">
        <f aca="false">SUM(AH126:AH129)</f>
        <v>0</v>
      </c>
      <c r="AI130" s="24"/>
      <c r="AJ130" s="198" t="n">
        <f aca="false">SUM(AJ126:AJ129)</f>
        <v>0</v>
      </c>
      <c r="AK130" s="24"/>
      <c r="AL130" s="198" t="n">
        <f aca="false">SUM(AL126:AL129)</f>
        <v>932284.26</v>
      </c>
      <c r="AM130" s="24"/>
      <c r="AN130" s="198" t="n">
        <f aca="false">SUM(AN126:AN129)</f>
        <v>128659.6</v>
      </c>
      <c r="AO130" s="24"/>
      <c r="AP130" s="198" t="n">
        <f aca="false">SUM(AP126:AP129)</f>
        <v>8500</v>
      </c>
      <c r="AQ130" s="24"/>
      <c r="AR130" s="198" t="n">
        <f aca="false">SUM(AR126:AR129)</f>
        <v>5000</v>
      </c>
      <c r="AS130" s="24"/>
      <c r="AT130" s="198" t="n">
        <f aca="false">SUM(AT126:AT129)</f>
        <v>259325</v>
      </c>
      <c r="AU130" s="24"/>
      <c r="AV130" s="198" t="n">
        <f aca="false">SUM(AV126:AV129)</f>
        <v>516321.1</v>
      </c>
      <c r="AW130" s="24"/>
      <c r="AX130" s="198" t="n">
        <f aca="false">SUM(AX126:AX129)</f>
        <v>-21962.39</v>
      </c>
      <c r="AY130" s="24"/>
      <c r="AZ130" s="198" t="n">
        <f aca="false">SUM(AZ126:AZ129)</f>
        <v>36475</v>
      </c>
      <c r="BA130" s="24"/>
      <c r="BB130" s="198" t="n">
        <f aca="false">SUM(BB126:BB129)</f>
        <v>5700</v>
      </c>
      <c r="BC130" s="24"/>
      <c r="BD130" s="198" t="n">
        <f aca="false">SUM(BD126:BD129)</f>
        <v>0</v>
      </c>
      <c r="BE130" s="24"/>
      <c r="BF130" s="198" t="n">
        <f aca="false">SUM(BF126:BF129)</f>
        <v>0</v>
      </c>
      <c r="BG130" s="24"/>
      <c r="BH130" s="198" t="n">
        <f aca="false">SUM(BH126:BH129)</f>
        <v>0</v>
      </c>
      <c r="BI130" s="24"/>
      <c r="BJ130" s="198" t="n">
        <f aca="false">SUM(BJ126:BJ129)</f>
        <v>23213</v>
      </c>
      <c r="BK130" s="24"/>
      <c r="BL130" s="198" t="n">
        <f aca="false">SUM(BL126:BL129)</f>
        <v>230000</v>
      </c>
      <c r="BM130" s="198"/>
      <c r="BN130" s="198" t="n">
        <f aca="false">SUM(BN126:BN129)</f>
        <v>0</v>
      </c>
      <c r="BO130" s="198"/>
      <c r="BP130" s="198" t="n">
        <f aca="false">SUM(BP126:BP129)</f>
        <v>2166015.57</v>
      </c>
      <c r="BQ130" s="24"/>
      <c r="BR130" s="198" t="n">
        <f aca="false">SUM(BR126:BR129)</f>
        <v>366157</v>
      </c>
      <c r="BS130" s="24"/>
      <c r="BT130" s="198" t="n">
        <f aca="false">SUM(BT126:BT129)</f>
        <v>0</v>
      </c>
      <c r="BU130" s="24"/>
      <c r="BV130" s="198" t="n">
        <f aca="false">SUM(BV126:BV129)</f>
        <v>2166015.57</v>
      </c>
      <c r="BW130" s="24"/>
      <c r="BX130" s="198" t="n">
        <f aca="false">SUM(BX126:BX129)</f>
        <v>-1396015.57</v>
      </c>
      <c r="BY130" s="24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160"/>
      <c r="B131" s="174"/>
      <c r="C131" s="2"/>
      <c r="D131" s="2"/>
      <c r="E131" s="2"/>
      <c r="F131" s="2"/>
      <c r="G131" s="2"/>
      <c r="H131" s="2"/>
      <c r="I131" s="2"/>
      <c r="J131" s="3"/>
      <c r="K131" s="2"/>
      <c r="L131" s="3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160" t="s">
        <v>256</v>
      </c>
      <c r="B132" s="118"/>
      <c r="C132" s="0"/>
      <c r="D132" s="0"/>
      <c r="E132" s="0"/>
      <c r="F132" s="0"/>
      <c r="G132" s="0"/>
      <c r="H132" s="0"/>
      <c r="I132" s="0"/>
      <c r="J132" s="4"/>
      <c r="K132" s="0"/>
      <c r="L132" s="34"/>
      <c r="M132" s="110"/>
      <c r="O132" s="110"/>
      <c r="Q132" s="110"/>
      <c r="S132" s="110"/>
      <c r="T132" s="110"/>
      <c r="U132" s="110"/>
      <c r="V132" s="110"/>
      <c r="X132" s="110"/>
      <c r="Z132" s="110"/>
      <c r="AB132" s="110"/>
      <c r="AD132" s="110"/>
      <c r="BJ132" s="110"/>
      <c r="BL132" s="110"/>
      <c r="BM132" s="110"/>
      <c r="BN132" s="110"/>
      <c r="BO132" s="110"/>
      <c r="BQ132" s="110"/>
      <c r="BR132" s="110"/>
      <c r="BS132" s="110"/>
      <c r="BY132" s="110"/>
    </row>
    <row r="133" customFormat="false" ht="12.75" hidden="false" customHeight="false" outlineLevel="0" collapsed="false">
      <c r="A133" s="160"/>
      <c r="B133" s="118" t="s">
        <v>257</v>
      </c>
      <c r="C133" s="0"/>
      <c r="D133" s="0"/>
      <c r="E133" s="0"/>
      <c r="F133" s="0"/>
      <c r="G133" s="0"/>
      <c r="H133" s="0"/>
      <c r="I133" s="0"/>
      <c r="J133" s="4"/>
      <c r="K133" s="0"/>
      <c r="L133" s="34" t="s">
        <v>258</v>
      </c>
      <c r="M133" s="110"/>
      <c r="N133" s="110" t="n">
        <v>0</v>
      </c>
      <c r="O133" s="110"/>
      <c r="P133" s="110" t="n">
        <v>0</v>
      </c>
      <c r="Q133" s="110"/>
      <c r="S133" s="110"/>
      <c r="T133" s="110" t="n">
        <v>0</v>
      </c>
      <c r="U133" s="110"/>
      <c r="V133" s="110" t="n">
        <v>0</v>
      </c>
      <c r="X133" s="110" t="n">
        <v>0</v>
      </c>
      <c r="Z133" s="110" t="n">
        <v>0</v>
      </c>
      <c r="AB133" s="110" t="n">
        <v>0</v>
      </c>
      <c r="AD133" s="110"/>
      <c r="AF133" s="110" t="n">
        <v>0</v>
      </c>
      <c r="AH133" s="110" t="n">
        <v>0</v>
      </c>
      <c r="AJ133" s="110" t="n">
        <v>0</v>
      </c>
      <c r="AL133" s="110" t="n">
        <v>0</v>
      </c>
      <c r="AN133" s="110" t="n">
        <v>0</v>
      </c>
      <c r="AP133" s="110" t="n">
        <v>0</v>
      </c>
      <c r="AR133" s="110" t="n">
        <v>0</v>
      </c>
      <c r="AT133" s="110" t="n">
        <v>0</v>
      </c>
      <c r="AV133" s="110" t="n">
        <v>0</v>
      </c>
      <c r="AX133" s="110" t="n">
        <v>0</v>
      </c>
      <c r="AZ133" s="110" t="n">
        <v>0</v>
      </c>
      <c r="BB133" s="110" t="n">
        <v>0</v>
      </c>
      <c r="BD133" s="110" t="n">
        <v>0</v>
      </c>
      <c r="BF133" s="110" t="n">
        <v>0</v>
      </c>
      <c r="BH133" s="110" t="n">
        <v>0</v>
      </c>
      <c r="BJ133" s="110" t="n">
        <v>0</v>
      </c>
      <c r="BL133" s="110" t="n">
        <v>0</v>
      </c>
      <c r="BM133" s="110"/>
      <c r="BN133" s="110" t="n">
        <v>0</v>
      </c>
      <c r="BO133" s="110"/>
      <c r="BP133" s="110" t="n">
        <f aca="false">SUM(T133:BO133)</f>
        <v>0</v>
      </c>
      <c r="BQ133" s="110"/>
      <c r="BR133" s="110" t="n">
        <v>0</v>
      </c>
      <c r="BS133" s="110"/>
      <c r="BT133" s="110" t="n">
        <f aca="false">IF(+R133-BP133+BR133&gt;0,R133-BP133+BR133,0)</f>
        <v>0</v>
      </c>
      <c r="BV133" s="110" t="n">
        <f aca="false">+BP133+BT133</f>
        <v>0</v>
      </c>
      <c r="BX133" s="110" t="n">
        <f aca="false">+R133-BV133</f>
        <v>0</v>
      </c>
      <c r="BY133" s="110"/>
    </row>
    <row r="134" customFormat="false" ht="12.75" hidden="false" customHeight="false" outlineLevel="0" collapsed="false">
      <c r="A134" s="164"/>
      <c r="B134" s="161" t="s">
        <v>259</v>
      </c>
      <c r="C134" s="0"/>
      <c r="D134" s="0"/>
      <c r="E134" s="0"/>
      <c r="F134" s="0"/>
      <c r="G134" s="0"/>
      <c r="H134" s="0"/>
      <c r="I134" s="0"/>
      <c r="J134" s="4"/>
      <c r="K134" s="0"/>
      <c r="L134" s="34" t="s">
        <v>258</v>
      </c>
      <c r="M134" s="110"/>
      <c r="N134" s="110" t="n">
        <v>0</v>
      </c>
      <c r="O134" s="110"/>
      <c r="P134" s="110" t="n">
        <v>0</v>
      </c>
      <c r="Q134" s="110"/>
      <c r="S134" s="110"/>
      <c r="T134" s="110" t="n">
        <v>0</v>
      </c>
      <c r="U134" s="110"/>
      <c r="V134" s="110" t="n">
        <v>0</v>
      </c>
      <c r="X134" s="110" t="n">
        <v>0</v>
      </c>
      <c r="Z134" s="110" t="n">
        <v>0</v>
      </c>
      <c r="AB134" s="110" t="n">
        <v>0</v>
      </c>
      <c r="AD134" s="110"/>
      <c r="AF134" s="110" t="n">
        <v>0</v>
      </c>
      <c r="AH134" s="110" t="n">
        <v>0</v>
      </c>
      <c r="AJ134" s="110" t="n">
        <v>0</v>
      </c>
      <c r="AL134" s="110" t="n">
        <v>0</v>
      </c>
      <c r="AN134" s="110" t="n">
        <v>0</v>
      </c>
      <c r="AP134" s="110" t="n">
        <v>0</v>
      </c>
      <c r="AR134" s="110" t="n">
        <v>0</v>
      </c>
      <c r="AT134" s="110" t="n">
        <v>0</v>
      </c>
      <c r="AV134" s="110" t="n">
        <v>0</v>
      </c>
      <c r="AX134" s="110" t="n">
        <v>0</v>
      </c>
      <c r="AZ134" s="110" t="n">
        <v>0</v>
      </c>
      <c r="BB134" s="110" t="n">
        <v>0</v>
      </c>
      <c r="BD134" s="110" t="n">
        <v>0</v>
      </c>
      <c r="BF134" s="110" t="n">
        <v>0</v>
      </c>
      <c r="BH134" s="110" t="n">
        <v>0</v>
      </c>
      <c r="BJ134" s="110" t="n">
        <v>0</v>
      </c>
      <c r="BL134" s="110" t="n">
        <v>0</v>
      </c>
      <c r="BM134" s="110"/>
      <c r="BN134" s="110" t="n">
        <v>0</v>
      </c>
      <c r="BO134" s="110"/>
      <c r="BP134" s="110" t="n">
        <f aca="false">SUM(T134:BO134)</f>
        <v>0</v>
      </c>
      <c r="BQ134" s="110"/>
      <c r="BR134" s="110" t="n">
        <v>0</v>
      </c>
      <c r="BS134" s="110"/>
      <c r="BT134" s="110" t="n">
        <f aca="false">IF(+R134-BP134+BR134&gt;0,R134-BP134+BR134,0)</f>
        <v>0</v>
      </c>
      <c r="BV134" s="110" t="n">
        <f aca="false">+BP134+BT134</f>
        <v>0</v>
      </c>
      <c r="BX134" s="110" t="n">
        <f aca="false">+R134-BV134</f>
        <v>0</v>
      </c>
      <c r="BY134" s="110"/>
    </row>
    <row r="135" customFormat="false" ht="12.75" hidden="false" customHeight="false" outlineLevel="0" collapsed="false">
      <c r="A135" s="164"/>
      <c r="B135" s="161" t="s">
        <v>260</v>
      </c>
      <c r="C135" s="0"/>
      <c r="D135" s="0"/>
      <c r="E135" s="0"/>
      <c r="F135" s="0"/>
      <c r="G135" s="0"/>
      <c r="H135" s="0"/>
      <c r="I135" s="0"/>
      <c r="J135" s="4"/>
      <c r="K135" s="0"/>
      <c r="L135" s="34" t="s">
        <v>258</v>
      </c>
      <c r="M135" s="110"/>
      <c r="O135" s="110"/>
      <c r="P135" s="110" t="n">
        <v>0</v>
      </c>
      <c r="Q135" s="110"/>
      <c r="R135" s="110" t="n">
        <v>450000</v>
      </c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f aca="false">17200+23635.1+13005.59</f>
        <v>53840.69</v>
      </c>
      <c r="AB135" s="110" t="n">
        <f aca="false">60240.81+22098.49</f>
        <v>82339.3</v>
      </c>
      <c r="AD135" s="110" t="n">
        <v>9930.43</v>
      </c>
      <c r="AF135" s="110" t="n">
        <v>32110.8</v>
      </c>
      <c r="AH135" s="110" t="n">
        <v>22234</v>
      </c>
      <c r="AJ135" s="110" t="n">
        <v>64176.31</v>
      </c>
      <c r="AL135" s="110" t="n">
        <v>27327.91</v>
      </c>
      <c r="AN135" s="110" t="n">
        <v>8595.51</v>
      </c>
      <c r="AP135" s="110" t="n">
        <v>47810.12</v>
      </c>
      <c r="AR135" s="110" t="n">
        <f aca="false">1812+9493.06</f>
        <v>11305.06</v>
      </c>
      <c r="AT135" s="110" t="n">
        <v>28715.83</v>
      </c>
      <c r="AV135" s="110" t="n">
        <v>31364.26</v>
      </c>
      <c r="AX135" s="110" t="n">
        <v>9815.23</v>
      </c>
      <c r="AZ135" s="110" t="n">
        <v>0</v>
      </c>
      <c r="BB135" s="110" t="n">
        <v>2925.2</v>
      </c>
      <c r="BD135" s="110" t="n">
        <v>16444.66</v>
      </c>
      <c r="BF135" s="110" t="n">
        <v>12076.23</v>
      </c>
      <c r="BH135" s="110" t="n">
        <f aca="false">2692.67+855.07</f>
        <v>3547.74</v>
      </c>
      <c r="BJ135" s="110" t="n">
        <v>8057</v>
      </c>
      <c r="BL135" s="110"/>
      <c r="BM135" s="110"/>
      <c r="BN135" s="110"/>
      <c r="BO135" s="110"/>
      <c r="BP135" s="110" t="n">
        <f aca="false">SUM(T135:BO135)</f>
        <v>472616.28</v>
      </c>
      <c r="BQ135" s="110"/>
      <c r="BR135" s="110" t="n">
        <v>0</v>
      </c>
      <c r="BS135" s="110"/>
      <c r="BT135" s="110" t="n">
        <f aca="false">IF(+R135-BP135+BR135&gt;0,R135-BP135+BR135,0)</f>
        <v>0</v>
      </c>
      <c r="BV135" s="110" t="n">
        <f aca="false">+BP135+BT135</f>
        <v>472616.28</v>
      </c>
      <c r="BX135" s="110" t="n">
        <f aca="false">+R135-BV135</f>
        <v>-22616.28</v>
      </c>
      <c r="BY135" s="110"/>
    </row>
    <row r="136" customFormat="false" ht="12.75" hidden="false" customHeight="false" outlineLevel="0" collapsed="false">
      <c r="A136" s="164"/>
      <c r="B136" s="161"/>
      <c r="C136" s="0"/>
      <c r="D136" s="0"/>
      <c r="E136" s="0"/>
      <c r="F136" s="0"/>
      <c r="G136" s="0"/>
      <c r="H136" s="0"/>
      <c r="I136" s="0"/>
      <c r="J136" s="4"/>
      <c r="K136" s="0"/>
      <c r="L136" s="34"/>
      <c r="M136" s="110"/>
      <c r="O136" s="110"/>
      <c r="Q136" s="110"/>
      <c r="S136" s="110"/>
      <c r="T136" s="110"/>
      <c r="U136" s="110"/>
      <c r="V136" s="110"/>
      <c r="X136" s="110"/>
      <c r="Z136" s="110"/>
      <c r="AB136" s="110"/>
      <c r="AD136" s="110"/>
      <c r="BJ136" s="110"/>
      <c r="BL136" s="110"/>
      <c r="BM136" s="110"/>
      <c r="BN136" s="110"/>
      <c r="BO136" s="110"/>
      <c r="BQ136" s="110"/>
      <c r="BR136" s="110"/>
      <c r="BS136" s="110"/>
      <c r="BY136" s="110"/>
    </row>
    <row r="137" customFormat="false" ht="12.75" hidden="false" customHeight="false" outlineLevel="0" collapsed="false">
      <c r="A137" s="177"/>
      <c r="B137" s="160" t="s">
        <v>262</v>
      </c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198" t="n">
        <f aca="false">SUM(N133:N136)</f>
        <v>0</v>
      </c>
      <c r="O137" s="24"/>
      <c r="P137" s="198" t="n">
        <f aca="false">SUM(P133:P136)</f>
        <v>0</v>
      </c>
      <c r="Q137" s="24"/>
      <c r="R137" s="198" t="n">
        <f aca="false">SUM(R133:R136)</f>
        <v>450000</v>
      </c>
      <c r="S137" s="24"/>
      <c r="T137" s="198" t="n">
        <f aca="false">SUM(T133:T136)</f>
        <v>0</v>
      </c>
      <c r="U137" s="24"/>
      <c r="V137" s="198" t="n">
        <f aca="false">SUM(V133:V136)</f>
        <v>0</v>
      </c>
      <c r="W137" s="24"/>
      <c r="X137" s="198" t="n">
        <f aca="false">SUM(X133:X136)</f>
        <v>0</v>
      </c>
      <c r="Y137" s="24"/>
      <c r="Z137" s="198" t="n">
        <f aca="false">SUM(Z133:Z136)</f>
        <v>53840.69</v>
      </c>
      <c r="AA137" s="24"/>
      <c r="AB137" s="198" t="n">
        <f aca="false">SUM(AB133:AB136)</f>
        <v>82339.3</v>
      </c>
      <c r="AC137" s="24"/>
      <c r="AD137" s="198" t="n">
        <f aca="false">SUM(AD133:AD136)</f>
        <v>9930.43</v>
      </c>
      <c r="AE137" s="24"/>
      <c r="AF137" s="198" t="n">
        <f aca="false">SUM(AF133:AF136)</f>
        <v>32110.8</v>
      </c>
      <c r="AG137" s="24"/>
      <c r="AH137" s="198" t="n">
        <f aca="false">SUM(AH133:AH136)</f>
        <v>22234</v>
      </c>
      <c r="AI137" s="24"/>
      <c r="AJ137" s="198" t="n">
        <f aca="false">SUM(AJ133:AJ136)</f>
        <v>64176.31</v>
      </c>
      <c r="AK137" s="24"/>
      <c r="AL137" s="198" t="n">
        <f aca="false">SUM(AL133:AL136)</f>
        <v>27327.91</v>
      </c>
      <c r="AM137" s="24"/>
      <c r="AN137" s="198" t="n">
        <f aca="false">SUM(AN133:AN136)</f>
        <v>8595.51</v>
      </c>
      <c r="AO137" s="24"/>
      <c r="AP137" s="198" t="n">
        <f aca="false">SUM(AP133:AP136)</f>
        <v>47810.12</v>
      </c>
      <c r="AQ137" s="24"/>
      <c r="AR137" s="198" t="n">
        <f aca="false">SUM(AR133:AR136)</f>
        <v>11305.06</v>
      </c>
      <c r="AS137" s="24"/>
      <c r="AT137" s="198" t="n">
        <f aca="false">SUM(AT133:AT136)</f>
        <v>28715.83</v>
      </c>
      <c r="AU137" s="24"/>
      <c r="AV137" s="198" t="n">
        <f aca="false">SUM(AV133:AV136)</f>
        <v>31364.26</v>
      </c>
      <c r="AW137" s="24"/>
      <c r="AX137" s="198" t="n">
        <f aca="false">SUM(AX133:AX136)</f>
        <v>9815.23</v>
      </c>
      <c r="AY137" s="24"/>
      <c r="AZ137" s="198" t="n">
        <f aca="false">SUM(AZ133:AZ136)</f>
        <v>0</v>
      </c>
      <c r="BA137" s="24"/>
      <c r="BB137" s="198" t="n">
        <f aca="false">SUM(BB133:BB136)</f>
        <v>2925.2</v>
      </c>
      <c r="BC137" s="24"/>
      <c r="BD137" s="198" t="n">
        <f aca="false">SUM(BD133:BD136)</f>
        <v>16444.66</v>
      </c>
      <c r="BE137" s="24"/>
      <c r="BF137" s="198" t="n">
        <f aca="false">SUM(BF133:BF136)</f>
        <v>12076.23</v>
      </c>
      <c r="BG137" s="24"/>
      <c r="BH137" s="198" t="n">
        <f aca="false">SUM(BH133:BH136)</f>
        <v>3547.74</v>
      </c>
      <c r="BI137" s="24"/>
      <c r="BJ137" s="198" t="n">
        <f aca="false">SUM(BJ133:BJ136)</f>
        <v>8057</v>
      </c>
      <c r="BK137" s="24"/>
      <c r="BL137" s="198" t="n">
        <f aca="false">SUM(BL133:BL136)</f>
        <v>0</v>
      </c>
      <c r="BM137" s="198"/>
      <c r="BN137" s="198" t="n">
        <f aca="false">SUM(BN133:BN136)</f>
        <v>0</v>
      </c>
      <c r="BO137" s="198"/>
      <c r="BP137" s="198" t="n">
        <f aca="false">SUM(BP133:BP136)</f>
        <v>472616.28</v>
      </c>
      <c r="BQ137" s="24"/>
      <c r="BR137" s="198" t="n">
        <f aca="false">SUM(BR133:BR136)</f>
        <v>0</v>
      </c>
      <c r="BS137" s="24"/>
      <c r="BT137" s="198" t="n">
        <f aca="false">SUM(BT133:BT136)</f>
        <v>0</v>
      </c>
      <c r="BU137" s="24"/>
      <c r="BV137" s="198" t="n">
        <f aca="false">SUM(BV133:BV136)</f>
        <v>472616.28</v>
      </c>
      <c r="BW137" s="24"/>
      <c r="BX137" s="198" t="n">
        <f aca="false">SUM(BX133:BX136)</f>
        <v>-22616.28</v>
      </c>
      <c r="BY137" s="24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false" customHeight="false" outlineLevel="0" collapsed="false">
      <c r="A138" s="177"/>
      <c r="B138" s="160"/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60" t="s">
        <v>460</v>
      </c>
      <c r="B139" s="174"/>
      <c r="C139" s="2"/>
      <c r="D139" s="2"/>
      <c r="E139" s="2"/>
      <c r="F139" s="2"/>
      <c r="G139" s="2"/>
      <c r="H139" s="2"/>
      <c r="I139" s="2"/>
      <c r="J139" s="3" t="s">
        <v>141</v>
      </c>
      <c r="K139" s="2"/>
      <c r="L139" s="34" t="s">
        <v>151</v>
      </c>
      <c r="M139" s="24"/>
      <c r="N139" s="24" t="n">
        <v>0</v>
      </c>
      <c r="O139" s="24"/>
      <c r="P139" s="24" t="n">
        <v>0</v>
      </c>
      <c r="Q139" s="24"/>
      <c r="R139" s="24" t="n">
        <v>5000000</v>
      </c>
      <c r="S139" s="24"/>
      <c r="T139" s="24" t="n">
        <v>0</v>
      </c>
      <c r="U139" s="24"/>
      <c r="V139" s="24" t="n">
        <v>0</v>
      </c>
      <c r="W139" s="24"/>
      <c r="X139" s="24" t="n">
        <v>0</v>
      </c>
      <c r="Y139" s="24"/>
      <c r="Z139" s="24" t="n">
        <v>0</v>
      </c>
      <c r="AA139" s="24"/>
      <c r="AB139" s="24" t="n">
        <v>0</v>
      </c>
      <c r="AC139" s="24"/>
      <c r="AD139" s="24" t="n">
        <v>0</v>
      </c>
      <c r="AE139" s="24"/>
      <c r="AF139" s="24" t="n">
        <v>0</v>
      </c>
      <c r="AG139" s="24"/>
      <c r="AH139" s="24" t="n">
        <v>0</v>
      </c>
      <c r="AI139" s="24"/>
      <c r="AJ139" s="24" t="n">
        <v>0</v>
      </c>
      <c r="AK139" s="24"/>
      <c r="AL139" s="24" t="n">
        <v>10000</v>
      </c>
      <c r="AM139" s="24"/>
      <c r="AN139" s="24" t="n">
        <v>0</v>
      </c>
      <c r="AO139" s="24"/>
      <c r="AP139" s="24" t="n">
        <v>0</v>
      </c>
      <c r="AQ139" s="24"/>
      <c r="AR139" s="24" t="n">
        <v>15000</v>
      </c>
      <c r="AS139" s="24"/>
      <c r="AT139" s="24" t="n">
        <v>9120</v>
      </c>
      <c r="AU139" s="24"/>
      <c r="AV139" s="24" t="n">
        <v>0</v>
      </c>
      <c r="AW139" s="24"/>
      <c r="AX139" s="24" t="n">
        <v>0</v>
      </c>
      <c r="AY139" s="24"/>
      <c r="AZ139" s="24" t="n">
        <v>0</v>
      </c>
      <c r="BA139" s="24"/>
      <c r="BB139" s="24" t="n">
        <v>0</v>
      </c>
      <c r="BC139" s="24"/>
      <c r="BD139" s="24" t="n">
        <v>20001.05</v>
      </c>
      <c r="BE139" s="24"/>
      <c r="BF139" s="24" t="n">
        <v>297614.54</v>
      </c>
      <c r="BG139" s="24"/>
      <c r="BH139" s="24" t="n">
        <f aca="false">8574.67+1291.78+43955.75</f>
        <v>53822.2</v>
      </c>
      <c r="BI139" s="24"/>
      <c r="BJ139" s="24" t="n">
        <f aca="false">1219+12325+5498</f>
        <v>19042</v>
      </c>
      <c r="BK139" s="24"/>
      <c r="BL139" s="24" t="n">
        <v>235548</v>
      </c>
      <c r="BM139" s="24"/>
      <c r="BN139" s="24" t="n">
        <v>5978</v>
      </c>
      <c r="BO139" s="24"/>
      <c r="BP139" s="24" t="n">
        <f aca="false">SUM(T139:BO139)</f>
        <v>666125.79</v>
      </c>
      <c r="BQ139" s="24"/>
      <c r="BR139" s="24" t="n">
        <v>-4000000</v>
      </c>
      <c r="BS139" s="24"/>
      <c r="BT139" s="110" t="n">
        <f aca="false">400000-BL139</f>
        <v>164452</v>
      </c>
      <c r="BU139" s="24"/>
      <c r="BV139" s="24" t="n">
        <f aca="false">+BP139+BT139</f>
        <v>830577.79</v>
      </c>
      <c r="BW139" s="24"/>
      <c r="BX139" s="24" t="n">
        <f aca="false">+R139-BV139</f>
        <v>4169422.21</v>
      </c>
      <c r="BY139" s="24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77"/>
      <c r="B140" s="160"/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60" t="s">
        <v>264</v>
      </c>
      <c r="B141" s="174"/>
      <c r="C141" s="2"/>
      <c r="D141" s="2"/>
      <c r="E141" s="2"/>
      <c r="F141" s="2"/>
      <c r="G141" s="2"/>
      <c r="H141" s="2"/>
      <c r="I141" s="2"/>
      <c r="J141" s="3" t="s">
        <v>141</v>
      </c>
      <c r="K141" s="2"/>
      <c r="L141" s="34" t="s">
        <v>151</v>
      </c>
      <c r="M141" s="24"/>
      <c r="N141" s="24" t="n">
        <v>0</v>
      </c>
      <c r="O141" s="24"/>
      <c r="P141" s="24" t="n">
        <v>0</v>
      </c>
      <c r="Q141" s="24"/>
      <c r="R141" s="24" t="n">
        <v>1500000</v>
      </c>
      <c r="S141" s="24"/>
      <c r="T141" s="24" t="n">
        <v>0</v>
      </c>
      <c r="U141" s="24"/>
      <c r="V141" s="24" t="n">
        <v>0</v>
      </c>
      <c r="W141" s="24"/>
      <c r="X141" s="24" t="n">
        <v>0</v>
      </c>
      <c r="Y141" s="24"/>
      <c r="Z141" s="24" t="n">
        <v>0</v>
      </c>
      <c r="AA141" s="24"/>
      <c r="AB141" s="24" t="n">
        <v>0</v>
      </c>
      <c r="AC141" s="24"/>
      <c r="AD141" s="24" t="n">
        <v>0</v>
      </c>
      <c r="AE141" s="24"/>
      <c r="AF141" s="24" t="n">
        <v>0</v>
      </c>
      <c r="AG141" s="24"/>
      <c r="AH141" s="24" t="n">
        <v>0</v>
      </c>
      <c r="AI141" s="24"/>
      <c r="AJ141" s="24" t="n">
        <v>0</v>
      </c>
      <c r="AK141" s="24"/>
      <c r="AL141" s="24" t="n">
        <v>0</v>
      </c>
      <c r="AM141" s="24"/>
      <c r="AN141" s="24" t="n">
        <v>0</v>
      </c>
      <c r="AO141" s="24"/>
      <c r="AP141" s="24" t="n">
        <v>0</v>
      </c>
      <c r="AQ141" s="24"/>
      <c r="AR141" s="24" t="n">
        <v>946000</v>
      </c>
      <c r="AS141" s="24"/>
      <c r="AT141" s="24" t="n">
        <v>0</v>
      </c>
      <c r="AU141" s="24"/>
      <c r="AV141" s="24" t="n">
        <v>0</v>
      </c>
      <c r="AW141" s="24"/>
      <c r="AX141" s="24" t="n">
        <v>385500</v>
      </c>
      <c r="AY141" s="24"/>
      <c r="AZ141" s="24" t="n">
        <v>0</v>
      </c>
      <c r="BA141" s="24"/>
      <c r="BB141" s="24" t="n">
        <v>0</v>
      </c>
      <c r="BC141" s="24"/>
      <c r="BD141" s="24" t="n">
        <v>0</v>
      </c>
      <c r="BE141" s="24"/>
      <c r="BF141" s="24" t="n">
        <v>0</v>
      </c>
      <c r="BG141" s="24"/>
      <c r="BH141" s="24" t="n">
        <v>0</v>
      </c>
      <c r="BI141" s="24"/>
      <c r="BJ141" s="24" t="n">
        <v>0</v>
      </c>
      <c r="BK141" s="24"/>
      <c r="BL141" s="24" t="n">
        <v>0</v>
      </c>
      <c r="BM141" s="24"/>
      <c r="BN141" s="24" t="n">
        <v>0</v>
      </c>
      <c r="BO141" s="24"/>
      <c r="BP141" s="24" t="n">
        <f aca="false">SUM(T141:BO141)</f>
        <v>1331500</v>
      </c>
      <c r="BQ141" s="24"/>
      <c r="BR141" s="24" t="n">
        <v>0</v>
      </c>
      <c r="BS141" s="24"/>
      <c r="BT141" s="110" t="n">
        <f aca="false">IF(+R141-BP141+BR141&gt;0,R141-BP141+BR141,0)</f>
        <v>168500</v>
      </c>
      <c r="BU141" s="24"/>
      <c r="BV141" s="24" t="n">
        <f aca="false">+BP141+BT141</f>
        <v>1500000</v>
      </c>
      <c r="BW141" s="24"/>
      <c r="BX141" s="24" t="n">
        <f aca="false">+R141-BV141</f>
        <v>0</v>
      </c>
      <c r="BY141" s="24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7"/>
      <c r="B142" s="160"/>
      <c r="C142" s="2"/>
      <c r="D142" s="2"/>
      <c r="E142" s="2"/>
      <c r="F142" s="2"/>
      <c r="G142" s="2"/>
      <c r="H142" s="2"/>
      <c r="I142" s="2"/>
      <c r="J142" s="3"/>
      <c r="K142" s="2"/>
      <c r="L142" s="179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97" t="s">
        <v>265</v>
      </c>
      <c r="B143" s="164"/>
      <c r="C143" s="0"/>
      <c r="D143" s="0"/>
      <c r="E143" s="0"/>
      <c r="F143" s="0"/>
      <c r="G143" s="0"/>
      <c r="H143" s="0"/>
      <c r="I143" s="0"/>
      <c r="J143" s="4"/>
      <c r="K143" s="0"/>
      <c r="L143" s="34"/>
      <c r="M143" s="110"/>
      <c r="O143" s="110"/>
      <c r="Q143" s="110"/>
      <c r="S143" s="110"/>
      <c r="T143" s="110"/>
      <c r="U143" s="110"/>
      <c r="V143" s="110"/>
      <c r="X143" s="110"/>
      <c r="Z143" s="110"/>
      <c r="AB143" s="110"/>
      <c r="AD143" s="110"/>
      <c r="BJ143" s="110"/>
      <c r="BL143" s="110"/>
      <c r="BM143" s="110"/>
      <c r="BN143" s="110"/>
      <c r="BO143" s="110"/>
      <c r="BQ143" s="110"/>
      <c r="BR143" s="110"/>
      <c r="BS143" s="110"/>
      <c r="BY143" s="110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  <c r="IR143" s="194"/>
      <c r="IS143" s="194"/>
      <c r="IT143" s="194"/>
      <c r="IU143" s="194"/>
      <c r="IV143" s="194"/>
      <c r="IW143" s="194"/>
    </row>
    <row r="144" customFormat="false" ht="12.75" hidden="true" customHeight="false" outlineLevel="0" collapsed="false">
      <c r="A144" s="196"/>
      <c r="B144" s="164" t="s">
        <v>266</v>
      </c>
      <c r="C144" s="0"/>
      <c r="D144" s="0"/>
      <c r="E144" s="0"/>
      <c r="F144" s="0"/>
      <c r="G144" s="0"/>
      <c r="H144" s="0"/>
      <c r="I144" s="0"/>
      <c r="J144" s="4"/>
      <c r="K144" s="0"/>
      <c r="L144" s="34" t="s">
        <v>151</v>
      </c>
      <c r="M144" s="110"/>
      <c r="N144" s="110" t="n">
        <v>0</v>
      </c>
      <c r="O144" s="110"/>
      <c r="P144" s="110" t="n">
        <v>0</v>
      </c>
      <c r="Q144" s="110"/>
      <c r="R144" s="110" t="n">
        <f aca="false">+N144+P144</f>
        <v>0</v>
      </c>
      <c r="S144" s="110"/>
      <c r="T144" s="110" t="n">
        <v>0</v>
      </c>
      <c r="U144" s="110"/>
      <c r="V144" s="110" t="n">
        <v>0</v>
      </c>
      <c r="X144" s="110" t="n">
        <v>0</v>
      </c>
      <c r="Z144" s="110" t="n">
        <v>0</v>
      </c>
      <c r="AB144" s="110" t="n">
        <v>0</v>
      </c>
      <c r="AD144" s="110" t="n">
        <v>0</v>
      </c>
      <c r="AF144" s="110" t="n">
        <v>0</v>
      </c>
      <c r="AH144" s="110" t="n">
        <v>0</v>
      </c>
      <c r="AJ144" s="110" t="n">
        <v>0</v>
      </c>
      <c r="AL144" s="110" t="n">
        <v>0</v>
      </c>
      <c r="AN144" s="110" t="n">
        <v>0</v>
      </c>
      <c r="AP144" s="110" t="n">
        <v>0</v>
      </c>
      <c r="AR144" s="110" t="n">
        <v>0</v>
      </c>
      <c r="AT144" s="110" t="n">
        <v>0</v>
      </c>
      <c r="AV144" s="110" t="n">
        <v>0</v>
      </c>
      <c r="AX144" s="110" t="n">
        <v>0</v>
      </c>
      <c r="AZ144" s="110" t="n">
        <v>0</v>
      </c>
      <c r="BB144" s="110" t="n">
        <v>0</v>
      </c>
      <c r="BD144" s="110" t="n">
        <v>0</v>
      </c>
      <c r="BF144" s="110" t="n">
        <v>0</v>
      </c>
      <c r="BH144" s="110" t="n">
        <v>0</v>
      </c>
      <c r="BJ144" s="110" t="n">
        <v>0</v>
      </c>
      <c r="BL144" s="110" t="n">
        <v>0</v>
      </c>
      <c r="BM144" s="110"/>
      <c r="BN144" s="110" t="n">
        <v>0</v>
      </c>
      <c r="BO144" s="110"/>
      <c r="BP144" s="110" t="n">
        <f aca="false">SUM(T144:BL144)</f>
        <v>0</v>
      </c>
      <c r="BQ144" s="110"/>
      <c r="BR144" s="110" t="n">
        <v>0</v>
      </c>
      <c r="BS144" s="110"/>
      <c r="BT144" s="110" t="n">
        <f aca="false">+R144-BP144+BR144</f>
        <v>0</v>
      </c>
      <c r="BV144" s="110" t="n">
        <f aca="false">+BP144+BT144</f>
        <v>0</v>
      </c>
      <c r="BX144" s="110" t="n">
        <f aca="false">+R144-BV144</f>
        <v>0</v>
      </c>
      <c r="BY144" s="110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4"/>
      <c r="DB144" s="194"/>
      <c r="DC144" s="194"/>
      <c r="DD144" s="194"/>
      <c r="DE144" s="194"/>
      <c r="DF144" s="194"/>
      <c r="DG144" s="194"/>
      <c r="DH144" s="194"/>
      <c r="DI144" s="194"/>
      <c r="DJ144" s="194"/>
      <c r="DK144" s="194"/>
      <c r="DL144" s="194"/>
      <c r="DM144" s="194"/>
      <c r="DN144" s="194"/>
      <c r="DO144" s="194"/>
      <c r="DP144" s="194"/>
      <c r="DQ144" s="194"/>
      <c r="DR144" s="194"/>
      <c r="DS144" s="194"/>
      <c r="DT144" s="194"/>
      <c r="DU144" s="194"/>
      <c r="DV144" s="194"/>
      <c r="DW144" s="194"/>
      <c r="DX144" s="194"/>
      <c r="DY144" s="194"/>
      <c r="DZ144" s="194"/>
      <c r="EA144" s="194"/>
      <c r="EB144" s="194"/>
      <c r="EC144" s="194"/>
      <c r="ED144" s="194"/>
      <c r="EE144" s="194"/>
      <c r="EF144" s="194"/>
      <c r="EG144" s="194"/>
      <c r="EH144" s="194"/>
      <c r="EI144" s="194"/>
      <c r="EJ144" s="194"/>
      <c r="EK144" s="194"/>
      <c r="EL144" s="194"/>
      <c r="EM144" s="194"/>
      <c r="EN144" s="194"/>
      <c r="EO144" s="194"/>
      <c r="EP144" s="194"/>
      <c r="EQ144" s="194"/>
      <c r="ER144" s="194"/>
      <c r="ES144" s="194"/>
      <c r="ET144" s="194"/>
      <c r="EU144" s="194"/>
      <c r="EV144" s="194"/>
      <c r="EW144" s="194"/>
      <c r="EX144" s="194"/>
      <c r="EY144" s="194"/>
      <c r="EZ144" s="194"/>
      <c r="FA144" s="194"/>
      <c r="FB144" s="194"/>
      <c r="FC144" s="194"/>
      <c r="FD144" s="194"/>
      <c r="FE144" s="194"/>
      <c r="FF144" s="194"/>
      <c r="FG144" s="194"/>
      <c r="FH144" s="194"/>
      <c r="FI144" s="194"/>
      <c r="FJ144" s="194"/>
      <c r="FK144" s="194"/>
      <c r="FL144" s="194"/>
      <c r="FM144" s="194"/>
      <c r="FN144" s="194"/>
      <c r="FO144" s="194"/>
      <c r="FP144" s="194"/>
      <c r="FQ144" s="194"/>
      <c r="FR144" s="194"/>
      <c r="FS144" s="194"/>
      <c r="FT144" s="194"/>
      <c r="FU144" s="194"/>
      <c r="FV144" s="194"/>
      <c r="FW144" s="194"/>
      <c r="FX144" s="194"/>
      <c r="FY144" s="194"/>
      <c r="FZ144" s="194"/>
      <c r="GA144" s="194"/>
      <c r="GB144" s="194"/>
      <c r="GC144" s="194"/>
      <c r="GD144" s="194"/>
      <c r="GE144" s="194"/>
      <c r="GF144" s="194"/>
      <c r="GG144" s="194"/>
      <c r="GH144" s="194"/>
      <c r="GI144" s="194"/>
      <c r="GJ144" s="194"/>
      <c r="GK144" s="194"/>
      <c r="GL144" s="194"/>
      <c r="GM144" s="194"/>
      <c r="GN144" s="194"/>
      <c r="GO144" s="194"/>
      <c r="GP144" s="194"/>
      <c r="GQ144" s="194"/>
      <c r="GR144" s="194"/>
      <c r="GS144" s="194"/>
      <c r="GT144" s="194"/>
      <c r="GU144" s="194"/>
      <c r="GV144" s="194"/>
      <c r="GW144" s="194"/>
      <c r="GX144" s="194"/>
      <c r="GY144" s="194"/>
      <c r="GZ144" s="194"/>
      <c r="HA144" s="194"/>
      <c r="HB144" s="194"/>
      <c r="HC144" s="194"/>
      <c r="HD144" s="194"/>
      <c r="HE144" s="194"/>
      <c r="HF144" s="194"/>
      <c r="HG144" s="194"/>
      <c r="HH144" s="194"/>
      <c r="HI144" s="194"/>
      <c r="HJ144" s="194"/>
      <c r="HK144" s="194"/>
      <c r="HL144" s="194"/>
      <c r="HM144" s="194"/>
      <c r="HN144" s="194"/>
      <c r="HO144" s="194"/>
      <c r="HP144" s="194"/>
      <c r="HQ144" s="194"/>
      <c r="HR144" s="194"/>
      <c r="HS144" s="194"/>
      <c r="HT144" s="194"/>
      <c r="HU144" s="194"/>
      <c r="HV144" s="194"/>
      <c r="HW144" s="194"/>
      <c r="HX144" s="194"/>
      <c r="HY144" s="194"/>
      <c r="HZ144" s="194"/>
      <c r="IA144" s="194"/>
      <c r="IB144" s="194"/>
      <c r="IC144" s="194"/>
      <c r="ID144" s="194"/>
      <c r="IE144" s="194"/>
      <c r="IF144" s="194"/>
      <c r="IG144" s="194"/>
      <c r="IH144" s="194"/>
      <c r="II144" s="194"/>
      <c r="IJ144" s="194"/>
      <c r="IK144" s="194"/>
      <c r="IL144" s="194"/>
      <c r="IM144" s="194"/>
      <c r="IN144" s="194"/>
      <c r="IO144" s="194"/>
      <c r="IP144" s="194"/>
      <c r="IQ144" s="194"/>
      <c r="IR144" s="194"/>
      <c r="IS144" s="194"/>
      <c r="IT144" s="194"/>
      <c r="IU144" s="194"/>
      <c r="IV144" s="194"/>
      <c r="IW144" s="194"/>
    </row>
    <row r="145" customFormat="false" ht="12.75" hidden="false" customHeight="false" outlineLevel="0" collapsed="false">
      <c r="A145" s="196"/>
      <c r="B145" s="164" t="s">
        <v>267</v>
      </c>
      <c r="C145" s="0"/>
      <c r="D145" s="0"/>
      <c r="E145" s="0"/>
      <c r="F145" s="0"/>
      <c r="G145" s="0"/>
      <c r="H145" s="0"/>
      <c r="I145" s="0"/>
      <c r="J145" s="4"/>
      <c r="K145" s="0"/>
      <c r="L145" s="34" t="s">
        <v>151</v>
      </c>
      <c r="M145" s="110"/>
      <c r="N145" s="110" t="n">
        <v>0</v>
      </c>
      <c r="O145" s="110"/>
      <c r="P145" s="110" t="n">
        <v>0</v>
      </c>
      <c r="Q145" s="110"/>
      <c r="R145" s="110" t="n">
        <v>1000000</v>
      </c>
      <c r="S145" s="110"/>
      <c r="T145" s="110" t="n">
        <v>0</v>
      </c>
      <c r="U145" s="110"/>
      <c r="V145" s="110" t="n">
        <v>0</v>
      </c>
      <c r="X145" s="110" t="n">
        <v>0</v>
      </c>
      <c r="Z145" s="110" t="n">
        <v>0</v>
      </c>
      <c r="AB145" s="110" t="n">
        <v>0</v>
      </c>
      <c r="AD145" s="110" t="n">
        <v>0</v>
      </c>
      <c r="AF145" s="110" t="n">
        <v>0</v>
      </c>
      <c r="AH145" s="110" t="n">
        <v>0</v>
      </c>
      <c r="AJ145" s="110" t="n">
        <v>0</v>
      </c>
      <c r="AL145" s="110" t="n">
        <v>0</v>
      </c>
      <c r="AN145" s="110" t="n">
        <v>0</v>
      </c>
      <c r="AP145" s="110" t="n">
        <v>0</v>
      </c>
      <c r="AR145" s="110" t="n">
        <v>0</v>
      </c>
      <c r="AT145" s="110" t="n">
        <v>0</v>
      </c>
      <c r="AV145" s="110" t="n">
        <v>0</v>
      </c>
      <c r="AX145" s="110" t="n">
        <v>0</v>
      </c>
      <c r="AZ145" s="110" t="n">
        <v>141167</v>
      </c>
      <c r="BB145" s="110" t="n">
        <v>949317.51</v>
      </c>
      <c r="BD145" s="110" t="n">
        <v>-297293.82</v>
      </c>
      <c r="BF145" s="110" t="n">
        <v>0</v>
      </c>
      <c r="BH145" s="110" t="n">
        <v>0</v>
      </c>
      <c r="BJ145" s="110" t="n">
        <v>0</v>
      </c>
      <c r="BL145" s="110" t="n">
        <v>0</v>
      </c>
      <c r="BM145" s="110"/>
      <c r="BN145" s="110" t="n">
        <v>0</v>
      </c>
      <c r="BO145" s="110"/>
      <c r="BP145" s="110" t="n">
        <f aca="false">SUM(T145:BO145)</f>
        <v>793190.69</v>
      </c>
      <c r="BQ145" s="110"/>
      <c r="BR145" s="110" t="n">
        <v>0</v>
      </c>
      <c r="BS145" s="110"/>
      <c r="BT145" s="110" t="n">
        <v>0</v>
      </c>
      <c r="BV145" s="110" t="n">
        <f aca="false">+BP145+BT145</f>
        <v>793190.69</v>
      </c>
      <c r="BX145" s="110" t="n">
        <f aca="false">+R145-BV145</f>
        <v>206809.31</v>
      </c>
      <c r="BY145" s="110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  <c r="DB145" s="194"/>
      <c r="DC145" s="194"/>
      <c r="DD145" s="194"/>
      <c r="DE145" s="194"/>
      <c r="DF145" s="194"/>
      <c r="DG145" s="194"/>
      <c r="DH145" s="194"/>
      <c r="DI145" s="194"/>
      <c r="DJ145" s="194"/>
      <c r="DK145" s="194"/>
      <c r="DL145" s="194"/>
      <c r="DM145" s="194"/>
      <c r="DN145" s="194"/>
      <c r="DO145" s="194"/>
      <c r="DP145" s="194"/>
      <c r="DQ145" s="194"/>
      <c r="DR145" s="194"/>
      <c r="DS145" s="194"/>
      <c r="DT145" s="194"/>
      <c r="DU145" s="194"/>
      <c r="DV145" s="194"/>
      <c r="DW145" s="194"/>
      <c r="DX145" s="194"/>
      <c r="DY145" s="194"/>
      <c r="DZ145" s="194"/>
      <c r="EA145" s="194"/>
      <c r="EB145" s="194"/>
      <c r="EC145" s="194"/>
      <c r="ED145" s="194"/>
      <c r="EE145" s="194"/>
      <c r="EF145" s="194"/>
      <c r="EG145" s="194"/>
      <c r="EH145" s="194"/>
      <c r="EI145" s="194"/>
      <c r="EJ145" s="194"/>
      <c r="EK145" s="194"/>
      <c r="EL145" s="194"/>
      <c r="EM145" s="194"/>
      <c r="EN145" s="194"/>
      <c r="EO145" s="194"/>
      <c r="EP145" s="194"/>
      <c r="EQ145" s="194"/>
      <c r="ER145" s="194"/>
      <c r="ES145" s="194"/>
      <c r="ET145" s="194"/>
      <c r="EU145" s="194"/>
      <c r="EV145" s="194"/>
      <c r="EW145" s="194"/>
      <c r="EX145" s="194"/>
      <c r="EY145" s="194"/>
      <c r="EZ145" s="194"/>
      <c r="FA145" s="194"/>
      <c r="FB145" s="194"/>
      <c r="FC145" s="194"/>
      <c r="FD145" s="194"/>
      <c r="FE145" s="194"/>
      <c r="FF145" s="194"/>
      <c r="FG145" s="194"/>
      <c r="FH145" s="194"/>
      <c r="FI145" s="194"/>
      <c r="FJ145" s="194"/>
      <c r="FK145" s="194"/>
      <c r="FL145" s="194"/>
      <c r="FM145" s="194"/>
      <c r="FN145" s="194"/>
      <c r="FO145" s="194"/>
      <c r="FP145" s="194"/>
      <c r="FQ145" s="194"/>
      <c r="FR145" s="194"/>
      <c r="FS145" s="194"/>
      <c r="FT145" s="194"/>
      <c r="FU145" s="194"/>
      <c r="FV145" s="194"/>
      <c r="FW145" s="194"/>
      <c r="FX145" s="194"/>
      <c r="FY145" s="194"/>
      <c r="FZ145" s="194"/>
      <c r="GA145" s="194"/>
      <c r="GB145" s="194"/>
      <c r="GC145" s="194"/>
      <c r="GD145" s="194"/>
      <c r="GE145" s="194"/>
      <c r="GF145" s="194"/>
      <c r="GG145" s="194"/>
      <c r="GH145" s="194"/>
      <c r="GI145" s="194"/>
      <c r="GJ145" s="194"/>
      <c r="GK145" s="194"/>
      <c r="GL145" s="194"/>
      <c r="GM145" s="194"/>
      <c r="GN145" s="194"/>
      <c r="GO145" s="194"/>
      <c r="GP145" s="194"/>
      <c r="GQ145" s="194"/>
      <c r="GR145" s="194"/>
      <c r="GS145" s="194"/>
      <c r="GT145" s="194"/>
      <c r="GU145" s="194"/>
      <c r="GV145" s="194"/>
      <c r="GW145" s="194"/>
      <c r="GX145" s="194"/>
      <c r="GY145" s="194"/>
      <c r="GZ145" s="194"/>
      <c r="HA145" s="194"/>
      <c r="HB145" s="194"/>
      <c r="HC145" s="194"/>
      <c r="HD145" s="194"/>
      <c r="HE145" s="194"/>
      <c r="HF145" s="194"/>
      <c r="HG145" s="194"/>
      <c r="HH145" s="194"/>
      <c r="HI145" s="194"/>
      <c r="HJ145" s="194"/>
      <c r="HK145" s="194"/>
      <c r="HL145" s="194"/>
      <c r="HM145" s="194"/>
      <c r="HN145" s="194"/>
      <c r="HO145" s="194"/>
      <c r="HP145" s="194"/>
      <c r="HQ145" s="194"/>
      <c r="HR145" s="194"/>
      <c r="HS145" s="194"/>
      <c r="HT145" s="194"/>
      <c r="HU145" s="194"/>
      <c r="HV145" s="194"/>
      <c r="HW145" s="194"/>
      <c r="HX145" s="194"/>
      <c r="HY145" s="194"/>
      <c r="HZ145" s="194"/>
      <c r="IA145" s="194"/>
      <c r="IB145" s="194"/>
      <c r="IC145" s="194"/>
      <c r="ID145" s="194"/>
      <c r="IE145" s="194"/>
      <c r="IF145" s="194"/>
      <c r="IG145" s="194"/>
      <c r="IH145" s="194"/>
      <c r="II145" s="194"/>
      <c r="IJ145" s="194"/>
      <c r="IK145" s="194"/>
      <c r="IL145" s="194"/>
      <c r="IM145" s="194"/>
      <c r="IN145" s="194"/>
      <c r="IO145" s="194"/>
      <c r="IP145" s="194"/>
      <c r="IQ145" s="194"/>
      <c r="IR145" s="194"/>
      <c r="IS145" s="194"/>
      <c r="IT145" s="194"/>
      <c r="IU145" s="194"/>
      <c r="IV145" s="194"/>
      <c r="IW145" s="194"/>
    </row>
    <row r="146" customFormat="false" ht="12.75" hidden="true" customHeight="false" outlineLevel="0" collapsed="false">
      <c r="A146" s="196"/>
      <c r="B146" s="164" t="s">
        <v>128</v>
      </c>
      <c r="C146" s="0"/>
      <c r="D146" s="0"/>
      <c r="E146" s="0"/>
      <c r="F146" s="0"/>
      <c r="G146" s="0"/>
      <c r="H146" s="0"/>
      <c r="I146" s="0"/>
      <c r="J146" s="4"/>
      <c r="K146" s="0"/>
      <c r="L146" s="34" t="s">
        <v>151</v>
      </c>
      <c r="M146" s="110"/>
      <c r="N146" s="110" t="n">
        <v>0</v>
      </c>
      <c r="O146" s="110"/>
      <c r="P146" s="110" t="n">
        <v>0</v>
      </c>
      <c r="Q146" s="110"/>
      <c r="R146" s="110" t="n">
        <v>0</v>
      </c>
      <c r="S146" s="110"/>
      <c r="T146" s="110" t="n">
        <v>0</v>
      </c>
      <c r="U146" s="110"/>
      <c r="V146" s="110" t="n">
        <v>0</v>
      </c>
      <c r="X146" s="110" t="n">
        <v>0</v>
      </c>
      <c r="Z146" s="110" t="n">
        <v>0</v>
      </c>
      <c r="AB146" s="110" t="n">
        <v>0</v>
      </c>
      <c r="AD146" s="110" t="n">
        <v>0</v>
      </c>
      <c r="AF146" s="110" t="n">
        <v>0</v>
      </c>
      <c r="AH146" s="110" t="n">
        <v>0</v>
      </c>
      <c r="AJ146" s="110" t="n">
        <v>0</v>
      </c>
      <c r="AL146" s="110" t="n">
        <v>0</v>
      </c>
      <c r="AN146" s="110" t="n">
        <v>0</v>
      </c>
      <c r="AP146" s="110" t="n">
        <v>0</v>
      </c>
      <c r="AR146" s="110" t="n">
        <v>0</v>
      </c>
      <c r="AT146" s="110" t="n">
        <v>0</v>
      </c>
      <c r="AV146" s="110" t="n">
        <v>0</v>
      </c>
      <c r="AX146" s="110" t="n">
        <v>0</v>
      </c>
      <c r="AZ146" s="110" t="n">
        <v>0</v>
      </c>
      <c r="BB146" s="110" t="n">
        <v>0</v>
      </c>
      <c r="BD146" s="110" t="n">
        <v>0</v>
      </c>
      <c r="BF146" s="110" t="n">
        <v>0</v>
      </c>
      <c r="BH146" s="110" t="n">
        <v>0</v>
      </c>
      <c r="BJ146" s="110" t="n">
        <v>0</v>
      </c>
      <c r="BL146" s="110" t="n">
        <v>0</v>
      </c>
      <c r="BM146" s="110"/>
      <c r="BN146" s="110" t="n">
        <v>0</v>
      </c>
      <c r="BO146" s="110"/>
      <c r="BP146" s="110" t="n">
        <f aca="false">SUM(T146:BL146)</f>
        <v>0</v>
      </c>
      <c r="BQ146" s="110"/>
      <c r="BR146" s="110" t="n">
        <v>0</v>
      </c>
      <c r="BS146" s="110"/>
      <c r="BT146" s="110" t="n">
        <f aca="false">+R146-BP146+BR146</f>
        <v>0</v>
      </c>
      <c r="BV146" s="110" t="n">
        <f aca="false">+BP146+BT146</f>
        <v>0</v>
      </c>
      <c r="BX146" s="110" t="n">
        <f aca="false">+R146-BV146</f>
        <v>0</v>
      </c>
      <c r="BY146" s="110"/>
      <c r="BZ146" s="194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  <c r="IR146" s="194"/>
      <c r="IS146" s="194"/>
      <c r="IT146" s="194"/>
      <c r="IU146" s="194"/>
      <c r="IV146" s="194"/>
      <c r="IW146" s="194"/>
    </row>
    <row r="147" customFormat="false" ht="12.75" hidden="false" customHeight="false" outlineLevel="0" collapsed="false">
      <c r="A147" s="197"/>
      <c r="B147" s="177" t="s">
        <v>268</v>
      </c>
      <c r="C147" s="2"/>
      <c r="D147" s="2"/>
      <c r="E147" s="2"/>
      <c r="F147" s="2"/>
      <c r="G147" s="2"/>
      <c r="H147" s="2"/>
      <c r="I147" s="2"/>
      <c r="J147" s="3"/>
      <c r="K147" s="2"/>
      <c r="L147" s="179"/>
      <c r="M147" s="24"/>
      <c r="N147" s="198" t="n">
        <f aca="false">SUM(N144:N146)</f>
        <v>0</v>
      </c>
      <c r="O147" s="24"/>
      <c r="P147" s="198" t="n">
        <f aca="false">SUM(P144:P146)</f>
        <v>0</v>
      </c>
      <c r="Q147" s="24"/>
      <c r="R147" s="198" t="n">
        <f aca="false">SUM(R144:R146)</f>
        <v>1000000</v>
      </c>
      <c r="S147" s="24"/>
      <c r="T147" s="198" t="n">
        <f aca="false">SUM(T144:T146)</f>
        <v>0</v>
      </c>
      <c r="U147" s="24"/>
      <c r="V147" s="198" t="n">
        <f aca="false">SUM(V144:V146)</f>
        <v>0</v>
      </c>
      <c r="W147" s="24"/>
      <c r="X147" s="198" t="n">
        <f aca="false">SUM(X144:X146)</f>
        <v>0</v>
      </c>
      <c r="Y147" s="24"/>
      <c r="Z147" s="198" t="n">
        <f aca="false">SUM(Z144:Z146)</f>
        <v>0</v>
      </c>
      <c r="AA147" s="24"/>
      <c r="AB147" s="198" t="n">
        <f aca="false">SUM(AB144:AB146)</f>
        <v>0</v>
      </c>
      <c r="AC147" s="24"/>
      <c r="AD147" s="198" t="n">
        <f aca="false">SUM(AD144:AD146)</f>
        <v>0</v>
      </c>
      <c r="AE147" s="24"/>
      <c r="AF147" s="198" t="n">
        <f aca="false">SUM(AF144:AF146)</f>
        <v>0</v>
      </c>
      <c r="AG147" s="24"/>
      <c r="AH147" s="198" t="n">
        <f aca="false">SUM(AH144:AH146)</f>
        <v>0</v>
      </c>
      <c r="AI147" s="24"/>
      <c r="AJ147" s="198" t="n">
        <f aca="false">SUM(AJ144:AJ146)</f>
        <v>0</v>
      </c>
      <c r="AK147" s="24"/>
      <c r="AL147" s="198" t="n">
        <f aca="false">SUM(AL144:AL146)</f>
        <v>0</v>
      </c>
      <c r="AM147" s="24"/>
      <c r="AN147" s="198" t="n">
        <f aca="false">SUM(AN144:AN146)</f>
        <v>0</v>
      </c>
      <c r="AO147" s="24"/>
      <c r="AP147" s="198" t="n">
        <f aca="false">SUM(AP144:AP146)</f>
        <v>0</v>
      </c>
      <c r="AQ147" s="24"/>
      <c r="AR147" s="198" t="n">
        <f aca="false">SUM(AR144:AR146)</f>
        <v>0</v>
      </c>
      <c r="AS147" s="24"/>
      <c r="AT147" s="198" t="n">
        <f aca="false">SUM(AT144:AT146)</f>
        <v>0</v>
      </c>
      <c r="AU147" s="24"/>
      <c r="AV147" s="198" t="n">
        <f aca="false">SUM(AV144:AV146)</f>
        <v>0</v>
      </c>
      <c r="AW147" s="24"/>
      <c r="AX147" s="198" t="n">
        <f aca="false">SUM(AX144:AX146)</f>
        <v>0</v>
      </c>
      <c r="AY147" s="24"/>
      <c r="AZ147" s="198" t="n">
        <f aca="false">SUM(AZ144:AZ146)</f>
        <v>141167</v>
      </c>
      <c r="BA147" s="24"/>
      <c r="BB147" s="198" t="n">
        <f aca="false">SUM(BB144:BB146)</f>
        <v>949317.51</v>
      </c>
      <c r="BC147" s="24"/>
      <c r="BD147" s="198" t="n">
        <f aca="false">SUM(BD144:BD146)</f>
        <v>-297293.82</v>
      </c>
      <c r="BE147" s="24"/>
      <c r="BF147" s="198" t="n">
        <f aca="false">SUM(BF144:BF146)</f>
        <v>0</v>
      </c>
      <c r="BG147" s="24"/>
      <c r="BH147" s="198" t="n">
        <f aca="false">SUM(BH144:BH146)</f>
        <v>0</v>
      </c>
      <c r="BI147" s="24"/>
      <c r="BJ147" s="198" t="n">
        <f aca="false">SUM(BJ144:BJ146)</f>
        <v>0</v>
      </c>
      <c r="BK147" s="24"/>
      <c r="BL147" s="198" t="n">
        <f aca="false">SUM(BL144:BL146)</f>
        <v>0</v>
      </c>
      <c r="BM147" s="198"/>
      <c r="BN147" s="198" t="n">
        <f aca="false">SUM(BN144:BN146)</f>
        <v>0</v>
      </c>
      <c r="BO147" s="198"/>
      <c r="BP147" s="198" t="n">
        <f aca="false">SUM(BP144:BP146)</f>
        <v>793190.69</v>
      </c>
      <c r="BQ147" s="24"/>
      <c r="BR147" s="198" t="n">
        <f aca="false">SUM(BR144:BR146)</f>
        <v>0</v>
      </c>
      <c r="BS147" s="24"/>
      <c r="BT147" s="198" t="n">
        <f aca="false">SUM(BT144:BT146)</f>
        <v>0</v>
      </c>
      <c r="BU147" s="24"/>
      <c r="BV147" s="198" t="n">
        <f aca="false">SUM(BV144:BV146)</f>
        <v>793190.69</v>
      </c>
      <c r="BW147" s="24"/>
      <c r="BX147" s="198" t="n">
        <f aca="false">SUM(BX144:BX146)</f>
        <v>206809.31</v>
      </c>
      <c r="BY147" s="24"/>
      <c r="BZ147" s="199"/>
      <c r="CA147" s="199"/>
      <c r="CB147" s="199"/>
      <c r="CC147" s="199"/>
      <c r="CD147" s="199"/>
      <c r="CE147" s="199"/>
      <c r="CF147" s="199"/>
      <c r="CG147" s="199"/>
      <c r="CH147" s="199"/>
      <c r="CI147" s="199"/>
      <c r="CJ147" s="199"/>
      <c r="CK147" s="199"/>
      <c r="CL147" s="199"/>
      <c r="CM147" s="199"/>
      <c r="CN147" s="199"/>
      <c r="CO147" s="199"/>
      <c r="CP147" s="199"/>
      <c r="CQ147" s="199"/>
      <c r="CR147" s="199"/>
      <c r="CS147" s="199"/>
      <c r="CT147" s="199"/>
      <c r="CU147" s="199"/>
      <c r="CV147" s="199"/>
      <c r="CW147" s="199"/>
      <c r="CX147" s="199"/>
      <c r="CY147" s="199"/>
      <c r="CZ147" s="199"/>
      <c r="DA147" s="199"/>
      <c r="DB147" s="199"/>
      <c r="DC147" s="199"/>
      <c r="DD147" s="199"/>
      <c r="DE147" s="199"/>
      <c r="DF147" s="199"/>
      <c r="DG147" s="199"/>
      <c r="DH147" s="199"/>
      <c r="DI147" s="199"/>
      <c r="DJ147" s="199"/>
      <c r="DK147" s="199"/>
      <c r="DL147" s="199"/>
      <c r="DM147" s="199"/>
      <c r="DN147" s="199"/>
      <c r="DO147" s="199"/>
      <c r="DP147" s="199"/>
      <c r="DQ147" s="199"/>
      <c r="DR147" s="199"/>
      <c r="DS147" s="199"/>
      <c r="DT147" s="199"/>
      <c r="DU147" s="199"/>
      <c r="DV147" s="199"/>
      <c r="DW147" s="199"/>
      <c r="DX147" s="199"/>
      <c r="DY147" s="199"/>
      <c r="DZ147" s="199"/>
      <c r="EA147" s="199"/>
      <c r="EB147" s="199"/>
      <c r="EC147" s="199"/>
      <c r="ED147" s="199"/>
      <c r="EE147" s="199"/>
      <c r="EF147" s="199"/>
      <c r="EG147" s="199"/>
      <c r="EH147" s="199"/>
      <c r="EI147" s="199"/>
      <c r="EJ147" s="199"/>
      <c r="EK147" s="199"/>
      <c r="EL147" s="199"/>
      <c r="EM147" s="199"/>
      <c r="EN147" s="199"/>
      <c r="EO147" s="199"/>
      <c r="EP147" s="199"/>
      <c r="EQ147" s="199"/>
      <c r="ER147" s="199"/>
      <c r="ES147" s="199"/>
      <c r="ET147" s="199"/>
      <c r="EU147" s="199"/>
      <c r="EV147" s="199"/>
      <c r="EW147" s="199"/>
      <c r="EX147" s="199"/>
      <c r="EY147" s="199"/>
      <c r="EZ147" s="199"/>
      <c r="FA147" s="199"/>
      <c r="FB147" s="199"/>
      <c r="FC147" s="199"/>
      <c r="FD147" s="199"/>
      <c r="FE147" s="199"/>
      <c r="FF147" s="199"/>
      <c r="FG147" s="199"/>
      <c r="FH147" s="199"/>
      <c r="FI147" s="199"/>
      <c r="FJ147" s="199"/>
      <c r="FK147" s="199"/>
      <c r="FL147" s="199"/>
      <c r="FM147" s="199"/>
      <c r="FN147" s="199"/>
      <c r="FO147" s="199"/>
      <c r="FP147" s="199"/>
      <c r="FQ147" s="199"/>
      <c r="FR147" s="199"/>
      <c r="FS147" s="199"/>
      <c r="FT147" s="199"/>
      <c r="FU147" s="199"/>
      <c r="FV147" s="199"/>
      <c r="FW147" s="199"/>
      <c r="FX147" s="199"/>
      <c r="FY147" s="199"/>
      <c r="FZ147" s="199"/>
      <c r="GA147" s="199"/>
      <c r="GB147" s="199"/>
      <c r="GC147" s="199"/>
      <c r="GD147" s="199"/>
      <c r="GE147" s="199"/>
      <c r="GF147" s="199"/>
      <c r="GG147" s="199"/>
      <c r="GH147" s="199"/>
      <c r="GI147" s="199"/>
      <c r="GJ147" s="199"/>
      <c r="GK147" s="199"/>
      <c r="GL147" s="199"/>
      <c r="GM147" s="199"/>
      <c r="GN147" s="199"/>
      <c r="GO147" s="199"/>
      <c r="GP147" s="199"/>
      <c r="GQ147" s="199"/>
      <c r="GR147" s="199"/>
      <c r="GS147" s="199"/>
      <c r="GT147" s="199"/>
      <c r="GU147" s="199"/>
      <c r="GV147" s="199"/>
      <c r="GW147" s="199"/>
      <c r="GX147" s="199"/>
      <c r="GY147" s="199"/>
      <c r="GZ147" s="199"/>
      <c r="HA147" s="199"/>
      <c r="HB147" s="199"/>
      <c r="HC147" s="199"/>
      <c r="HD147" s="199"/>
      <c r="HE147" s="199"/>
      <c r="HF147" s="199"/>
      <c r="HG147" s="199"/>
      <c r="HH147" s="199"/>
      <c r="HI147" s="199"/>
      <c r="HJ147" s="199"/>
      <c r="HK147" s="199"/>
      <c r="HL147" s="199"/>
      <c r="HM147" s="199"/>
      <c r="HN147" s="199"/>
      <c r="HO147" s="199"/>
      <c r="HP147" s="199"/>
      <c r="HQ147" s="199"/>
      <c r="HR147" s="199"/>
      <c r="HS147" s="199"/>
      <c r="HT147" s="199"/>
      <c r="HU147" s="199"/>
      <c r="HV147" s="199"/>
      <c r="HW147" s="199"/>
      <c r="HX147" s="199"/>
      <c r="HY147" s="199"/>
      <c r="HZ147" s="199"/>
      <c r="IA147" s="199"/>
      <c r="IB147" s="199"/>
      <c r="IC147" s="199"/>
      <c r="ID147" s="199"/>
      <c r="IE147" s="199"/>
      <c r="IF147" s="199"/>
      <c r="IG147" s="199"/>
      <c r="IH147" s="199"/>
      <c r="II147" s="199"/>
      <c r="IJ147" s="199"/>
      <c r="IK147" s="199"/>
      <c r="IL147" s="199"/>
      <c r="IM147" s="199"/>
      <c r="IN147" s="199"/>
      <c r="IO147" s="199"/>
      <c r="IP147" s="199"/>
      <c r="IQ147" s="199"/>
      <c r="IR147" s="199"/>
      <c r="IS147" s="199"/>
      <c r="IT147" s="199"/>
      <c r="IU147" s="199"/>
      <c r="IV147" s="199"/>
      <c r="IW147" s="199"/>
    </row>
    <row r="148" customFormat="false" ht="12.75" hidden="false" customHeight="false" outlineLevel="0" collapsed="false">
      <c r="A148" s="197"/>
      <c r="B148" s="177"/>
      <c r="C148" s="2"/>
      <c r="D148" s="2"/>
      <c r="E148" s="2"/>
      <c r="F148" s="2"/>
      <c r="G148" s="2"/>
      <c r="H148" s="2"/>
      <c r="I148" s="2"/>
      <c r="J148" s="3"/>
      <c r="K148" s="2"/>
      <c r="L148" s="179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199"/>
      <c r="CA148" s="199"/>
      <c r="CB148" s="199"/>
      <c r="CC148" s="199"/>
      <c r="CD148" s="199"/>
      <c r="CE148" s="199"/>
      <c r="CF148" s="199"/>
      <c r="CG148" s="199"/>
      <c r="CH148" s="199"/>
      <c r="CI148" s="199"/>
      <c r="CJ148" s="199"/>
      <c r="CK148" s="199"/>
      <c r="CL148" s="199"/>
      <c r="CM148" s="199"/>
      <c r="CN148" s="199"/>
      <c r="CO148" s="199"/>
      <c r="CP148" s="199"/>
      <c r="CQ148" s="199"/>
      <c r="CR148" s="199"/>
      <c r="CS148" s="199"/>
      <c r="CT148" s="199"/>
      <c r="CU148" s="199"/>
      <c r="CV148" s="199"/>
      <c r="CW148" s="199"/>
      <c r="CX148" s="199"/>
      <c r="CY148" s="199"/>
      <c r="CZ148" s="199"/>
      <c r="DA148" s="199"/>
      <c r="DB148" s="199"/>
      <c r="DC148" s="199"/>
      <c r="DD148" s="199"/>
      <c r="DE148" s="199"/>
      <c r="DF148" s="199"/>
      <c r="DG148" s="199"/>
      <c r="DH148" s="199"/>
      <c r="DI148" s="199"/>
      <c r="DJ148" s="199"/>
      <c r="DK148" s="199"/>
      <c r="DL148" s="199"/>
      <c r="DM148" s="199"/>
      <c r="DN148" s="199"/>
      <c r="DO148" s="199"/>
      <c r="DP148" s="199"/>
      <c r="DQ148" s="199"/>
      <c r="DR148" s="199"/>
      <c r="DS148" s="199"/>
      <c r="DT148" s="199"/>
      <c r="DU148" s="199"/>
      <c r="DV148" s="199"/>
      <c r="DW148" s="199"/>
      <c r="DX148" s="199"/>
      <c r="DY148" s="199"/>
      <c r="DZ148" s="199"/>
      <c r="EA148" s="199"/>
      <c r="EB148" s="199"/>
      <c r="EC148" s="199"/>
      <c r="ED148" s="199"/>
      <c r="EE148" s="199"/>
      <c r="EF148" s="199"/>
      <c r="EG148" s="199"/>
      <c r="EH148" s="199"/>
      <c r="EI148" s="199"/>
      <c r="EJ148" s="199"/>
      <c r="EK148" s="199"/>
      <c r="EL148" s="199"/>
      <c r="EM148" s="199"/>
      <c r="EN148" s="199"/>
      <c r="EO148" s="199"/>
      <c r="EP148" s="199"/>
      <c r="EQ148" s="199"/>
      <c r="ER148" s="199"/>
      <c r="ES148" s="199"/>
      <c r="ET148" s="199"/>
      <c r="EU148" s="199"/>
      <c r="EV148" s="199"/>
      <c r="EW148" s="199"/>
      <c r="EX148" s="199"/>
      <c r="EY148" s="199"/>
      <c r="EZ148" s="199"/>
      <c r="FA148" s="199"/>
      <c r="FB148" s="199"/>
      <c r="FC148" s="199"/>
      <c r="FD148" s="199"/>
      <c r="FE148" s="199"/>
      <c r="FF148" s="199"/>
      <c r="FG148" s="199"/>
      <c r="FH148" s="199"/>
      <c r="FI148" s="199"/>
      <c r="FJ148" s="199"/>
      <c r="FK148" s="199"/>
      <c r="FL148" s="199"/>
      <c r="FM148" s="199"/>
      <c r="FN148" s="199"/>
      <c r="FO148" s="199"/>
      <c r="FP148" s="199"/>
      <c r="FQ148" s="199"/>
      <c r="FR148" s="199"/>
      <c r="FS148" s="199"/>
      <c r="FT148" s="199"/>
      <c r="FU148" s="199"/>
      <c r="FV148" s="199"/>
      <c r="FW148" s="199"/>
      <c r="FX148" s="199"/>
      <c r="FY148" s="199"/>
      <c r="FZ148" s="199"/>
      <c r="GA148" s="199"/>
      <c r="GB148" s="199"/>
      <c r="GC148" s="199"/>
      <c r="GD148" s="199"/>
      <c r="GE148" s="199"/>
      <c r="GF148" s="199"/>
      <c r="GG148" s="199"/>
      <c r="GH148" s="199"/>
      <c r="GI148" s="199"/>
      <c r="GJ148" s="199"/>
      <c r="GK148" s="199"/>
      <c r="GL148" s="199"/>
      <c r="GM148" s="199"/>
      <c r="GN148" s="199"/>
      <c r="GO148" s="199"/>
      <c r="GP148" s="199"/>
      <c r="GQ148" s="199"/>
      <c r="GR148" s="199"/>
      <c r="GS148" s="199"/>
      <c r="GT148" s="199"/>
      <c r="GU148" s="199"/>
      <c r="GV148" s="199"/>
      <c r="GW148" s="199"/>
      <c r="GX148" s="199"/>
      <c r="GY148" s="199"/>
      <c r="GZ148" s="199"/>
      <c r="HA148" s="199"/>
      <c r="HB148" s="199"/>
      <c r="HC148" s="199"/>
      <c r="HD148" s="199"/>
      <c r="HE148" s="199"/>
      <c r="HF148" s="199"/>
      <c r="HG148" s="199"/>
      <c r="HH148" s="199"/>
      <c r="HI148" s="199"/>
      <c r="HJ148" s="199"/>
      <c r="HK148" s="199"/>
      <c r="HL148" s="199"/>
      <c r="HM148" s="199"/>
      <c r="HN148" s="199"/>
      <c r="HO148" s="199"/>
      <c r="HP148" s="199"/>
      <c r="HQ148" s="199"/>
      <c r="HR148" s="199"/>
      <c r="HS148" s="199"/>
      <c r="HT148" s="199"/>
      <c r="HU148" s="199"/>
      <c r="HV148" s="199"/>
      <c r="HW148" s="199"/>
      <c r="HX148" s="199"/>
      <c r="HY148" s="199"/>
      <c r="HZ148" s="199"/>
      <c r="IA148" s="199"/>
      <c r="IB148" s="199"/>
      <c r="IC148" s="199"/>
      <c r="ID148" s="199"/>
      <c r="IE148" s="199"/>
      <c r="IF148" s="199"/>
      <c r="IG148" s="199"/>
      <c r="IH148" s="199"/>
      <c r="II148" s="199"/>
      <c r="IJ148" s="199"/>
      <c r="IK148" s="199"/>
      <c r="IL148" s="199"/>
      <c r="IM148" s="199"/>
      <c r="IN148" s="199"/>
      <c r="IO148" s="199"/>
      <c r="IP148" s="199"/>
      <c r="IQ148" s="199"/>
      <c r="IR148" s="199"/>
      <c r="IS148" s="199"/>
      <c r="IT148" s="199"/>
      <c r="IU148" s="199"/>
      <c r="IV148" s="199"/>
      <c r="IW148" s="199"/>
    </row>
    <row r="149" customFormat="false" ht="12.75" hidden="false" customHeight="false" outlineLevel="0" collapsed="false">
      <c r="A149" s="160" t="s">
        <v>269</v>
      </c>
      <c r="B149" s="174"/>
      <c r="C149" s="174"/>
      <c r="D149" s="174"/>
      <c r="E149" s="174"/>
      <c r="F149" s="174"/>
      <c r="G149" s="174"/>
      <c r="H149" s="174"/>
      <c r="I149" s="174"/>
      <c r="J149" s="201"/>
      <c r="K149" s="174"/>
      <c r="L149" s="202" t="s">
        <v>151</v>
      </c>
      <c r="M149" s="24"/>
      <c r="N149" s="24" t="n">
        <v>0</v>
      </c>
      <c r="O149" s="24"/>
      <c r="P149" s="24" t="n">
        <v>0</v>
      </c>
      <c r="Q149" s="24"/>
      <c r="R149" s="24" t="n">
        <v>200000</v>
      </c>
      <c r="S149" s="24"/>
      <c r="T149" s="24" t="n">
        <v>0</v>
      </c>
      <c r="U149" s="24"/>
      <c r="V149" s="24" t="n">
        <v>0</v>
      </c>
      <c r="W149" s="24"/>
      <c r="X149" s="24" t="n">
        <v>0</v>
      </c>
      <c r="Y149" s="24"/>
      <c r="Z149" s="24" t="n">
        <v>0</v>
      </c>
      <c r="AA149" s="24"/>
      <c r="AB149" s="24" t="n">
        <v>0</v>
      </c>
      <c r="AC149" s="24"/>
      <c r="AD149" s="24" t="n">
        <v>0</v>
      </c>
      <c r="AE149" s="24"/>
      <c r="AF149" s="24" t="n">
        <v>0</v>
      </c>
      <c r="AG149" s="24"/>
      <c r="AH149" s="24" t="n">
        <v>0</v>
      </c>
      <c r="AI149" s="24"/>
      <c r="AJ149" s="24" t="n">
        <v>0</v>
      </c>
      <c r="AK149" s="24"/>
      <c r="AL149" s="24" t="n">
        <v>0</v>
      </c>
      <c r="AM149" s="24"/>
      <c r="AN149" s="24" t="n">
        <v>0</v>
      </c>
      <c r="AO149" s="24"/>
      <c r="AP149" s="24" t="n">
        <v>0</v>
      </c>
      <c r="AQ149" s="24"/>
      <c r="AR149" s="24" t="n">
        <v>175875</v>
      </c>
      <c r="AS149" s="24"/>
      <c r="AT149" s="24" t="n">
        <v>0</v>
      </c>
      <c r="AU149" s="24"/>
      <c r="AV149" s="24" t="n">
        <v>0</v>
      </c>
      <c r="AW149" s="24"/>
      <c r="AX149" s="24" t="n">
        <v>0</v>
      </c>
      <c r="AY149" s="24"/>
      <c r="AZ149" s="24" t="n">
        <v>0</v>
      </c>
      <c r="BA149" s="24"/>
      <c r="BB149" s="24" t="n">
        <v>0</v>
      </c>
      <c r="BC149" s="24"/>
      <c r="BD149" s="24" t="n">
        <v>0</v>
      </c>
      <c r="BE149" s="24"/>
      <c r="BF149" s="24" t="n">
        <v>0</v>
      </c>
      <c r="BG149" s="24"/>
      <c r="BH149" s="24" t="n">
        <v>0</v>
      </c>
      <c r="BI149" s="24"/>
      <c r="BJ149" s="24" t="n">
        <v>0</v>
      </c>
      <c r="BK149" s="24"/>
      <c r="BL149" s="24" t="n">
        <v>0</v>
      </c>
      <c r="BM149" s="24"/>
      <c r="BN149" s="24" t="n">
        <v>0</v>
      </c>
      <c r="BO149" s="24"/>
      <c r="BP149" s="24" t="n">
        <f aca="false">SUM(T149:BO149)</f>
        <v>175875</v>
      </c>
      <c r="BQ149" s="24"/>
      <c r="BR149" s="24" t="n">
        <v>0</v>
      </c>
      <c r="BS149" s="24"/>
      <c r="BT149" s="110" t="n">
        <v>0</v>
      </c>
      <c r="BU149" s="24"/>
      <c r="BV149" s="24" t="n">
        <f aca="false">+BP149+BT149</f>
        <v>175875</v>
      </c>
      <c r="BW149" s="24"/>
      <c r="BX149" s="24" t="n">
        <f aca="false">+R149-BV149</f>
        <v>24125</v>
      </c>
      <c r="BY149" s="24"/>
      <c r="BZ149" s="174"/>
      <c r="CA149" s="174"/>
      <c r="CB149" s="174"/>
      <c r="CC149" s="174"/>
      <c r="CD149" s="174"/>
      <c r="CE149" s="174"/>
      <c r="CF149" s="174"/>
      <c r="CG149" s="174"/>
      <c r="CH149" s="174"/>
      <c r="CI149" s="174"/>
      <c r="CJ149" s="174"/>
      <c r="CK149" s="174"/>
      <c r="CL149" s="174"/>
      <c r="CM149" s="174"/>
      <c r="CN149" s="174"/>
      <c r="CO149" s="174"/>
      <c r="CP149" s="174"/>
      <c r="CQ149" s="174"/>
      <c r="CR149" s="174"/>
      <c r="CS149" s="174"/>
      <c r="CT149" s="174"/>
      <c r="CU149" s="174"/>
      <c r="CV149" s="174"/>
      <c r="CW149" s="174"/>
      <c r="CX149" s="174"/>
      <c r="CY149" s="174"/>
      <c r="CZ149" s="174"/>
      <c r="DA149" s="174"/>
      <c r="DB149" s="174"/>
      <c r="DC149" s="174"/>
      <c r="DD149" s="174"/>
      <c r="DE149" s="174"/>
      <c r="DF149" s="174"/>
      <c r="DG149" s="174"/>
      <c r="DH149" s="174"/>
      <c r="DI149" s="174"/>
      <c r="DJ149" s="174"/>
      <c r="DK149" s="174"/>
      <c r="DL149" s="174"/>
      <c r="DM149" s="174"/>
      <c r="DN149" s="174"/>
      <c r="DO149" s="174"/>
      <c r="DP149" s="174"/>
      <c r="DQ149" s="174"/>
      <c r="DR149" s="174"/>
      <c r="DS149" s="174"/>
      <c r="DT149" s="174"/>
      <c r="DU149" s="174"/>
      <c r="DV149" s="174"/>
      <c r="DW149" s="174"/>
      <c r="DX149" s="174"/>
      <c r="DY149" s="174"/>
      <c r="DZ149" s="174"/>
      <c r="EA149" s="174"/>
      <c r="EB149" s="174"/>
      <c r="EC149" s="174"/>
      <c r="ED149" s="174"/>
      <c r="EE149" s="174"/>
      <c r="EF149" s="174"/>
      <c r="EG149" s="174"/>
      <c r="EH149" s="174"/>
      <c r="EI149" s="174"/>
      <c r="EJ149" s="174"/>
      <c r="EK149" s="174"/>
      <c r="EL149" s="174"/>
      <c r="EM149" s="174"/>
      <c r="EN149" s="174"/>
      <c r="EO149" s="174"/>
      <c r="EP149" s="174"/>
      <c r="EQ149" s="174"/>
      <c r="ER149" s="174"/>
      <c r="ES149" s="174"/>
      <c r="ET149" s="174"/>
      <c r="EU149" s="174"/>
      <c r="EV149" s="174"/>
      <c r="EW149" s="174"/>
      <c r="EX149" s="174"/>
      <c r="EY149" s="174"/>
      <c r="EZ149" s="174"/>
      <c r="FA149" s="174"/>
      <c r="FB149" s="174"/>
      <c r="FC149" s="174"/>
      <c r="FD149" s="174"/>
      <c r="FE149" s="174"/>
      <c r="FF149" s="174"/>
      <c r="FG149" s="174"/>
      <c r="FH149" s="174"/>
      <c r="FI149" s="174"/>
      <c r="FJ149" s="174"/>
      <c r="FK149" s="174"/>
      <c r="FL149" s="174"/>
      <c r="FM149" s="174"/>
      <c r="FN149" s="174"/>
      <c r="FO149" s="174"/>
      <c r="FP149" s="174"/>
      <c r="FQ149" s="174"/>
      <c r="FR149" s="174"/>
      <c r="FS149" s="174"/>
      <c r="FT149" s="174"/>
      <c r="FU149" s="174"/>
      <c r="FV149" s="174"/>
      <c r="FW149" s="174"/>
      <c r="FX149" s="174"/>
      <c r="FY149" s="174"/>
      <c r="FZ149" s="174"/>
      <c r="GA149" s="174"/>
      <c r="GB149" s="174"/>
      <c r="GC149" s="174"/>
      <c r="GD149" s="174"/>
      <c r="GE149" s="174"/>
      <c r="GF149" s="174"/>
      <c r="GG149" s="174"/>
      <c r="GH149" s="174"/>
      <c r="GI149" s="174"/>
      <c r="GJ149" s="174"/>
      <c r="GK149" s="174"/>
      <c r="GL149" s="174"/>
      <c r="GM149" s="174"/>
      <c r="GN149" s="174"/>
      <c r="GO149" s="174"/>
      <c r="GP149" s="174"/>
      <c r="GQ149" s="174"/>
      <c r="GR149" s="174"/>
      <c r="GS149" s="174"/>
      <c r="GT149" s="174"/>
      <c r="GU149" s="174"/>
      <c r="GV149" s="174"/>
      <c r="GW149" s="174"/>
      <c r="GX149" s="174"/>
      <c r="GY149" s="174"/>
      <c r="GZ149" s="174"/>
      <c r="HA149" s="174"/>
      <c r="HB149" s="174"/>
      <c r="HC149" s="174"/>
      <c r="HD149" s="174"/>
      <c r="HE149" s="174"/>
      <c r="HF149" s="174"/>
      <c r="HG149" s="174"/>
      <c r="HH149" s="174"/>
      <c r="HI149" s="174"/>
      <c r="HJ149" s="174"/>
      <c r="HK149" s="174"/>
      <c r="HL149" s="174"/>
      <c r="HM149" s="174"/>
      <c r="HN149" s="174"/>
      <c r="HO149" s="174"/>
      <c r="HP149" s="174"/>
      <c r="HQ149" s="174"/>
      <c r="HR149" s="174"/>
      <c r="HS149" s="174"/>
      <c r="HT149" s="174"/>
      <c r="HU149" s="174"/>
      <c r="HV149" s="174"/>
      <c r="HW149" s="174"/>
      <c r="HX149" s="174"/>
      <c r="HY149" s="174"/>
      <c r="HZ149" s="174"/>
      <c r="IA149" s="174"/>
      <c r="IB149" s="174"/>
      <c r="IC149" s="174"/>
      <c r="ID149" s="174"/>
      <c r="IE149" s="174"/>
      <c r="IF149" s="174"/>
      <c r="IG149" s="174"/>
      <c r="IH149" s="174"/>
      <c r="II149" s="174"/>
      <c r="IJ149" s="174"/>
      <c r="IK149" s="174"/>
      <c r="IL149" s="174"/>
      <c r="IM149" s="174"/>
      <c r="IN149" s="174"/>
      <c r="IO149" s="174"/>
      <c r="IP149" s="174"/>
      <c r="IQ149" s="174"/>
      <c r="IR149" s="174"/>
      <c r="IS149" s="174"/>
      <c r="IT149" s="174"/>
      <c r="IU149" s="174"/>
      <c r="IV149" s="174"/>
      <c r="IW149" s="174"/>
    </row>
    <row r="150" customFormat="false" ht="12.75" hidden="false" customHeight="false" outlineLevel="0" collapsed="false">
      <c r="A150" s="196"/>
      <c r="B150" s="164"/>
      <c r="C150" s="0"/>
      <c r="D150" s="0"/>
      <c r="E150" s="0"/>
      <c r="F150" s="0"/>
      <c r="G150" s="0"/>
      <c r="H150" s="0"/>
      <c r="I150" s="0"/>
      <c r="J150" s="4"/>
      <c r="K150" s="0"/>
      <c r="L150" s="34"/>
      <c r="M150" s="110"/>
      <c r="O150" s="110"/>
      <c r="Q150" s="110"/>
      <c r="S150" s="110"/>
      <c r="T150" s="110"/>
      <c r="U150" s="110"/>
      <c r="V150" s="110"/>
      <c r="X150" s="110"/>
      <c r="Z150" s="110"/>
      <c r="AB150" s="110"/>
      <c r="AD150" s="110"/>
      <c r="BJ150" s="110"/>
      <c r="BL150" s="110"/>
      <c r="BM150" s="110"/>
      <c r="BN150" s="110"/>
      <c r="BO150" s="110"/>
      <c r="BQ150" s="110"/>
      <c r="BR150" s="110"/>
      <c r="BS150" s="110"/>
      <c r="BY150" s="110"/>
      <c r="BZ150" s="194"/>
      <c r="CA150" s="194"/>
      <c r="CB150" s="194"/>
      <c r="CC150" s="194"/>
      <c r="CD150" s="194"/>
      <c r="CE150" s="194"/>
      <c r="CF150" s="194"/>
      <c r="CG150" s="194"/>
      <c r="CH150" s="194"/>
      <c r="CI150" s="194"/>
      <c r="CJ150" s="194"/>
      <c r="CK150" s="194"/>
      <c r="CL150" s="194"/>
      <c r="CM150" s="194"/>
      <c r="CN150" s="194"/>
      <c r="CO150" s="194"/>
      <c r="CP150" s="194"/>
      <c r="CQ150" s="194"/>
      <c r="CR150" s="194"/>
      <c r="CS150" s="194"/>
      <c r="CT150" s="194"/>
      <c r="CU150" s="194"/>
      <c r="CV150" s="194"/>
      <c r="CW150" s="194"/>
      <c r="CX150" s="194"/>
      <c r="CY150" s="194"/>
      <c r="CZ150" s="194"/>
      <c r="DA150" s="194"/>
      <c r="DB150" s="194"/>
      <c r="DC150" s="194"/>
      <c r="DD150" s="194"/>
      <c r="DE150" s="194"/>
      <c r="DF150" s="194"/>
      <c r="DG150" s="194"/>
      <c r="DH150" s="194"/>
      <c r="DI150" s="194"/>
      <c r="DJ150" s="194"/>
      <c r="DK150" s="194"/>
      <c r="DL150" s="194"/>
      <c r="DM150" s="194"/>
      <c r="DN150" s="194"/>
      <c r="DO150" s="194"/>
      <c r="DP150" s="194"/>
      <c r="DQ150" s="194"/>
      <c r="DR150" s="194"/>
      <c r="DS150" s="194"/>
      <c r="DT150" s="194"/>
      <c r="DU150" s="194"/>
      <c r="DV150" s="194"/>
      <c r="DW150" s="194"/>
      <c r="DX150" s="194"/>
      <c r="DY150" s="194"/>
      <c r="DZ150" s="194"/>
      <c r="EA150" s="194"/>
      <c r="EB150" s="194"/>
      <c r="EC150" s="194"/>
      <c r="ED150" s="194"/>
      <c r="EE150" s="194"/>
      <c r="EF150" s="194"/>
      <c r="EG150" s="194"/>
      <c r="EH150" s="194"/>
      <c r="EI150" s="194"/>
      <c r="EJ150" s="194"/>
      <c r="EK150" s="194"/>
      <c r="EL150" s="194"/>
      <c r="EM150" s="194"/>
      <c r="EN150" s="194"/>
      <c r="EO150" s="194"/>
      <c r="EP150" s="194"/>
      <c r="EQ150" s="194"/>
      <c r="ER150" s="194"/>
      <c r="ES150" s="194"/>
      <c r="ET150" s="194"/>
      <c r="EU150" s="194"/>
      <c r="EV150" s="194"/>
      <c r="EW150" s="194"/>
      <c r="EX150" s="194"/>
      <c r="EY150" s="194"/>
      <c r="EZ150" s="194"/>
      <c r="FA150" s="194"/>
      <c r="FB150" s="194"/>
      <c r="FC150" s="194"/>
      <c r="FD150" s="194"/>
      <c r="FE150" s="194"/>
      <c r="FF150" s="194"/>
      <c r="FG150" s="194"/>
      <c r="FH150" s="194"/>
      <c r="FI150" s="194"/>
      <c r="FJ150" s="194"/>
      <c r="FK150" s="194"/>
      <c r="FL150" s="194"/>
      <c r="FM150" s="194"/>
      <c r="FN150" s="194"/>
      <c r="FO150" s="194"/>
      <c r="FP150" s="194"/>
      <c r="FQ150" s="194"/>
      <c r="FR150" s="194"/>
      <c r="FS150" s="194"/>
      <c r="FT150" s="194"/>
      <c r="FU150" s="194"/>
      <c r="FV150" s="194"/>
      <c r="FW150" s="194"/>
      <c r="FX150" s="194"/>
      <c r="FY150" s="194"/>
      <c r="FZ150" s="194"/>
      <c r="GA150" s="194"/>
      <c r="GB150" s="194"/>
      <c r="GC150" s="194"/>
      <c r="GD150" s="194"/>
      <c r="GE150" s="194"/>
      <c r="GF150" s="194"/>
      <c r="GG150" s="194"/>
      <c r="GH150" s="194"/>
      <c r="GI150" s="194"/>
      <c r="GJ150" s="194"/>
      <c r="GK150" s="194"/>
      <c r="GL150" s="194"/>
      <c r="GM150" s="194"/>
      <c r="GN150" s="194"/>
      <c r="GO150" s="194"/>
      <c r="GP150" s="194"/>
      <c r="GQ150" s="194"/>
      <c r="GR150" s="194"/>
      <c r="GS150" s="194"/>
      <c r="GT150" s="194"/>
      <c r="GU150" s="194"/>
      <c r="GV150" s="194"/>
      <c r="GW150" s="194"/>
      <c r="GX150" s="194"/>
      <c r="GY150" s="194"/>
      <c r="GZ150" s="194"/>
      <c r="HA150" s="194"/>
      <c r="HB150" s="194"/>
      <c r="HC150" s="194"/>
      <c r="HD150" s="194"/>
      <c r="HE150" s="194"/>
      <c r="HF150" s="194"/>
      <c r="HG150" s="194"/>
      <c r="HH150" s="194"/>
      <c r="HI150" s="194"/>
      <c r="HJ150" s="194"/>
      <c r="HK150" s="194"/>
      <c r="HL150" s="194"/>
      <c r="HM150" s="194"/>
      <c r="HN150" s="194"/>
      <c r="HO150" s="194"/>
      <c r="HP150" s="194"/>
      <c r="HQ150" s="194"/>
      <c r="HR150" s="194"/>
      <c r="HS150" s="194"/>
      <c r="HT150" s="194"/>
      <c r="HU150" s="194"/>
      <c r="HV150" s="194"/>
      <c r="HW150" s="194"/>
      <c r="HX150" s="194"/>
      <c r="HY150" s="194"/>
      <c r="HZ150" s="194"/>
      <c r="IA150" s="194"/>
      <c r="IB150" s="194"/>
      <c r="IC150" s="194"/>
      <c r="ID150" s="194"/>
      <c r="IE150" s="194"/>
      <c r="IF150" s="194"/>
      <c r="IG150" s="194"/>
      <c r="IH150" s="194"/>
      <c r="II150" s="194"/>
      <c r="IJ150" s="194"/>
      <c r="IK150" s="194"/>
      <c r="IL150" s="194"/>
      <c r="IM150" s="194"/>
      <c r="IN150" s="194"/>
      <c r="IO150" s="194"/>
      <c r="IP150" s="194"/>
      <c r="IQ150" s="194"/>
      <c r="IR150" s="194"/>
      <c r="IS150" s="194"/>
      <c r="IT150" s="194"/>
      <c r="IU150" s="194"/>
      <c r="IV150" s="194"/>
      <c r="IW150" s="194"/>
    </row>
    <row r="151" customFormat="false" ht="12.75" hidden="false" customHeight="false" outlineLevel="0" collapsed="false">
      <c r="A151" s="160" t="s">
        <v>270</v>
      </c>
      <c r="B151" s="174"/>
      <c r="C151" s="174"/>
      <c r="D151" s="174"/>
      <c r="E151" s="174"/>
      <c r="F151" s="174"/>
      <c r="G151" s="174"/>
      <c r="H151" s="174"/>
      <c r="I151" s="174"/>
      <c r="J151" s="201"/>
      <c r="K151" s="174"/>
      <c r="L151" s="202" t="s">
        <v>151</v>
      </c>
      <c r="M151" s="24"/>
      <c r="N151" s="24" t="n">
        <v>0</v>
      </c>
      <c r="O151" s="24"/>
      <c r="P151" s="24" t="n">
        <v>0</v>
      </c>
      <c r="Q151" s="24"/>
      <c r="R151" s="24" t="n">
        <v>200000</v>
      </c>
      <c r="S151" s="24"/>
      <c r="T151" s="24" t="n">
        <v>0</v>
      </c>
      <c r="U151" s="24"/>
      <c r="V151" s="24" t="n">
        <v>0</v>
      </c>
      <c r="W151" s="24"/>
      <c r="X151" s="24"/>
      <c r="Y151" s="24"/>
      <c r="Z151" s="24" t="n">
        <v>0</v>
      </c>
      <c r="AA151" s="24"/>
      <c r="AB151" s="24" t="n">
        <f aca="false">3365.69+304.38</f>
        <v>3670.07</v>
      </c>
      <c r="AC151" s="24"/>
      <c r="AD151" s="24" t="n">
        <f aca="false">7225.26+6587.53+6939.71+1074.93+910.57</f>
        <v>22738</v>
      </c>
      <c r="AE151" s="24"/>
      <c r="AF151" s="24" t="n">
        <v>14946.71</v>
      </c>
      <c r="AG151" s="24"/>
      <c r="AH151" s="24" t="n">
        <v>7606.71</v>
      </c>
      <c r="AI151" s="24"/>
      <c r="AJ151" s="24" t="n">
        <v>10911.6</v>
      </c>
      <c r="AK151" s="24"/>
      <c r="AL151" s="24" t="n">
        <v>18233.16</v>
      </c>
      <c r="AM151" s="24"/>
      <c r="AN151" s="24" t="n">
        <v>0</v>
      </c>
      <c r="AO151" s="24"/>
      <c r="AP151" s="24" t="n">
        <v>0</v>
      </c>
      <c r="AQ151" s="24"/>
      <c r="AR151" s="24" t="n">
        <v>0</v>
      </c>
      <c r="AS151" s="24"/>
      <c r="AT151" s="24" t="n">
        <v>1468.85</v>
      </c>
      <c r="AU151" s="24"/>
      <c r="AV151" s="24" t="n">
        <v>24646.4</v>
      </c>
      <c r="AW151" s="24"/>
      <c r="AX151" s="24" t="n">
        <v>11209.91</v>
      </c>
      <c r="AY151" s="24"/>
      <c r="AZ151" s="24" t="n">
        <v>0</v>
      </c>
      <c r="BA151" s="24"/>
      <c r="BB151" s="24" t="n">
        <v>0</v>
      </c>
      <c r="BC151" s="24"/>
      <c r="BD151" s="24" t="n">
        <v>0</v>
      </c>
      <c r="BE151" s="24"/>
      <c r="BF151" s="24" t="n">
        <v>0</v>
      </c>
      <c r="BG151" s="24"/>
      <c r="BH151" s="24" t="n">
        <v>0</v>
      </c>
      <c r="BI151" s="24"/>
      <c r="BJ151" s="24" t="n">
        <v>0</v>
      </c>
      <c r="BK151" s="24"/>
      <c r="BL151" s="24" t="n">
        <v>0</v>
      </c>
      <c r="BM151" s="24"/>
      <c r="BN151" s="24" t="n">
        <v>0</v>
      </c>
      <c r="BO151" s="24"/>
      <c r="BP151" s="24" t="n">
        <f aca="false">SUM(T151:BO151)</f>
        <v>115431.41</v>
      </c>
      <c r="BQ151" s="24"/>
      <c r="BR151" s="24" t="n">
        <v>-84569</v>
      </c>
      <c r="BS151" s="24"/>
      <c r="BT151" s="110" t="n">
        <f aca="false">IF(+R151-BP151+BR151&gt;0,R151-BP151+BR151,0)</f>
        <v>0</v>
      </c>
      <c r="BU151" s="24"/>
      <c r="BV151" s="24" t="n">
        <f aca="false">+BP151+BT151</f>
        <v>115431.41</v>
      </c>
      <c r="BW151" s="24"/>
      <c r="BX151" s="24" t="n">
        <f aca="false">+R151-BV151</f>
        <v>84568.59</v>
      </c>
      <c r="BY151" s="24"/>
      <c r="BZ151" s="174"/>
      <c r="CA151" s="174"/>
      <c r="CB151" s="174"/>
      <c r="CC151" s="174"/>
      <c r="CD151" s="174"/>
      <c r="CE151" s="174"/>
      <c r="CF151" s="174"/>
      <c r="CG151" s="174"/>
      <c r="CH151" s="174"/>
      <c r="CI151" s="174"/>
      <c r="CJ151" s="174"/>
      <c r="CK151" s="174"/>
      <c r="CL151" s="174"/>
      <c r="CM151" s="174"/>
      <c r="CN151" s="174"/>
      <c r="CO151" s="174"/>
      <c r="CP151" s="174"/>
      <c r="CQ151" s="174"/>
      <c r="CR151" s="174"/>
      <c r="CS151" s="174"/>
      <c r="CT151" s="174"/>
      <c r="CU151" s="174"/>
      <c r="CV151" s="174"/>
      <c r="CW151" s="174"/>
      <c r="CX151" s="174"/>
      <c r="CY151" s="174"/>
      <c r="CZ151" s="174"/>
      <c r="DA151" s="174"/>
      <c r="DB151" s="174"/>
      <c r="DC151" s="174"/>
      <c r="DD151" s="174"/>
      <c r="DE151" s="174"/>
      <c r="DF151" s="174"/>
      <c r="DG151" s="174"/>
      <c r="DH151" s="174"/>
      <c r="DI151" s="174"/>
      <c r="DJ151" s="174"/>
      <c r="DK151" s="174"/>
      <c r="DL151" s="174"/>
      <c r="DM151" s="174"/>
      <c r="DN151" s="174"/>
      <c r="DO151" s="174"/>
      <c r="DP151" s="174"/>
      <c r="DQ151" s="174"/>
      <c r="DR151" s="174"/>
      <c r="DS151" s="174"/>
      <c r="DT151" s="174"/>
      <c r="DU151" s="174"/>
      <c r="DV151" s="174"/>
      <c r="DW151" s="174"/>
      <c r="DX151" s="174"/>
      <c r="DY151" s="174"/>
      <c r="DZ151" s="174"/>
      <c r="EA151" s="174"/>
      <c r="EB151" s="174"/>
      <c r="EC151" s="174"/>
      <c r="ED151" s="174"/>
      <c r="EE151" s="174"/>
      <c r="EF151" s="174"/>
      <c r="EG151" s="174"/>
      <c r="EH151" s="174"/>
      <c r="EI151" s="174"/>
      <c r="EJ151" s="174"/>
      <c r="EK151" s="174"/>
      <c r="EL151" s="174"/>
      <c r="EM151" s="174"/>
      <c r="EN151" s="174"/>
      <c r="EO151" s="174"/>
      <c r="EP151" s="174"/>
      <c r="EQ151" s="174"/>
      <c r="ER151" s="174"/>
      <c r="ES151" s="174"/>
      <c r="ET151" s="174"/>
      <c r="EU151" s="174"/>
      <c r="EV151" s="174"/>
      <c r="EW151" s="174"/>
      <c r="EX151" s="174"/>
      <c r="EY151" s="174"/>
      <c r="EZ151" s="174"/>
      <c r="FA151" s="174"/>
      <c r="FB151" s="174"/>
      <c r="FC151" s="174"/>
      <c r="FD151" s="174"/>
      <c r="FE151" s="174"/>
      <c r="FF151" s="174"/>
      <c r="FG151" s="174"/>
      <c r="FH151" s="174"/>
      <c r="FI151" s="174"/>
      <c r="FJ151" s="174"/>
      <c r="FK151" s="174"/>
      <c r="FL151" s="174"/>
      <c r="FM151" s="174"/>
      <c r="FN151" s="174"/>
      <c r="FO151" s="174"/>
      <c r="FP151" s="174"/>
      <c r="FQ151" s="174"/>
      <c r="FR151" s="174"/>
      <c r="FS151" s="174"/>
      <c r="FT151" s="174"/>
      <c r="FU151" s="174"/>
      <c r="FV151" s="174"/>
      <c r="FW151" s="174"/>
      <c r="FX151" s="174"/>
      <c r="FY151" s="174"/>
      <c r="FZ151" s="174"/>
      <c r="GA151" s="174"/>
      <c r="GB151" s="174"/>
      <c r="GC151" s="174"/>
      <c r="GD151" s="174"/>
      <c r="GE151" s="174"/>
      <c r="GF151" s="174"/>
      <c r="GG151" s="174"/>
      <c r="GH151" s="174"/>
      <c r="GI151" s="174"/>
      <c r="GJ151" s="174"/>
      <c r="GK151" s="174"/>
      <c r="GL151" s="174"/>
      <c r="GM151" s="174"/>
      <c r="GN151" s="174"/>
      <c r="GO151" s="174"/>
      <c r="GP151" s="174"/>
      <c r="GQ151" s="174"/>
      <c r="GR151" s="174"/>
      <c r="GS151" s="174"/>
      <c r="GT151" s="174"/>
      <c r="GU151" s="174"/>
      <c r="GV151" s="174"/>
      <c r="GW151" s="174"/>
      <c r="GX151" s="174"/>
      <c r="GY151" s="174"/>
      <c r="GZ151" s="174"/>
      <c r="HA151" s="174"/>
      <c r="HB151" s="174"/>
      <c r="HC151" s="174"/>
      <c r="HD151" s="174"/>
      <c r="HE151" s="174"/>
      <c r="HF151" s="174"/>
      <c r="HG151" s="174"/>
      <c r="HH151" s="174"/>
      <c r="HI151" s="174"/>
      <c r="HJ151" s="174"/>
      <c r="HK151" s="174"/>
      <c r="HL151" s="174"/>
      <c r="HM151" s="174"/>
      <c r="HN151" s="174"/>
      <c r="HO151" s="174"/>
      <c r="HP151" s="174"/>
      <c r="HQ151" s="174"/>
      <c r="HR151" s="174"/>
      <c r="HS151" s="174"/>
      <c r="HT151" s="174"/>
      <c r="HU151" s="174"/>
      <c r="HV151" s="174"/>
      <c r="HW151" s="174"/>
      <c r="HX151" s="174"/>
      <c r="HY151" s="174"/>
      <c r="HZ151" s="174"/>
      <c r="IA151" s="174"/>
      <c r="IB151" s="174"/>
      <c r="IC151" s="174"/>
      <c r="ID151" s="174"/>
      <c r="IE151" s="174"/>
      <c r="IF151" s="174"/>
      <c r="IG151" s="174"/>
      <c r="IH151" s="174"/>
      <c r="II151" s="174"/>
      <c r="IJ151" s="174"/>
      <c r="IK151" s="174"/>
      <c r="IL151" s="174"/>
      <c r="IM151" s="174"/>
      <c r="IN151" s="174"/>
      <c r="IO151" s="174"/>
      <c r="IP151" s="174"/>
      <c r="IQ151" s="174"/>
      <c r="IR151" s="174"/>
      <c r="IS151" s="174"/>
      <c r="IT151" s="174"/>
      <c r="IU151" s="174"/>
      <c r="IV151" s="174"/>
      <c r="IW151" s="174"/>
    </row>
    <row r="152" customFormat="false" ht="12.75" hidden="false" customHeight="false" outlineLevel="0" collapsed="false">
      <c r="A152" s="196"/>
      <c r="B152" s="164"/>
      <c r="C152" s="0"/>
      <c r="D152" s="0"/>
      <c r="E152" s="0"/>
      <c r="F152" s="0"/>
      <c r="G152" s="0"/>
      <c r="H152" s="0"/>
      <c r="I152" s="0"/>
      <c r="J152" s="4"/>
      <c r="K152" s="0"/>
      <c r="L152" s="34"/>
      <c r="M152" s="110"/>
      <c r="O152" s="110"/>
      <c r="Q152" s="110"/>
      <c r="S152" s="110"/>
      <c r="T152" s="110"/>
      <c r="U152" s="110"/>
      <c r="V152" s="110"/>
      <c r="X152" s="110"/>
      <c r="Z152" s="110"/>
      <c r="AB152" s="110"/>
      <c r="AD152" s="110"/>
      <c r="BJ152" s="110"/>
      <c r="BL152" s="110"/>
      <c r="BM152" s="110"/>
      <c r="BN152" s="110"/>
      <c r="BO152" s="110"/>
      <c r="BQ152" s="110"/>
      <c r="BR152" s="110"/>
      <c r="BS152" s="110"/>
      <c r="BY152" s="110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  <c r="DB152" s="194"/>
      <c r="DC152" s="194"/>
      <c r="DD152" s="194"/>
      <c r="DE152" s="194"/>
      <c r="DF152" s="194"/>
      <c r="DG152" s="194"/>
      <c r="DH152" s="194"/>
      <c r="DI152" s="194"/>
      <c r="DJ152" s="194"/>
      <c r="DK152" s="194"/>
      <c r="DL152" s="194"/>
      <c r="DM152" s="194"/>
      <c r="DN152" s="194"/>
      <c r="DO152" s="194"/>
      <c r="DP152" s="194"/>
      <c r="DQ152" s="194"/>
      <c r="DR152" s="194"/>
      <c r="DS152" s="194"/>
      <c r="DT152" s="194"/>
      <c r="DU152" s="194"/>
      <c r="DV152" s="194"/>
      <c r="DW152" s="194"/>
      <c r="DX152" s="194"/>
      <c r="DY152" s="194"/>
      <c r="DZ152" s="194"/>
      <c r="EA152" s="194"/>
      <c r="EB152" s="194"/>
      <c r="EC152" s="194"/>
      <c r="ED152" s="194"/>
      <c r="EE152" s="194"/>
      <c r="EF152" s="194"/>
      <c r="EG152" s="194"/>
      <c r="EH152" s="194"/>
      <c r="EI152" s="194"/>
      <c r="EJ152" s="194"/>
      <c r="EK152" s="194"/>
      <c r="EL152" s="194"/>
      <c r="EM152" s="194"/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  <c r="FE152" s="194"/>
      <c r="FF152" s="194"/>
      <c r="FG152" s="194"/>
      <c r="FH152" s="194"/>
      <c r="FI152" s="194"/>
      <c r="FJ152" s="194"/>
      <c r="FK152" s="194"/>
      <c r="FL152" s="194"/>
      <c r="FM152" s="194"/>
      <c r="FN152" s="194"/>
      <c r="FO152" s="194"/>
      <c r="FP152" s="194"/>
      <c r="FQ152" s="194"/>
      <c r="FR152" s="194"/>
      <c r="FS152" s="194"/>
      <c r="FT152" s="194"/>
      <c r="FU152" s="194"/>
      <c r="FV152" s="194"/>
      <c r="FW152" s="194"/>
      <c r="FX152" s="194"/>
      <c r="FY152" s="194"/>
      <c r="FZ152" s="194"/>
      <c r="GA152" s="194"/>
      <c r="GB152" s="194"/>
      <c r="GC152" s="194"/>
      <c r="GD152" s="194"/>
      <c r="GE152" s="194"/>
      <c r="GF152" s="194"/>
      <c r="GG152" s="194"/>
      <c r="GH152" s="194"/>
      <c r="GI152" s="194"/>
      <c r="GJ152" s="194"/>
      <c r="GK152" s="194"/>
      <c r="GL152" s="194"/>
      <c r="GM152" s="194"/>
      <c r="GN152" s="194"/>
      <c r="GO152" s="194"/>
      <c r="GP152" s="194"/>
      <c r="GQ152" s="194"/>
      <c r="GR152" s="194"/>
      <c r="GS152" s="194"/>
      <c r="GT152" s="194"/>
      <c r="GU152" s="194"/>
      <c r="GV152" s="194"/>
      <c r="GW152" s="194"/>
      <c r="GX152" s="194"/>
      <c r="GY152" s="194"/>
      <c r="GZ152" s="194"/>
      <c r="HA152" s="194"/>
      <c r="HB152" s="194"/>
      <c r="HC152" s="194"/>
      <c r="HD152" s="194"/>
      <c r="HE152" s="194"/>
      <c r="HF152" s="194"/>
      <c r="HG152" s="194"/>
      <c r="HH152" s="194"/>
      <c r="HI152" s="194"/>
      <c r="HJ152" s="194"/>
      <c r="HK152" s="194"/>
      <c r="HL152" s="194"/>
      <c r="HM152" s="194"/>
      <c r="HN152" s="194"/>
      <c r="HO152" s="194"/>
      <c r="HP152" s="194"/>
      <c r="HQ152" s="194"/>
      <c r="HR152" s="194"/>
      <c r="HS152" s="194"/>
      <c r="HT152" s="194"/>
      <c r="HU152" s="194"/>
      <c r="HV152" s="194"/>
      <c r="HW152" s="194"/>
      <c r="HX152" s="194"/>
      <c r="HY152" s="194"/>
      <c r="HZ152" s="194"/>
      <c r="IA152" s="194"/>
      <c r="IB152" s="194"/>
      <c r="IC152" s="194"/>
      <c r="ID152" s="194"/>
      <c r="IE152" s="194"/>
      <c r="IF152" s="194"/>
      <c r="IG152" s="194"/>
      <c r="IH152" s="194"/>
      <c r="II152" s="194"/>
      <c r="IJ152" s="194"/>
      <c r="IK152" s="194"/>
      <c r="IL152" s="194"/>
      <c r="IM152" s="194"/>
      <c r="IN152" s="194"/>
      <c r="IO152" s="194"/>
      <c r="IP152" s="194"/>
      <c r="IQ152" s="194"/>
      <c r="IR152" s="194"/>
      <c r="IS152" s="194"/>
      <c r="IT152" s="194"/>
      <c r="IU152" s="194"/>
      <c r="IV152" s="194"/>
      <c r="IW152" s="194"/>
    </row>
    <row r="153" customFormat="false" ht="12.75" hidden="false" customHeight="false" outlineLevel="0" collapsed="false">
      <c r="A153" s="160" t="s">
        <v>271</v>
      </c>
      <c r="B153" s="118"/>
      <c r="C153" s="0"/>
      <c r="D153" s="0"/>
      <c r="E153" s="0"/>
      <c r="F153" s="0"/>
      <c r="G153" s="0"/>
      <c r="H153" s="0"/>
      <c r="I153" s="0"/>
      <c r="J153" s="4"/>
      <c r="K153" s="0"/>
      <c r="L153" s="34"/>
      <c r="M153" s="110"/>
      <c r="O153" s="110"/>
      <c r="Q153" s="110"/>
      <c r="S153" s="110"/>
      <c r="T153" s="110"/>
      <c r="U153" s="110"/>
      <c r="V153" s="110"/>
      <c r="X153" s="110"/>
      <c r="Z153" s="110"/>
      <c r="AB153" s="110"/>
      <c r="AD153" s="110"/>
      <c r="BJ153" s="110"/>
      <c r="BL153" s="110"/>
      <c r="BM153" s="110"/>
      <c r="BN153" s="110"/>
      <c r="BO153" s="110"/>
      <c r="BQ153" s="110"/>
      <c r="BR153" s="110"/>
      <c r="BS153" s="110"/>
      <c r="BY153" s="110"/>
    </row>
    <row r="154" customFormat="false" ht="12.75" hidden="false" customHeight="false" outlineLevel="0" collapsed="false">
      <c r="A154" s="161"/>
      <c r="B154" s="118" t="s">
        <v>272</v>
      </c>
      <c r="C154" s="118"/>
      <c r="D154" s="118"/>
      <c r="E154" s="118"/>
      <c r="F154" s="118"/>
      <c r="G154" s="118"/>
      <c r="H154" s="118"/>
      <c r="I154" s="118"/>
      <c r="J154" s="192"/>
      <c r="K154" s="118"/>
      <c r="L154" s="203" t="s">
        <v>258</v>
      </c>
      <c r="M154" s="110"/>
      <c r="N154" s="110" t="n">
        <v>200000</v>
      </c>
      <c r="O154" s="110"/>
      <c r="P154" s="110" t="n">
        <v>0</v>
      </c>
      <c r="Q154" s="110"/>
      <c r="R154" s="110" t="n">
        <v>30000</v>
      </c>
      <c r="S154" s="110"/>
      <c r="T154" s="110" t="n">
        <v>0</v>
      </c>
      <c r="U154" s="110"/>
      <c r="V154" s="110" t="n">
        <v>0</v>
      </c>
      <c r="X154" s="110" t="n">
        <v>14497.18</v>
      </c>
      <c r="Z154" s="110" t="n">
        <v>0</v>
      </c>
      <c r="AB154" s="110" t="n">
        <v>0</v>
      </c>
      <c r="AD154" s="110" t="n">
        <v>0</v>
      </c>
      <c r="AF154" s="110" t="n">
        <v>0</v>
      </c>
      <c r="AH154" s="110" t="n">
        <v>0</v>
      </c>
      <c r="AJ154" s="110" t="n">
        <v>0</v>
      </c>
      <c r="AL154" s="110" t="n">
        <v>0</v>
      </c>
      <c r="AN154" s="110" t="n">
        <v>0</v>
      </c>
      <c r="AP154" s="110" t="n">
        <v>0</v>
      </c>
      <c r="AR154" s="110" t="n">
        <v>0</v>
      </c>
      <c r="AT154" s="110" t="n">
        <v>0</v>
      </c>
      <c r="AV154" s="110" t="n">
        <v>0</v>
      </c>
      <c r="AX154" s="110" t="n">
        <v>0</v>
      </c>
      <c r="AZ154" s="110" t="n">
        <v>0</v>
      </c>
      <c r="BB154" s="110" t="n">
        <v>0</v>
      </c>
      <c r="BD154" s="110" t="n">
        <v>0</v>
      </c>
      <c r="BF154" s="110" t="n">
        <v>0</v>
      </c>
      <c r="BH154" s="110" t="n">
        <v>0</v>
      </c>
      <c r="BJ154" s="110" t="n">
        <v>0</v>
      </c>
      <c r="BL154" s="110" t="n">
        <v>0</v>
      </c>
      <c r="BM154" s="110"/>
      <c r="BN154" s="110" t="n">
        <v>0</v>
      </c>
      <c r="BO154" s="110"/>
      <c r="BP154" s="110" t="n">
        <f aca="false">SUM(T154:BO154)</f>
        <v>14497.18</v>
      </c>
      <c r="BQ154" s="110"/>
      <c r="BR154" s="110" t="n">
        <v>0</v>
      </c>
      <c r="BS154" s="110"/>
      <c r="BT154" s="110" t="n">
        <v>0</v>
      </c>
      <c r="BV154" s="110" t="n">
        <f aca="false">+BP154+BT154</f>
        <v>14497.18</v>
      </c>
      <c r="BX154" s="110" t="n">
        <f aca="false">+R154-BV154</f>
        <v>15502.82</v>
      </c>
      <c r="BY154" s="110"/>
      <c r="BZ154" s="118"/>
      <c r="CA154" s="118"/>
      <c r="CB154" s="118"/>
      <c r="CC154" s="118"/>
      <c r="CD154" s="118"/>
      <c r="CE154" s="118"/>
      <c r="CF154" s="118"/>
      <c r="CG154" s="118"/>
      <c r="CH154" s="118"/>
      <c r="CI154" s="118"/>
      <c r="CJ154" s="118"/>
      <c r="CK154" s="118"/>
      <c r="CL154" s="118"/>
      <c r="CM154" s="118"/>
      <c r="CN154" s="118"/>
      <c r="CO154" s="118"/>
      <c r="CP154" s="118"/>
      <c r="CQ154" s="118"/>
      <c r="CR154" s="118"/>
      <c r="CS154" s="118"/>
      <c r="CT154" s="118"/>
      <c r="CU154" s="118"/>
      <c r="CV154" s="118"/>
      <c r="CW154" s="118"/>
      <c r="CX154" s="118"/>
      <c r="CY154" s="118"/>
      <c r="CZ154" s="118"/>
      <c r="DA154" s="118"/>
      <c r="DB154" s="118"/>
      <c r="DC154" s="118"/>
      <c r="DD154" s="118"/>
      <c r="DE154" s="118"/>
      <c r="DF154" s="118"/>
      <c r="DG154" s="118"/>
      <c r="DH154" s="118"/>
      <c r="DI154" s="118"/>
      <c r="DJ154" s="118"/>
      <c r="DK154" s="118"/>
      <c r="DL154" s="118"/>
      <c r="DM154" s="118"/>
      <c r="DN154" s="118"/>
      <c r="DO154" s="118"/>
      <c r="DP154" s="118"/>
      <c r="DQ154" s="118"/>
      <c r="DR154" s="118"/>
      <c r="DS154" s="118"/>
      <c r="DT154" s="118"/>
      <c r="DU154" s="118"/>
      <c r="DV154" s="118"/>
      <c r="DW154" s="118"/>
      <c r="DX154" s="118"/>
      <c r="DY154" s="118"/>
      <c r="DZ154" s="118"/>
      <c r="EA154" s="118"/>
      <c r="EB154" s="118"/>
      <c r="EC154" s="118"/>
      <c r="ED154" s="118"/>
      <c r="EE154" s="118"/>
      <c r="EF154" s="118"/>
      <c r="EG154" s="118"/>
      <c r="EH154" s="118"/>
      <c r="EI154" s="118"/>
      <c r="EJ154" s="118"/>
      <c r="EK154" s="118"/>
      <c r="EL154" s="118"/>
      <c r="EM154" s="118"/>
      <c r="EN154" s="118"/>
      <c r="EO154" s="118"/>
      <c r="EP154" s="118"/>
      <c r="EQ154" s="118"/>
      <c r="ER154" s="118"/>
      <c r="ES154" s="118"/>
      <c r="ET154" s="118"/>
      <c r="EU154" s="118"/>
      <c r="EV154" s="118"/>
      <c r="EW154" s="118"/>
      <c r="EX154" s="118"/>
      <c r="EY154" s="118"/>
      <c r="EZ154" s="118"/>
      <c r="FA154" s="118"/>
      <c r="FB154" s="118"/>
      <c r="FC154" s="118"/>
      <c r="FD154" s="118"/>
      <c r="FE154" s="118"/>
      <c r="FF154" s="118"/>
      <c r="FG154" s="118"/>
      <c r="FH154" s="118"/>
      <c r="FI154" s="118"/>
      <c r="FJ154" s="118"/>
      <c r="FK154" s="118"/>
      <c r="FL154" s="118"/>
      <c r="FM154" s="118"/>
      <c r="FN154" s="118"/>
      <c r="FO154" s="118"/>
      <c r="FP154" s="118"/>
      <c r="FQ154" s="118"/>
      <c r="FR154" s="118"/>
      <c r="FS154" s="118"/>
      <c r="FT154" s="118"/>
      <c r="FU154" s="118"/>
      <c r="FV154" s="118"/>
      <c r="FW154" s="118"/>
      <c r="FX154" s="118"/>
      <c r="FY154" s="118"/>
      <c r="FZ154" s="118"/>
      <c r="GA154" s="118"/>
      <c r="GB154" s="118"/>
      <c r="GC154" s="118"/>
      <c r="GD154" s="118"/>
      <c r="GE154" s="118"/>
      <c r="GF154" s="118"/>
      <c r="GG154" s="118"/>
      <c r="GH154" s="118"/>
      <c r="GI154" s="118"/>
      <c r="GJ154" s="118"/>
      <c r="GK154" s="118"/>
      <c r="GL154" s="118"/>
      <c r="GM154" s="118"/>
      <c r="GN154" s="118"/>
      <c r="GO154" s="118"/>
      <c r="GP154" s="118"/>
      <c r="GQ154" s="118"/>
      <c r="GR154" s="118"/>
      <c r="GS154" s="118"/>
      <c r="GT154" s="118"/>
      <c r="GU154" s="118"/>
      <c r="GV154" s="118"/>
      <c r="GW154" s="118"/>
      <c r="GX154" s="118"/>
      <c r="GY154" s="118"/>
      <c r="GZ154" s="118"/>
      <c r="HA154" s="118"/>
      <c r="HB154" s="118"/>
      <c r="HC154" s="118"/>
      <c r="HD154" s="118"/>
      <c r="HE154" s="118"/>
      <c r="HF154" s="118"/>
      <c r="HG154" s="118"/>
      <c r="HH154" s="118"/>
      <c r="HI154" s="118"/>
      <c r="HJ154" s="118"/>
      <c r="HK154" s="118"/>
      <c r="HL154" s="118"/>
      <c r="HM154" s="118"/>
      <c r="HN154" s="118"/>
      <c r="HO154" s="118"/>
      <c r="HP154" s="118"/>
      <c r="HQ154" s="118"/>
      <c r="HR154" s="118"/>
      <c r="HS154" s="118"/>
      <c r="HT154" s="118"/>
      <c r="HU154" s="118"/>
      <c r="HV154" s="118"/>
      <c r="HW154" s="118"/>
      <c r="HX154" s="118"/>
      <c r="HY154" s="118"/>
      <c r="HZ154" s="118"/>
      <c r="IA154" s="118"/>
      <c r="IB154" s="118"/>
      <c r="IC154" s="118"/>
      <c r="ID154" s="118"/>
      <c r="IE154" s="118"/>
      <c r="IF154" s="118"/>
      <c r="IG154" s="118"/>
      <c r="IH154" s="118"/>
      <c r="II154" s="118"/>
      <c r="IJ154" s="118"/>
      <c r="IK154" s="118"/>
      <c r="IL154" s="118"/>
      <c r="IM154" s="118"/>
      <c r="IN154" s="118"/>
      <c r="IO154" s="118"/>
      <c r="IP154" s="118"/>
      <c r="IQ154" s="118"/>
      <c r="IR154" s="118"/>
      <c r="IS154" s="118"/>
      <c r="IT154" s="118"/>
      <c r="IU154" s="118"/>
      <c r="IV154" s="118"/>
      <c r="IW154" s="118"/>
    </row>
    <row r="155" customFormat="false" ht="12.75" hidden="false" customHeight="false" outlineLevel="0" collapsed="false">
      <c r="A155" s="161"/>
      <c r="B155" s="118" t="s">
        <v>273</v>
      </c>
      <c r="C155" s="118"/>
      <c r="D155" s="118"/>
      <c r="E155" s="118"/>
      <c r="F155" s="118"/>
      <c r="G155" s="118"/>
      <c r="H155" s="118"/>
      <c r="I155" s="118"/>
      <c r="J155" s="192"/>
      <c r="K155" s="118"/>
      <c r="L155" s="203" t="s">
        <v>258</v>
      </c>
      <c r="M155" s="110"/>
      <c r="N155" s="110" t="n">
        <v>0</v>
      </c>
      <c r="O155" s="110"/>
      <c r="P155" s="110" t="n">
        <v>50000</v>
      </c>
      <c r="Q155" s="110"/>
      <c r="R155" s="110" t="n">
        <v>150000</v>
      </c>
      <c r="S155" s="110"/>
      <c r="T155" s="110" t="n">
        <v>0</v>
      </c>
      <c r="U155" s="110"/>
      <c r="V155" s="110" t="n">
        <v>1177.53</v>
      </c>
      <c r="X155" s="110" t="n">
        <v>426.75</v>
      </c>
      <c r="Z155" s="110" t="n">
        <f aca="false">825.67+21.17+687.5+96.74+1098.18</f>
        <v>2729.26</v>
      </c>
      <c r="AB155" s="110" t="n">
        <v>1480.06</v>
      </c>
      <c r="AD155" s="110" t="n">
        <f aca="false">828.24+1000.53+13.74+42+868.24</f>
        <v>2752.75</v>
      </c>
      <c r="AF155" s="110" t="n">
        <v>11808.68</v>
      </c>
      <c r="AH155" s="110" t="n">
        <v>12739.96</v>
      </c>
      <c r="AJ155" s="110" t="n">
        <v>11636.6</v>
      </c>
      <c r="AL155" s="110" t="n">
        <v>3911.51</v>
      </c>
      <c r="AN155" s="110" t="n">
        <v>3113.56</v>
      </c>
      <c r="AP155" s="110" t="n">
        <v>7537.43</v>
      </c>
      <c r="AR155" s="110" t="n">
        <v>3430.47</v>
      </c>
      <c r="AT155" s="110" t="n">
        <v>6123.69</v>
      </c>
      <c r="AV155" s="110" t="n">
        <v>1927.44</v>
      </c>
      <c r="AX155" s="110" t="n">
        <v>5311.06</v>
      </c>
      <c r="AZ155" s="110" t="n">
        <v>0</v>
      </c>
      <c r="BB155" s="110" t="n">
        <v>931.37</v>
      </c>
      <c r="BD155" s="110" t="n">
        <v>0</v>
      </c>
      <c r="BF155" s="110" t="n">
        <v>0</v>
      </c>
      <c r="BH155" s="110" t="n">
        <v>0</v>
      </c>
      <c r="BJ155" s="110" t="n">
        <v>2125</v>
      </c>
      <c r="BL155" s="110"/>
      <c r="BM155" s="110"/>
      <c r="BN155" s="110"/>
      <c r="BO155" s="110"/>
      <c r="BP155" s="110" t="n">
        <f aca="false">SUM(T155:BO155)</f>
        <v>79163.12</v>
      </c>
      <c r="BQ155" s="110"/>
      <c r="BR155" s="110" t="n">
        <v>0</v>
      </c>
      <c r="BS155" s="110"/>
      <c r="BT155" s="110" t="n">
        <v>0</v>
      </c>
      <c r="BV155" s="110" t="n">
        <f aca="false">+BP155+BT155</f>
        <v>79163.12</v>
      </c>
      <c r="BX155" s="110" t="n">
        <f aca="false">+R155-BV155</f>
        <v>70836.88</v>
      </c>
      <c r="BY155" s="110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  <c r="CM155" s="118"/>
      <c r="CN155" s="118"/>
      <c r="CO155" s="118"/>
      <c r="CP155" s="118"/>
      <c r="CQ155" s="118"/>
      <c r="CR155" s="118"/>
      <c r="CS155" s="118"/>
      <c r="CT155" s="118"/>
      <c r="CU155" s="118"/>
      <c r="CV155" s="118"/>
      <c r="CW155" s="118"/>
      <c r="CX155" s="118"/>
      <c r="CY155" s="118"/>
      <c r="CZ155" s="118"/>
      <c r="DA155" s="118"/>
      <c r="DB155" s="118"/>
      <c r="DC155" s="118"/>
      <c r="DD155" s="118"/>
      <c r="DE155" s="118"/>
      <c r="DF155" s="118"/>
      <c r="DG155" s="118"/>
      <c r="DH155" s="118"/>
      <c r="DI155" s="118"/>
      <c r="DJ155" s="118"/>
      <c r="DK155" s="118"/>
      <c r="DL155" s="118"/>
      <c r="DM155" s="118"/>
      <c r="DN155" s="118"/>
      <c r="DO155" s="118"/>
      <c r="DP155" s="118"/>
      <c r="DQ155" s="118"/>
      <c r="DR155" s="118"/>
      <c r="DS155" s="118"/>
      <c r="DT155" s="118"/>
      <c r="DU155" s="118"/>
      <c r="DV155" s="118"/>
      <c r="DW155" s="118"/>
      <c r="DX155" s="118"/>
      <c r="DY155" s="118"/>
      <c r="DZ155" s="118"/>
      <c r="EA155" s="118"/>
      <c r="EB155" s="118"/>
      <c r="EC155" s="118"/>
      <c r="ED155" s="118"/>
      <c r="EE155" s="118"/>
      <c r="EF155" s="118"/>
      <c r="EG155" s="118"/>
      <c r="EH155" s="118"/>
      <c r="EI155" s="118"/>
      <c r="EJ155" s="118"/>
      <c r="EK155" s="118"/>
      <c r="EL155" s="118"/>
      <c r="EM155" s="118"/>
      <c r="EN155" s="118"/>
      <c r="EO155" s="118"/>
      <c r="EP155" s="118"/>
      <c r="EQ155" s="118"/>
      <c r="ER155" s="118"/>
      <c r="ES155" s="118"/>
      <c r="ET155" s="118"/>
      <c r="EU155" s="118"/>
      <c r="EV155" s="118"/>
      <c r="EW155" s="118"/>
      <c r="EX155" s="118"/>
      <c r="EY155" s="118"/>
      <c r="EZ155" s="118"/>
      <c r="FA155" s="118"/>
      <c r="FB155" s="118"/>
      <c r="FC155" s="118"/>
      <c r="FD155" s="118"/>
      <c r="FE155" s="118"/>
      <c r="FF155" s="118"/>
      <c r="FG155" s="118"/>
      <c r="FH155" s="118"/>
      <c r="FI155" s="118"/>
      <c r="FJ155" s="118"/>
      <c r="FK155" s="118"/>
      <c r="FL155" s="118"/>
      <c r="FM155" s="118"/>
      <c r="FN155" s="118"/>
      <c r="FO155" s="118"/>
      <c r="FP155" s="118"/>
      <c r="FQ155" s="118"/>
      <c r="FR155" s="118"/>
      <c r="FS155" s="118"/>
      <c r="FT155" s="118"/>
      <c r="FU155" s="118"/>
      <c r="FV155" s="118"/>
      <c r="FW155" s="118"/>
      <c r="FX155" s="118"/>
      <c r="FY155" s="118"/>
      <c r="FZ155" s="118"/>
      <c r="GA155" s="118"/>
      <c r="GB155" s="118"/>
      <c r="GC155" s="118"/>
      <c r="GD155" s="118"/>
      <c r="GE155" s="118"/>
      <c r="GF155" s="118"/>
      <c r="GG155" s="118"/>
      <c r="GH155" s="118"/>
      <c r="GI155" s="118"/>
      <c r="GJ155" s="118"/>
      <c r="GK155" s="118"/>
      <c r="GL155" s="118"/>
      <c r="GM155" s="118"/>
      <c r="GN155" s="118"/>
      <c r="GO155" s="118"/>
      <c r="GP155" s="118"/>
      <c r="GQ155" s="118"/>
      <c r="GR155" s="118"/>
      <c r="GS155" s="118"/>
      <c r="GT155" s="118"/>
      <c r="GU155" s="118"/>
      <c r="GV155" s="118"/>
      <c r="GW155" s="118"/>
      <c r="GX155" s="118"/>
      <c r="GY155" s="118"/>
      <c r="GZ155" s="118"/>
      <c r="HA155" s="118"/>
      <c r="HB155" s="118"/>
      <c r="HC155" s="118"/>
      <c r="HD155" s="118"/>
      <c r="HE155" s="118"/>
      <c r="HF155" s="118"/>
      <c r="HG155" s="118"/>
      <c r="HH155" s="118"/>
      <c r="HI155" s="118"/>
      <c r="HJ155" s="118"/>
      <c r="HK155" s="118"/>
      <c r="HL155" s="118"/>
      <c r="HM155" s="118"/>
      <c r="HN155" s="118"/>
      <c r="HO155" s="118"/>
      <c r="HP155" s="118"/>
      <c r="HQ155" s="118"/>
      <c r="HR155" s="118"/>
      <c r="HS155" s="118"/>
      <c r="HT155" s="118"/>
      <c r="HU155" s="118"/>
      <c r="HV155" s="118"/>
      <c r="HW155" s="118"/>
      <c r="HX155" s="118"/>
      <c r="HY155" s="118"/>
      <c r="HZ155" s="118"/>
      <c r="IA155" s="118"/>
      <c r="IB155" s="118"/>
      <c r="IC155" s="118"/>
      <c r="ID155" s="118"/>
      <c r="IE155" s="118"/>
      <c r="IF155" s="118"/>
      <c r="IG155" s="118"/>
      <c r="IH155" s="118"/>
      <c r="II155" s="118"/>
      <c r="IJ155" s="118"/>
      <c r="IK155" s="118"/>
      <c r="IL155" s="118"/>
      <c r="IM155" s="118"/>
      <c r="IN155" s="118"/>
      <c r="IO155" s="118"/>
      <c r="IP155" s="118"/>
      <c r="IQ155" s="118"/>
      <c r="IR155" s="118"/>
      <c r="IS155" s="118"/>
      <c r="IT155" s="118"/>
      <c r="IU155" s="118"/>
      <c r="IV155" s="118"/>
      <c r="IW155" s="118"/>
    </row>
    <row r="156" customFormat="false" ht="12.75" hidden="false" customHeight="false" outlineLevel="0" collapsed="false">
      <c r="A156" s="161"/>
      <c r="B156" s="118" t="s">
        <v>387</v>
      </c>
      <c r="C156" s="118"/>
      <c r="D156" s="118"/>
      <c r="E156" s="118"/>
      <c r="F156" s="118"/>
      <c r="G156" s="118"/>
      <c r="H156" s="118"/>
      <c r="I156" s="118"/>
      <c r="J156" s="192"/>
      <c r="K156" s="118"/>
      <c r="L156" s="203" t="s">
        <v>258</v>
      </c>
      <c r="M156" s="110"/>
      <c r="N156" s="110" t="n">
        <v>0</v>
      </c>
      <c r="O156" s="110"/>
      <c r="P156" s="110" t="n">
        <v>24235</v>
      </c>
      <c r="Q156" s="110"/>
      <c r="S156" s="110"/>
      <c r="T156" s="110" t="n">
        <v>0</v>
      </c>
      <c r="U156" s="110"/>
      <c r="V156" s="110" t="n">
        <v>0</v>
      </c>
      <c r="X156" s="110" t="n">
        <v>0</v>
      </c>
      <c r="Z156" s="110" t="n">
        <v>0</v>
      </c>
      <c r="AB156" s="110" t="n">
        <v>0</v>
      </c>
      <c r="AD156" s="110" t="n">
        <v>0</v>
      </c>
      <c r="AF156" s="110" t="n">
        <v>0</v>
      </c>
      <c r="AH156" s="110" t="n">
        <v>0</v>
      </c>
      <c r="AJ156" s="110" t="n">
        <v>0</v>
      </c>
      <c r="AL156" s="110" t="n">
        <v>0</v>
      </c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/>
      <c r="BN156" s="110" t="n">
        <v>0</v>
      </c>
      <c r="BO156" s="110"/>
      <c r="BP156" s="110" t="n">
        <f aca="false">SUM(T156:BO156)</f>
        <v>0</v>
      </c>
      <c r="BQ156" s="110"/>
      <c r="BR156" s="110" t="n">
        <v>0</v>
      </c>
      <c r="BS156" s="110"/>
      <c r="BT156" s="110" t="n">
        <f aca="false">IF(+R156-BP156+BR156&gt;0,R156-BP156+BR156,0)</f>
        <v>0</v>
      </c>
      <c r="BV156" s="110" t="n">
        <f aca="false">+BP156+BT156</f>
        <v>0</v>
      </c>
      <c r="BX156" s="110" t="n">
        <f aca="false">+R156-BV156</f>
        <v>0</v>
      </c>
      <c r="BY156" s="110"/>
      <c r="BZ156" s="118"/>
      <c r="CA156" s="118"/>
      <c r="CB156" s="118"/>
      <c r="CC156" s="118"/>
      <c r="CD156" s="118"/>
      <c r="CE156" s="118"/>
      <c r="CF156" s="118"/>
      <c r="CG156" s="118"/>
      <c r="CH156" s="118"/>
      <c r="CI156" s="118"/>
      <c r="CJ156" s="118"/>
      <c r="CK156" s="118"/>
      <c r="CL156" s="118"/>
      <c r="CM156" s="118"/>
      <c r="CN156" s="118"/>
      <c r="CO156" s="118"/>
      <c r="CP156" s="118"/>
      <c r="CQ156" s="118"/>
      <c r="CR156" s="118"/>
      <c r="CS156" s="118"/>
      <c r="CT156" s="118"/>
      <c r="CU156" s="118"/>
      <c r="CV156" s="118"/>
      <c r="CW156" s="118"/>
      <c r="CX156" s="118"/>
      <c r="CY156" s="118"/>
      <c r="CZ156" s="118"/>
      <c r="DA156" s="118"/>
      <c r="DB156" s="118"/>
      <c r="DC156" s="118"/>
      <c r="DD156" s="118"/>
      <c r="DE156" s="118"/>
      <c r="DF156" s="118"/>
      <c r="DG156" s="118"/>
      <c r="DH156" s="118"/>
      <c r="DI156" s="118"/>
      <c r="DJ156" s="118"/>
      <c r="DK156" s="118"/>
      <c r="DL156" s="118"/>
      <c r="DM156" s="118"/>
      <c r="DN156" s="118"/>
      <c r="DO156" s="118"/>
      <c r="DP156" s="118"/>
      <c r="DQ156" s="118"/>
      <c r="DR156" s="118"/>
      <c r="DS156" s="118"/>
      <c r="DT156" s="118"/>
      <c r="DU156" s="118"/>
      <c r="DV156" s="118"/>
      <c r="DW156" s="118"/>
      <c r="DX156" s="118"/>
      <c r="DY156" s="118"/>
      <c r="DZ156" s="118"/>
      <c r="EA156" s="118"/>
      <c r="EB156" s="118"/>
      <c r="EC156" s="118"/>
      <c r="ED156" s="118"/>
      <c r="EE156" s="118"/>
      <c r="EF156" s="118"/>
      <c r="EG156" s="118"/>
      <c r="EH156" s="118"/>
      <c r="EI156" s="118"/>
      <c r="EJ156" s="118"/>
      <c r="EK156" s="118"/>
      <c r="EL156" s="118"/>
      <c r="EM156" s="118"/>
      <c r="EN156" s="118"/>
      <c r="EO156" s="118"/>
      <c r="EP156" s="118"/>
      <c r="EQ156" s="118"/>
      <c r="ER156" s="118"/>
      <c r="ES156" s="118"/>
      <c r="ET156" s="118"/>
      <c r="EU156" s="118"/>
      <c r="EV156" s="118"/>
      <c r="EW156" s="118"/>
      <c r="EX156" s="118"/>
      <c r="EY156" s="118"/>
      <c r="EZ156" s="118"/>
      <c r="FA156" s="118"/>
      <c r="FB156" s="118"/>
      <c r="FC156" s="118"/>
      <c r="FD156" s="118"/>
      <c r="FE156" s="118"/>
      <c r="FF156" s="118"/>
      <c r="FG156" s="118"/>
      <c r="FH156" s="118"/>
      <c r="FI156" s="118"/>
      <c r="FJ156" s="118"/>
      <c r="FK156" s="118"/>
      <c r="FL156" s="118"/>
      <c r="FM156" s="118"/>
      <c r="FN156" s="118"/>
      <c r="FO156" s="118"/>
      <c r="FP156" s="118"/>
      <c r="FQ156" s="118"/>
      <c r="FR156" s="118"/>
      <c r="FS156" s="118"/>
      <c r="FT156" s="118"/>
      <c r="FU156" s="118"/>
      <c r="FV156" s="118"/>
      <c r="FW156" s="118"/>
      <c r="FX156" s="118"/>
      <c r="FY156" s="118"/>
      <c r="FZ156" s="118"/>
      <c r="GA156" s="118"/>
      <c r="GB156" s="118"/>
      <c r="GC156" s="118"/>
      <c r="GD156" s="118"/>
      <c r="GE156" s="118"/>
      <c r="GF156" s="118"/>
      <c r="GG156" s="118"/>
      <c r="GH156" s="118"/>
      <c r="GI156" s="118"/>
      <c r="GJ156" s="118"/>
      <c r="GK156" s="118"/>
      <c r="GL156" s="118"/>
      <c r="GM156" s="118"/>
      <c r="GN156" s="118"/>
      <c r="GO156" s="118"/>
      <c r="GP156" s="118"/>
      <c r="GQ156" s="118"/>
      <c r="GR156" s="118"/>
      <c r="GS156" s="118"/>
      <c r="GT156" s="118"/>
      <c r="GU156" s="118"/>
      <c r="GV156" s="118"/>
      <c r="GW156" s="118"/>
      <c r="GX156" s="118"/>
      <c r="GY156" s="118"/>
      <c r="GZ156" s="118"/>
      <c r="HA156" s="118"/>
      <c r="HB156" s="118"/>
      <c r="HC156" s="118"/>
      <c r="HD156" s="118"/>
      <c r="HE156" s="118"/>
      <c r="HF156" s="118"/>
      <c r="HG156" s="118"/>
      <c r="HH156" s="118"/>
      <c r="HI156" s="118"/>
      <c r="HJ156" s="118"/>
      <c r="HK156" s="118"/>
      <c r="HL156" s="118"/>
      <c r="HM156" s="118"/>
      <c r="HN156" s="118"/>
      <c r="HO156" s="118"/>
      <c r="HP156" s="118"/>
      <c r="HQ156" s="118"/>
      <c r="HR156" s="118"/>
      <c r="HS156" s="118"/>
      <c r="HT156" s="118"/>
      <c r="HU156" s="118"/>
      <c r="HV156" s="118"/>
      <c r="HW156" s="118"/>
      <c r="HX156" s="118"/>
      <c r="HY156" s="118"/>
      <c r="HZ156" s="118"/>
      <c r="IA156" s="118"/>
      <c r="IB156" s="118"/>
      <c r="IC156" s="118"/>
      <c r="ID156" s="118"/>
      <c r="IE156" s="118"/>
      <c r="IF156" s="118"/>
      <c r="IG156" s="118"/>
      <c r="IH156" s="118"/>
      <c r="II156" s="118"/>
      <c r="IJ156" s="118"/>
      <c r="IK156" s="118"/>
      <c r="IL156" s="118"/>
      <c r="IM156" s="118"/>
      <c r="IN156" s="118"/>
      <c r="IO156" s="118"/>
      <c r="IP156" s="118"/>
      <c r="IQ156" s="118"/>
      <c r="IR156" s="118"/>
      <c r="IS156" s="118"/>
      <c r="IT156" s="118"/>
      <c r="IU156" s="118"/>
      <c r="IV156" s="118"/>
      <c r="IW156" s="118"/>
    </row>
    <row r="157" customFormat="false" ht="12.75" hidden="false" customHeight="false" outlineLevel="0" collapsed="false">
      <c r="A157" s="161"/>
      <c r="B157" s="118" t="s">
        <v>128</v>
      </c>
      <c r="C157" s="118"/>
      <c r="D157" s="118"/>
      <c r="E157" s="118"/>
      <c r="F157" s="118"/>
      <c r="G157" s="118"/>
      <c r="H157" s="118"/>
      <c r="I157" s="118"/>
      <c r="J157" s="192"/>
      <c r="K157" s="118"/>
      <c r="L157" s="203" t="s">
        <v>258</v>
      </c>
      <c r="M157" s="110"/>
      <c r="N157" s="110" t="n">
        <v>400000</v>
      </c>
      <c r="O157" s="110"/>
      <c r="P157" s="110" t="n">
        <f aca="false">49065-N157-6000</f>
        <v>-356935</v>
      </c>
      <c r="Q157" s="110"/>
      <c r="R157" s="110" t="n">
        <v>220000</v>
      </c>
      <c r="S157" s="110"/>
      <c r="T157" s="110" t="n">
        <v>0</v>
      </c>
      <c r="U157" s="110"/>
      <c r="V157" s="110" t="n">
        <v>0</v>
      </c>
      <c r="X157" s="110"/>
      <c r="Z157" s="110"/>
      <c r="AB157" s="110"/>
      <c r="AD157" s="110" t="n">
        <f aca="false">2287.5</f>
        <v>2287.5</v>
      </c>
      <c r="AF157" s="110" t="n">
        <v>7317.49</v>
      </c>
      <c r="AH157" s="110" t="n">
        <v>20400</v>
      </c>
      <c r="AJ157" s="110" t="n">
        <v>875</v>
      </c>
      <c r="AL157" s="110" t="n">
        <v>26869.6</v>
      </c>
      <c r="AN157" s="110" t="n">
        <v>11540.02</v>
      </c>
      <c r="AP157" s="110" t="n">
        <f aca="false">106180-83333.35</f>
        <v>22846.65</v>
      </c>
      <c r="AR157" s="110" t="n">
        <f aca="false">23517.61+1866.18+2591+150</f>
        <v>28124.79</v>
      </c>
      <c r="AT157" s="110" t="n">
        <v>28858.74</v>
      </c>
      <c r="AV157" s="110" t="n">
        <v>29874.24</v>
      </c>
      <c r="AX157" s="110" t="n">
        <v>47425</v>
      </c>
      <c r="AZ157" s="110" t="n">
        <f aca="false">66831-2500</f>
        <v>64331</v>
      </c>
      <c r="BB157" s="110" t="n">
        <f aca="false">39287.61</f>
        <v>39287.61</v>
      </c>
      <c r="BD157" s="110" t="n">
        <f aca="false">6994.44+1423.2+4178.48+57828.2+2495.79+37581.62-264</f>
        <v>110237.73</v>
      </c>
      <c r="BF157" s="110" t="n">
        <v>13668.55</v>
      </c>
      <c r="BH157" s="110" t="n">
        <f aca="false">32977.26+25000</f>
        <v>57977.26</v>
      </c>
      <c r="BJ157" s="110" t="n">
        <f aca="false">7304+7631+27303</f>
        <v>42238</v>
      </c>
      <c r="BL157" s="110" t="n">
        <v>5165</v>
      </c>
      <c r="BM157" s="110"/>
      <c r="BN157" s="110" t="n">
        <v>0</v>
      </c>
      <c r="BO157" s="110"/>
      <c r="BP157" s="110" t="n">
        <f aca="false">SUM(T157:BO157)</f>
        <v>559324.18</v>
      </c>
      <c r="BQ157" s="110"/>
      <c r="BR157" s="110" t="n">
        <v>0</v>
      </c>
      <c r="BS157" s="110"/>
      <c r="BT157" s="110" t="n">
        <f aca="false">IF(+R157-BP157+BR157&gt;0,R157-BP157+BR157,0)</f>
        <v>0</v>
      </c>
      <c r="BV157" s="110" t="n">
        <f aca="false">+BP157+BT157</f>
        <v>559324.18</v>
      </c>
      <c r="BX157" s="110" t="n">
        <f aca="false">+R157-BV157</f>
        <v>-339324.18</v>
      </c>
      <c r="BY157" s="110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  <c r="HL157" s="118"/>
      <c r="HM157" s="118"/>
      <c r="HN157" s="118"/>
      <c r="HO157" s="118"/>
      <c r="HP157" s="118"/>
      <c r="HQ157" s="118"/>
      <c r="HR157" s="118"/>
      <c r="HS157" s="118"/>
      <c r="HT157" s="118"/>
      <c r="HU157" s="118"/>
      <c r="HV157" s="118"/>
      <c r="HW157" s="118"/>
      <c r="HX157" s="118"/>
      <c r="HY157" s="118"/>
      <c r="HZ157" s="118"/>
      <c r="IA157" s="118"/>
      <c r="IB157" s="118"/>
      <c r="IC157" s="118"/>
      <c r="ID157" s="118"/>
      <c r="IE157" s="118"/>
      <c r="IF157" s="118"/>
      <c r="IG157" s="118"/>
      <c r="IH157" s="118"/>
      <c r="II157" s="118"/>
      <c r="IJ157" s="118"/>
      <c r="IK157" s="118"/>
      <c r="IL157" s="118"/>
      <c r="IM157" s="118"/>
      <c r="IN157" s="118"/>
      <c r="IO157" s="118"/>
      <c r="IP157" s="118"/>
      <c r="IQ157" s="118"/>
      <c r="IR157" s="118"/>
      <c r="IS157" s="118"/>
      <c r="IT157" s="118"/>
      <c r="IU157" s="118"/>
      <c r="IV157" s="118"/>
      <c r="IW157" s="118"/>
    </row>
    <row r="158" customFormat="false" ht="12.75" hidden="false" customHeight="false" outlineLevel="0" collapsed="false">
      <c r="A158" s="161"/>
      <c r="B158" s="118" t="s">
        <v>426</v>
      </c>
      <c r="C158" s="118"/>
      <c r="D158" s="118"/>
      <c r="E158" s="118"/>
      <c r="F158" s="118"/>
      <c r="G158" s="118"/>
      <c r="H158" s="118"/>
      <c r="I158" s="118"/>
      <c r="J158" s="192"/>
      <c r="K158" s="118"/>
      <c r="L158" s="203"/>
      <c r="M158" s="110"/>
      <c r="O158" s="110"/>
      <c r="Q158" s="110"/>
      <c r="S158" s="110"/>
      <c r="T158" s="110"/>
      <c r="U158" s="110"/>
      <c r="V158" s="110"/>
      <c r="X158" s="110"/>
      <c r="Z158" s="110"/>
      <c r="AB158" s="110"/>
      <c r="AD158" s="110"/>
      <c r="AP158" s="110" t="n">
        <v>83333.35</v>
      </c>
      <c r="AR158" s="110" t="n">
        <f aca="false">82333.33+25346.23+4027.9</f>
        <v>111707.46</v>
      </c>
      <c r="BJ158" s="110"/>
      <c r="BL158" s="110"/>
      <c r="BM158" s="110"/>
      <c r="BN158" s="110"/>
      <c r="BO158" s="110"/>
      <c r="BP158" s="110" t="n">
        <f aca="false">SUM(T158:BO158)</f>
        <v>195040.81</v>
      </c>
      <c r="BQ158" s="110"/>
      <c r="BR158" s="110" t="n">
        <v>0</v>
      </c>
      <c r="BS158" s="110"/>
      <c r="BT158" s="110" t="n">
        <f aca="false">IF(+R158-BP158+BR158&gt;0,R158-BP158+BR158,0)</f>
        <v>0</v>
      </c>
      <c r="BV158" s="110" t="n">
        <f aca="false">+BP158+BT158</f>
        <v>195040.81</v>
      </c>
      <c r="BX158" s="110" t="n">
        <f aca="false">+R158-BV158</f>
        <v>-195040.81</v>
      </c>
      <c r="BY158" s="110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  <c r="CR158" s="118"/>
      <c r="CS158" s="118"/>
      <c r="CT158" s="118"/>
      <c r="CU158" s="118"/>
      <c r="CV158" s="118"/>
      <c r="CW158" s="118"/>
      <c r="CX158" s="118"/>
      <c r="CY158" s="118"/>
      <c r="CZ158" s="118"/>
      <c r="DA158" s="118"/>
      <c r="DB158" s="118"/>
      <c r="DC158" s="118"/>
      <c r="DD158" s="118"/>
      <c r="DE158" s="118"/>
      <c r="DF158" s="118"/>
      <c r="DG158" s="118"/>
      <c r="DH158" s="118"/>
      <c r="DI158" s="118"/>
      <c r="DJ158" s="118"/>
      <c r="DK158" s="118"/>
      <c r="DL158" s="118"/>
      <c r="DM158" s="118"/>
      <c r="DN158" s="118"/>
      <c r="DO158" s="118"/>
      <c r="DP158" s="118"/>
      <c r="DQ158" s="118"/>
      <c r="DR158" s="118"/>
      <c r="DS158" s="118"/>
      <c r="DT158" s="118"/>
      <c r="DU158" s="118"/>
      <c r="DV158" s="118"/>
      <c r="DW158" s="118"/>
      <c r="DX158" s="118"/>
      <c r="DY158" s="118"/>
      <c r="DZ158" s="118"/>
      <c r="EA158" s="118"/>
      <c r="EB158" s="118"/>
      <c r="EC158" s="118"/>
      <c r="ED158" s="118"/>
      <c r="EE158" s="118"/>
      <c r="EF158" s="118"/>
      <c r="EG158" s="118"/>
      <c r="EH158" s="118"/>
      <c r="EI158" s="118"/>
      <c r="EJ158" s="118"/>
      <c r="EK158" s="118"/>
      <c r="EL158" s="118"/>
      <c r="EM158" s="118"/>
      <c r="EN158" s="118"/>
      <c r="EO158" s="118"/>
      <c r="EP158" s="118"/>
      <c r="EQ158" s="118"/>
      <c r="ER158" s="118"/>
      <c r="ES158" s="118"/>
      <c r="ET158" s="118"/>
      <c r="EU158" s="118"/>
      <c r="EV158" s="118"/>
      <c r="EW158" s="118"/>
      <c r="EX158" s="118"/>
      <c r="EY158" s="118"/>
      <c r="EZ158" s="118"/>
      <c r="FA158" s="118"/>
      <c r="FB158" s="118"/>
      <c r="FC158" s="118"/>
      <c r="FD158" s="118"/>
      <c r="FE158" s="118"/>
      <c r="FF158" s="118"/>
      <c r="FG158" s="118"/>
      <c r="FH158" s="118"/>
      <c r="FI158" s="118"/>
      <c r="FJ158" s="118"/>
      <c r="FK158" s="118"/>
      <c r="FL158" s="118"/>
      <c r="FM158" s="118"/>
      <c r="FN158" s="118"/>
      <c r="FO158" s="118"/>
      <c r="FP158" s="118"/>
      <c r="FQ158" s="118"/>
      <c r="FR158" s="118"/>
      <c r="FS158" s="118"/>
      <c r="FT158" s="118"/>
      <c r="FU158" s="118"/>
      <c r="FV158" s="118"/>
      <c r="FW158" s="118"/>
      <c r="FX158" s="118"/>
      <c r="FY158" s="118"/>
      <c r="FZ158" s="118"/>
      <c r="GA158" s="118"/>
      <c r="GB158" s="118"/>
      <c r="GC158" s="118"/>
      <c r="GD158" s="118"/>
      <c r="GE158" s="118"/>
      <c r="GF158" s="118"/>
      <c r="GG158" s="118"/>
      <c r="GH158" s="118"/>
      <c r="GI158" s="118"/>
      <c r="GJ158" s="118"/>
      <c r="GK158" s="118"/>
      <c r="GL158" s="118"/>
      <c r="GM158" s="118"/>
      <c r="GN158" s="118"/>
      <c r="GO158" s="118"/>
      <c r="GP158" s="118"/>
      <c r="GQ158" s="118"/>
      <c r="GR158" s="118"/>
      <c r="GS158" s="118"/>
      <c r="GT158" s="118"/>
      <c r="GU158" s="118"/>
      <c r="GV158" s="118"/>
      <c r="GW158" s="118"/>
      <c r="GX158" s="118"/>
      <c r="GY158" s="118"/>
      <c r="GZ158" s="118"/>
      <c r="HA158" s="118"/>
      <c r="HB158" s="118"/>
      <c r="HC158" s="118"/>
      <c r="HD158" s="118"/>
      <c r="HE158" s="118"/>
      <c r="HF158" s="118"/>
      <c r="HG158" s="118"/>
      <c r="HH158" s="118"/>
      <c r="HI158" s="118"/>
      <c r="HJ158" s="118"/>
      <c r="HK158" s="118"/>
      <c r="HL158" s="118"/>
      <c r="HM158" s="118"/>
      <c r="HN158" s="118"/>
      <c r="HO158" s="118"/>
      <c r="HP158" s="118"/>
      <c r="HQ158" s="118"/>
      <c r="HR158" s="118"/>
      <c r="HS158" s="118"/>
      <c r="HT158" s="118"/>
      <c r="HU158" s="118"/>
      <c r="HV158" s="118"/>
      <c r="HW158" s="118"/>
      <c r="HX158" s="118"/>
      <c r="HY158" s="118"/>
      <c r="HZ158" s="118"/>
      <c r="IA158" s="118"/>
      <c r="IB158" s="118"/>
      <c r="IC158" s="118"/>
      <c r="ID158" s="118"/>
      <c r="IE158" s="118"/>
      <c r="IF158" s="118"/>
      <c r="IG158" s="118"/>
      <c r="IH158" s="118"/>
      <c r="II158" s="118"/>
      <c r="IJ158" s="118"/>
      <c r="IK158" s="118"/>
      <c r="IL158" s="118"/>
      <c r="IM158" s="118"/>
      <c r="IN158" s="118"/>
      <c r="IO158" s="118"/>
      <c r="IP158" s="118"/>
      <c r="IQ158" s="118"/>
      <c r="IR158" s="118"/>
      <c r="IS158" s="118"/>
      <c r="IT158" s="118"/>
      <c r="IU158" s="118"/>
      <c r="IV158" s="118"/>
      <c r="IW158" s="118"/>
    </row>
    <row r="159" customFormat="false" ht="12.75" hidden="false" customHeight="false" outlineLevel="0" collapsed="false">
      <c r="A159" s="161"/>
      <c r="B159" s="118" t="s">
        <v>388</v>
      </c>
      <c r="C159" s="118"/>
      <c r="D159" s="118"/>
      <c r="E159" s="118"/>
      <c r="F159" s="118"/>
      <c r="G159" s="118"/>
      <c r="H159" s="118"/>
      <c r="I159" s="118"/>
      <c r="J159" s="192"/>
      <c r="K159" s="118"/>
      <c r="L159" s="203"/>
      <c r="M159" s="110"/>
      <c r="O159" s="110"/>
      <c r="Q159" s="110"/>
      <c r="S159" s="110"/>
      <c r="T159" s="110"/>
      <c r="U159" s="110"/>
      <c r="V159" s="110"/>
      <c r="X159" s="110"/>
      <c r="Z159" s="110"/>
      <c r="AB159" s="110"/>
      <c r="AD159" s="110"/>
      <c r="AF159" s="110" t="n">
        <v>75487.01</v>
      </c>
      <c r="AH159" s="110" t="n">
        <f aca="false">17132.73+566.91+17351.65+16608.78+10439.68+3047.17</f>
        <v>65146.92</v>
      </c>
      <c r="AJ159" s="110" t="n">
        <v>18599.24</v>
      </c>
      <c r="AV159" s="110" t="n">
        <v>9122.91</v>
      </c>
      <c r="BJ159" s="110"/>
      <c r="BL159" s="110"/>
      <c r="BM159" s="110"/>
      <c r="BN159" s="110"/>
      <c r="BO159" s="110"/>
      <c r="BP159" s="110" t="n">
        <f aca="false">SUM(T159:BO159)</f>
        <v>168356.08</v>
      </c>
      <c r="BQ159" s="110"/>
      <c r="BR159" s="110" t="n">
        <v>159233</v>
      </c>
      <c r="BS159" s="110"/>
      <c r="BT159" s="110" t="n">
        <f aca="false">IF(+R159-BP159+BR159&gt;0,R159-BP159+BR159,0)</f>
        <v>0</v>
      </c>
      <c r="BV159" s="110" t="n">
        <f aca="false">+BP159+BT159</f>
        <v>168356.08</v>
      </c>
      <c r="BX159" s="110" t="n">
        <f aca="false">+R159-BV159</f>
        <v>-168356.08</v>
      </c>
      <c r="BY159" s="110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  <c r="GG159" s="118"/>
      <c r="GH159" s="118"/>
      <c r="GI159" s="118"/>
      <c r="GJ159" s="118"/>
      <c r="GK159" s="118"/>
      <c r="GL159" s="118"/>
      <c r="GM159" s="118"/>
      <c r="GN159" s="118"/>
      <c r="GO159" s="118"/>
      <c r="GP159" s="118"/>
      <c r="GQ159" s="118"/>
      <c r="GR159" s="118"/>
      <c r="GS159" s="118"/>
      <c r="GT159" s="118"/>
      <c r="GU159" s="118"/>
      <c r="GV159" s="118"/>
      <c r="GW159" s="118"/>
      <c r="GX159" s="118"/>
      <c r="GY159" s="118"/>
      <c r="GZ159" s="118"/>
      <c r="HA159" s="118"/>
      <c r="HB159" s="118"/>
      <c r="HC159" s="118"/>
      <c r="HD159" s="118"/>
      <c r="HE159" s="118"/>
      <c r="HF159" s="118"/>
      <c r="HG159" s="118"/>
      <c r="HH159" s="118"/>
      <c r="HI159" s="118"/>
      <c r="HJ159" s="118"/>
      <c r="HK159" s="118"/>
      <c r="HL159" s="118"/>
      <c r="HM159" s="118"/>
      <c r="HN159" s="118"/>
      <c r="HO159" s="118"/>
      <c r="HP159" s="118"/>
      <c r="HQ159" s="118"/>
      <c r="HR159" s="118"/>
      <c r="HS159" s="118"/>
      <c r="HT159" s="118"/>
      <c r="HU159" s="118"/>
      <c r="HV159" s="118"/>
      <c r="HW159" s="118"/>
      <c r="HX159" s="118"/>
      <c r="HY159" s="118"/>
      <c r="HZ159" s="118"/>
      <c r="IA159" s="118"/>
      <c r="IB159" s="118"/>
      <c r="IC159" s="118"/>
      <c r="ID159" s="118"/>
      <c r="IE159" s="118"/>
      <c r="IF159" s="118"/>
      <c r="IG159" s="118"/>
      <c r="IH159" s="118"/>
      <c r="II159" s="118"/>
      <c r="IJ159" s="118"/>
      <c r="IK159" s="118"/>
      <c r="IL159" s="118"/>
      <c r="IM159" s="118"/>
      <c r="IN159" s="118"/>
      <c r="IO159" s="118"/>
      <c r="IP159" s="118"/>
      <c r="IQ159" s="118"/>
      <c r="IR159" s="118"/>
      <c r="IS159" s="118"/>
      <c r="IT159" s="118"/>
      <c r="IU159" s="118"/>
      <c r="IV159" s="118"/>
      <c r="IW159" s="118"/>
    </row>
    <row r="160" customFormat="false" ht="12.75" hidden="false" customHeight="false" outlineLevel="0" collapsed="false">
      <c r="A160" s="160"/>
      <c r="B160" s="174" t="s">
        <v>277</v>
      </c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198" t="n">
        <f aca="false">SUM(N154:N157)</f>
        <v>600000</v>
      </c>
      <c r="O160" s="24"/>
      <c r="P160" s="198" t="n">
        <f aca="false">SUM(P154:P157)</f>
        <v>-282700</v>
      </c>
      <c r="Q160" s="24"/>
      <c r="R160" s="198" t="n">
        <f aca="false">SUM(R154:R159)</f>
        <v>400000</v>
      </c>
      <c r="S160" s="198"/>
      <c r="T160" s="198" t="n">
        <f aca="false">SUM(T154:T159)</f>
        <v>0</v>
      </c>
      <c r="U160" s="198" t="n">
        <f aca="false">SUM(U154:U159)</f>
        <v>0</v>
      </c>
      <c r="V160" s="198" t="n">
        <f aca="false">SUM(V154:V159)</f>
        <v>1177.53</v>
      </c>
      <c r="W160" s="198" t="n">
        <f aca="false">SUM(W154:W159)</f>
        <v>0</v>
      </c>
      <c r="X160" s="198" t="n">
        <f aca="false">SUM(X154:X159)</f>
        <v>14923.93</v>
      </c>
      <c r="Y160" s="198" t="n">
        <f aca="false">SUM(Y154:Y159)</f>
        <v>0</v>
      </c>
      <c r="Z160" s="198" t="n">
        <f aca="false">SUM(Z154:Z159)</f>
        <v>2729.26</v>
      </c>
      <c r="AA160" s="198" t="n">
        <f aca="false">SUM(AA154:AA159)</f>
        <v>0</v>
      </c>
      <c r="AB160" s="198" t="n">
        <f aca="false">SUM(AB154:AB159)</f>
        <v>1480.06</v>
      </c>
      <c r="AC160" s="198" t="n">
        <f aca="false">SUM(AC154:AC159)</f>
        <v>0</v>
      </c>
      <c r="AD160" s="198" t="n">
        <f aca="false">SUM(AD154:AD159)</f>
        <v>5040.25</v>
      </c>
      <c r="AE160" s="198" t="n">
        <f aca="false">SUM(AE154:AE159)</f>
        <v>0</v>
      </c>
      <c r="AF160" s="198" t="n">
        <f aca="false">SUM(AF154:AF159)</f>
        <v>94613.18</v>
      </c>
      <c r="AG160" s="198" t="n">
        <f aca="false">SUM(AG154:AG159)</f>
        <v>0</v>
      </c>
      <c r="AH160" s="198" t="n">
        <f aca="false">SUM(AH154:AH159)</f>
        <v>98286.88</v>
      </c>
      <c r="AI160" s="198" t="n">
        <f aca="false">SUM(AI154:AI159)</f>
        <v>0</v>
      </c>
      <c r="AJ160" s="198" t="n">
        <f aca="false">SUM(AJ154:AJ159)</f>
        <v>31110.84</v>
      </c>
      <c r="AK160" s="198" t="n">
        <f aca="false">SUM(AK154:AK159)</f>
        <v>0</v>
      </c>
      <c r="AL160" s="198" t="n">
        <f aca="false">SUM(AL154:AL159)</f>
        <v>30781.11</v>
      </c>
      <c r="AM160" s="198" t="n">
        <f aca="false">SUM(AM154:AM159)</f>
        <v>0</v>
      </c>
      <c r="AN160" s="198" t="n">
        <f aca="false">SUM(AN154:AN159)</f>
        <v>14653.58</v>
      </c>
      <c r="AO160" s="198" t="n">
        <f aca="false">SUM(AO154:AO159)</f>
        <v>0</v>
      </c>
      <c r="AP160" s="198" t="n">
        <f aca="false">SUM(AP154:AP159)</f>
        <v>113717.43</v>
      </c>
      <c r="AQ160" s="198"/>
      <c r="AR160" s="198" t="n">
        <f aca="false">SUM(AR154:AR159)</f>
        <v>143262.72</v>
      </c>
      <c r="AS160" s="198" t="n">
        <f aca="false">SUM(AS154:AS159)</f>
        <v>0</v>
      </c>
      <c r="AT160" s="198" t="n">
        <f aca="false">SUM(AT154:AT159)</f>
        <v>34982.43</v>
      </c>
      <c r="AU160" s="198" t="n">
        <f aca="false">SUM(AU154:AU159)</f>
        <v>0</v>
      </c>
      <c r="AV160" s="198" t="n">
        <f aca="false">SUM(AV154:AV159)</f>
        <v>40924.59</v>
      </c>
      <c r="AW160" s="198" t="n">
        <f aca="false">SUM(AW154:AW159)</f>
        <v>0</v>
      </c>
      <c r="AX160" s="198" t="n">
        <f aca="false">SUM(AX154:AX159)</f>
        <v>52736.06</v>
      </c>
      <c r="AY160" s="198" t="n">
        <f aca="false">SUM(AY154:AY159)</f>
        <v>0</v>
      </c>
      <c r="AZ160" s="198" t="n">
        <f aca="false">SUM(AZ154:AZ159)</f>
        <v>64331</v>
      </c>
      <c r="BA160" s="198" t="n">
        <f aca="false">SUM(BA154:BA159)</f>
        <v>0</v>
      </c>
      <c r="BB160" s="198" t="n">
        <f aca="false">SUM(BB154:BB159)</f>
        <v>40218.98</v>
      </c>
      <c r="BC160" s="198" t="n">
        <f aca="false">SUM(BC154:BC159)</f>
        <v>0</v>
      </c>
      <c r="BD160" s="198" t="n">
        <f aca="false">SUM(BD154:BD159)</f>
        <v>110237.73</v>
      </c>
      <c r="BE160" s="198" t="n">
        <f aca="false">SUM(BE154:BE159)</f>
        <v>0</v>
      </c>
      <c r="BF160" s="198" t="n">
        <f aca="false">SUM(BF154:BF159)</f>
        <v>13668.55</v>
      </c>
      <c r="BG160" s="198" t="n">
        <f aca="false">SUM(BG154:BG159)</f>
        <v>0</v>
      </c>
      <c r="BH160" s="198" t="n">
        <f aca="false">SUM(BH154:BH159)</f>
        <v>57977.26</v>
      </c>
      <c r="BI160" s="198" t="n">
        <f aca="false">SUM(BI154:BI159)</f>
        <v>0</v>
      </c>
      <c r="BJ160" s="198" t="n">
        <f aca="false">SUM(BJ154:BJ159)</f>
        <v>44363</v>
      </c>
      <c r="BK160" s="198" t="n">
        <f aca="false">SUM(BK154:BK159)</f>
        <v>0</v>
      </c>
      <c r="BL160" s="198" t="n">
        <f aca="false">SUM(BL154:BL159)</f>
        <v>5165</v>
      </c>
      <c r="BM160" s="198"/>
      <c r="BN160" s="198" t="n">
        <f aca="false">SUM(BN154:BN159)</f>
        <v>0</v>
      </c>
      <c r="BO160" s="198"/>
      <c r="BP160" s="198" t="n">
        <f aca="false">SUM(BP154:BP159)</f>
        <v>1016381.37</v>
      </c>
      <c r="BQ160" s="198" t="n">
        <f aca="false">SUM(BQ154:BQ159)</f>
        <v>0</v>
      </c>
      <c r="BR160" s="198" t="n">
        <f aca="false">SUM(BR154:BR159)</f>
        <v>159233</v>
      </c>
      <c r="BS160" s="198" t="n">
        <f aca="false">SUM(BS154:BS159)</f>
        <v>0</v>
      </c>
      <c r="BT160" s="198" t="n">
        <f aca="false">SUM(BT154:BT159)</f>
        <v>0</v>
      </c>
      <c r="BU160" s="198" t="n">
        <f aca="false">SUM(BU154:BU159)</f>
        <v>0</v>
      </c>
      <c r="BV160" s="198" t="n">
        <f aca="false">SUM(BV154:BV159)</f>
        <v>1016381.37</v>
      </c>
      <c r="BW160" s="198" t="n">
        <f aca="false">SUM(BW154:BW159)</f>
        <v>0</v>
      </c>
      <c r="BX160" s="198" t="n">
        <f aca="false">SUM(BX154:BX159)</f>
        <v>-616381.37</v>
      </c>
      <c r="BY160" s="24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60"/>
      <c r="B161" s="174"/>
      <c r="C161" s="2"/>
      <c r="D161" s="2"/>
      <c r="E161" s="2"/>
      <c r="F161" s="2"/>
      <c r="G161" s="2"/>
      <c r="H161" s="2"/>
      <c r="I161" s="2"/>
      <c r="J161" s="3"/>
      <c r="K161" s="2"/>
      <c r="L161" s="179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160" t="s">
        <v>278</v>
      </c>
      <c r="B162" s="118"/>
      <c r="C162" s="0"/>
      <c r="D162" s="0"/>
      <c r="E162" s="0"/>
      <c r="F162" s="0"/>
      <c r="G162" s="0"/>
      <c r="H162" s="0"/>
      <c r="I162" s="0"/>
      <c r="J162" s="4"/>
      <c r="K162" s="0"/>
      <c r="L162" s="34"/>
      <c r="M162" s="110"/>
      <c r="O162" s="110"/>
      <c r="Q162" s="110"/>
      <c r="S162" s="110"/>
      <c r="T162" s="110"/>
      <c r="U162" s="110"/>
      <c r="V162" s="110"/>
      <c r="X162" s="110"/>
      <c r="Z162" s="110"/>
      <c r="AB162" s="110"/>
      <c r="AD162" s="110"/>
      <c r="BJ162" s="110"/>
      <c r="BL162" s="110"/>
      <c r="BM162" s="110"/>
      <c r="BN162" s="110"/>
      <c r="BO162" s="110"/>
      <c r="BQ162" s="110"/>
      <c r="BR162" s="110"/>
      <c r="BS162" s="110"/>
      <c r="BY162" s="11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</row>
    <row r="163" customFormat="false" ht="12.75" hidden="false" customHeight="false" outlineLevel="0" collapsed="false">
      <c r="A163" s="161"/>
      <c r="B163" s="118" t="s">
        <v>279</v>
      </c>
      <c r="C163" s="118"/>
      <c r="D163" s="118"/>
      <c r="E163" s="118"/>
      <c r="F163" s="118"/>
      <c r="G163" s="118"/>
      <c r="H163" s="118"/>
      <c r="I163" s="118"/>
      <c r="J163" s="192"/>
      <c r="K163" s="118"/>
      <c r="L163" s="203" t="s">
        <v>258</v>
      </c>
      <c r="M163" s="110"/>
      <c r="N163" s="110" t="n">
        <v>0</v>
      </c>
      <c r="O163" s="110"/>
      <c r="P163" s="110" t="n">
        <f aca="false">300000-5511</f>
        <v>294489</v>
      </c>
      <c r="Q163" s="110"/>
      <c r="R163" s="110" t="n">
        <v>0</v>
      </c>
      <c r="S163" s="110"/>
      <c r="T163" s="110" t="n">
        <v>0</v>
      </c>
      <c r="U163" s="110"/>
      <c r="V163" s="110" t="n">
        <v>0</v>
      </c>
      <c r="X163" s="110" t="n">
        <v>0</v>
      </c>
      <c r="Z163" s="110" t="n">
        <v>0</v>
      </c>
      <c r="AB163" s="110" t="n">
        <v>0</v>
      </c>
      <c r="AD163" s="110"/>
      <c r="AF163" s="110" t="n">
        <v>0</v>
      </c>
      <c r="AH163" s="110" t="n">
        <v>0</v>
      </c>
      <c r="AJ163" s="110" t="n">
        <v>0</v>
      </c>
      <c r="AL163" s="110" t="n">
        <v>0</v>
      </c>
      <c r="AN163" s="110" t="n">
        <v>0</v>
      </c>
      <c r="AP163" s="110" t="n">
        <v>0</v>
      </c>
      <c r="AR163" s="110" t="n">
        <v>0</v>
      </c>
      <c r="AT163" s="110" t="n">
        <v>0</v>
      </c>
      <c r="AV163" s="110" t="n">
        <v>0</v>
      </c>
      <c r="AX163" s="110" t="n">
        <v>0</v>
      </c>
      <c r="AZ163" s="110" t="n">
        <v>0</v>
      </c>
      <c r="BB163" s="110" t="n">
        <v>0</v>
      </c>
      <c r="BD163" s="110" t="n">
        <v>0</v>
      </c>
      <c r="BF163" s="110" t="n">
        <v>0</v>
      </c>
      <c r="BH163" s="110" t="n">
        <v>0</v>
      </c>
      <c r="BJ163" s="110" t="n">
        <v>0</v>
      </c>
      <c r="BL163" s="110" t="n">
        <v>0</v>
      </c>
      <c r="BM163" s="110"/>
      <c r="BN163" s="110" t="n">
        <v>0</v>
      </c>
      <c r="BO163" s="110"/>
      <c r="BP163" s="110" t="n">
        <f aca="false">SUM(T163:BO163)</f>
        <v>0</v>
      </c>
      <c r="BQ163" s="110"/>
      <c r="BR163" s="110" t="n">
        <v>0</v>
      </c>
      <c r="BS163" s="110"/>
      <c r="BT163" s="110" t="n">
        <f aca="false">IF(+R163-BP163+BR163&gt;0,R163-BP163+BR163,0)</f>
        <v>0</v>
      </c>
      <c r="BV163" s="110" t="n">
        <f aca="false">+BP163+BT163</f>
        <v>0</v>
      </c>
      <c r="BX163" s="110" t="n">
        <f aca="false">+R163-BV163</f>
        <v>0</v>
      </c>
      <c r="BY163" s="11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118"/>
      <c r="DX163" s="118"/>
      <c r="DY163" s="118"/>
      <c r="DZ163" s="118"/>
      <c r="EA163" s="118"/>
      <c r="EB163" s="118"/>
      <c r="EC163" s="118"/>
      <c r="ED163" s="118"/>
      <c r="EE163" s="118"/>
      <c r="EF163" s="118"/>
      <c r="EG163" s="118"/>
      <c r="EH163" s="118"/>
      <c r="EI163" s="118"/>
      <c r="EJ163" s="118"/>
      <c r="EK163" s="118"/>
      <c r="EL163" s="118"/>
      <c r="EM163" s="118"/>
      <c r="EN163" s="118"/>
      <c r="EO163" s="118"/>
      <c r="EP163" s="118"/>
      <c r="EQ163" s="118"/>
      <c r="ER163" s="118"/>
      <c r="ES163" s="118"/>
      <c r="ET163" s="118"/>
      <c r="EU163" s="118"/>
      <c r="EV163" s="118"/>
      <c r="EW163" s="118"/>
      <c r="EX163" s="118"/>
      <c r="EY163" s="118"/>
      <c r="EZ163" s="118"/>
      <c r="FA163" s="118"/>
      <c r="FB163" s="118"/>
      <c r="FC163" s="118"/>
      <c r="FD163" s="118"/>
      <c r="FE163" s="118"/>
      <c r="FF163" s="118"/>
      <c r="FG163" s="118"/>
      <c r="FH163" s="118"/>
      <c r="FI163" s="118"/>
      <c r="FJ163" s="118"/>
      <c r="FK163" s="118"/>
      <c r="FL163" s="118"/>
      <c r="FM163" s="118"/>
      <c r="FN163" s="118"/>
      <c r="FO163" s="118"/>
      <c r="FP163" s="118"/>
      <c r="FQ163" s="118"/>
      <c r="FR163" s="118"/>
      <c r="FS163" s="118"/>
      <c r="FT163" s="118"/>
      <c r="FU163" s="118"/>
      <c r="FV163" s="118"/>
      <c r="FW163" s="118"/>
      <c r="FX163" s="118"/>
      <c r="FY163" s="118"/>
      <c r="FZ163" s="118"/>
      <c r="GA163" s="118"/>
      <c r="GB163" s="118"/>
      <c r="GC163" s="118"/>
      <c r="GD163" s="118"/>
      <c r="GE163" s="118"/>
      <c r="GF163" s="118"/>
      <c r="GG163" s="118"/>
      <c r="GH163" s="118"/>
      <c r="GI163" s="118"/>
      <c r="GJ163" s="118"/>
      <c r="GK163" s="118"/>
      <c r="GL163" s="118"/>
      <c r="GM163" s="118"/>
      <c r="GN163" s="118"/>
      <c r="GO163" s="118"/>
      <c r="GP163" s="118"/>
      <c r="GQ163" s="118"/>
      <c r="GR163" s="118"/>
      <c r="GS163" s="118"/>
      <c r="GT163" s="118"/>
      <c r="GU163" s="118"/>
      <c r="GV163" s="118"/>
      <c r="GW163" s="118"/>
      <c r="GX163" s="118"/>
      <c r="GY163" s="118"/>
      <c r="GZ163" s="118"/>
      <c r="HA163" s="118"/>
      <c r="HB163" s="118"/>
      <c r="HC163" s="118"/>
      <c r="HD163" s="118"/>
      <c r="HE163" s="118"/>
      <c r="HF163" s="118"/>
      <c r="HG163" s="118"/>
      <c r="HH163" s="118"/>
      <c r="HI163" s="118"/>
      <c r="HJ163" s="118"/>
      <c r="HK163" s="118"/>
      <c r="HL163" s="118"/>
      <c r="HM163" s="118"/>
      <c r="HN163" s="118"/>
      <c r="HO163" s="118"/>
      <c r="HP163" s="118"/>
      <c r="HQ163" s="118"/>
      <c r="HR163" s="118"/>
      <c r="HS163" s="118"/>
      <c r="HT163" s="118"/>
      <c r="HU163" s="118"/>
      <c r="HV163" s="118"/>
      <c r="HW163" s="118"/>
      <c r="HX163" s="118"/>
      <c r="HY163" s="118"/>
      <c r="HZ163" s="118"/>
      <c r="IA163" s="118"/>
      <c r="IB163" s="118"/>
      <c r="IC163" s="118"/>
      <c r="ID163" s="118"/>
      <c r="IE163" s="118"/>
      <c r="IF163" s="118"/>
      <c r="IG163" s="118"/>
      <c r="IH163" s="118"/>
      <c r="II163" s="118"/>
      <c r="IJ163" s="118"/>
      <c r="IK163" s="118"/>
      <c r="IL163" s="118"/>
      <c r="IM163" s="118"/>
      <c r="IN163" s="118"/>
      <c r="IO163" s="118"/>
      <c r="IP163" s="118"/>
      <c r="IQ163" s="118"/>
      <c r="IR163" s="118"/>
      <c r="IS163" s="118"/>
      <c r="IT163" s="118"/>
      <c r="IU163" s="118"/>
      <c r="IV163" s="118"/>
      <c r="IW163" s="118"/>
    </row>
    <row r="164" customFormat="false" ht="12.75" hidden="false" customHeight="false" outlineLevel="0" collapsed="false">
      <c r="A164" s="161"/>
      <c r="B164" s="118" t="s">
        <v>121</v>
      </c>
      <c r="C164" s="118"/>
      <c r="D164" s="118"/>
      <c r="E164" s="118"/>
      <c r="F164" s="118"/>
      <c r="G164" s="118"/>
      <c r="H164" s="118"/>
      <c r="I164" s="118"/>
      <c r="J164" s="192"/>
      <c r="K164" s="118"/>
      <c r="L164" s="203"/>
      <c r="M164" s="110"/>
      <c r="O164" s="110"/>
      <c r="Q164" s="110"/>
      <c r="R164" s="110" t="n">
        <v>0</v>
      </c>
      <c r="S164" s="110"/>
      <c r="T164" s="110"/>
      <c r="U164" s="110"/>
      <c r="V164" s="110"/>
      <c r="X164" s="110"/>
      <c r="Z164" s="110"/>
      <c r="AB164" s="110"/>
      <c r="AD164" s="110"/>
      <c r="AR164" s="110" t="n">
        <f aca="false">165893.1+86315.36</f>
        <v>252208.46</v>
      </c>
      <c r="AT164" s="110" t="n">
        <v>49463.67</v>
      </c>
      <c r="BJ164" s="110"/>
      <c r="BL164" s="110"/>
      <c r="BM164" s="110"/>
      <c r="BN164" s="110"/>
      <c r="BO164" s="110"/>
      <c r="BP164" s="110" t="n">
        <f aca="false">SUM(T164:BO164)</f>
        <v>301672.13</v>
      </c>
      <c r="BQ164" s="110"/>
      <c r="BR164" s="110" t="n">
        <v>0</v>
      </c>
      <c r="BS164" s="110"/>
      <c r="BT164" s="110" t="n">
        <f aca="false">IF(+R164-BP164+BR164&gt;0,R164-BP164+BR164,0)</f>
        <v>0</v>
      </c>
      <c r="BV164" s="110" t="n">
        <f aca="false">+BP164+BT164</f>
        <v>301672.13</v>
      </c>
      <c r="BX164" s="110" t="n">
        <f aca="false">+R164-BV164</f>
        <v>-301672.13</v>
      </c>
      <c r="BY164" s="11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118"/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18"/>
      <c r="EH164" s="118"/>
      <c r="EI164" s="118"/>
      <c r="EJ164" s="118"/>
      <c r="EK164" s="118"/>
      <c r="EL164" s="118"/>
      <c r="EM164" s="118"/>
      <c r="EN164" s="118"/>
      <c r="EO164" s="118"/>
      <c r="EP164" s="118"/>
      <c r="EQ164" s="118"/>
      <c r="ER164" s="118"/>
      <c r="ES164" s="118"/>
      <c r="ET164" s="118"/>
      <c r="EU164" s="118"/>
      <c r="EV164" s="118"/>
      <c r="EW164" s="118"/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/>
      <c r="FH164" s="118"/>
      <c r="FI164" s="118"/>
      <c r="FJ164" s="118"/>
      <c r="FK164" s="118"/>
      <c r="FL164" s="118"/>
      <c r="FM164" s="118"/>
      <c r="FN164" s="118"/>
      <c r="FO164" s="118"/>
      <c r="FP164" s="118"/>
      <c r="FQ164" s="118"/>
      <c r="FR164" s="118"/>
      <c r="FS164" s="118"/>
      <c r="FT164" s="118"/>
      <c r="FU164" s="118"/>
      <c r="FV164" s="118"/>
      <c r="FW164" s="118"/>
      <c r="FX164" s="118"/>
      <c r="FY164" s="118"/>
      <c r="FZ164" s="118"/>
      <c r="GA164" s="118"/>
      <c r="GB164" s="118"/>
      <c r="GC164" s="118"/>
      <c r="GD164" s="118"/>
      <c r="GE164" s="118"/>
      <c r="GF164" s="118"/>
      <c r="GG164" s="118"/>
      <c r="GH164" s="118"/>
      <c r="GI164" s="118"/>
      <c r="GJ164" s="118"/>
      <c r="GK164" s="118"/>
      <c r="GL164" s="118"/>
      <c r="GM164" s="118"/>
      <c r="GN164" s="118"/>
      <c r="GO164" s="118"/>
      <c r="GP164" s="118"/>
      <c r="GQ164" s="118"/>
      <c r="GR164" s="118"/>
      <c r="GS164" s="118"/>
      <c r="GT164" s="118"/>
      <c r="GU164" s="118"/>
      <c r="GV164" s="118"/>
      <c r="GW164" s="118"/>
      <c r="GX164" s="118"/>
      <c r="GY164" s="118"/>
      <c r="GZ164" s="118"/>
      <c r="HA164" s="118"/>
      <c r="HB164" s="118"/>
      <c r="HC164" s="118"/>
      <c r="HD164" s="118"/>
      <c r="HE164" s="118"/>
      <c r="HF164" s="118"/>
      <c r="HG164" s="118"/>
      <c r="HH164" s="118"/>
      <c r="HI164" s="118"/>
      <c r="HJ164" s="118"/>
      <c r="HK164" s="118"/>
      <c r="HL164" s="118"/>
      <c r="HM164" s="118"/>
      <c r="HN164" s="118"/>
      <c r="HO164" s="118"/>
      <c r="HP164" s="118"/>
      <c r="HQ164" s="118"/>
      <c r="HR164" s="118"/>
      <c r="HS164" s="118"/>
      <c r="HT164" s="118"/>
      <c r="HU164" s="118"/>
      <c r="HV164" s="118"/>
      <c r="HW164" s="118"/>
      <c r="HX164" s="118"/>
      <c r="HY164" s="118"/>
      <c r="HZ164" s="118"/>
      <c r="IA164" s="118"/>
      <c r="IB164" s="118"/>
      <c r="IC164" s="118"/>
      <c r="ID164" s="118"/>
      <c r="IE164" s="118"/>
      <c r="IF164" s="118"/>
      <c r="IG164" s="118"/>
      <c r="IH164" s="118"/>
      <c r="II164" s="118"/>
      <c r="IJ164" s="118"/>
      <c r="IK164" s="118"/>
      <c r="IL164" s="118"/>
      <c r="IM164" s="118"/>
      <c r="IN164" s="118"/>
      <c r="IO164" s="118"/>
      <c r="IP164" s="118"/>
      <c r="IQ164" s="118"/>
      <c r="IR164" s="118"/>
      <c r="IS164" s="118"/>
      <c r="IT164" s="118"/>
      <c r="IU164" s="118"/>
      <c r="IV164" s="118"/>
      <c r="IW164" s="118"/>
    </row>
    <row r="165" customFormat="false" ht="12.75" hidden="false" customHeight="false" outlineLevel="0" collapsed="false">
      <c r="A165" s="161"/>
      <c r="B165" s="118" t="s">
        <v>128</v>
      </c>
      <c r="C165" s="118"/>
      <c r="D165" s="118"/>
      <c r="E165" s="118"/>
      <c r="F165" s="118"/>
      <c r="G165" s="118"/>
      <c r="H165" s="118"/>
      <c r="I165" s="118"/>
      <c r="J165" s="192"/>
      <c r="K165" s="118"/>
      <c r="L165" s="203" t="s">
        <v>258</v>
      </c>
      <c r="M165" s="110"/>
      <c r="N165" s="110" t="n">
        <v>500000</v>
      </c>
      <c r="O165" s="110"/>
      <c r="P165" s="110" t="n">
        <v>-300000</v>
      </c>
      <c r="Q165" s="110"/>
      <c r="R165" s="110" t="n">
        <v>400000</v>
      </c>
      <c r="S165" s="110"/>
      <c r="T165" s="110" t="n">
        <v>0</v>
      </c>
      <c r="U165" s="110"/>
      <c r="V165" s="110" t="n">
        <v>0</v>
      </c>
      <c r="X165" s="110" t="n">
        <v>0</v>
      </c>
      <c r="Z165" s="110"/>
      <c r="AB165" s="110"/>
      <c r="AD165" s="110"/>
      <c r="AF165" s="110" t="n">
        <v>0</v>
      </c>
      <c r="AH165" s="110" t="n">
        <v>15169.98</v>
      </c>
      <c r="AJ165" s="110" t="n">
        <v>0</v>
      </c>
      <c r="AL165" s="110" t="n">
        <v>29399.49</v>
      </c>
      <c r="AN165" s="110" t="n">
        <v>20442.9</v>
      </c>
      <c r="AP165" s="110" t="n">
        <v>10582.42</v>
      </c>
      <c r="AR165" s="110" t="n">
        <f aca="false">589.73+2046.96+65709.82</f>
        <v>68346.51</v>
      </c>
      <c r="AT165" s="110" t="n">
        <v>5360.34</v>
      </c>
      <c r="AV165" s="110" t="n">
        <v>13664.6</v>
      </c>
      <c r="AX165" s="110" t="n">
        <v>7710.95</v>
      </c>
      <c r="AZ165" s="110" t="n">
        <v>20000</v>
      </c>
      <c r="BB165" s="110" t="n">
        <v>2287.5</v>
      </c>
      <c r="BD165" s="110" t="n">
        <f aca="false">5660.15+105510.2+14897.92-6951.06</f>
        <v>119117.21</v>
      </c>
      <c r="BF165" s="110" t="n">
        <v>0</v>
      </c>
      <c r="BH165" s="110" t="n">
        <v>0</v>
      </c>
      <c r="BJ165" s="110" t="n">
        <f aca="false">11000+30481</f>
        <v>41481</v>
      </c>
      <c r="BL165" s="110" t="n">
        <v>4040</v>
      </c>
      <c r="BM165" s="110"/>
      <c r="BN165" s="110" t="n">
        <v>0</v>
      </c>
      <c r="BO165" s="110"/>
      <c r="BP165" s="110" t="n">
        <f aca="false">SUM(T165:BO165)</f>
        <v>357602.9</v>
      </c>
      <c r="BQ165" s="110"/>
      <c r="BR165" s="110"/>
      <c r="BS165" s="110"/>
      <c r="BT165" s="110" t="n">
        <f aca="false">IF(+R165-BP165+BR165&gt;0,R165-BP165+BR165,0)</f>
        <v>42397.1</v>
      </c>
      <c r="BV165" s="110" t="n">
        <f aca="false">+BP165+BT165</f>
        <v>400000</v>
      </c>
      <c r="BX165" s="110" t="n">
        <f aca="false">+R165-BV165</f>
        <v>0</v>
      </c>
      <c r="BY165" s="11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118"/>
      <c r="DX165" s="118"/>
      <c r="DY165" s="118"/>
      <c r="DZ165" s="118"/>
      <c r="EA165" s="118"/>
      <c r="EB165" s="118"/>
      <c r="EC165" s="118"/>
      <c r="ED165" s="118"/>
      <c r="EE165" s="118"/>
      <c r="EF165" s="118"/>
      <c r="EG165" s="118"/>
      <c r="EH165" s="118"/>
      <c r="EI165" s="118"/>
      <c r="EJ165" s="118"/>
      <c r="EK165" s="118"/>
      <c r="EL165" s="118"/>
      <c r="EM165" s="118"/>
      <c r="EN165" s="118"/>
      <c r="EO165" s="118"/>
      <c r="EP165" s="118"/>
      <c r="EQ165" s="118"/>
      <c r="ER165" s="118"/>
      <c r="ES165" s="118"/>
      <c r="ET165" s="118"/>
      <c r="EU165" s="118"/>
      <c r="EV165" s="118"/>
      <c r="EW165" s="118"/>
      <c r="EX165" s="118"/>
      <c r="EY165" s="118"/>
      <c r="EZ165" s="118"/>
      <c r="FA165" s="118"/>
      <c r="FB165" s="118"/>
      <c r="FC165" s="118"/>
      <c r="FD165" s="118"/>
      <c r="FE165" s="118"/>
      <c r="FF165" s="118"/>
      <c r="FG165" s="118"/>
      <c r="FH165" s="118"/>
      <c r="FI165" s="118"/>
      <c r="FJ165" s="118"/>
      <c r="FK165" s="118"/>
      <c r="FL165" s="118"/>
      <c r="FM165" s="118"/>
      <c r="FN165" s="118"/>
      <c r="FO165" s="118"/>
      <c r="FP165" s="118"/>
      <c r="FQ165" s="118"/>
      <c r="FR165" s="118"/>
      <c r="FS165" s="118"/>
      <c r="FT165" s="118"/>
      <c r="FU165" s="118"/>
      <c r="FV165" s="118"/>
      <c r="FW165" s="118"/>
      <c r="FX165" s="118"/>
      <c r="FY165" s="118"/>
      <c r="FZ165" s="118"/>
      <c r="GA165" s="118"/>
      <c r="GB165" s="118"/>
      <c r="GC165" s="118"/>
      <c r="GD165" s="118"/>
      <c r="GE165" s="118"/>
      <c r="GF165" s="118"/>
      <c r="GG165" s="118"/>
      <c r="GH165" s="118"/>
      <c r="GI165" s="118"/>
      <c r="GJ165" s="118"/>
      <c r="GK165" s="118"/>
      <c r="GL165" s="118"/>
      <c r="GM165" s="118"/>
      <c r="GN165" s="118"/>
      <c r="GO165" s="118"/>
      <c r="GP165" s="118"/>
      <c r="GQ165" s="118"/>
      <c r="GR165" s="118"/>
      <c r="GS165" s="118"/>
      <c r="GT165" s="118"/>
      <c r="GU165" s="118"/>
      <c r="GV165" s="118"/>
      <c r="GW165" s="118"/>
      <c r="GX165" s="118"/>
      <c r="GY165" s="118"/>
      <c r="GZ165" s="118"/>
      <c r="HA165" s="118"/>
      <c r="HB165" s="118"/>
      <c r="HC165" s="118"/>
      <c r="HD165" s="118"/>
      <c r="HE165" s="118"/>
      <c r="HF165" s="118"/>
      <c r="HG165" s="118"/>
      <c r="HH165" s="118"/>
      <c r="HI165" s="118"/>
      <c r="HJ165" s="118"/>
      <c r="HK165" s="118"/>
      <c r="HL165" s="118"/>
      <c r="HM165" s="118"/>
      <c r="HN165" s="118"/>
      <c r="HO165" s="118"/>
      <c r="HP165" s="118"/>
      <c r="HQ165" s="118"/>
      <c r="HR165" s="118"/>
      <c r="HS165" s="118"/>
      <c r="HT165" s="118"/>
      <c r="HU165" s="118"/>
      <c r="HV165" s="118"/>
      <c r="HW165" s="118"/>
      <c r="HX165" s="118"/>
      <c r="HY165" s="118"/>
      <c r="HZ165" s="118"/>
      <c r="IA165" s="118"/>
      <c r="IB165" s="118"/>
      <c r="IC165" s="118"/>
      <c r="ID165" s="118"/>
      <c r="IE165" s="118"/>
      <c r="IF165" s="118"/>
      <c r="IG165" s="118"/>
      <c r="IH165" s="118"/>
      <c r="II165" s="118"/>
      <c r="IJ165" s="118"/>
      <c r="IK165" s="118"/>
      <c r="IL165" s="118"/>
      <c r="IM165" s="118"/>
      <c r="IN165" s="118"/>
      <c r="IO165" s="118"/>
      <c r="IP165" s="118"/>
      <c r="IQ165" s="118"/>
      <c r="IR165" s="118"/>
      <c r="IS165" s="118"/>
      <c r="IT165" s="118"/>
      <c r="IU165" s="118"/>
      <c r="IV165" s="118"/>
      <c r="IW165" s="118"/>
    </row>
    <row r="166" customFormat="false" ht="12.75" hidden="false" customHeight="false" outlineLevel="0" collapsed="false">
      <c r="A166" s="161"/>
      <c r="B166" s="118"/>
      <c r="C166" s="118"/>
      <c r="D166" s="118"/>
      <c r="E166" s="118"/>
      <c r="F166" s="118"/>
      <c r="G166" s="118"/>
      <c r="H166" s="118"/>
      <c r="I166" s="118"/>
      <c r="J166" s="192"/>
      <c r="K166" s="118"/>
      <c r="L166" s="203"/>
      <c r="M166" s="110"/>
      <c r="O166" s="110"/>
      <c r="P166" s="110" t="n">
        <v>5511</v>
      </c>
      <c r="Q166" s="110"/>
      <c r="S166" s="110"/>
      <c r="T166" s="110"/>
      <c r="U166" s="110"/>
      <c r="V166" s="110"/>
      <c r="X166" s="110"/>
      <c r="Z166" s="110"/>
      <c r="AB166" s="110"/>
      <c r="AD166" s="110"/>
      <c r="BJ166" s="110"/>
      <c r="BL166" s="110"/>
      <c r="BM166" s="110"/>
      <c r="BN166" s="110"/>
      <c r="BO166" s="110"/>
      <c r="BP166" s="110" t="n">
        <f aca="false">SUM(T166:BO166)</f>
        <v>0</v>
      </c>
      <c r="BQ166" s="110"/>
      <c r="BR166" s="110" t="n">
        <v>0</v>
      </c>
      <c r="BS166" s="110"/>
      <c r="BT166" s="110" t="n">
        <f aca="false">IF(+R166-BP166+BR166&gt;0,R166-BP166+BR166,0)</f>
        <v>0</v>
      </c>
      <c r="BV166" s="110" t="n">
        <f aca="false">+BP166+BT166</f>
        <v>0</v>
      </c>
      <c r="BX166" s="110" t="n">
        <f aca="false">+R166-BV166</f>
        <v>0</v>
      </c>
      <c r="BY166" s="11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118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  <c r="IB166" s="118"/>
      <c r="IC166" s="118"/>
      <c r="ID166" s="118"/>
      <c r="IE166" s="118"/>
      <c r="IF166" s="118"/>
      <c r="IG166" s="118"/>
      <c r="IH166" s="118"/>
      <c r="II166" s="118"/>
      <c r="IJ166" s="118"/>
      <c r="IK166" s="118"/>
      <c r="IL166" s="118"/>
      <c r="IM166" s="118"/>
      <c r="IN166" s="118"/>
      <c r="IO166" s="118"/>
      <c r="IP166" s="118"/>
      <c r="IQ166" s="118"/>
      <c r="IR166" s="118"/>
      <c r="IS166" s="118"/>
      <c r="IT166" s="118"/>
      <c r="IU166" s="118"/>
      <c r="IV166" s="118"/>
      <c r="IW166" s="118"/>
    </row>
    <row r="167" customFormat="false" ht="12.75" hidden="false" customHeight="false" outlineLevel="0" collapsed="false">
      <c r="A167" s="160"/>
      <c r="B167" s="174" t="s">
        <v>281</v>
      </c>
      <c r="C167" s="2"/>
      <c r="D167" s="2"/>
      <c r="E167" s="2"/>
      <c r="F167" s="2"/>
      <c r="G167" s="2"/>
      <c r="H167" s="2"/>
      <c r="I167" s="2"/>
      <c r="J167" s="3"/>
      <c r="K167" s="2"/>
      <c r="L167" s="179"/>
      <c r="M167" s="24"/>
      <c r="N167" s="198" t="n">
        <f aca="false">SUM(N163:N166)</f>
        <v>500000</v>
      </c>
      <c r="O167" s="198" t="n">
        <f aca="false">SUM(O163:O166)</f>
        <v>0</v>
      </c>
      <c r="P167" s="198" t="n">
        <f aca="false">SUM(P163:P166)</f>
        <v>0</v>
      </c>
      <c r="Q167" s="198" t="n">
        <f aca="false">SUM(Q163:Q166)</f>
        <v>0</v>
      </c>
      <c r="R167" s="198" t="n">
        <f aca="false">SUM(R163:R166)</f>
        <v>400000</v>
      </c>
      <c r="S167" s="24"/>
      <c r="T167" s="198" t="n">
        <f aca="false">SUM(T163:T166)</f>
        <v>0</v>
      </c>
      <c r="U167" s="24"/>
      <c r="V167" s="198" t="n">
        <f aca="false">SUM(V163:V166)</f>
        <v>0</v>
      </c>
      <c r="W167" s="24"/>
      <c r="X167" s="198" t="n">
        <f aca="false">SUM(X163:X166)</f>
        <v>0</v>
      </c>
      <c r="Y167" s="24"/>
      <c r="Z167" s="198" t="n">
        <f aca="false">SUM(Z163:Z166)</f>
        <v>0</v>
      </c>
      <c r="AA167" s="24"/>
      <c r="AB167" s="198" t="n">
        <f aca="false">SUM(AB163:AB166)</f>
        <v>0</v>
      </c>
      <c r="AC167" s="24"/>
      <c r="AD167" s="198" t="n">
        <f aca="false">SUM(AD163:AD166)</f>
        <v>0</v>
      </c>
      <c r="AE167" s="24"/>
      <c r="AF167" s="198" t="n">
        <f aca="false">SUM(AF163:AF166)</f>
        <v>0</v>
      </c>
      <c r="AG167" s="24"/>
      <c r="AH167" s="198" t="n">
        <f aca="false">SUM(AH163:AH166)</f>
        <v>15169.98</v>
      </c>
      <c r="AI167" s="24"/>
      <c r="AJ167" s="198" t="n">
        <f aca="false">SUM(AJ163:AJ166)</f>
        <v>0</v>
      </c>
      <c r="AK167" s="24"/>
      <c r="AL167" s="198" t="n">
        <f aca="false">SUM(AL163:AL166)</f>
        <v>29399.49</v>
      </c>
      <c r="AM167" s="24"/>
      <c r="AN167" s="198" t="n">
        <f aca="false">SUM(AN163:AN166)</f>
        <v>20442.9</v>
      </c>
      <c r="AO167" s="24"/>
      <c r="AP167" s="198" t="n">
        <f aca="false">SUM(AP163:AP166)</f>
        <v>10582.42</v>
      </c>
      <c r="AQ167" s="24"/>
      <c r="AR167" s="198" t="n">
        <f aca="false">SUM(AR163:AR166)</f>
        <v>320554.97</v>
      </c>
      <c r="AS167" s="24"/>
      <c r="AT167" s="198" t="n">
        <f aca="false">SUM(AT163:AT166)</f>
        <v>54824.01</v>
      </c>
      <c r="AU167" s="24"/>
      <c r="AV167" s="198" t="n">
        <f aca="false">SUM(AV163:AV166)</f>
        <v>13664.6</v>
      </c>
      <c r="AW167" s="24"/>
      <c r="AX167" s="198" t="n">
        <f aca="false">SUM(AX163:AX166)</f>
        <v>7710.95</v>
      </c>
      <c r="AY167" s="24"/>
      <c r="AZ167" s="198" t="n">
        <f aca="false">SUM(AZ163:AZ166)</f>
        <v>20000</v>
      </c>
      <c r="BA167" s="24"/>
      <c r="BB167" s="198" t="n">
        <f aca="false">SUM(BB163:BB166)</f>
        <v>2287.5</v>
      </c>
      <c r="BC167" s="24"/>
      <c r="BD167" s="198" t="n">
        <f aca="false">SUM(BD163:BD166)</f>
        <v>119117.21</v>
      </c>
      <c r="BE167" s="24"/>
      <c r="BF167" s="198" t="n">
        <f aca="false">SUM(BF163:BF166)</f>
        <v>0</v>
      </c>
      <c r="BG167" s="24"/>
      <c r="BH167" s="198" t="n">
        <f aca="false">SUM(BH163:BH166)</f>
        <v>0</v>
      </c>
      <c r="BI167" s="24"/>
      <c r="BJ167" s="198" t="n">
        <f aca="false">SUM(BJ163:BJ166)</f>
        <v>41481</v>
      </c>
      <c r="BK167" s="24"/>
      <c r="BL167" s="198" t="n">
        <f aca="false">SUM(BL163:BL166)</f>
        <v>4040</v>
      </c>
      <c r="BM167" s="198"/>
      <c r="BN167" s="198" t="n">
        <f aca="false">SUM(BN163:BN166)</f>
        <v>0</v>
      </c>
      <c r="BO167" s="198"/>
      <c r="BP167" s="198" t="n">
        <f aca="false">SUM(BP163:BP166)</f>
        <v>659275.03</v>
      </c>
      <c r="BQ167" s="24"/>
      <c r="BR167" s="198" t="n">
        <f aca="false">SUM(BR163:BR166)</f>
        <v>0</v>
      </c>
      <c r="BS167" s="24"/>
      <c r="BT167" s="198" t="n">
        <f aca="false">SUM(BT163:BT166)</f>
        <v>42397.1</v>
      </c>
      <c r="BU167" s="24"/>
      <c r="BV167" s="198" t="n">
        <f aca="false">SUM(BV163:BV166)</f>
        <v>701672.13</v>
      </c>
      <c r="BW167" s="24"/>
      <c r="BX167" s="198" t="n">
        <f aca="false">SUM(BX163:BX166)</f>
        <v>-301672.13</v>
      </c>
      <c r="BY167" s="24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160"/>
      <c r="B168" s="174"/>
      <c r="C168" s="2"/>
      <c r="D168" s="2"/>
      <c r="E168" s="2"/>
      <c r="F168" s="2"/>
      <c r="G168" s="2"/>
      <c r="H168" s="2"/>
      <c r="I168" s="2"/>
      <c r="J168" s="3"/>
      <c r="K168" s="2"/>
      <c r="L168" s="179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160" t="s">
        <v>282</v>
      </c>
      <c r="B169" s="174"/>
      <c r="C169" s="174"/>
      <c r="D169" s="174"/>
      <c r="E169" s="174"/>
      <c r="F169" s="174"/>
      <c r="G169" s="174"/>
      <c r="H169" s="174"/>
      <c r="I169" s="174"/>
      <c r="J169" s="201"/>
      <c r="K169" s="174"/>
      <c r="L169" s="202" t="s">
        <v>151</v>
      </c>
      <c r="M169" s="24"/>
      <c r="N169" s="24" t="n">
        <v>10922239</v>
      </c>
      <c r="O169" s="24"/>
      <c r="P169" s="24" t="n">
        <f aca="false">10969926-N169</f>
        <v>47687</v>
      </c>
      <c r="Q169" s="24"/>
      <c r="R169" s="24" t="n">
        <v>10032325</v>
      </c>
      <c r="S169" s="24"/>
      <c r="T169" s="24" t="n">
        <v>413818</v>
      </c>
      <c r="U169" s="24"/>
      <c r="V169" s="24" t="n">
        <f aca="false">250563-10722</f>
        <v>239841</v>
      </c>
      <c r="W169" s="24"/>
      <c r="X169" s="24" t="n">
        <v>375473</v>
      </c>
      <c r="Y169" s="24"/>
      <c r="Z169" s="24" t="n">
        <f aca="false">11622+362544-6</f>
        <v>374160</v>
      </c>
      <c r="AA169" s="24"/>
      <c r="AB169" s="24" t="n">
        <v>374175</v>
      </c>
      <c r="AC169" s="24"/>
      <c r="AD169" s="24" t="n">
        <f aca="false">479817-6077</f>
        <v>473740</v>
      </c>
      <c r="AE169" s="24"/>
      <c r="AF169" s="24" t="n">
        <f aca="false">[1]Wheatland!$I$39</f>
        <v>431577.418620833</v>
      </c>
      <c r="AG169" s="24"/>
      <c r="AH169" s="24" t="n">
        <f aca="false">[1]Wheatland!$J$39</f>
        <v>437225.482138363</v>
      </c>
      <c r="AI169" s="24"/>
      <c r="AJ169" s="24" t="n">
        <f aca="false">[1]Wheatland!$K$39</f>
        <v>445286.676416612</v>
      </c>
      <c r="AK169" s="24"/>
      <c r="AL169" s="24" t="n">
        <f aca="false">[1]Wheatland!$L$39</f>
        <v>454783</v>
      </c>
      <c r="AM169" s="24"/>
      <c r="AN169" s="24" t="n">
        <f aca="false">[1]Wheatland!$M$39</f>
        <v>462626.315506925</v>
      </c>
      <c r="AO169" s="24"/>
      <c r="AP169" s="24" t="n">
        <f aca="false">[1]Wheatland!$N$39</f>
        <v>491955.34096592</v>
      </c>
      <c r="AQ169" s="24"/>
      <c r="AR169" s="24" t="n">
        <f aca="false">[1]Wheatland!$O$39</f>
        <v>516340</v>
      </c>
      <c r="AS169" s="24"/>
      <c r="AT169" s="24" t="n">
        <f aca="false">[1]Wheatland!$P$39</f>
        <v>563836.325110041</v>
      </c>
      <c r="AU169" s="24"/>
      <c r="AV169" s="24" t="n">
        <f aca="false">[1]Wheatland!$Q$39</f>
        <v>615994.858259943</v>
      </c>
      <c r="AW169" s="24"/>
      <c r="AX169" s="24" t="n">
        <f aca="false">[1]Wheatland!$R$39</f>
        <v>668433.200158851</v>
      </c>
      <c r="AY169" s="24"/>
      <c r="AZ169" s="24" t="n">
        <v>710982</v>
      </c>
      <c r="BA169" s="24"/>
      <c r="BB169" s="24" t="n">
        <f aca="false">[1]Wheatland!$T$39</f>
        <v>720582.029937489</v>
      </c>
      <c r="BC169" s="24"/>
      <c r="BD169" s="24" t="n">
        <v>229734.423180206</v>
      </c>
      <c r="BE169" s="24"/>
      <c r="BF169" s="24" t="n">
        <v>0</v>
      </c>
      <c r="BG169" s="24"/>
      <c r="BH169" s="24" t="n">
        <v>0</v>
      </c>
      <c r="BI169" s="24"/>
      <c r="BJ169" s="24" t="n">
        <v>0</v>
      </c>
      <c r="BK169" s="24"/>
      <c r="BL169" s="24" t="n">
        <v>0</v>
      </c>
      <c r="BM169" s="24"/>
      <c r="BN169" s="24" t="n">
        <v>0</v>
      </c>
      <c r="BO169" s="24"/>
      <c r="BP169" s="24" t="n">
        <f aca="false">SUM(T169:BO169)</f>
        <v>9000564.07029518</v>
      </c>
      <c r="BQ169" s="24"/>
      <c r="BR169" s="24" t="n">
        <v>-984592</v>
      </c>
      <c r="BS169" s="24"/>
      <c r="BU169" s="24"/>
      <c r="BV169" s="24" t="n">
        <f aca="false">+BP169+BT169</f>
        <v>9000564.07029518</v>
      </c>
      <c r="BW169" s="24"/>
      <c r="BX169" s="24" t="n">
        <f aca="false">+R169-BV169</f>
        <v>1031760.92970482</v>
      </c>
      <c r="BY169" s="24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174"/>
      <c r="DX169" s="174"/>
      <c r="DY169" s="174"/>
      <c r="DZ169" s="174"/>
      <c r="EA169" s="174"/>
      <c r="EB169" s="174"/>
      <c r="EC169" s="174"/>
      <c r="ED169" s="174"/>
      <c r="EE169" s="174"/>
      <c r="EF169" s="174"/>
      <c r="EG169" s="174"/>
      <c r="EH169" s="174"/>
      <c r="EI169" s="174"/>
      <c r="EJ169" s="174"/>
      <c r="EK169" s="174"/>
      <c r="EL169" s="174"/>
      <c r="EM169" s="174"/>
      <c r="EN169" s="174"/>
      <c r="EO169" s="174"/>
      <c r="EP169" s="174"/>
      <c r="EQ169" s="174"/>
      <c r="ER169" s="174"/>
      <c r="ES169" s="174"/>
      <c r="ET169" s="174"/>
      <c r="EU169" s="174"/>
      <c r="EV169" s="174"/>
      <c r="EW169" s="174"/>
      <c r="EX169" s="174"/>
      <c r="EY169" s="174"/>
      <c r="EZ169" s="174"/>
      <c r="FA169" s="174"/>
      <c r="FB169" s="174"/>
      <c r="FC169" s="174"/>
      <c r="FD169" s="174"/>
      <c r="FE169" s="174"/>
      <c r="FF169" s="174"/>
      <c r="FG169" s="174"/>
      <c r="FH169" s="174"/>
      <c r="FI169" s="174"/>
      <c r="FJ169" s="174"/>
      <c r="FK169" s="174"/>
      <c r="FL169" s="174"/>
      <c r="FM169" s="174"/>
      <c r="FN169" s="174"/>
      <c r="FO169" s="174"/>
      <c r="FP169" s="174"/>
      <c r="FQ169" s="174"/>
      <c r="FR169" s="174"/>
      <c r="FS169" s="174"/>
      <c r="FT169" s="174"/>
      <c r="FU169" s="174"/>
      <c r="FV169" s="174"/>
      <c r="FW169" s="174"/>
      <c r="FX169" s="174"/>
      <c r="FY169" s="174"/>
      <c r="FZ169" s="174"/>
      <c r="GA169" s="174"/>
      <c r="GB169" s="174"/>
      <c r="GC169" s="174"/>
      <c r="GD169" s="174"/>
      <c r="GE169" s="174"/>
      <c r="GF169" s="174"/>
      <c r="GG169" s="174"/>
      <c r="GH169" s="174"/>
      <c r="GI169" s="174"/>
      <c r="GJ169" s="174"/>
      <c r="GK169" s="174"/>
      <c r="GL169" s="174"/>
      <c r="GM169" s="174"/>
      <c r="GN169" s="174"/>
      <c r="GO169" s="174"/>
      <c r="GP169" s="174"/>
      <c r="GQ169" s="174"/>
      <c r="GR169" s="174"/>
      <c r="GS169" s="174"/>
      <c r="GT169" s="174"/>
      <c r="GU169" s="174"/>
      <c r="GV169" s="174"/>
      <c r="GW169" s="174"/>
      <c r="GX169" s="174"/>
      <c r="GY169" s="174"/>
      <c r="GZ169" s="174"/>
      <c r="HA169" s="174"/>
      <c r="HB169" s="174"/>
      <c r="HC169" s="174"/>
      <c r="HD169" s="174"/>
      <c r="HE169" s="174"/>
      <c r="HF169" s="174"/>
      <c r="HG169" s="174"/>
      <c r="HH169" s="174"/>
      <c r="HI169" s="174"/>
      <c r="HJ169" s="174"/>
      <c r="HK169" s="174"/>
      <c r="HL169" s="174"/>
      <c r="HM169" s="174"/>
      <c r="HN169" s="174"/>
      <c r="HO169" s="174"/>
      <c r="HP169" s="174"/>
      <c r="HQ169" s="174"/>
      <c r="HR169" s="174"/>
      <c r="HS169" s="174"/>
      <c r="HT169" s="174"/>
      <c r="HU169" s="174"/>
      <c r="HV169" s="174"/>
      <c r="HW169" s="174"/>
      <c r="HX169" s="174"/>
      <c r="HY169" s="174"/>
      <c r="HZ169" s="174"/>
      <c r="IA169" s="174"/>
      <c r="IB169" s="174"/>
      <c r="IC169" s="174"/>
      <c r="ID169" s="174"/>
      <c r="IE169" s="174"/>
      <c r="IF169" s="174"/>
      <c r="IG169" s="174"/>
      <c r="IH169" s="174"/>
      <c r="II169" s="174"/>
      <c r="IJ169" s="174"/>
      <c r="IK169" s="174"/>
      <c r="IL169" s="174"/>
      <c r="IM169" s="174"/>
      <c r="IN169" s="174"/>
      <c r="IO169" s="174"/>
      <c r="IP169" s="174"/>
      <c r="IQ169" s="174"/>
      <c r="IR169" s="174"/>
      <c r="IS169" s="174"/>
      <c r="IT169" s="174"/>
      <c r="IU169" s="174"/>
      <c r="IV169" s="174"/>
      <c r="IW169" s="174"/>
    </row>
    <row r="170" customFormat="false" ht="12.75" hidden="false" customHeight="false" outlineLevel="0" collapsed="false">
      <c r="A170" s="160"/>
      <c r="B170" s="174"/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00" t="s">
        <v>283</v>
      </c>
      <c r="B171" s="184"/>
      <c r="C171" s="186"/>
      <c r="D171" s="186"/>
      <c r="E171" s="186"/>
      <c r="F171" s="186"/>
      <c r="G171" s="186"/>
      <c r="H171" s="186"/>
      <c r="I171" s="186"/>
      <c r="J171" s="187"/>
      <c r="K171" s="186"/>
      <c r="L171" s="188"/>
      <c r="M171" s="189"/>
      <c r="N171" s="189"/>
      <c r="O171" s="189"/>
      <c r="P171" s="189"/>
      <c r="Q171" s="189"/>
      <c r="R171" s="189" t="n">
        <f aca="false">R169+R160+R151+R149+R147+R141+R139+R137+R130+R123+R121+R119+R117+R115+R167</f>
        <v>23583842</v>
      </c>
      <c r="S171" s="189"/>
      <c r="T171" s="189" t="n">
        <f aca="false">T169+T160+T151+T149+T147+T141+T139+T137+T130+T123+T121+T119+T117+T115+T167</f>
        <v>413818</v>
      </c>
      <c r="U171" s="189" t="n">
        <f aca="false">U169+U160+U151+U149+U147+U141+U139+U137+U130+U123+U121+U119+U117+U115+U167</f>
        <v>0</v>
      </c>
      <c r="V171" s="189" t="n">
        <f aca="false">V169+V160+V151+V149+V147+V141+V139+V137+V130+V123+V121+V119+V117+V115+V167</f>
        <v>241018.53</v>
      </c>
      <c r="W171" s="189" t="n">
        <f aca="false">W169+W160+W151+W149+W147+W141+W139+W137+W130+W123+W121+W119+W117+W115+W167</f>
        <v>0</v>
      </c>
      <c r="X171" s="189" t="n">
        <f aca="false">X169+X160+X151+X149+X147+X141+X139+X137+X130+X123+X121+X119+X117+X115+X167</f>
        <v>405396.93</v>
      </c>
      <c r="Y171" s="189" t="n">
        <f aca="false">Y169+Y160+Y151+Y149+Y147+Y141+Y139+Y137+Y130+Y123+Y121+Y119+Y117+Y115+Y167</f>
        <v>0</v>
      </c>
      <c r="Z171" s="189" t="n">
        <f aca="false">Z169+Z160+Z151+Z149+Z147+Z141+Z139+Z137+Z130+Z123+Z121+Z119+Z117+Z115+Z167</f>
        <v>440729.95</v>
      </c>
      <c r="AA171" s="189" t="n">
        <f aca="false">AA169+AA160+AA151+AA149+AA147+AA141+AA139+AA137+AA130+AA123+AA121+AA119+AA117+AA115+AA167</f>
        <v>0</v>
      </c>
      <c r="AB171" s="189" t="n">
        <f aca="false">AB169+AB160+AB151+AB149+AB147+AB141+AB139+AB137+AB130+AB123+AB121+AB119+AB117+AB115+AB167</f>
        <v>471664.43</v>
      </c>
      <c r="AC171" s="189" t="n">
        <f aca="false">AC169+AC160+AC151+AC149+AC147+AC141+AC139+AC137+AC130+AC123+AC121+AC119+AC117+AC115+AC167</f>
        <v>0</v>
      </c>
      <c r="AD171" s="189" t="n">
        <f aca="false">AD169+AD160+AD151+AD149+AD147+AD141+AD139+AD137+AD130+AD123+AD121+AD119+AD117+AD115+AD167</f>
        <v>518948.68</v>
      </c>
      <c r="AE171" s="189" t="n">
        <f aca="false">AE169+AE160+AE151+AE149+AE147+AE141+AE139+AE137+AE130+AE123+AE121+AE119+AE117+AE115+AE167</f>
        <v>0</v>
      </c>
      <c r="AF171" s="189" t="n">
        <f aca="false">AF169+AF160+AF151+AF149+AF147+AF141+AF139+AF137+AF130+AF123+AF121+AF119+AF117+AF115+AF167</f>
        <v>573248.108620833</v>
      </c>
      <c r="AG171" s="189" t="n">
        <f aca="false">AG169+AG160+AG151+AG149+AG147+AG141+AG139+AG137+AG130+AG123+AG121+AG119+AG117+AG115+AG167</f>
        <v>0</v>
      </c>
      <c r="AH171" s="189" t="n">
        <f aca="false">AH169+AH160+AH151+AH149+AH147+AH141+AH139+AH137+AH130+AH123+AH121+AH119+AH117+AH115+AH167</f>
        <v>580523.052138363</v>
      </c>
      <c r="AI171" s="189" t="n">
        <f aca="false">AI169+AI160+AI151+AI149+AI147+AI141+AI139+AI137+AI130+AI123+AI121+AI119+AI117+AI115+AI167</f>
        <v>0</v>
      </c>
      <c r="AJ171" s="189" t="n">
        <f aca="false">AJ169+AJ160+AJ151+AJ149+AJ147+AJ141+AJ139+AJ137+AJ130+AJ123+AJ121+AJ119+AJ117+AJ115+AJ167</f>
        <v>551485.426416612</v>
      </c>
      <c r="AK171" s="189" t="n">
        <f aca="false">AK169+AK160+AK151+AK149+AK147+AK141+AK139+AK137+AK130+AK123+AK121+AK119+AK117+AK115+AK167</f>
        <v>0</v>
      </c>
      <c r="AL171" s="189" t="n">
        <f aca="false">AL169+AL160+AL151+AL149+AL147+AL141+AL139+AL137+AL130+AL123+AL121+AL119+AL117+AL115+AL167</f>
        <v>1502808.93</v>
      </c>
      <c r="AM171" s="189" t="n">
        <f aca="false">AM169+AM160+AM151+AM149+AM147+AM141+AM139+AM137+AM130+AM123+AM121+AM119+AM117+AM115+AM167</f>
        <v>0</v>
      </c>
      <c r="AN171" s="189" t="n">
        <f aca="false">AN169+AN160+AN151+AN149+AN147+AN141+AN139+AN137+AN130+AN123+AN121+AN119+AN117+AN115+AN167</f>
        <v>634977.905506925</v>
      </c>
      <c r="AO171" s="189" t="n">
        <f aca="false">AO169+AO160+AO151+AO149+AO147+AO141+AO139+AO137+AO130+AO123+AO121+AO119+AO117+AO115+AO167</f>
        <v>0</v>
      </c>
      <c r="AP171" s="189" t="n">
        <f aca="false">AP169+AP160+AP151+AP149+AP147+AP141+AP139+AP137+AP130+AP123+AP121+AP119+AP117+AP115+AP167</f>
        <v>710648.81096592</v>
      </c>
      <c r="AQ171" s="189"/>
      <c r="AR171" s="189" t="n">
        <f aca="false">AR169+AR160+AR151+AR149+AR147+AR141+AR139+AR137+AR130+AR123+AR121+AR119+AR117+AR115+AR167</f>
        <v>2133337.75</v>
      </c>
      <c r="AS171" s="189" t="n">
        <f aca="false">AS169+AS160+AS151+AS149+AS147+AS141+AS139+AS137+AS130+AS123+AS121+AS119+AS117+AS115+AS167</f>
        <v>0</v>
      </c>
      <c r="AT171" s="189" t="n">
        <f aca="false">AT169+AT160+AT151+AT149+AT147+AT141+AT139+AT137+AT130+AT123+AT121+AT119+AT117+AT115+AT167</f>
        <v>968319.945110041</v>
      </c>
      <c r="AU171" s="189" t="n">
        <f aca="false">AU169+AU160+AU151+AU149+AU147+AU141+AU139+AU137+AU130+AU123+AU121+AU119+AU117+AU115+AU167</f>
        <v>0</v>
      </c>
      <c r="AV171" s="189" t="n">
        <f aca="false">AV169+AV160+AV151+AV149+AV147+AV141+AV139+AV137+AV130+AV123+AV121+AV119+AV117+AV115+AV167</f>
        <v>1280665.80825994</v>
      </c>
      <c r="AW171" s="189" t="n">
        <f aca="false">AW169+AW160+AW151+AW149+AW147+AW141+AW139+AW137+AW130+AW123+AW121+AW119+AW117+AW115+AW167</f>
        <v>0</v>
      </c>
      <c r="AX171" s="189" t="n">
        <f aca="false">AX169+AX160+AX151+AX149+AX147+AX141+AX139+AX137+AX130+AX123+AX121+AX119+AX117+AX115+AX167</f>
        <v>1367991.78015885</v>
      </c>
      <c r="AY171" s="189" t="n">
        <f aca="false">AY169+AY160+AY151+AY149+AY147+AY141+AY139+AY137+AY130+AY123+AY121+AY119+AY117+AY115+AY167</f>
        <v>0</v>
      </c>
      <c r="AZ171" s="189" t="n">
        <f aca="false">AZ169+AZ160+AZ151+AZ149+AZ147+AZ141+AZ139+AZ137+AZ130+AZ123+AZ121+AZ119+AZ117+AZ115+AZ167</f>
        <v>1135448.07</v>
      </c>
      <c r="BA171" s="189" t="n">
        <f aca="false">BA169+BA160+BA151+BA149+BA147+BA141+BA139+BA137+BA130+BA123+BA121+BA119+BA117+BA115+BA167</f>
        <v>0</v>
      </c>
      <c r="BB171" s="189" t="n">
        <f aca="false">BB169+BB160+BB151+BB149+BB147+BB141+BB139+BB137+BB130+BB123+BB121+BB119+BB117+BB115+BB167</f>
        <v>1937714.99993749</v>
      </c>
      <c r="BC171" s="189" t="n">
        <f aca="false">BC169+BC160+BC151+BC149+BC147+BC141+BC139+BC137+BC130+BC123+BC121+BC119+BC117+BC115+BC167</f>
        <v>0</v>
      </c>
      <c r="BD171" s="189" t="n">
        <f aca="false">BD169+BD160+BD151+BD149+BD147+BD141+BD139+BD137+BD130+BD123+BD121+BD119+BD117+BD115+BD167</f>
        <v>381367.143180206</v>
      </c>
      <c r="BE171" s="189" t="n">
        <f aca="false">BE169+BE160+BE151+BE149+BE147+BE141+BE139+BE137+BE130+BE123+BE121+BE119+BE117+BE115+BE167</f>
        <v>0</v>
      </c>
      <c r="BF171" s="189" t="n">
        <f aca="false">BF169+BF160+BF151+BF149+BF147+BF141+BF139+BF137+BF130+BF123+BF121+BF119+BF117+BF115+BF167</f>
        <v>488231.44</v>
      </c>
      <c r="BG171" s="189" t="n">
        <f aca="false">BG169+BG160+BG151+BG149+BG147+BG141+BG139+BG137+BG130+BG123+BG121+BG119+BG117+BG115+BG167</f>
        <v>0</v>
      </c>
      <c r="BH171" s="189" t="n">
        <f aca="false">BH169+BH160+BH151+BH149+BH147+BH141+BH139+BH137+BH130+BH123+BH121+BH119+BH117+BH115+BH167</f>
        <v>249879.08</v>
      </c>
      <c r="BI171" s="189" t="n">
        <f aca="false">BI169+BI160+BI151+BI149+BI147+BI141+BI139+BI137+BI130+BI123+BI121+BI119+BI117+BI115+BI167</f>
        <v>0</v>
      </c>
      <c r="BJ171" s="189" t="n">
        <f aca="false">BJ169+BJ160+BJ151+BJ149+BJ147+BJ141+BJ139+BJ137+BJ130+BJ123+BJ121+BJ119+BJ117+BJ115+BJ167</f>
        <v>170423</v>
      </c>
      <c r="BK171" s="189" t="n">
        <f aca="false">BK169+BK160+BK151+BK149+BK147+BK141+BK139+BK137+BK130+BK123+BK121+BK119+BK117+BK115+BK167</f>
        <v>0</v>
      </c>
      <c r="BL171" s="189" t="n">
        <f aca="false">BL169+BL160+BL151+BL149+BL147+BL141+BL139+BL137+BL130+BL123+BL121+BL119+BL117+BL115+BL167</f>
        <v>507802</v>
      </c>
      <c r="BM171" s="189"/>
      <c r="BN171" s="189" t="n">
        <f aca="false">BN169+BN160+BN151+BN149+BN147+BN141+BN139+BN137+BN130+BN123+BN121+BN119+BN117+BN115+BN167</f>
        <v>5978</v>
      </c>
      <c r="BO171" s="189"/>
      <c r="BP171" s="189" t="n">
        <f aca="false">BP169+BP160+BP151+BP149+BP147+BP141+BP139+BP137+BP130+BP123+BP121+BP119+BP117+BP115+BP167</f>
        <v>17672427.7702952</v>
      </c>
      <c r="BQ171" s="189" t="n">
        <f aca="false">BQ169+BQ160+BQ151+BQ149+BQ147+BQ141+BQ139+BQ137+BQ130+BQ123+BQ121+BQ119+BQ117+BQ115+BQ167</f>
        <v>0</v>
      </c>
      <c r="BR171" s="189" t="n">
        <f aca="false">BR169+BR160+BR151+BR149+BR147+BR141+BR139+BR137+BR130+BR123+BR121+BR119+BR117+BR115+BR167</f>
        <v>-4543771</v>
      </c>
      <c r="BS171" s="189" t="n">
        <f aca="false">BS169+BS160+BS151+BS149+BS147+BS141+BS139+BS137+BS130+BS123+BS121+BS119+BS117+BS115+BS167</f>
        <v>0</v>
      </c>
      <c r="BT171" s="189" t="n">
        <f aca="false">BT169+BT160+BT151+BT149+BT147+BT141+BT139+BT137+BT130+BT123+BT121+BT119+BT117+BT115+BT167</f>
        <v>1812570.55</v>
      </c>
      <c r="BU171" s="189" t="n">
        <f aca="false">BU169+BU160+BU151+BU149+BU147+BU141+BU139+BU137+BU130+BU123+BU121+BU119+BU117+BU115+BU167</f>
        <v>0</v>
      </c>
      <c r="BV171" s="189" t="n">
        <f aca="false">BV169+BV160+BV151+BV149+BV147+BV141+BV139+BV137+BV130+BV123+BV121+BV119+BV117+BV115+BV167</f>
        <v>19484998.3202952</v>
      </c>
      <c r="BW171" s="189" t="n">
        <f aca="false">BW169+BW160+BW151+BW149+BW147+BW141+BW139+BW137+BW130+BW123+BW121+BW119+BW117+BW115+BW167</f>
        <v>0</v>
      </c>
      <c r="BX171" s="189" t="n">
        <f aca="false">BX169+BX160+BX151+BX149+BX147+BX141+BX139+BX137+BX130+BX123+BX121+BX119+BX117+BX115+BX167</f>
        <v>4098843.67970482</v>
      </c>
      <c r="BY171" s="189" t="n">
        <f aca="false">BY169+BY160+BY151+BY149+BY147+BY141+BY139+BY137+BY130+BY123+BY121+BY119+BY117+BY115+BY167</f>
        <v>0</v>
      </c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186"/>
      <c r="DX171" s="186"/>
      <c r="DY171" s="186"/>
      <c r="DZ171" s="186"/>
      <c r="EA171" s="186"/>
      <c r="EB171" s="186"/>
      <c r="EC171" s="186"/>
      <c r="ED171" s="186"/>
      <c r="EE171" s="186"/>
      <c r="EF171" s="186"/>
      <c r="EG171" s="186"/>
      <c r="EH171" s="186"/>
      <c r="EI171" s="186"/>
      <c r="EJ171" s="186"/>
      <c r="EK171" s="186"/>
      <c r="EL171" s="186"/>
      <c r="EM171" s="186"/>
      <c r="EN171" s="186"/>
      <c r="EO171" s="186"/>
      <c r="EP171" s="186"/>
      <c r="EQ171" s="186"/>
      <c r="ER171" s="186"/>
      <c r="ES171" s="186"/>
      <c r="ET171" s="186"/>
      <c r="EU171" s="186"/>
      <c r="EV171" s="186"/>
      <c r="EW171" s="186"/>
      <c r="EX171" s="186"/>
      <c r="EY171" s="186"/>
      <c r="EZ171" s="186"/>
      <c r="FA171" s="186"/>
      <c r="FB171" s="186"/>
      <c r="FC171" s="186"/>
      <c r="FD171" s="186"/>
      <c r="FE171" s="186"/>
      <c r="FF171" s="186"/>
      <c r="FG171" s="186"/>
      <c r="FH171" s="186"/>
      <c r="FI171" s="186"/>
      <c r="FJ171" s="186"/>
      <c r="FK171" s="186"/>
      <c r="FL171" s="186"/>
      <c r="FM171" s="186"/>
      <c r="FN171" s="186"/>
      <c r="FO171" s="186"/>
      <c r="FP171" s="186"/>
      <c r="FQ171" s="186"/>
      <c r="FR171" s="186"/>
      <c r="FS171" s="186"/>
      <c r="FT171" s="186"/>
      <c r="FU171" s="186"/>
      <c r="FV171" s="186"/>
      <c r="FW171" s="186"/>
      <c r="FX171" s="186"/>
      <c r="FY171" s="186"/>
      <c r="FZ171" s="186"/>
      <c r="GA171" s="186"/>
      <c r="GB171" s="186"/>
      <c r="GC171" s="186"/>
      <c r="GD171" s="186"/>
      <c r="GE171" s="186"/>
      <c r="GF171" s="186"/>
      <c r="GG171" s="186"/>
      <c r="GH171" s="186"/>
      <c r="GI171" s="186"/>
      <c r="GJ171" s="186"/>
      <c r="GK171" s="186"/>
      <c r="GL171" s="186"/>
      <c r="GM171" s="186"/>
      <c r="GN171" s="186"/>
      <c r="GO171" s="186"/>
      <c r="GP171" s="186"/>
      <c r="GQ171" s="186"/>
      <c r="GR171" s="186"/>
      <c r="GS171" s="186"/>
      <c r="GT171" s="186"/>
      <c r="GU171" s="186"/>
      <c r="GV171" s="186"/>
      <c r="GW171" s="186"/>
      <c r="GX171" s="186"/>
      <c r="GY171" s="186"/>
      <c r="GZ171" s="186"/>
      <c r="HA171" s="186"/>
      <c r="HB171" s="186"/>
      <c r="HC171" s="186"/>
      <c r="HD171" s="186"/>
      <c r="HE171" s="186"/>
      <c r="HF171" s="186"/>
      <c r="HG171" s="186"/>
      <c r="HH171" s="186"/>
      <c r="HI171" s="186"/>
      <c r="HJ171" s="186"/>
      <c r="HK171" s="186"/>
      <c r="HL171" s="186"/>
      <c r="HM171" s="186"/>
      <c r="HN171" s="186"/>
      <c r="HO171" s="186"/>
      <c r="HP171" s="186"/>
      <c r="HQ171" s="186"/>
      <c r="HR171" s="186"/>
      <c r="HS171" s="186"/>
      <c r="HT171" s="186"/>
      <c r="HU171" s="186"/>
      <c r="HV171" s="186"/>
      <c r="HW171" s="186"/>
      <c r="HX171" s="186"/>
      <c r="HY171" s="186"/>
      <c r="HZ171" s="186"/>
      <c r="IA171" s="186"/>
      <c r="IB171" s="186"/>
      <c r="IC171" s="186"/>
      <c r="ID171" s="186"/>
      <c r="IE171" s="186"/>
      <c r="IF171" s="186"/>
      <c r="IG171" s="186"/>
      <c r="IH171" s="186"/>
      <c r="II171" s="186"/>
      <c r="IJ171" s="186"/>
      <c r="IK171" s="186"/>
      <c r="IL171" s="186"/>
      <c r="IM171" s="186"/>
      <c r="IN171" s="186"/>
      <c r="IO171" s="186"/>
      <c r="IP171" s="186"/>
      <c r="IQ171" s="186"/>
      <c r="IR171" s="186"/>
      <c r="IS171" s="186"/>
      <c r="IT171" s="186"/>
      <c r="IU171" s="186"/>
      <c r="IV171" s="186"/>
      <c r="IW171" s="186"/>
    </row>
    <row r="172" customFormat="false" ht="12.75" hidden="false" customHeight="false" outlineLevel="0" collapsed="false">
      <c r="A172" s="160"/>
      <c r="B172" s="174"/>
      <c r="C172" s="2"/>
      <c r="D172" s="2"/>
      <c r="E172" s="2"/>
      <c r="F172" s="2"/>
      <c r="G172" s="2"/>
      <c r="H172" s="2"/>
      <c r="I172" s="2"/>
      <c r="J172" s="3"/>
      <c r="K172" s="2"/>
      <c r="L172" s="179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60" t="s">
        <v>186</v>
      </c>
      <c r="B173" s="174"/>
      <c r="C173" s="2"/>
      <c r="D173" s="2"/>
      <c r="E173" s="2"/>
      <c r="F173" s="2"/>
      <c r="G173" s="2"/>
      <c r="H173" s="2"/>
      <c r="I173" s="2"/>
      <c r="J173" s="3"/>
      <c r="K173" s="2"/>
      <c r="L173" s="179" t="s">
        <v>151</v>
      </c>
      <c r="M173" s="24"/>
      <c r="N173" s="24" t="n">
        <v>5395729</v>
      </c>
      <c r="O173" s="24"/>
      <c r="P173" s="24" t="n">
        <f aca="false">5463580+-N173</f>
        <v>67851</v>
      </c>
      <c r="Q173" s="24"/>
      <c r="R173" s="24" t="n">
        <f aca="false">3088152.1+236000</f>
        <v>3324152.1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 t="n">
        <v>2030320</v>
      </c>
      <c r="BR173" s="24" t="n">
        <v>-3324152</v>
      </c>
      <c r="BS173" s="24" t="n">
        <v>2030320</v>
      </c>
      <c r="BT173" s="110" t="n">
        <f aca="false">IF(+R173-BP173+BR173&gt;0,R173-BP173+BR173,0)</f>
        <v>0.100000000093132</v>
      </c>
      <c r="BU173" s="24" t="n">
        <v>2030320</v>
      </c>
      <c r="BV173" s="24" t="n">
        <f aca="false">+BP173+BT173</f>
        <v>0.100000000093132</v>
      </c>
      <c r="BW173" s="24" t="n">
        <v>2030320</v>
      </c>
      <c r="BX173" s="110" t="n">
        <f aca="false">+R173-BV173</f>
        <v>3324152</v>
      </c>
      <c r="BY173" s="24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160"/>
      <c r="B174" s="174"/>
      <c r="C174" s="2"/>
      <c r="D174" s="2"/>
      <c r="E174" s="2"/>
      <c r="F174" s="2"/>
      <c r="G174" s="2"/>
      <c r="H174" s="2"/>
      <c r="I174" s="2"/>
      <c r="J174" s="3"/>
      <c r="K174" s="2"/>
      <c r="L174" s="179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160"/>
      <c r="B175" s="174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04" t="s">
        <v>284</v>
      </c>
      <c r="B176" s="205"/>
      <c r="C176" s="205"/>
      <c r="D176" s="205"/>
      <c r="E176" s="205"/>
      <c r="F176" s="205"/>
      <c r="G176" s="205"/>
      <c r="H176" s="205"/>
      <c r="I176" s="205"/>
      <c r="J176" s="206"/>
      <c r="K176" s="205"/>
      <c r="L176" s="207"/>
      <c r="M176" s="208"/>
      <c r="N176" s="208"/>
      <c r="O176" s="208"/>
      <c r="P176" s="208"/>
      <c r="Q176" s="208"/>
      <c r="R176" s="209" t="n">
        <f aca="false">R34+R102+R91+R107+R171+R173</f>
        <v>158451248.1</v>
      </c>
      <c r="S176" s="209"/>
      <c r="T176" s="209" t="n">
        <f aca="false">T34+T102+T91+T107+T171+T173</f>
        <v>17087218</v>
      </c>
      <c r="U176" s="209" t="n">
        <f aca="false">U34+U102+U91+U107+U171+U173</f>
        <v>0</v>
      </c>
      <c r="V176" s="209" t="n">
        <f aca="false">V34+V102+V91+V107+V171+V173</f>
        <v>43642668.53</v>
      </c>
      <c r="W176" s="209" t="n">
        <f aca="false">W34+W102+W91+W107+W171+W173</f>
        <v>0</v>
      </c>
      <c r="X176" s="209" t="n">
        <f aca="false">X34+X102+X91+X107+X171+X173</f>
        <v>4696471.93</v>
      </c>
      <c r="Y176" s="209" t="n">
        <f aca="false">Y34+Y102+Y91+Y107+Y171+Y173</f>
        <v>0</v>
      </c>
      <c r="Z176" s="209" t="n">
        <f aca="false">Z34+Z102+Z91+Z107+Z171+Z173</f>
        <v>440729.95</v>
      </c>
      <c r="AA176" s="209" t="n">
        <f aca="false">AA34+AA102+AA91+AA107+AA171+AA173</f>
        <v>0</v>
      </c>
      <c r="AB176" s="209" t="n">
        <f aca="false">AB34+AB102+AB91+AB107+AB171+AB173</f>
        <v>4762739.43</v>
      </c>
      <c r="AC176" s="209" t="n">
        <f aca="false">AC34+AC102+AC91+AC107+AC171+AC173</f>
        <v>0</v>
      </c>
      <c r="AD176" s="209" t="n">
        <f aca="false">AD34+AD102+AD91+AD107+AD171+AD173</f>
        <v>9136615.68</v>
      </c>
      <c r="AE176" s="209" t="n">
        <f aca="false">AE34+AE102+AE91+AE107+AE171+AE173</f>
        <v>0</v>
      </c>
      <c r="AF176" s="209" t="n">
        <f aca="false">AF34+AF102+AF91+AF107+AF171+AF173</f>
        <v>573248.108620833</v>
      </c>
      <c r="AG176" s="209" t="n">
        <f aca="false">AG34+AG102+AG91+AG107+AG171+AG173</f>
        <v>0</v>
      </c>
      <c r="AH176" s="209" t="n">
        <f aca="false">AH34+AH102+AH91+AH107+AH171+AH173</f>
        <v>1116780.75213836</v>
      </c>
      <c r="AI176" s="209" t="n">
        <f aca="false">AI34+AI102+AI91+AI107+AI171+AI173</f>
        <v>0</v>
      </c>
      <c r="AJ176" s="209" t="n">
        <f aca="false">AJ34+AJ102+AJ91+AJ107+AJ171+AJ173</f>
        <v>1496281.32641661</v>
      </c>
      <c r="AK176" s="209" t="n">
        <f aca="false">AK34+AK102+AK91+AK107+AK171+AK173</f>
        <v>0</v>
      </c>
      <c r="AL176" s="209" t="n">
        <f aca="false">AL34+AL102+AL91+AL107+AL171+AL173</f>
        <v>1780115.93</v>
      </c>
      <c r="AM176" s="209" t="n">
        <f aca="false">AM34+AM102+AM91+AM107+AM171+AM173</f>
        <v>0</v>
      </c>
      <c r="AN176" s="209" t="n">
        <f aca="false">AN34+AN102+AN91+AN107+AN171+AN173</f>
        <v>1566383.00550692</v>
      </c>
      <c r="AO176" s="209" t="n">
        <f aca="false">AO34+AO102+AO91+AO107+AO171+AO173</f>
        <v>0</v>
      </c>
      <c r="AP176" s="209" t="n">
        <f aca="false">AP34+AP102+AP91+AP107+AP171+AP173</f>
        <v>5481999.37096592</v>
      </c>
      <c r="AQ176" s="209"/>
      <c r="AR176" s="209" t="n">
        <f aca="false">AR34+AR102+AR91+AR107+AR171+AR173</f>
        <v>4677967.54</v>
      </c>
      <c r="AS176" s="209" t="n">
        <f aca="false">AS34+AS102+AS91+AS107+AS171+AS173</f>
        <v>0</v>
      </c>
      <c r="AT176" s="209" t="n">
        <f aca="false">AT34+AT102+AT91+AT107+AT171+AT173</f>
        <v>8750380.30511004</v>
      </c>
      <c r="AU176" s="209" t="n">
        <f aca="false">AU34+AU102+AU91+AU107+AU171+AU173</f>
        <v>0</v>
      </c>
      <c r="AV176" s="209" t="n">
        <f aca="false">AV34+AV102+AV91+AV107+AV171+AV173</f>
        <v>9706071.65825994</v>
      </c>
      <c r="AW176" s="209" t="n">
        <f aca="false">AW34+AW102+AW91+AW107+AW171+AW173</f>
        <v>0</v>
      </c>
      <c r="AX176" s="209" t="n">
        <f aca="false">AX34+AX102+AX91+AX107+AX171+AX173</f>
        <v>9777060.12015885</v>
      </c>
      <c r="AY176" s="209" t="n">
        <f aca="false">AY34+AY102+AY91+AY107+AY171+AY173</f>
        <v>0</v>
      </c>
      <c r="AZ176" s="209" t="n">
        <f aca="false">AZ34+AZ102+AZ91+AZ107+AZ171+AZ173</f>
        <v>8038836.57</v>
      </c>
      <c r="BA176" s="209" t="n">
        <f aca="false">BA34+BA102+BA91+BA107+BA171+BA173</f>
        <v>0</v>
      </c>
      <c r="BB176" s="209" t="n">
        <f aca="false">BB34+BB102+BB91+BB107+BB171+BB173</f>
        <v>2610922.73993749</v>
      </c>
      <c r="BC176" s="209" t="n">
        <f aca="false">BC34+BC102+BC91+BC107+BC171+BC173</f>
        <v>0</v>
      </c>
      <c r="BD176" s="209" t="n">
        <f aca="false">BD34+BD102+BD91+BD107+BD171+BD173</f>
        <v>16127168.3731802</v>
      </c>
      <c r="BE176" s="209" t="n">
        <f aca="false">BE34+BE102+BE91+BE107+BE171+BE173</f>
        <v>0</v>
      </c>
      <c r="BF176" s="209" t="n">
        <f aca="false">BF34+BF102+BF91+BF107+BF171+BF173</f>
        <v>2023191.44</v>
      </c>
      <c r="BG176" s="209" t="n">
        <f aca="false">BG34+BG102+BG91+BG107+BG171+BG173</f>
        <v>0</v>
      </c>
      <c r="BH176" s="209" t="n">
        <f aca="false">BH34+BH102+BH91+BH107+BH171+BH173</f>
        <v>249879.08</v>
      </c>
      <c r="BI176" s="209" t="n">
        <f aca="false">BI34+BI102+BI91+BI107+BI171+BI173</f>
        <v>0</v>
      </c>
      <c r="BJ176" s="209" t="n">
        <f aca="false">BJ34+BJ102+BJ91+BJ107+BJ171+BJ173</f>
        <v>177164</v>
      </c>
      <c r="BK176" s="209" t="n">
        <f aca="false">BK34+BK102+BK91+BK107+BK171+BK173</f>
        <v>0</v>
      </c>
      <c r="BL176" s="209" t="n">
        <f aca="false">BL34+BL102+BL91+BL107+BL171+BL173</f>
        <v>507802</v>
      </c>
      <c r="BM176" s="209"/>
      <c r="BN176" s="209" t="n">
        <f aca="false">BN34+BN102+BN91+BN107+BN171+BN173</f>
        <v>5978</v>
      </c>
      <c r="BO176" s="209"/>
      <c r="BP176" s="209" t="n">
        <f aca="false">BP34+BP102+BP91+BP107+BP171+BP173</f>
        <v>154433673.840295</v>
      </c>
      <c r="BQ176" s="209" t="n">
        <f aca="false">BQ34+BQ102+BQ91+BQ107+BQ171+BQ173</f>
        <v>3202104</v>
      </c>
      <c r="BR176" s="209" t="n">
        <f aca="false">BR34+BR102+BR91+BR107+BR171+BR173</f>
        <v>2825212</v>
      </c>
      <c r="BS176" s="209" t="n">
        <f aca="false">BS34+BS102+BS91+BS107+BS171+BS173</f>
        <v>4673615</v>
      </c>
      <c r="BT176" s="209" t="n">
        <f aca="false">BT34+BT102+BT91+BT107+BT171+BT173</f>
        <v>5082048.91333333</v>
      </c>
      <c r="BU176" s="209" t="n">
        <f aca="false">BU34+BU102+BU91+BU107+BU171+BU173</f>
        <v>7699097</v>
      </c>
      <c r="BV176" s="209" t="n">
        <f aca="false">BV34+BV102+BV91+BV107+BV171+BV173</f>
        <v>157980762.683629</v>
      </c>
      <c r="BW176" s="209" t="n">
        <f aca="false">BW34+BW102+BW91+BW107+BW171+BW173</f>
        <v>14335953</v>
      </c>
      <c r="BX176" s="209" t="n">
        <f aca="false">BX34+BX102+BX91+BX107+BX171+BX173</f>
        <v>470485.416371484</v>
      </c>
      <c r="BY176" s="208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205"/>
      <c r="DX176" s="205"/>
      <c r="DY176" s="205"/>
      <c r="DZ176" s="205"/>
      <c r="EA176" s="205"/>
      <c r="EB176" s="205"/>
      <c r="EC176" s="205"/>
      <c r="ED176" s="205"/>
      <c r="EE176" s="205"/>
      <c r="EF176" s="205"/>
      <c r="EG176" s="205"/>
      <c r="EH176" s="205"/>
      <c r="EI176" s="205"/>
      <c r="EJ176" s="205"/>
      <c r="EK176" s="205"/>
      <c r="EL176" s="205"/>
      <c r="EM176" s="205"/>
      <c r="EN176" s="205"/>
      <c r="EO176" s="205"/>
      <c r="EP176" s="205"/>
      <c r="EQ176" s="205"/>
      <c r="ER176" s="205"/>
      <c r="ES176" s="205"/>
      <c r="ET176" s="205"/>
      <c r="EU176" s="205"/>
      <c r="EV176" s="205"/>
      <c r="EW176" s="205"/>
      <c r="EX176" s="205"/>
      <c r="EY176" s="205"/>
      <c r="EZ176" s="205"/>
      <c r="FA176" s="205"/>
      <c r="FB176" s="205"/>
      <c r="FC176" s="205"/>
      <c r="FD176" s="205"/>
      <c r="FE176" s="205"/>
      <c r="FF176" s="205"/>
      <c r="FG176" s="205"/>
      <c r="FH176" s="205"/>
      <c r="FI176" s="205"/>
      <c r="FJ176" s="205"/>
      <c r="FK176" s="205"/>
      <c r="FL176" s="205"/>
      <c r="FM176" s="205"/>
      <c r="FN176" s="205"/>
      <c r="FO176" s="205"/>
      <c r="FP176" s="205"/>
      <c r="FQ176" s="205"/>
      <c r="FR176" s="205"/>
      <c r="FS176" s="205"/>
      <c r="FT176" s="205"/>
      <c r="FU176" s="205"/>
      <c r="FV176" s="205"/>
      <c r="FW176" s="205"/>
      <c r="FX176" s="205"/>
      <c r="FY176" s="205"/>
      <c r="FZ176" s="205"/>
      <c r="GA176" s="205"/>
      <c r="GB176" s="205"/>
      <c r="GC176" s="205"/>
      <c r="GD176" s="205"/>
      <c r="GE176" s="205"/>
      <c r="GF176" s="205"/>
      <c r="GG176" s="205"/>
      <c r="GH176" s="205"/>
      <c r="GI176" s="205"/>
      <c r="GJ176" s="205"/>
      <c r="GK176" s="205"/>
      <c r="GL176" s="205"/>
      <c r="GM176" s="205"/>
      <c r="GN176" s="205"/>
      <c r="GO176" s="205"/>
      <c r="GP176" s="205"/>
      <c r="GQ176" s="205"/>
      <c r="GR176" s="205"/>
      <c r="GS176" s="205"/>
      <c r="GT176" s="205"/>
      <c r="GU176" s="205"/>
      <c r="GV176" s="205"/>
      <c r="GW176" s="205"/>
      <c r="GX176" s="205"/>
      <c r="GY176" s="205"/>
      <c r="GZ176" s="205"/>
      <c r="HA176" s="205"/>
      <c r="HB176" s="205"/>
      <c r="HC176" s="205"/>
      <c r="HD176" s="205"/>
      <c r="HE176" s="205"/>
      <c r="HF176" s="205"/>
      <c r="HG176" s="205"/>
      <c r="HH176" s="205"/>
      <c r="HI176" s="205"/>
      <c r="HJ176" s="205"/>
      <c r="HK176" s="205"/>
      <c r="HL176" s="205"/>
      <c r="HM176" s="205"/>
      <c r="HN176" s="205"/>
      <c r="HO176" s="205"/>
      <c r="HP176" s="205"/>
      <c r="HQ176" s="205"/>
      <c r="HR176" s="205"/>
      <c r="HS176" s="205"/>
      <c r="HT176" s="205"/>
      <c r="HU176" s="205"/>
      <c r="HV176" s="205"/>
      <c r="HW176" s="205"/>
      <c r="HX176" s="205"/>
      <c r="HY176" s="205"/>
      <c r="HZ176" s="205"/>
      <c r="IA176" s="205"/>
      <c r="IB176" s="205"/>
      <c r="IC176" s="205"/>
      <c r="ID176" s="205"/>
      <c r="IE176" s="205"/>
      <c r="IF176" s="205"/>
      <c r="IG176" s="205"/>
      <c r="IH176" s="205"/>
      <c r="II176" s="205"/>
      <c r="IJ176" s="205"/>
      <c r="IK176" s="205"/>
      <c r="IL176" s="205"/>
      <c r="IM176" s="205"/>
      <c r="IN176" s="205"/>
      <c r="IO176" s="205"/>
      <c r="IP176" s="205"/>
      <c r="IQ176" s="205"/>
      <c r="IR176" s="205"/>
      <c r="IS176" s="205"/>
      <c r="IT176" s="205"/>
      <c r="IU176" s="205"/>
      <c r="IV176" s="205"/>
      <c r="IW176" s="205"/>
    </row>
    <row r="177" customFormat="false" ht="12.75" hidden="false" customHeight="false" outlineLevel="0" collapsed="false">
      <c r="A177" s="160" t="s">
        <v>285</v>
      </c>
      <c r="B177" s="174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 t="n">
        <f aca="false">BV176/B4</f>
        <v>336129.282305593</v>
      </c>
      <c r="BW177" s="24"/>
      <c r="BX177" s="24"/>
      <c r="BY177" s="24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true" customHeight="false" outlineLevel="0" collapsed="false">
      <c r="A178" s="160"/>
      <c r="B178" s="174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true" customHeight="false" outlineLevel="0" collapsed="false">
      <c r="A179" s="160"/>
      <c r="B179" s="174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 t="n">
        <f aca="false">-T123</f>
        <v>-0</v>
      </c>
      <c r="U179" s="24" t="n">
        <f aca="false">-U123</f>
        <v>-0</v>
      </c>
      <c r="V179" s="24" t="n">
        <f aca="false">-V123</f>
        <v>-0</v>
      </c>
      <c r="W179" s="24" t="n">
        <f aca="false">-W123</f>
        <v>-0</v>
      </c>
      <c r="X179" s="24" t="n">
        <f aca="false">-X123</f>
        <v>-0</v>
      </c>
      <c r="Y179" s="24" t="n">
        <f aca="false">-Y123</f>
        <v>-0</v>
      </c>
      <c r="Z179" s="24" t="n">
        <f aca="false">-Z123</f>
        <v>-0</v>
      </c>
      <c r="AA179" s="24" t="n">
        <f aca="false">-AA123</f>
        <v>-0</v>
      </c>
      <c r="AB179" s="24" t="n">
        <f aca="false">-AB123</f>
        <v>-0</v>
      </c>
      <c r="AC179" s="24" t="n">
        <f aca="false">-AC123</f>
        <v>-0</v>
      </c>
      <c r="AD179" s="24" t="n">
        <f aca="false">-AD123</f>
        <v>-0</v>
      </c>
      <c r="AE179" s="24" t="n">
        <f aca="false">-AE123</f>
        <v>-0</v>
      </c>
      <c r="AF179" s="24" t="n">
        <f aca="false">-AF123</f>
        <v>-0</v>
      </c>
      <c r="AG179" s="24" t="n">
        <f aca="false">-AG123</f>
        <v>-0</v>
      </c>
      <c r="AH179" s="24" t="n">
        <f aca="false">-AH123</f>
        <v>-0</v>
      </c>
      <c r="AI179" s="24" t="n">
        <f aca="false">-AI123</f>
        <v>-0</v>
      </c>
      <c r="AJ179" s="24" t="n">
        <f aca="false">-AJ123</f>
        <v>-0</v>
      </c>
      <c r="AK179" s="24" t="n">
        <f aca="false">-AK123</f>
        <v>-0</v>
      </c>
      <c r="AL179" s="24" t="n">
        <f aca="false">-AL123</f>
        <v>-0</v>
      </c>
      <c r="AM179" s="24" t="n">
        <f aca="false">-AM123</f>
        <v>-0</v>
      </c>
      <c r="AN179" s="24" t="n">
        <f aca="false">-AN123</f>
        <v>-0</v>
      </c>
      <c r="AO179" s="24" t="n">
        <f aca="false">-AO123</f>
        <v>-0</v>
      </c>
      <c r="AP179" s="24" t="n">
        <f aca="false">-AP123</f>
        <v>-0</v>
      </c>
      <c r="AQ179" s="24"/>
      <c r="AR179" s="24" t="n">
        <f aca="false">-AR123</f>
        <v>-0</v>
      </c>
      <c r="AS179" s="24" t="n">
        <f aca="false">-AS123</f>
        <v>-0</v>
      </c>
      <c r="AT179" s="24" t="n">
        <f aca="false">-AT123</f>
        <v>-0</v>
      </c>
      <c r="AU179" s="24" t="n">
        <f aca="false">-AU123</f>
        <v>-0</v>
      </c>
      <c r="AV179" s="24" t="n">
        <f aca="false">-AV123</f>
        <v>-0</v>
      </c>
      <c r="AW179" s="24" t="n">
        <f aca="false">-AW123</f>
        <v>-0</v>
      </c>
      <c r="AX179" s="24" t="n">
        <f aca="false">-AX123</f>
        <v>-0</v>
      </c>
      <c r="AY179" s="24" t="n">
        <f aca="false">-AY123</f>
        <v>-0</v>
      </c>
      <c r="AZ179" s="24" t="n">
        <f aca="false">-AZ123</f>
        <v>-0</v>
      </c>
      <c r="BA179" s="24" t="n">
        <f aca="false">-BA123</f>
        <v>-0</v>
      </c>
      <c r="BB179" s="24" t="n">
        <f aca="false">-BB123</f>
        <v>-0</v>
      </c>
      <c r="BC179" s="24" t="n">
        <f aca="false">-BC123</f>
        <v>-0</v>
      </c>
      <c r="BD179" s="24" t="n">
        <f aca="false">-BD123</f>
        <v>-0</v>
      </c>
      <c r="BE179" s="24" t="n">
        <f aca="false">-BE123</f>
        <v>-0</v>
      </c>
      <c r="BF179" s="24" t="n">
        <f aca="false">-BF123</f>
        <v>-0</v>
      </c>
      <c r="BG179" s="24" t="n">
        <f aca="false">-BG123</f>
        <v>-0</v>
      </c>
      <c r="BH179" s="24" t="n">
        <f aca="false">-BH123</f>
        <v>-35636.88</v>
      </c>
      <c r="BI179" s="24"/>
      <c r="BJ179" s="24"/>
      <c r="BK179" s="24"/>
      <c r="BL179" s="24" t="s">
        <v>18</v>
      </c>
      <c r="BM179" s="24"/>
      <c r="BN179" s="24" t="s">
        <v>18</v>
      </c>
      <c r="BO179" s="24"/>
      <c r="BP179" s="24" t="n">
        <f aca="false">-BP123</f>
        <v>-42514.88</v>
      </c>
      <c r="BQ179" s="24"/>
      <c r="BR179" s="24"/>
      <c r="BS179" s="24"/>
      <c r="BT179" s="24"/>
      <c r="BU179" s="24"/>
      <c r="BV179" s="24"/>
      <c r="BW179" s="24"/>
      <c r="BX179" s="24"/>
      <c r="BY179" s="24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true" customHeight="false" outlineLevel="0" collapsed="false">
      <c r="A180" s="160"/>
      <c r="B180" s="174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 t="n">
        <f aca="false">-T115</f>
        <v>-0</v>
      </c>
      <c r="U180" s="24" t="n">
        <f aca="false">-U115</f>
        <v>-0</v>
      </c>
      <c r="V180" s="24" t="n">
        <f aca="false">-V115</f>
        <v>-0</v>
      </c>
      <c r="W180" s="24" t="n">
        <f aca="false">-W115</f>
        <v>-0</v>
      </c>
      <c r="X180" s="24" t="n">
        <f aca="false">-X115</f>
        <v>-0</v>
      </c>
      <c r="Y180" s="24" t="n">
        <f aca="false">-Y115</f>
        <v>-0</v>
      </c>
      <c r="Z180" s="24" t="n">
        <f aca="false">-Z115</f>
        <v>-0</v>
      </c>
      <c r="AA180" s="24" t="n">
        <f aca="false">-AA115</f>
        <v>-0</v>
      </c>
      <c r="AB180" s="24" t="n">
        <f aca="false">-AB115</f>
        <v>-0</v>
      </c>
      <c r="AC180" s="24" t="n">
        <f aca="false">-AC115</f>
        <v>-0</v>
      </c>
      <c r="AD180" s="24" t="n">
        <f aca="false">-AD115</f>
        <v>-0</v>
      </c>
      <c r="AE180" s="24" t="n">
        <f aca="false">-AE115</f>
        <v>-0</v>
      </c>
      <c r="AF180" s="24" t="n">
        <f aca="false">-AF115</f>
        <v>-0</v>
      </c>
      <c r="AG180" s="24" t="n">
        <f aca="false">-AG115</f>
        <v>-0</v>
      </c>
      <c r="AH180" s="24" t="n">
        <f aca="false">-AH115</f>
        <v>-0</v>
      </c>
      <c r="AI180" s="24" t="n">
        <f aca="false">-AI115</f>
        <v>-0</v>
      </c>
      <c r="AJ180" s="24" t="n">
        <f aca="false">-AJ115</f>
        <v>-0</v>
      </c>
      <c r="AK180" s="24" t="n">
        <f aca="false">-AK115</f>
        <v>-0</v>
      </c>
      <c r="AL180" s="24" t="n">
        <f aca="false">-AL115</f>
        <v>-0</v>
      </c>
      <c r="AM180" s="24" t="n">
        <f aca="false">-AM115</f>
        <v>-0</v>
      </c>
      <c r="AN180" s="24" t="n">
        <f aca="false">-AN115</f>
        <v>-0</v>
      </c>
      <c r="AO180" s="24" t="n">
        <f aca="false">-AO115</f>
        <v>-0</v>
      </c>
      <c r="AP180" s="24" t="n">
        <f aca="false">-AP115</f>
        <v>-0</v>
      </c>
      <c r="AQ180" s="24"/>
      <c r="AR180" s="24" t="n">
        <f aca="false">-AR115</f>
        <v>-0</v>
      </c>
      <c r="AS180" s="24" t="n">
        <f aca="false">-AS115</f>
        <v>-0</v>
      </c>
      <c r="AT180" s="24" t="n">
        <f aca="false">-AT115</f>
        <v>-0</v>
      </c>
      <c r="AU180" s="24" t="n">
        <f aca="false">-AU115</f>
        <v>-0</v>
      </c>
      <c r="AV180" s="24" t="n">
        <f aca="false">-AV115</f>
        <v>-37000</v>
      </c>
      <c r="AW180" s="24" t="n">
        <f aca="false">-AW115</f>
        <v>-0</v>
      </c>
      <c r="AX180" s="24" t="n">
        <f aca="false">-AX115</f>
        <v>-210319.82</v>
      </c>
      <c r="AY180" s="24" t="n">
        <f aca="false">-AY115</f>
        <v>-0</v>
      </c>
      <c r="AZ180" s="24" t="n">
        <f aca="false">-AZ115</f>
        <v>-162493.07</v>
      </c>
      <c r="BA180" s="24" t="n">
        <f aca="false">-BA115</f>
        <v>-0</v>
      </c>
      <c r="BB180" s="24" t="n">
        <f aca="false">-BB115</f>
        <v>-216683.78</v>
      </c>
      <c r="BC180" s="24" t="n">
        <f aca="false">-BC115</f>
        <v>-0</v>
      </c>
      <c r="BD180" s="24" t="n">
        <f aca="false">-BD115</f>
        <v>-183125.89</v>
      </c>
      <c r="BE180" s="24" t="n">
        <f aca="false">-BE115</f>
        <v>-0</v>
      </c>
      <c r="BF180" s="24" t="n">
        <f aca="false">-BF115</f>
        <v>-164872.12</v>
      </c>
      <c r="BG180" s="24" t="n">
        <f aca="false">-BG115</f>
        <v>-0</v>
      </c>
      <c r="BH180" s="24" t="n">
        <f aca="false">-BH115</f>
        <v>-85226.45</v>
      </c>
      <c r="BI180" s="24"/>
      <c r="BJ180" s="24"/>
      <c r="BK180" s="24"/>
      <c r="BL180" s="24" t="s">
        <v>287</v>
      </c>
      <c r="BM180" s="24"/>
      <c r="BN180" s="24" t="s">
        <v>287</v>
      </c>
      <c r="BO180" s="24"/>
      <c r="BP180" s="24" t="n">
        <f aca="false">-BP115</f>
        <v>-1120159.13</v>
      </c>
      <c r="BQ180" s="24"/>
      <c r="BR180" s="24"/>
      <c r="BS180" s="24"/>
      <c r="BT180" s="24"/>
      <c r="BU180" s="24"/>
      <c r="BV180" s="24"/>
      <c r="BW180" s="24"/>
      <c r="BX180" s="24"/>
      <c r="BY180" s="24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true" customHeight="false" outlineLevel="0" collapsed="false">
      <c r="A181" s="160"/>
      <c r="B181" s="174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 t="s">
        <v>288</v>
      </c>
      <c r="BM181" s="24"/>
      <c r="BN181" s="24" t="s">
        <v>288</v>
      </c>
      <c r="BO181" s="24"/>
      <c r="BP181" s="24" t="n">
        <f aca="false">-BP121</f>
        <v>-13668.55</v>
      </c>
      <c r="BQ181" s="24"/>
      <c r="BR181" s="24"/>
      <c r="BS181" s="24"/>
      <c r="BT181" s="24"/>
      <c r="BU181" s="24"/>
      <c r="BV181" s="24"/>
      <c r="BW181" s="24"/>
      <c r="BX181" s="24"/>
      <c r="BY181" s="24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60"/>
      <c r="B182" s="174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 t="n">
        <f aca="false">BP182</f>
        <v>-300697</v>
      </c>
      <c r="BE182" s="24"/>
      <c r="BF182" s="24"/>
      <c r="BG182" s="24"/>
      <c r="BH182" s="24"/>
      <c r="BI182" s="24"/>
      <c r="BJ182" s="24"/>
      <c r="BK182" s="24"/>
      <c r="BL182" s="24" t="s">
        <v>429</v>
      </c>
      <c r="BM182" s="24"/>
      <c r="BN182" s="24" t="s">
        <v>429</v>
      </c>
      <c r="BO182" s="24"/>
      <c r="BP182" s="24" t="n">
        <v>-300697</v>
      </c>
      <c r="BQ182" s="24"/>
      <c r="BR182" s="24"/>
      <c r="BS182" s="24"/>
      <c r="BT182" s="24"/>
      <c r="BU182" s="24"/>
      <c r="BV182" s="24"/>
      <c r="BW182" s="24"/>
      <c r="BX182" s="24"/>
      <c r="BY182" s="24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 t="n">
        <f aca="false">SUM(T176:T182)</f>
        <v>17087218</v>
      </c>
      <c r="U183" s="24" t="n">
        <f aca="false">SUM(U176:U182)</f>
        <v>0</v>
      </c>
      <c r="V183" s="24" t="n">
        <f aca="false">SUM(V176:V182)</f>
        <v>43642668.53</v>
      </c>
      <c r="W183" s="24" t="n">
        <f aca="false">SUM(W176:W182)</f>
        <v>0</v>
      </c>
      <c r="X183" s="24" t="n">
        <f aca="false">SUM(X176:X182)</f>
        <v>4696471.93</v>
      </c>
      <c r="Y183" s="24" t="n">
        <f aca="false">SUM(Y176:Y182)</f>
        <v>0</v>
      </c>
      <c r="Z183" s="24" t="n">
        <f aca="false">SUM(Z176:Z182)</f>
        <v>440729.95</v>
      </c>
      <c r="AA183" s="24" t="n">
        <f aca="false">SUM(AA176:AA182)</f>
        <v>0</v>
      </c>
      <c r="AB183" s="24" t="n">
        <f aca="false">SUM(AB176:AB182)</f>
        <v>4762739.43</v>
      </c>
      <c r="AC183" s="24" t="n">
        <f aca="false">SUM(AC176:AC182)</f>
        <v>0</v>
      </c>
      <c r="AD183" s="24" t="n">
        <f aca="false">SUM(AD176:AD182)</f>
        <v>9136615.68</v>
      </c>
      <c r="AE183" s="24" t="n">
        <f aca="false">SUM(AE176:AE182)</f>
        <v>0</v>
      </c>
      <c r="AF183" s="24" t="n">
        <f aca="false">SUM(AF176:AF182)</f>
        <v>573248.108620833</v>
      </c>
      <c r="AG183" s="24" t="n">
        <f aca="false">SUM(AG176:AG182)</f>
        <v>0</v>
      </c>
      <c r="AH183" s="24" t="n">
        <f aca="false">SUM(AH176:AH182)</f>
        <v>1116780.75213836</v>
      </c>
      <c r="AI183" s="24" t="n">
        <f aca="false">SUM(AI176:AI182)</f>
        <v>0</v>
      </c>
      <c r="AJ183" s="24" t="n">
        <f aca="false">SUM(AJ176:AJ182)</f>
        <v>1496281.32641661</v>
      </c>
      <c r="AK183" s="24" t="n">
        <f aca="false">SUM(AK176:AK182)</f>
        <v>0</v>
      </c>
      <c r="AL183" s="24" t="n">
        <f aca="false">SUM(AL176:AL182)</f>
        <v>1780115.93</v>
      </c>
      <c r="AM183" s="24" t="n">
        <f aca="false">SUM(AM176:AM182)</f>
        <v>0</v>
      </c>
      <c r="AN183" s="24" t="n">
        <f aca="false">SUM(AN176:AN182)</f>
        <v>1566383.00550692</v>
      </c>
      <c r="AO183" s="24" t="n">
        <f aca="false">SUM(AO176:AO182)</f>
        <v>0</v>
      </c>
      <c r="AP183" s="24" t="n">
        <f aca="false">SUM(AP176:AP182)</f>
        <v>5481999.37096592</v>
      </c>
      <c r="AQ183" s="24"/>
      <c r="AR183" s="24" t="n">
        <f aca="false">SUM(AR176:AR182)</f>
        <v>4677967.54</v>
      </c>
      <c r="AS183" s="24" t="n">
        <f aca="false">SUM(AS176:AS182)</f>
        <v>0</v>
      </c>
      <c r="AT183" s="24" t="n">
        <f aca="false">SUM(AT176:AT182)</f>
        <v>8750380.30511004</v>
      </c>
      <c r="AU183" s="24" t="n">
        <f aca="false">SUM(AU176:AU182)</f>
        <v>0</v>
      </c>
      <c r="AV183" s="24" t="n">
        <f aca="false">SUM(AV176:AV182)</f>
        <v>9669071.65825994</v>
      </c>
      <c r="AW183" s="24" t="n">
        <f aca="false">SUM(AW176:AW182)</f>
        <v>0</v>
      </c>
      <c r="AX183" s="24" t="n">
        <f aca="false">SUM(AX176:AX182)</f>
        <v>9566740.30015885</v>
      </c>
      <c r="AY183" s="24" t="n">
        <f aca="false">SUM(AY176:AY182)</f>
        <v>0</v>
      </c>
      <c r="AZ183" s="24" t="n">
        <f aca="false">SUM(AZ176:AZ182)</f>
        <v>7876343.5</v>
      </c>
      <c r="BA183" s="24" t="n">
        <f aca="false">SUM(BA176:BA182)</f>
        <v>0</v>
      </c>
      <c r="BB183" s="24" t="n">
        <f aca="false">SUM(BB176:BB182)</f>
        <v>2394238.95993749</v>
      </c>
      <c r="BC183" s="24" t="n">
        <f aca="false">SUM(BC176:BC182)</f>
        <v>0</v>
      </c>
      <c r="BD183" s="24" t="n">
        <f aca="false">SUM(BD176:BD182)</f>
        <v>15643345.4831802</v>
      </c>
      <c r="BE183" s="24" t="n">
        <f aca="false">SUM(BE176:BE182)</f>
        <v>0</v>
      </c>
      <c r="BF183" s="24" t="n">
        <f aca="false">SUM(BF176:BF182)</f>
        <v>1858319.32</v>
      </c>
      <c r="BG183" s="24" t="n">
        <f aca="false">SUM(BG176:BG182)</f>
        <v>0</v>
      </c>
      <c r="BH183" s="24" t="n">
        <f aca="false">SUM(BH176:BH182)</f>
        <v>129015.75</v>
      </c>
      <c r="BI183" s="24"/>
      <c r="BJ183" s="24"/>
      <c r="BK183" s="24"/>
      <c r="BL183" s="24"/>
      <c r="BM183" s="24"/>
      <c r="BN183" s="24"/>
      <c r="BO183" s="24"/>
      <c r="BP183" s="24" t="n">
        <f aca="false">SUM(BP176:BP182)</f>
        <v>152956634.280295</v>
      </c>
      <c r="BQ183" s="24"/>
      <c r="BR183" s="24"/>
      <c r="BS183" s="24"/>
      <c r="BT183" s="24"/>
      <c r="BU183" s="24"/>
      <c r="BV183" s="24"/>
      <c r="BW183" s="24"/>
      <c r="BX183" s="24"/>
      <c r="BY183" s="24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60"/>
      <c r="B184" s="174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 t="n">
        <f aca="false">SUM(T183:BD183)</f>
        <v>150359339.760295</v>
      </c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60"/>
      <c r="B185" s="174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 t="s">
        <v>430</v>
      </c>
      <c r="BM185" s="24"/>
      <c r="BN185" s="24" t="s">
        <v>430</v>
      </c>
      <c r="BO185" s="24"/>
      <c r="BP185" s="24" t="n">
        <f aca="false">152979395-7760</f>
        <v>152971635</v>
      </c>
      <c r="BQ185" s="24"/>
      <c r="BR185" s="24"/>
      <c r="BS185" s="24"/>
      <c r="BT185" s="24"/>
      <c r="BU185" s="24"/>
      <c r="BV185" s="24"/>
      <c r="BW185" s="24"/>
      <c r="BX185" s="24"/>
      <c r="BY185" s="24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60"/>
      <c r="B186" s="174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 t="n">
        <f aca="false">150359340.02</f>
        <v>150359340.02</v>
      </c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 t="n">
        <f aca="false">BP183-BP185</f>
        <v>-15000.7197048366</v>
      </c>
      <c r="BQ186" s="24"/>
      <c r="BR186" s="24"/>
      <c r="BS186" s="24"/>
      <c r="BT186" s="24"/>
      <c r="BU186" s="24"/>
      <c r="BV186" s="24"/>
      <c r="BW186" s="24"/>
      <c r="BX186" s="24"/>
      <c r="BY186" s="24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160"/>
      <c r="B187" s="174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 t="n">
        <f aca="false">BD184-BD186</f>
        <v>-0.259704828262329</v>
      </c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160"/>
      <c r="B188" s="174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</sheetData>
  <printOptions headings="false" gridLines="false" gridLinesSet="true" horizontalCentered="true" verticalCentered="false"/>
  <pageMargins left="0.190277777777778" right="0.170138888888889" top="0.4" bottom="0.270138888888889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tvos</cp:lastModifiedBy>
  <cp:lastPrinted>2000-11-27T19:22:44Z</cp:lastPrinted>
  <cp:revision>0</cp:revision>
  <dc:subject/>
  <dc:title/>
</cp:coreProperties>
</file>