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Gleason!$A$1:$BV$237</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Summary!$A$1:$O$111</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18</xdr:col>
                <xdr:colOff>8</xdr:colOff>
                <xdr:row>7</xdr:row>
                <xdr:rowOff>6</xdr:rowOff>
              </xdr:from>
              <xdr:to>
                <xdr:col>65</xdr:col>
                <xdr:colOff>71</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2</xdr:colOff>
                <xdr:row>7</xdr:row>
                <xdr:rowOff>6</xdr:rowOff>
              </xdr:from>
              <xdr:to>
                <xdr:col>68</xdr:col>
                <xdr:colOff>-30</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<sst xmlns="http://schemas.openxmlformats.org/spreadsheetml/2006/main" count="1957" uniqueCount="567">
  <si>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</si>
  <si>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</si>
  <si>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</si>
  <si>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</si>
  <si>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</si>
  <si>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</si>
  <si>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</si>
  <si>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</si>
  <si>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</si>
  <si>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</si>
  <si>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</si>
  <si>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</si>
  <si>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</si>
  <si>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</si>
  <si>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</si>
  <si>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</si>
  <si>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</si>
  <si>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</si>
  <si>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</si>
  <si>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</si>
  <si>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</si>
  <si>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</si>
  <si>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</si>
  <si>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</si>
  <si>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</si>
  <si>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</si>
  <si>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</si>
  <si>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</si>
  <si>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</si>
  <si>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</si>
  <si>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</si>
  <si>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</si>
  <si>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</si>
  <si>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</si>
  <si>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</si>
  <si>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</si>
  <si>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</si>
  <si>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</si>
  <si>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</si>
  <si>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</si>
  <si>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</si>
  <si>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</si>
  <si>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</si>
  <si>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</si>
  <si>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</si>
  <si>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</si>
  <si>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</si>
  <si>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</si>
  <si>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</si>
  <si>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</si>
  <si>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</si>
  <si>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</si>
  <si>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</si>
  <si>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</si>
  <si>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</si>
  <si>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</si>
  <si>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</si>
  <si>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</si>
  <si>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</si>
  <si>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</si>
  <si>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</si>
  <si>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</si>
  <si>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</si>
  <si>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</si>
  <si>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</si>
  <si>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</si>
  <si>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</si>
  <si>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5/31/00</t>
  </si>
  <si>
    <t xml:space="preserve">Revision # 56</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</si>
  <si>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</si>
  <si>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</si>
  <si>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</si>
  <si>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</si>
  <si>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</si>
  <si>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</si>
  <si>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</si>
  <si>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</si>
  <si>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</si>
  <si>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</si>
  <si>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</si>
  <si>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</si>
  <si>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</si>
  <si>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</si>
  <si>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</si>
  <si>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</si>
  <si>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</si>
  <si>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</si>
  <si>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</si>
  <si>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</si>
  <si>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</si>
  <si>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</si>
  <si>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</si>
  <si>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</si>
  <si>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</si>
  <si>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</si>
  <si>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</si>
  <si>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</si>
  <si>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</si>
  <si>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</si>
  <si>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</si>
  <si>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</si>
  <si>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</si>
  <si>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</si>
  <si>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</si>
  <si>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</si>
  <si>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</si>
  <si>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</si>
  <si>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</si>
  <si>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</si>
  <si>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</si>
  <si>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</si>
  <si>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</si>
  <si>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</si>
  <si>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</si>
  <si>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</si>
  <si>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SWAG - Acceleration Trend calculations- </t>
    </r>
    <r>
      <rPr>
        <sz val="10"/>
        <color rgb="FFFF0000"/>
        <rFont val="Arial"/>
        <family val="2"/>
      </rPr>
      <t xml:space="preserve">not approved</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</si>
  <si>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</si>
  <si>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</si>
  <si>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</si>
  <si>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</si>
  <si>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</si>
  <si>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</si>
  <si>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</si>
  <si>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</si>
  <si>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</si>
  <si>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</si>
  <si>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</si>
  <si>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</si>
  <si>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</si>
  <si>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As of 5/31/00</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</si>
  <si>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</si>
  <si>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</si>
  <si>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</si>
  <si>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</si>
  <si>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</si>
  <si>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</si>
  <si>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</si>
  <si>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</si>
  <si>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</si>
  <si>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</si>
  <si>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</si>
  <si>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</si>
  <si>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</si>
  <si>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</si>
  <si>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</si>
  <si>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</si>
  <si>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</si>
  <si>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</si>
  <si>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</si>
  <si>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</si>
  <si>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</si>
  <si>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</si>
  <si>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</si>
  <si>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</si>
  <si>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</si>
  <si>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</si>
  <si>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</si>
  <si>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</si>
  <si>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</si>
  <si>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</si>
  <si>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</si>
  <si>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</si>
  <si>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</si>
  <si>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</si>
  <si>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</si>
  <si>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</si>
  <si>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</si>
  <si>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</si>
  <si>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</si>
  <si>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</si>
  <si>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</si>
  <si>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</si>
  <si>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</si>
  <si>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</si>
  <si>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</si>
  <si>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</si>
  <si>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</si>
  <si>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</si>
  <si>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</si>
  <si>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</si>
  <si>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</si>
  <si>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</si>
  <si>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</si>
  <si>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</si>
  <si>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</si>
  <si>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</si>
  <si>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</si>
  <si>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</si>
  <si>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</si>
  <si>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</si>
  <si>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</si>
  <si>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</si>
  <si>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</si>
  <si>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</si>
  <si>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</si>
  <si>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</si>
  <si>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</si>
  <si>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</si>
  <si>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</si>
  <si>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</si>
  <si>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</si>
  <si>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</si>
  <si>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</si>
  <si>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</si>
  <si>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</si>
  <si>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</si>
  <si>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</si>
  <si>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</si>
  <si>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</si>
  <si>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</si>
  <si>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</si>
  <si>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</si>
  <si>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</si>
  <si>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</si>
  <si>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</si>
  <si>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</si>
  <si>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</si>
  <si>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</si>
  <si>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</si>
  <si>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</si>
  <si>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</si>
  <si>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</si>
  <si>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</si>
  <si>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</si>
  <si>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</si>
  <si>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</si>
  <si>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</si>
  <si>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</si>
  <si>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</si>
  <si>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</si>
  <si>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</si>
  <si>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</si>
  <si>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</si>
  <si>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</si>
  <si>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</si>
  <si>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</si>
  <si>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</si>
  <si>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</si>
  <si>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</si>
  <si>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</si>
  <si>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</si>
  <si>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</si>
  <si>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</si>
  <si>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</si>
  <si>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</si>
  <si>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</si>
  <si>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</si>
  <si>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</si>
  <si>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</si>
  <si>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</si>
  <si>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</si>
  <si>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</si>
  <si>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</si>
  <si>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</si>
  <si>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</si>
  <si>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</si>
  <si>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</si>
  <si>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</si>
  <si>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</si>
  <si>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</si>
  <si>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</si>
  <si>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</si>
  <si>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</si>
  <si>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</si>
  <si>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</si>
  <si>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</si>
  <si>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</si>
  <si>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</si>
  <si>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</si>
  <si>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</si>
  <si>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</si>
  <si>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</si>
  <si>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</si>
  <si>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</si>
  <si>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</si>
  <si>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</si>
  <si>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</si>
  <si>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</si>
  <si>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Property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</si>
  <si>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</si>
  <si>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</si>
  <si>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</si>
  <si>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</si>
  <si>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</si>
  <si>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</si>
  <si>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 As of 4/14/00</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</si>
  <si>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</si>
  <si>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</si>
  <si>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</si>
  <si>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</si>
  <si>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</si>
  <si>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</si>
  <si>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</si>
  <si>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</si>
  <si>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</si>
  <si>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</si>
  <si>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</si>
  <si>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</si>
  <si>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</si>
  <si>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</si>
  <si>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</si>
  <si>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</si>
  <si>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</si>
  <si>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</si>
  <si>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</si>
  <si>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</si>
  <si>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</si>
  <si>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</si>
  <si>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</si>
  <si>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</si>
  <si>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</si>
  <si>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</si>
  <si>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</si>
  <si>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</si>
  <si>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</si>
  <si>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</si>
  <si>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</si>
  <si>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</si>
  <si>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</si>
  <si>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</si>
  <si>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</si>
  <si>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</si>
  <si>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</si>
  <si>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</si>
  <si>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</si>
  <si>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</si>
  <si>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</si>
  <si>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</si>
  <si>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</si>
  <si>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</si>
  <si>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</si>
  <si>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</si>
  <si>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</si>
  <si>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</si>
  <si>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</si>
  <si>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</si>
  <si>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</si>
  <si>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</si>
  <si>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</si>
  <si>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</si>
  <si>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</si>
  <si>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</si>
  <si>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</si>
  <si>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</si>
  <si>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</si>
  <si>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</si>
  <si>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</si>
  <si>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</si>
  <si>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</si>
  <si>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</si>
  <si>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</si>
  <si>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RESALE HANDLING FEES (.25%)</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</si>
  <si>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</si>
  <si>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</si>
  <si>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</si>
  <si>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</si>
  <si>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</si>
  <si>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</si>
  <si>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</si>
  <si>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</si>
  <si>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</si>
  <si>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</si>
  <si>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</si>
  <si>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</si>
  <si>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</si>
  <si>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</si>
  <si>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</si>
  <si>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</si>
  <si>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</si>
  <si>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</si>
  <si>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</si>
  <si>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</si>
  <si>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</si>
  <si>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</si>
  <si>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</si>
  <si>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</si>
  <si>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</si>
  <si>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</si>
  <si>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</si>
  <si>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Electrical Interconnect - Not TVA</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</si>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</sst>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51">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5"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64" fillId="0" borderId="5" xfId="0" applyFont="tru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C:/Fin_Ops/Engysvc/PowerPlants/2000%20Plants/Draw%20Schedule/Draw%20Sched%20-%200531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TEMP/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 val="Wilton Turbines Only"/>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T39">
            <v>1330970.16094722</v>
          </cell>
        </row>
        <row r="39">
          <cell r="Y39">
            <v>12405916.6015716</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10993160.9373121</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T39">
            <v>720660.560770823</v>
          </cell>
        </row>
        <row r="39">
          <cell r="Y39">
            <v>9614898.16976527</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K13" activeCellId="0" sqref="K13:K16"/>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4" width="15.28"/>
    <col collapsed="false" customWidth="true" hidden="true" outlineLevel="0" max="14" min="14" style="264"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5"/>
      <c r="I1" s="265"/>
      <c r="J1" s="265"/>
      <c r="K1" s="265"/>
      <c r="L1" s="266"/>
      <c r="M1" s="266"/>
      <c r="N1" s="266"/>
      <c r="O1" s="4"/>
      <c r="P1" s="4"/>
    </row>
    <row r="2" customFormat="false" ht="11.25" hidden="false" customHeight="true" outlineLevel="0" collapsed="false">
      <c r="Q2" s="4"/>
    </row>
    <row r="3" customFormat="false" ht="40.5" hidden="false" customHeight="true" outlineLevel="0" collapsed="false">
      <c r="A3" s="267"/>
      <c r="B3" s="267" t="s">
        <v>420</v>
      </c>
      <c r="G3" s="268" t="s">
        <v>421</v>
      </c>
      <c r="Q3" s="4"/>
    </row>
    <row r="4" customFormat="false" ht="26.25" hidden="false" customHeight="false" outlineLevel="0" collapsed="false">
      <c r="A4" s="269"/>
      <c r="B4" s="269" t="s">
        <v>422</v>
      </c>
      <c r="C4" s="4"/>
      <c r="D4" s="4"/>
      <c r="E4" s="4"/>
      <c r="F4" s="4"/>
      <c r="G4" s="4"/>
      <c r="H4" s="270"/>
      <c r="I4" s="270"/>
      <c r="J4" s="270"/>
      <c r="K4" s="270"/>
      <c r="L4" s="271"/>
      <c r="M4" s="271"/>
      <c r="N4" s="271"/>
      <c r="O4" s="4"/>
      <c r="P4" s="4"/>
      <c r="Q4" s="4"/>
    </row>
    <row r="5" customFormat="false" ht="20.25" hidden="false" customHeight="false" outlineLevel="0" collapsed="false">
      <c r="A5" s="272"/>
      <c r="B5" s="272" t="s">
        <v>423</v>
      </c>
      <c r="C5" s="4"/>
      <c r="D5" s="4"/>
      <c r="E5" s="4"/>
      <c r="F5" s="4"/>
      <c r="G5" s="4"/>
      <c r="H5" s="270"/>
      <c r="I5" s="270"/>
      <c r="J5" s="270"/>
      <c r="K5" s="270"/>
      <c r="L5" s="271"/>
      <c r="M5" s="271"/>
      <c r="N5" s="271"/>
      <c r="O5" s="4"/>
      <c r="P5" s="4"/>
      <c r="Q5" s="4"/>
    </row>
    <row r="6" customFormat="false" ht="6.75" hidden="false" customHeight="true" outlineLevel="0" collapsed="false">
      <c r="C6" s="4"/>
      <c r="H6" s="265"/>
      <c r="I6" s="265"/>
      <c r="J6" s="265"/>
      <c r="K6" s="265"/>
      <c r="L6" s="266"/>
      <c r="M6" s="266"/>
      <c r="N6" s="266"/>
      <c r="O6" s="4"/>
      <c r="P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6" t="s">
        <v>435</v>
      </c>
      <c r="M7" s="276"/>
      <c r="N7" s="276"/>
      <c r="O7" s="274" t="s">
        <v>436</v>
      </c>
      <c r="P7" s="277" t="s">
        <v>437</v>
      </c>
      <c r="Q7" s="278"/>
    </row>
    <row r="8" customFormat="false" ht="15.75" hidden="false" customHeight="false" outlineLevel="0" collapsed="false">
      <c r="A8" s="273"/>
      <c r="B8" s="274"/>
      <c r="C8" s="274"/>
      <c r="D8" s="274"/>
      <c r="E8" s="274"/>
      <c r="F8" s="274"/>
      <c r="G8" s="275"/>
      <c r="H8" s="275"/>
      <c r="I8" s="275"/>
      <c r="J8" s="275"/>
      <c r="K8" s="275"/>
      <c r="L8" s="279" t="s">
        <v>438</v>
      </c>
      <c r="M8" s="279" t="s">
        <v>439</v>
      </c>
      <c r="N8" s="279" t="s">
        <v>440</v>
      </c>
      <c r="O8" s="274"/>
      <c r="P8" s="277"/>
      <c r="Q8" s="280"/>
    </row>
    <row r="9" customFormat="false" ht="32.25" hidden="false" customHeight="false" outlineLevel="0" collapsed="false">
      <c r="A9" s="273"/>
      <c r="B9" s="274"/>
      <c r="C9" s="274"/>
      <c r="D9" s="274"/>
      <c r="E9" s="274"/>
      <c r="F9" s="274"/>
      <c r="G9" s="275"/>
      <c r="H9" s="275"/>
      <c r="I9" s="275"/>
      <c r="J9" s="275"/>
      <c r="K9" s="275"/>
      <c r="L9" s="281"/>
      <c r="M9" s="281" t="s">
        <v>441</v>
      </c>
      <c r="N9" s="281" t="s">
        <v>442</v>
      </c>
      <c r="O9" s="274"/>
      <c r="P9" s="277"/>
      <c r="Q9" s="282"/>
    </row>
    <row r="10" customFormat="false" ht="16.5" hidden="false" customHeight="false" outlineLevel="0" collapsed="false">
      <c r="A10" s="283"/>
      <c r="B10" s="284"/>
      <c r="C10" s="284"/>
      <c r="D10" s="284"/>
      <c r="E10" s="284"/>
      <c r="F10" s="284"/>
      <c r="G10" s="284"/>
      <c r="H10" s="283"/>
      <c r="I10" s="283"/>
      <c r="J10" s="283"/>
      <c r="K10" s="283"/>
      <c r="L10" s="285"/>
      <c r="M10" s="285"/>
      <c r="N10" s="285"/>
      <c r="O10" s="284"/>
      <c r="P10" s="284"/>
      <c r="Q10" s="286"/>
    </row>
    <row r="11" customFormat="false" ht="18.75" hidden="false" customHeight="true" outlineLevel="0" collapsed="false">
      <c r="A11" s="287" t="s">
        <v>443</v>
      </c>
      <c r="B11" s="288"/>
      <c r="C11" s="286"/>
      <c r="D11" s="286"/>
      <c r="E11" s="286"/>
      <c r="F11" s="286"/>
      <c r="G11" s="286"/>
      <c r="H11" s="289"/>
      <c r="I11" s="289"/>
      <c r="J11" s="289"/>
      <c r="K11" s="289"/>
      <c r="L11" s="290"/>
      <c r="M11" s="290"/>
      <c r="N11" s="290"/>
      <c r="O11" s="286"/>
      <c r="P11" s="286"/>
      <c r="Q11" s="286"/>
      <c r="R11" s="18"/>
      <c r="S11" s="18"/>
    </row>
    <row r="12" customFormat="false" ht="6" hidden="false" customHeight="true" outlineLevel="0" collapsed="false">
      <c r="A12" s="291"/>
      <c r="B12" s="292"/>
      <c r="C12" s="293"/>
      <c r="D12" s="293"/>
      <c r="E12" s="293"/>
      <c r="F12" s="293"/>
      <c r="G12" s="293"/>
      <c r="H12" s="294"/>
      <c r="I12" s="295"/>
      <c r="J12" s="295"/>
      <c r="K12" s="295"/>
      <c r="L12" s="296"/>
      <c r="M12" s="296"/>
      <c r="N12" s="296"/>
      <c r="O12" s="293"/>
      <c r="P12" s="297"/>
      <c r="Q12" s="298"/>
    </row>
    <row r="13" customFormat="false" ht="134.25" hidden="false" customHeight="true" outlineLevel="0" collapsed="false">
      <c r="A13" s="299" t="s">
        <v>444</v>
      </c>
      <c r="B13" s="300" t="s">
        <v>445</v>
      </c>
      <c r="C13" s="301" t="s">
        <v>222</v>
      </c>
      <c r="D13" s="302" t="n">
        <v>36383</v>
      </c>
      <c r="E13" s="302" t="n">
        <v>36383</v>
      </c>
      <c r="F13" s="301" t="s">
        <v>446</v>
      </c>
      <c r="G13" s="303"/>
      <c r="H13" s="303" t="n">
        <v>1225177</v>
      </c>
      <c r="I13" s="304" t="n">
        <v>0</v>
      </c>
      <c r="J13" s="304" t="n">
        <v>0</v>
      </c>
      <c r="K13" s="304" t="n">
        <f aca="false">SUM(G13:J13)</f>
        <v>1225177</v>
      </c>
      <c r="L13" s="305" t="n">
        <f aca="false">-1161792+K13</f>
        <v>63385</v>
      </c>
      <c r="M13" s="305"/>
      <c r="N13" s="305"/>
      <c r="O13" s="301" t="n">
        <v>0</v>
      </c>
      <c r="P13" s="306" t="s">
        <v>447</v>
      </c>
      <c r="Q13" s="307"/>
      <c r="R13" s="308"/>
      <c r="S13" s="308"/>
    </row>
    <row r="14" customFormat="false" ht="48" hidden="false" customHeight="true" outlineLevel="0" collapsed="false">
      <c r="A14" s="299" t="s">
        <v>448</v>
      </c>
      <c r="B14" s="300" t="s">
        <v>449</v>
      </c>
      <c r="C14" s="301" t="s">
        <v>222</v>
      </c>
      <c r="D14" s="302"/>
      <c r="E14" s="302"/>
      <c r="F14" s="301"/>
      <c r="G14" s="303"/>
      <c r="H14" s="303" t="n">
        <v>1865140</v>
      </c>
      <c r="I14" s="304"/>
      <c r="J14" s="304"/>
      <c r="K14" s="304" t="n">
        <f aca="false">SUM(G14:J14)</f>
        <v>1865140</v>
      </c>
      <c r="L14" s="305" t="n">
        <v>1707436</v>
      </c>
      <c r="M14" s="305" t="n">
        <v>1865140</v>
      </c>
      <c r="N14" s="305"/>
      <c r="O14" s="301"/>
      <c r="P14" s="306" t="s">
        <v>450</v>
      </c>
      <c r="Q14" s="307"/>
      <c r="R14" s="308"/>
      <c r="S14" s="308"/>
    </row>
    <row r="15" customFormat="false" ht="91.5" hidden="false" customHeight="true" outlineLevel="0" collapsed="false">
      <c r="A15" s="299" t="s">
        <v>451</v>
      </c>
      <c r="B15" s="300" t="s">
        <v>452</v>
      </c>
      <c r="C15" s="301" t="s">
        <v>222</v>
      </c>
      <c r="D15" s="302"/>
      <c r="E15" s="302"/>
      <c r="F15" s="301"/>
      <c r="G15" s="303"/>
      <c r="H15" s="303" t="n">
        <v>2415377</v>
      </c>
      <c r="I15" s="304"/>
      <c r="J15" s="304"/>
      <c r="K15" s="304" t="n">
        <f aca="false">SUM(G15:J15)</f>
        <v>2415377</v>
      </c>
      <c r="L15" s="305" t="n">
        <v>0</v>
      </c>
      <c r="M15" s="305" t="n">
        <v>2169159</v>
      </c>
      <c r="N15" s="305"/>
      <c r="O15" s="301"/>
      <c r="P15" s="306" t="s">
        <v>453</v>
      </c>
      <c r="Q15" s="307"/>
      <c r="R15" s="308"/>
      <c r="S15" s="308"/>
    </row>
    <row r="16" customFormat="false" ht="44.25" hidden="false" customHeight="true" outlineLevel="0" collapsed="false">
      <c r="A16" s="299" t="s">
        <v>454</v>
      </c>
      <c r="B16" s="300" t="s">
        <v>455</v>
      </c>
      <c r="C16" s="301" t="s">
        <v>222</v>
      </c>
      <c r="D16" s="302"/>
      <c r="E16" s="302"/>
      <c r="F16" s="301"/>
      <c r="G16" s="303"/>
      <c r="H16" s="303" t="n">
        <v>1992155</v>
      </c>
      <c r="I16" s="304"/>
      <c r="J16" s="304"/>
      <c r="K16" s="304" t="n">
        <f aca="false">SUM(G16:J16)</f>
        <v>1992155</v>
      </c>
      <c r="L16" s="305" t="n">
        <v>1258397</v>
      </c>
      <c r="M16" s="305" t="n">
        <v>1992155</v>
      </c>
      <c r="N16" s="305"/>
      <c r="O16" s="301"/>
      <c r="P16" s="306" t="s">
        <v>456</v>
      </c>
      <c r="Q16" s="307"/>
      <c r="R16" s="308"/>
      <c r="S16" s="308"/>
    </row>
    <row r="17" customFormat="false" ht="44.25" hidden="false" customHeight="true" outlineLevel="0" collapsed="false">
      <c r="A17" s="299" t="s">
        <v>457</v>
      </c>
      <c r="B17" s="300" t="s">
        <v>458</v>
      </c>
      <c r="C17" s="301"/>
      <c r="D17" s="302"/>
      <c r="E17" s="302"/>
      <c r="F17" s="301"/>
      <c r="G17" s="303"/>
      <c r="H17" s="303"/>
      <c r="I17" s="304"/>
      <c r="J17" s="304"/>
      <c r="K17" s="304"/>
      <c r="L17" s="305"/>
      <c r="M17" s="305" t="n">
        <v>292550</v>
      </c>
      <c r="N17" s="305"/>
      <c r="O17" s="301"/>
      <c r="P17" s="306"/>
      <c r="Q17" s="307"/>
      <c r="R17" s="308"/>
      <c r="S17" s="308"/>
    </row>
    <row r="18" customFormat="false" ht="15.75" hidden="false" customHeight="false" outlineLevel="0" collapsed="false">
      <c r="A18" s="299" t="s">
        <v>459</v>
      </c>
      <c r="B18" s="300" t="s">
        <v>460</v>
      </c>
      <c r="C18" s="309" t="s">
        <v>222</v>
      </c>
      <c r="D18" s="310" t="n">
        <v>36383</v>
      </c>
      <c r="E18" s="310" t="n">
        <v>36383</v>
      </c>
      <c r="F18" s="309" t="s">
        <v>461</v>
      </c>
      <c r="G18" s="311"/>
      <c r="H18" s="311" t="n">
        <v>0</v>
      </c>
      <c r="I18" s="312" t="n">
        <v>0</v>
      </c>
      <c r="J18" s="312" t="n">
        <v>0</v>
      </c>
      <c r="K18" s="312" t="n">
        <f aca="false">SUM(G18:J18)</f>
        <v>0</v>
      </c>
      <c r="L18" s="313"/>
      <c r="M18" s="313"/>
      <c r="N18" s="313"/>
      <c r="O18" s="309" t="n">
        <v>0</v>
      </c>
      <c r="P18" s="314" t="s">
        <v>462</v>
      </c>
      <c r="Q18" s="307"/>
      <c r="R18" s="308"/>
      <c r="S18" s="308"/>
    </row>
    <row r="19" customFormat="false" ht="51.75" hidden="false" customHeight="true" outlineLevel="0" collapsed="false">
      <c r="A19" s="299" t="s">
        <v>463</v>
      </c>
      <c r="B19" s="300" t="s">
        <v>464</v>
      </c>
      <c r="C19" s="301" t="s">
        <v>222</v>
      </c>
      <c r="D19" s="302" t="n">
        <v>36383</v>
      </c>
      <c r="E19" s="302"/>
      <c r="F19" s="301" t="s">
        <v>465</v>
      </c>
      <c r="G19" s="303"/>
      <c r="H19" s="303" t="n">
        <v>714015</v>
      </c>
      <c r="I19" s="304" t="n">
        <v>0</v>
      </c>
      <c r="J19" s="304" t="n">
        <v>0</v>
      </c>
      <c r="K19" s="304" t="n">
        <f aca="false">SUM(G19:J19)</f>
        <v>714015</v>
      </c>
      <c r="L19" s="305" t="n">
        <v>381799</v>
      </c>
      <c r="M19" s="305" t="n">
        <v>443820</v>
      </c>
      <c r="N19" s="305" t="n">
        <f aca="false">-256057+698977</f>
        <v>442920</v>
      </c>
      <c r="O19" s="301" t="n">
        <v>0</v>
      </c>
      <c r="P19" s="315" t="s">
        <v>466</v>
      </c>
      <c r="Q19" s="307"/>
      <c r="R19" s="308"/>
      <c r="S19" s="308"/>
    </row>
    <row r="20" customFormat="false" ht="102.75" hidden="false" customHeight="true" outlineLevel="0" collapsed="false">
      <c r="A20" s="316" t="s">
        <v>467</v>
      </c>
      <c r="B20" s="317" t="s">
        <v>468</v>
      </c>
      <c r="C20" s="318" t="s">
        <v>222</v>
      </c>
      <c r="D20" s="319" t="n">
        <v>36383</v>
      </c>
      <c r="E20" s="319"/>
      <c r="F20" s="320" t="s">
        <v>465</v>
      </c>
      <c r="G20" s="321"/>
      <c r="H20" s="321" t="n">
        <v>3249323</v>
      </c>
      <c r="I20" s="322" t="n">
        <v>0</v>
      </c>
      <c r="J20" s="322" t="n">
        <v>0</v>
      </c>
      <c r="K20" s="322" t="n">
        <f aca="false">SUM(G20:J20)</f>
        <v>3249323</v>
      </c>
      <c r="L20" s="323" t="n">
        <v>2125513</v>
      </c>
      <c r="M20" s="323" t="n">
        <v>2474029</v>
      </c>
      <c r="N20" s="323" t="n">
        <f aca="false">3184986-1260263</f>
        <v>1924723</v>
      </c>
      <c r="O20" s="320" t="n">
        <v>0</v>
      </c>
      <c r="P20" s="324" t="s">
        <v>469</v>
      </c>
      <c r="Q20" s="325"/>
      <c r="R20" s="326"/>
      <c r="S20" s="326"/>
    </row>
    <row r="21" customFormat="false" ht="31.5" hidden="false" customHeight="true" outlineLevel="0" collapsed="false">
      <c r="A21" s="327"/>
      <c r="B21" s="328" t="s">
        <v>470</v>
      </c>
      <c r="C21" s="329" t="s">
        <v>222</v>
      </c>
      <c r="D21" s="330" t="n">
        <v>36383</v>
      </c>
      <c r="E21" s="330"/>
      <c r="F21" s="331" t="s">
        <v>465</v>
      </c>
      <c r="G21" s="332"/>
      <c r="H21" s="332" t="n">
        <v>560292</v>
      </c>
      <c r="I21" s="333" t="n">
        <v>0</v>
      </c>
      <c r="J21" s="333" t="n">
        <v>0</v>
      </c>
      <c r="K21" s="333" t="n">
        <f aca="false">SUM(G21:J21)</f>
        <v>560292</v>
      </c>
      <c r="L21" s="334" t="n">
        <v>0</v>
      </c>
      <c r="M21" s="334"/>
      <c r="N21" s="334"/>
      <c r="O21" s="331" t="n">
        <v>0</v>
      </c>
      <c r="P21" s="335" t="s">
        <v>469</v>
      </c>
      <c r="Q21" s="336"/>
      <c r="R21" s="337"/>
      <c r="S21" s="337"/>
    </row>
    <row r="22" customFormat="false" ht="110.25" hidden="false" customHeight="false" outlineLevel="0" collapsed="false">
      <c r="A22" s="299" t="s">
        <v>471</v>
      </c>
      <c r="B22" s="300" t="s">
        <v>472</v>
      </c>
      <c r="C22" s="338" t="s">
        <v>222</v>
      </c>
      <c r="D22" s="339" t="n">
        <v>36383</v>
      </c>
      <c r="E22" s="339" t="n">
        <v>36454</v>
      </c>
      <c r="F22" s="338" t="s">
        <v>461</v>
      </c>
      <c r="G22" s="340"/>
      <c r="H22" s="340" t="n">
        <v>796634</v>
      </c>
      <c r="I22" s="341" t="n">
        <v>0</v>
      </c>
      <c r="J22" s="341" t="n">
        <v>0</v>
      </c>
      <c r="K22" s="341" t="n">
        <f aca="false">SUM(G22:J22)</f>
        <v>796634</v>
      </c>
      <c r="L22" s="342" t="n">
        <f aca="false">K22-28680-15617</f>
        <v>752337</v>
      </c>
      <c r="M22" s="342" t="n">
        <v>687700</v>
      </c>
      <c r="N22" s="342"/>
      <c r="O22" s="338" t="n">
        <v>0</v>
      </c>
      <c r="P22" s="343"/>
      <c r="Q22" s="307"/>
      <c r="R22" s="308"/>
      <c r="S22" s="308"/>
    </row>
    <row r="23" customFormat="false" ht="78.75" hidden="false" customHeight="false" outlineLevel="0" collapsed="false">
      <c r="A23" s="299" t="s">
        <v>473</v>
      </c>
      <c r="B23" s="300" t="s">
        <v>474</v>
      </c>
      <c r="C23" s="301" t="s">
        <v>222</v>
      </c>
      <c r="D23" s="302" t="n">
        <v>36383</v>
      </c>
      <c r="E23" s="302" t="n">
        <v>36454</v>
      </c>
      <c r="F23" s="301" t="s">
        <v>461</v>
      </c>
      <c r="G23" s="303"/>
      <c r="H23" s="303" t="n">
        <v>156452</v>
      </c>
      <c r="I23" s="304" t="n">
        <v>0</v>
      </c>
      <c r="J23" s="304" t="n">
        <v>0</v>
      </c>
      <c r="K23" s="304" t="n">
        <f aca="false">SUM(G23:J23)</f>
        <v>156452</v>
      </c>
      <c r="L23" s="305" t="n">
        <v>156452</v>
      </c>
      <c r="M23" s="305" t="n">
        <v>156675</v>
      </c>
      <c r="N23" s="305"/>
      <c r="O23" s="301" t="n">
        <v>0</v>
      </c>
      <c r="P23" s="315"/>
      <c r="Q23" s="307"/>
      <c r="R23" s="308"/>
      <c r="S23" s="308"/>
    </row>
    <row r="24" customFormat="false" ht="15.75" hidden="false" customHeight="false" outlineLevel="0" collapsed="false">
      <c r="A24" s="344" t="s">
        <v>475</v>
      </c>
      <c r="B24" s="300" t="s">
        <v>476</v>
      </c>
      <c r="C24" s="309" t="s">
        <v>222</v>
      </c>
      <c r="D24" s="310" t="n">
        <v>36383</v>
      </c>
      <c r="E24" s="310" t="n">
        <v>36383</v>
      </c>
      <c r="F24" s="309" t="s">
        <v>461</v>
      </c>
      <c r="G24" s="311"/>
      <c r="H24" s="311" t="n">
        <v>0</v>
      </c>
      <c r="I24" s="312" t="n">
        <v>0</v>
      </c>
      <c r="J24" s="312" t="n">
        <v>0</v>
      </c>
      <c r="K24" s="345" t="n">
        <f aca="false">SUM(G24:J24)</f>
        <v>0</v>
      </c>
      <c r="L24" s="313"/>
      <c r="M24" s="313" t="n">
        <v>0</v>
      </c>
      <c r="N24" s="313"/>
      <c r="O24" s="309" t="n">
        <v>0</v>
      </c>
      <c r="P24" s="314" t="s">
        <v>462</v>
      </c>
      <c r="Q24" s="307"/>
      <c r="R24" s="308"/>
      <c r="S24" s="308"/>
    </row>
    <row r="25" customFormat="false" ht="78.75" hidden="false" customHeight="false" outlineLevel="0" collapsed="false">
      <c r="A25" s="299" t="s">
        <v>477</v>
      </c>
      <c r="B25" s="300" t="s">
        <v>478</v>
      </c>
      <c r="C25" s="301" t="s">
        <v>222</v>
      </c>
      <c r="D25" s="302" t="n">
        <v>36383</v>
      </c>
      <c r="E25" s="302" t="n">
        <v>36454</v>
      </c>
      <c r="F25" s="301" t="s">
        <v>461</v>
      </c>
      <c r="G25" s="303"/>
      <c r="H25" s="303" t="n">
        <v>496034</v>
      </c>
      <c r="I25" s="304" t="n">
        <v>0</v>
      </c>
      <c r="J25" s="304" t="n">
        <v>0</v>
      </c>
      <c r="K25" s="346" t="n">
        <f aca="false">SUM(G25:J25)</f>
        <v>496034</v>
      </c>
      <c r="L25" s="305" t="n">
        <v>486308</v>
      </c>
      <c r="M25" s="305" t="n">
        <v>486424</v>
      </c>
      <c r="N25" s="305"/>
      <c r="O25" s="301" t="n">
        <v>0</v>
      </c>
      <c r="P25" s="315"/>
      <c r="Q25" s="307"/>
      <c r="R25" s="308"/>
      <c r="S25" s="308"/>
    </row>
    <row r="26" customFormat="false" ht="47.25" hidden="false" customHeight="false" outlineLevel="0" collapsed="false">
      <c r="A26" s="299" t="s">
        <v>479</v>
      </c>
      <c r="B26" s="300" t="s">
        <v>480</v>
      </c>
      <c r="C26" s="301" t="s">
        <v>222</v>
      </c>
      <c r="D26" s="302" t="n">
        <v>36383</v>
      </c>
      <c r="E26" s="302" t="n">
        <v>36454</v>
      </c>
      <c r="F26" s="301" t="s">
        <v>461</v>
      </c>
      <c r="G26" s="303"/>
      <c r="H26" s="303" t="n">
        <v>38207</v>
      </c>
      <c r="I26" s="304" t="n">
        <v>0</v>
      </c>
      <c r="J26" s="304" t="n">
        <v>0</v>
      </c>
      <c r="K26" s="346" t="n">
        <f aca="false">SUM(G26:J26)</f>
        <v>38207</v>
      </c>
      <c r="L26" s="305" t="n">
        <f aca="false">K26-78-525-749</f>
        <v>36855</v>
      </c>
      <c r="M26" s="305" t="n">
        <v>37261</v>
      </c>
      <c r="N26" s="305"/>
      <c r="O26" s="301" t="n">
        <v>0</v>
      </c>
      <c r="P26" s="315"/>
      <c r="Q26" s="307"/>
      <c r="R26" s="308"/>
      <c r="S26" s="308"/>
    </row>
    <row r="27" customFormat="false" ht="63" hidden="false" customHeight="false" outlineLevel="0" collapsed="false">
      <c r="A27" s="299" t="s">
        <v>481</v>
      </c>
      <c r="B27" s="300" t="s">
        <v>482</v>
      </c>
      <c r="C27" s="301" t="s">
        <v>222</v>
      </c>
      <c r="D27" s="302" t="n">
        <v>36383</v>
      </c>
      <c r="E27" s="302" t="n">
        <v>36454</v>
      </c>
      <c r="F27" s="301" t="s">
        <v>461</v>
      </c>
      <c r="G27" s="303"/>
      <c r="H27" s="303" t="n">
        <v>67746</v>
      </c>
      <c r="I27" s="304" t="n">
        <v>0</v>
      </c>
      <c r="J27" s="304" t="n">
        <v>0</v>
      </c>
      <c r="K27" s="346" t="n">
        <f aca="false">SUM(G27:J27)</f>
        <v>67746</v>
      </c>
      <c r="L27" s="305" t="n">
        <f aca="false">K27-650-4125-1328</f>
        <v>61643</v>
      </c>
      <c r="M27" s="305" t="n">
        <v>64450</v>
      </c>
      <c r="N27" s="305"/>
      <c r="O27" s="301" t="n">
        <v>0</v>
      </c>
      <c r="P27" s="315"/>
      <c r="Q27" s="307"/>
      <c r="R27" s="308"/>
      <c r="S27" s="308"/>
    </row>
    <row r="28" customFormat="false" ht="15.75" hidden="false" customHeight="false" outlineLevel="0" collapsed="false">
      <c r="A28" s="347"/>
      <c r="B28" s="348"/>
      <c r="C28" s="349"/>
      <c r="D28" s="350"/>
      <c r="E28" s="350"/>
      <c r="F28" s="349"/>
      <c r="G28" s="351"/>
      <c r="H28" s="351"/>
      <c r="I28" s="352"/>
      <c r="J28" s="352"/>
      <c r="K28" s="353"/>
      <c r="L28" s="354"/>
      <c r="M28" s="354"/>
      <c r="N28" s="354"/>
      <c r="O28" s="349"/>
      <c r="P28" s="355"/>
      <c r="Q28" s="356"/>
    </row>
    <row r="29" customFormat="false" ht="31.5" hidden="false" customHeight="false" outlineLevel="0" collapsed="false">
      <c r="A29" s="344" t="s">
        <v>483</v>
      </c>
      <c r="B29" s="300" t="s">
        <v>484</v>
      </c>
      <c r="C29" s="309" t="s">
        <v>221</v>
      </c>
      <c r="D29" s="310" t="n">
        <v>36458</v>
      </c>
      <c r="E29" s="310" t="n">
        <v>36458</v>
      </c>
      <c r="F29" s="309" t="s">
        <v>438</v>
      </c>
      <c r="G29" s="311"/>
      <c r="H29" s="311" t="n">
        <v>0</v>
      </c>
      <c r="I29" s="312" t="n">
        <v>5000</v>
      </c>
      <c r="J29" s="312" t="n">
        <v>0</v>
      </c>
      <c r="K29" s="345" t="n">
        <f aca="false">SUM(G29:J29)</f>
        <v>5000</v>
      </c>
      <c r="L29" s="313" t="n">
        <v>5000</v>
      </c>
      <c r="M29" s="313" t="n">
        <v>5000</v>
      </c>
      <c r="N29" s="313"/>
      <c r="O29" s="309" t="n">
        <v>0</v>
      </c>
      <c r="P29" s="314"/>
      <c r="Q29" s="307"/>
      <c r="R29" s="308"/>
      <c r="S29" s="308"/>
    </row>
    <row r="30" customFormat="false" ht="18" hidden="false" customHeight="false" outlineLevel="0" collapsed="false">
      <c r="A30" s="357"/>
      <c r="B30" s="358" t="s">
        <v>485</v>
      </c>
      <c r="C30" s="349"/>
      <c r="D30" s="349"/>
      <c r="E30" s="349"/>
      <c r="F30" s="349" t="s">
        <v>438</v>
      </c>
      <c r="G30" s="359"/>
      <c r="H30" s="360" t="n">
        <f aca="false">SUM(H13:H29)</f>
        <v>13576552</v>
      </c>
      <c r="I30" s="360" t="n">
        <f aca="false">SUM(I13:I29)</f>
        <v>5000</v>
      </c>
      <c r="J30" s="360" t="n">
        <f aca="false">SUM(J13:J29)</f>
        <v>0</v>
      </c>
      <c r="K30" s="360" t="n">
        <f aca="false">SUM(K13:K29)</f>
        <v>13581552</v>
      </c>
      <c r="L30" s="361" t="n">
        <f aca="false">SUM(L13:L29)</f>
        <v>7035125</v>
      </c>
      <c r="M30" s="361" t="n">
        <f aca="false">SUM(M13:M29)</f>
        <v>10674363</v>
      </c>
      <c r="N30" s="361"/>
      <c r="O30" s="349"/>
      <c r="P30" s="355"/>
      <c r="Q30" s="356"/>
    </row>
    <row r="31" customFormat="false" ht="15.75" hidden="false" customHeight="false" outlineLevel="0" collapsed="false">
      <c r="A31" s="357"/>
      <c r="B31" s="358" t="s">
        <v>486</v>
      </c>
      <c r="C31" s="349"/>
      <c r="D31" s="349"/>
      <c r="E31" s="349"/>
      <c r="F31" s="349" t="s">
        <v>461</v>
      </c>
      <c r="G31" s="359"/>
      <c r="H31" s="359" t="n">
        <v>0</v>
      </c>
      <c r="I31" s="359" t="n">
        <v>0</v>
      </c>
      <c r="J31" s="359" t="n">
        <v>0</v>
      </c>
      <c r="K31" s="360" t="n">
        <v>0</v>
      </c>
      <c r="L31" s="362"/>
      <c r="M31" s="362"/>
      <c r="N31" s="362"/>
      <c r="O31" s="349"/>
      <c r="P31" s="355"/>
      <c r="Q31" s="356"/>
    </row>
    <row r="32" customFormat="false" ht="15.75" hidden="false" customHeight="false" outlineLevel="0" collapsed="false">
      <c r="A32" s="357"/>
      <c r="B32" s="358" t="s">
        <v>487</v>
      </c>
      <c r="C32" s="349"/>
      <c r="D32" s="349"/>
      <c r="E32" s="349"/>
      <c r="F32" s="349" t="s">
        <v>465</v>
      </c>
      <c r="G32" s="359"/>
      <c r="H32" s="359" t="n">
        <v>0</v>
      </c>
      <c r="I32" s="359" t="n">
        <v>0</v>
      </c>
      <c r="J32" s="359" t="n">
        <v>0</v>
      </c>
      <c r="K32" s="360" t="n">
        <v>0</v>
      </c>
      <c r="L32" s="362"/>
      <c r="M32" s="362"/>
      <c r="N32" s="362"/>
      <c r="O32" s="349"/>
      <c r="P32" s="355"/>
      <c r="Q32" s="356"/>
    </row>
    <row r="33" customFormat="false" ht="15.75" hidden="false" customHeight="false" outlineLevel="0" collapsed="false">
      <c r="A33" s="357"/>
      <c r="B33" s="358" t="s">
        <v>488</v>
      </c>
      <c r="C33" s="349"/>
      <c r="D33" s="349"/>
      <c r="E33" s="349"/>
      <c r="F33" s="349" t="s">
        <v>489</v>
      </c>
      <c r="G33" s="359"/>
      <c r="H33" s="359" t="n">
        <v>0</v>
      </c>
      <c r="I33" s="359" t="n">
        <v>0</v>
      </c>
      <c r="J33" s="359" t="n">
        <v>0</v>
      </c>
      <c r="K33" s="360" t="n">
        <v>0</v>
      </c>
      <c r="L33" s="362"/>
      <c r="M33" s="362"/>
      <c r="N33" s="362"/>
      <c r="O33" s="349"/>
      <c r="P33" s="355"/>
      <c r="Q33" s="356"/>
    </row>
    <row r="34" customFormat="false" ht="16.5" hidden="false" customHeight="false" outlineLevel="0" collapsed="false">
      <c r="A34" s="363"/>
      <c r="B34" s="364"/>
      <c r="C34" s="365"/>
      <c r="D34" s="365"/>
      <c r="E34" s="365"/>
      <c r="F34" s="366"/>
      <c r="G34" s="367"/>
      <c r="H34" s="367"/>
      <c r="I34" s="367"/>
      <c r="J34" s="367"/>
      <c r="K34" s="368"/>
      <c r="L34" s="369"/>
      <c r="M34" s="369"/>
      <c r="N34" s="369"/>
      <c r="O34" s="365"/>
      <c r="P34" s="370"/>
      <c r="Q34" s="371"/>
    </row>
    <row r="35" customFormat="false" ht="15.75" hidden="false" customHeight="false" outlineLevel="0" collapsed="false">
      <c r="A35" s="357"/>
      <c r="B35" s="358"/>
      <c r="C35" s="349"/>
      <c r="D35" s="349"/>
      <c r="E35" s="349"/>
      <c r="F35" s="372"/>
      <c r="G35" s="359"/>
      <c r="H35" s="359"/>
      <c r="I35" s="359"/>
      <c r="J35" s="359"/>
      <c r="K35" s="360"/>
      <c r="L35" s="362"/>
      <c r="M35" s="362"/>
      <c r="N35" s="362"/>
      <c r="O35" s="349"/>
      <c r="P35" s="355"/>
      <c r="Q35" s="356"/>
    </row>
    <row r="36" customFormat="false" ht="15.75" hidden="false" customHeight="false" outlineLevel="0" collapsed="false">
      <c r="A36" s="357"/>
      <c r="B36" s="358"/>
      <c r="C36" s="349"/>
      <c r="D36" s="349"/>
      <c r="E36" s="349"/>
      <c r="F36" s="372"/>
      <c r="G36" s="359"/>
      <c r="H36" s="359"/>
      <c r="I36" s="359"/>
      <c r="J36" s="359"/>
      <c r="K36" s="360"/>
      <c r="L36" s="362"/>
      <c r="M36" s="362"/>
      <c r="N36" s="362"/>
      <c r="O36" s="349"/>
      <c r="P36" s="355"/>
      <c r="Q36" s="356"/>
    </row>
    <row r="37" customFormat="false" ht="15.75" hidden="false" customHeight="false" outlineLevel="0" collapsed="false">
      <c r="A37" s="347"/>
      <c r="B37" s="373" t="s">
        <v>490</v>
      </c>
      <c r="C37" s="374"/>
      <c r="D37" s="375"/>
      <c r="E37" s="375"/>
      <c r="F37" s="374"/>
      <c r="G37" s="376"/>
      <c r="H37" s="376"/>
      <c r="I37" s="377"/>
      <c r="J37" s="377"/>
      <c r="K37" s="378"/>
      <c r="L37" s="379"/>
      <c r="M37" s="379"/>
      <c r="N37" s="379"/>
      <c r="O37" s="374"/>
      <c r="P37" s="380"/>
      <c r="Q37" s="381"/>
      <c r="R37" s="13"/>
      <c r="S37" s="13"/>
    </row>
    <row r="38" customFormat="false" ht="15.75" hidden="false" customHeight="false" outlineLevel="0" collapsed="false">
      <c r="A38" s="344" t="s">
        <v>491</v>
      </c>
      <c r="B38" s="300" t="s">
        <v>492</v>
      </c>
      <c r="C38" s="309" t="s">
        <v>435</v>
      </c>
      <c r="D38" s="310" t="n">
        <v>36210</v>
      </c>
      <c r="E38" s="310" t="n">
        <v>36210</v>
      </c>
      <c r="F38" s="309" t="s">
        <v>438</v>
      </c>
      <c r="G38" s="311" t="n">
        <v>480000</v>
      </c>
      <c r="H38" s="311" t="n">
        <v>0</v>
      </c>
      <c r="I38" s="312" t="n">
        <v>0</v>
      </c>
      <c r="J38" s="312" t="n">
        <v>0</v>
      </c>
      <c r="K38" s="345" t="n">
        <f aca="false">SUM(G38:J38)</f>
        <v>480000</v>
      </c>
      <c r="L38" s="313" t="n">
        <v>480000</v>
      </c>
      <c r="M38" s="313"/>
      <c r="N38" s="313"/>
      <c r="O38" s="309" t="n">
        <v>0</v>
      </c>
      <c r="P38" s="314"/>
      <c r="Q38" s="307"/>
      <c r="R38" s="308"/>
      <c r="S38" s="308"/>
    </row>
    <row r="39" customFormat="false" ht="47.25" hidden="false" customHeight="false" outlineLevel="0" collapsed="false">
      <c r="A39" s="299" t="s">
        <v>493</v>
      </c>
      <c r="B39" s="300" t="s">
        <v>494</v>
      </c>
      <c r="C39" s="301" t="s">
        <v>435</v>
      </c>
      <c r="D39" s="302" t="n">
        <v>36416</v>
      </c>
      <c r="E39" s="302" t="n">
        <v>36416</v>
      </c>
      <c r="F39" s="301" t="s">
        <v>438</v>
      </c>
      <c r="G39" s="303" t="n">
        <v>1832000</v>
      </c>
      <c r="H39" s="303" t="n">
        <v>0</v>
      </c>
      <c r="I39" s="304" t="n">
        <v>0</v>
      </c>
      <c r="J39" s="304" t="n">
        <v>0</v>
      </c>
      <c r="K39" s="346" t="n">
        <f aca="false">SUM(G39:J39)</f>
        <v>1832000</v>
      </c>
      <c r="L39" s="305" t="n">
        <v>1832000</v>
      </c>
      <c r="M39" s="305"/>
      <c r="N39" s="305"/>
      <c r="O39" s="301" t="n">
        <v>0</v>
      </c>
      <c r="P39" s="315"/>
      <c r="Q39" s="307"/>
      <c r="R39" s="308"/>
      <c r="S39" s="308"/>
    </row>
    <row r="40" customFormat="false" ht="15.75" hidden="false" customHeight="false" outlineLevel="0" collapsed="false">
      <c r="A40" s="347"/>
      <c r="B40" s="348"/>
      <c r="C40" s="349"/>
      <c r="D40" s="350"/>
      <c r="E40" s="350"/>
      <c r="F40" s="349"/>
      <c r="G40" s="351"/>
      <c r="H40" s="351"/>
      <c r="I40" s="352"/>
      <c r="J40" s="352"/>
      <c r="K40" s="353"/>
      <c r="L40" s="354"/>
      <c r="M40" s="354"/>
      <c r="N40" s="354"/>
      <c r="O40" s="349"/>
      <c r="P40" s="355"/>
      <c r="Q40" s="356"/>
    </row>
    <row r="41" customFormat="false" ht="15.75" hidden="false" customHeight="false" outlineLevel="0" collapsed="false">
      <c r="A41" s="344" t="s">
        <v>495</v>
      </c>
      <c r="B41" s="300" t="s">
        <v>496</v>
      </c>
      <c r="C41" s="309" t="s">
        <v>435</v>
      </c>
      <c r="D41" s="310" t="n">
        <v>36413</v>
      </c>
      <c r="E41" s="310" t="n">
        <v>36413</v>
      </c>
      <c r="F41" s="309" t="s">
        <v>438</v>
      </c>
      <c r="G41" s="311" t="n">
        <v>9479079</v>
      </c>
      <c r="H41" s="311" t="n">
        <v>0</v>
      </c>
      <c r="I41" s="312" t="n">
        <v>0</v>
      </c>
      <c r="J41" s="312" t="n">
        <v>0</v>
      </c>
      <c r="K41" s="345" t="n">
        <f aca="false">SUM(G41:J41)</f>
        <v>9479079</v>
      </c>
      <c r="L41" s="313" t="n">
        <v>9479079</v>
      </c>
      <c r="M41" s="313"/>
      <c r="N41" s="313"/>
      <c r="O41" s="309" t="n">
        <v>0</v>
      </c>
      <c r="P41" s="314"/>
      <c r="Q41" s="307"/>
      <c r="R41" s="308"/>
      <c r="S41" s="308"/>
    </row>
    <row r="42" customFormat="false" ht="15.75" hidden="false" customHeight="false" outlineLevel="0" collapsed="false">
      <c r="A42" s="382"/>
      <c r="B42" s="383"/>
      <c r="C42" s="349"/>
      <c r="D42" s="350"/>
      <c r="E42" s="350"/>
      <c r="F42" s="349"/>
      <c r="G42" s="351"/>
      <c r="H42" s="351"/>
      <c r="I42" s="352"/>
      <c r="J42" s="352"/>
      <c r="K42" s="353"/>
      <c r="L42" s="354"/>
      <c r="M42" s="354"/>
      <c r="N42" s="354"/>
      <c r="O42" s="349"/>
      <c r="P42" s="355"/>
      <c r="Q42" s="356"/>
    </row>
    <row r="43" customFormat="false" ht="4.5" hidden="false" customHeight="true" outlineLevel="0" collapsed="false">
      <c r="A43" s="384"/>
      <c r="B43" s="385"/>
      <c r="C43" s="386"/>
      <c r="D43" s="386"/>
      <c r="E43" s="386"/>
      <c r="F43" s="386"/>
      <c r="G43" s="387"/>
      <c r="H43" s="387"/>
      <c r="I43" s="388"/>
      <c r="J43" s="388"/>
      <c r="K43" s="389"/>
      <c r="L43" s="390"/>
      <c r="M43" s="390"/>
      <c r="N43" s="390"/>
      <c r="O43" s="386"/>
      <c r="P43" s="391"/>
      <c r="Q43" s="392"/>
    </row>
    <row r="44" customFormat="false" ht="4.5" hidden="false" customHeight="true" outlineLevel="0" collapsed="false">
      <c r="A44" s="357"/>
      <c r="B44" s="358"/>
      <c r="C44" s="349"/>
      <c r="D44" s="349"/>
      <c r="E44" s="349"/>
      <c r="F44" s="349"/>
      <c r="G44" s="349"/>
      <c r="H44" s="359"/>
      <c r="I44" s="359"/>
      <c r="J44" s="359"/>
      <c r="K44" s="360"/>
      <c r="L44" s="362"/>
      <c r="M44" s="362"/>
      <c r="N44" s="362"/>
      <c r="O44" s="349"/>
      <c r="P44" s="355"/>
      <c r="Q44" s="356"/>
    </row>
    <row r="45" customFormat="false" ht="12.75" hidden="false" customHeight="false" outlineLevel="0" collapsed="false">
      <c r="A45" s="357"/>
      <c r="B45" s="358" t="s">
        <v>485</v>
      </c>
      <c r="C45" s="349"/>
      <c r="D45" s="349"/>
      <c r="E45" s="349"/>
      <c r="F45" s="349" t="s">
        <v>438</v>
      </c>
      <c r="G45" s="359" t="n">
        <f aca="false">SUM(G38:G41)</f>
        <v>11791079</v>
      </c>
      <c r="H45" s="359" t="n">
        <f aca="false">SUM(H38:H41)</f>
        <v>0</v>
      </c>
      <c r="I45" s="359" t="n">
        <f aca="false">SUM(I38:I41)</f>
        <v>0</v>
      </c>
      <c r="J45" s="359" t="n">
        <f aca="false">SUM(J38:J41)</f>
        <v>0</v>
      </c>
      <c r="K45" s="359" t="n">
        <f aca="false">SUM(K38:K41)</f>
        <v>11791079</v>
      </c>
      <c r="L45" s="393" t="n">
        <f aca="false">SUM(L38:L41)</f>
        <v>11791079</v>
      </c>
      <c r="M45" s="393"/>
      <c r="N45" s="393"/>
      <c r="O45" s="349"/>
      <c r="P45" s="355"/>
      <c r="Q45" s="356"/>
    </row>
    <row r="46" customFormat="false" ht="15.75" hidden="false" customHeight="false" outlineLevel="0" collapsed="false">
      <c r="A46" s="357"/>
      <c r="B46" s="358" t="s">
        <v>486</v>
      </c>
      <c r="C46" s="349"/>
      <c r="D46" s="349"/>
      <c r="E46" s="349"/>
      <c r="F46" s="349" t="s">
        <v>461</v>
      </c>
      <c r="G46" s="359" t="n">
        <f aca="false">SUMIF($F$12:$F$43,$F46,G$12:G$43)</f>
        <v>0</v>
      </c>
      <c r="H46" s="359" t="n">
        <v>0</v>
      </c>
      <c r="I46" s="359" t="n">
        <f aca="false">SUMIF($F$12:$F$43,$F46,I$12:I$43)</f>
        <v>0</v>
      </c>
      <c r="J46" s="359" t="n">
        <f aca="false">SUMIF($F$12:$F$43,$F46,J$12:J$43)</f>
        <v>0</v>
      </c>
      <c r="K46" s="360" t="n">
        <v>0</v>
      </c>
      <c r="L46" s="362"/>
      <c r="M46" s="362"/>
      <c r="N46" s="362"/>
      <c r="O46" s="349"/>
      <c r="P46" s="355"/>
      <c r="Q46" s="356"/>
    </row>
    <row r="47" customFormat="false" ht="15.75" hidden="false" customHeight="false" outlineLevel="0" collapsed="false">
      <c r="A47" s="357"/>
      <c r="B47" s="358" t="s">
        <v>487</v>
      </c>
      <c r="C47" s="349"/>
      <c r="D47" s="349"/>
      <c r="E47" s="349"/>
      <c r="F47" s="349" t="s">
        <v>465</v>
      </c>
      <c r="G47" s="359" t="n">
        <f aca="false">SUMIF($F$12:$F$43,$F47,G$12:G$43)</f>
        <v>0</v>
      </c>
      <c r="H47" s="359" t="n">
        <v>0</v>
      </c>
      <c r="I47" s="359" t="n">
        <f aca="false">SUMIF($F$12:$F$43,$F47,I$12:I$43)</f>
        <v>0</v>
      </c>
      <c r="J47" s="359" t="n">
        <f aca="false">SUMIF($F$12:$F$43,$F47,J$12:J$43)</f>
        <v>0</v>
      </c>
      <c r="K47" s="360" t="n">
        <v>0</v>
      </c>
      <c r="L47" s="362"/>
      <c r="M47" s="362"/>
      <c r="N47" s="362"/>
      <c r="O47" s="349"/>
      <c r="P47" s="355"/>
      <c r="Q47" s="356"/>
    </row>
    <row r="48" customFormat="false" ht="15.75" hidden="false" customHeight="false" outlineLevel="0" collapsed="false">
      <c r="A48" s="357"/>
      <c r="B48" s="358" t="s">
        <v>488</v>
      </c>
      <c r="C48" s="349"/>
      <c r="D48" s="349"/>
      <c r="E48" s="349"/>
      <c r="F48" s="349" t="s">
        <v>489</v>
      </c>
      <c r="G48" s="359" t="n">
        <f aca="false">SUMIF($F$12:$F$43,$F48,G$12:G$43)</f>
        <v>0</v>
      </c>
      <c r="H48" s="359" t="n">
        <f aca="false">SUMIF($F$12:$F$43,$F48,H$12:H$43)</f>
        <v>0</v>
      </c>
      <c r="I48" s="359" t="n">
        <f aca="false">SUMIF($F$12:$F$43,$F48,I$12:I$43)</f>
        <v>0</v>
      </c>
      <c r="J48" s="359" t="n">
        <f aca="false">SUMIF($F$12:$F$43,$F48,J$12:J$43)</f>
        <v>0</v>
      </c>
      <c r="K48" s="360" t="n">
        <f aca="false">SUMIF($F$12:$F$43,$F48,K$12:K$43)</f>
        <v>0</v>
      </c>
      <c r="L48" s="362"/>
      <c r="M48" s="362"/>
      <c r="N48" s="362"/>
      <c r="O48" s="349"/>
      <c r="P48" s="355"/>
      <c r="Q48" s="356"/>
    </row>
    <row r="49" customFormat="false" ht="12.75" hidden="false" customHeight="false" outlineLevel="0" collapsed="false">
      <c r="L49" s="0"/>
      <c r="M49" s="0"/>
      <c r="N49" s="0"/>
    </row>
    <row r="50" customFormat="false" ht="15.75" hidden="false" customHeight="false" outlineLevel="0" collapsed="false">
      <c r="K50" s="394"/>
    </row>
    <row r="51" customFormat="false" ht="15.75" hidden="false" customHeight="false" outlineLevel="0" collapsed="false">
      <c r="B51" s="1" t="s">
        <v>497</v>
      </c>
      <c r="K51" s="394"/>
    </row>
    <row r="52" customFormat="false" ht="15.75" hidden="false" customHeight="false" outlineLevel="0" collapsed="false">
      <c r="K52" s="395"/>
      <c r="L52" s="396"/>
      <c r="M52" s="396"/>
      <c r="N52" s="396"/>
    </row>
    <row r="55" customFormat="false" ht="15" hidden="false" customHeight="false" outlineLevel="0" collapsed="false">
      <c r="A55" s="397" t="s">
        <v>498</v>
      </c>
      <c r="B55" s="398"/>
      <c r="L55" s="0"/>
      <c r="M55" s="0"/>
      <c r="N55" s="0"/>
    </row>
    <row r="56" customFormat="false" ht="15" hidden="false" customHeight="false" outlineLevel="0" collapsed="false">
      <c r="A56" s="399" t="s">
        <v>499</v>
      </c>
      <c r="B56" s="399" t="s">
        <v>500</v>
      </c>
      <c r="C56" s="135"/>
      <c r="D56" s="135"/>
      <c r="E56" s="135"/>
      <c r="F56" s="135"/>
      <c r="G56" s="135"/>
      <c r="H56" s="136" t="n">
        <v>385857</v>
      </c>
      <c r="I56" s="135"/>
      <c r="J56" s="135"/>
      <c r="K56" s="135"/>
      <c r="L56" s="135"/>
      <c r="M56" s="135"/>
      <c r="N56" s="135"/>
      <c r="O56" s="135"/>
      <c r="P56" s="135"/>
      <c r="Q56" s="135"/>
      <c r="R56" s="135"/>
      <c r="S56" s="135"/>
    </row>
    <row r="57" customFormat="false" ht="15" hidden="false" customHeight="false" outlineLevel="0" collapsed="false">
      <c r="A57" s="399" t="s">
        <v>501</v>
      </c>
      <c r="B57" s="399" t="s">
        <v>502</v>
      </c>
      <c r="C57" s="135"/>
      <c r="D57" s="135"/>
      <c r="E57" s="135"/>
      <c r="F57" s="135"/>
      <c r="G57" s="135"/>
      <c r="H57" s="136" t="n">
        <v>-67189</v>
      </c>
      <c r="I57" s="135"/>
      <c r="J57" s="135"/>
      <c r="K57" s="135"/>
      <c r="L57" s="135"/>
      <c r="M57" s="135"/>
      <c r="N57" s="135"/>
      <c r="O57" s="135"/>
      <c r="P57" s="135"/>
      <c r="Q57" s="135"/>
      <c r="R57" s="135"/>
      <c r="S57" s="135"/>
    </row>
    <row r="58" customFormat="false" ht="15" hidden="false" customHeight="false" outlineLevel="0" collapsed="false">
      <c r="A58" s="399" t="s">
        <v>503</v>
      </c>
      <c r="B58" s="399" t="s">
        <v>504</v>
      </c>
      <c r="C58" s="135"/>
      <c r="D58" s="135"/>
      <c r="E58" s="135"/>
      <c r="F58" s="135"/>
      <c r="G58" s="135"/>
      <c r="H58" s="136" t="n">
        <v>38441</v>
      </c>
      <c r="I58" s="135"/>
      <c r="J58" s="135"/>
      <c r="K58" s="135"/>
      <c r="L58" s="135"/>
      <c r="M58" s="135"/>
      <c r="N58" s="135"/>
      <c r="O58" s="135"/>
      <c r="P58" s="135"/>
      <c r="Q58" s="135"/>
      <c r="R58" s="135"/>
      <c r="S58" s="135"/>
    </row>
    <row r="59" customFormat="false" ht="15" hidden="false" customHeight="false" outlineLevel="0" collapsed="false">
      <c r="A59" s="399" t="s">
        <v>505</v>
      </c>
      <c r="B59" s="399" t="s">
        <v>506</v>
      </c>
      <c r="C59" s="135"/>
      <c r="D59" s="135"/>
      <c r="E59" s="135"/>
      <c r="F59" s="135"/>
      <c r="G59" s="135"/>
      <c r="H59" s="136" t="n">
        <v>99963</v>
      </c>
      <c r="I59" s="135"/>
      <c r="J59" s="135"/>
      <c r="K59" s="135"/>
      <c r="L59" s="135"/>
      <c r="M59" s="135"/>
      <c r="N59" s="135"/>
      <c r="O59" s="135"/>
      <c r="P59" s="135"/>
      <c r="Q59" s="135"/>
      <c r="R59" s="135"/>
      <c r="S59" s="135"/>
    </row>
    <row r="60" customFormat="false" ht="15" hidden="false" customHeight="false" outlineLevel="0" collapsed="false">
      <c r="A60" s="399" t="s">
        <v>507</v>
      </c>
      <c r="B60" s="399" t="s">
        <v>508</v>
      </c>
      <c r="C60" s="135"/>
      <c r="D60" s="135"/>
      <c r="E60" s="135"/>
      <c r="F60" s="135"/>
      <c r="G60" s="135"/>
      <c r="H60" s="136" t="n">
        <v>-64133</v>
      </c>
      <c r="I60" s="135"/>
      <c r="J60" s="135"/>
      <c r="K60" s="135"/>
      <c r="L60" s="135"/>
      <c r="M60" s="135"/>
      <c r="N60" s="135"/>
      <c r="O60" s="135"/>
      <c r="P60" s="135"/>
      <c r="Q60" s="135"/>
      <c r="R60" s="135"/>
      <c r="S60" s="135"/>
    </row>
    <row r="61" customFormat="false" ht="15" hidden="false" customHeight="false" outlineLevel="0" collapsed="false">
      <c r="A61" s="399" t="s">
        <v>509</v>
      </c>
      <c r="B61" s="399" t="s">
        <v>510</v>
      </c>
      <c r="C61" s="135"/>
      <c r="D61" s="135"/>
      <c r="E61" s="135"/>
      <c r="F61" s="135"/>
      <c r="G61" s="135"/>
      <c r="H61" s="136" t="n">
        <v>-85517</v>
      </c>
      <c r="I61" s="135"/>
      <c r="J61" s="135"/>
      <c r="K61" s="135"/>
      <c r="L61" s="135"/>
      <c r="M61" s="135"/>
      <c r="N61" s="135"/>
      <c r="O61" s="135"/>
      <c r="P61" s="135"/>
      <c r="Q61" s="135"/>
      <c r="R61" s="135"/>
      <c r="S61" s="135"/>
    </row>
    <row r="62" customFormat="false" ht="15" hidden="false" customHeight="false" outlineLevel="0" collapsed="false">
      <c r="A62" s="399" t="s">
        <v>511</v>
      </c>
      <c r="B62" s="399" t="s">
        <v>512</v>
      </c>
      <c r="C62" s="135"/>
      <c r="D62" s="135"/>
      <c r="E62" s="135"/>
      <c r="F62" s="135"/>
      <c r="G62" s="135"/>
      <c r="H62" s="136" t="n">
        <v>93106</v>
      </c>
      <c r="I62" s="135"/>
      <c r="J62" s="135"/>
      <c r="K62" s="135"/>
      <c r="L62" s="135"/>
      <c r="M62" s="135"/>
      <c r="N62" s="135"/>
      <c r="O62" s="135"/>
      <c r="P62" s="135"/>
      <c r="Q62" s="135"/>
      <c r="R62" s="135"/>
      <c r="S62" s="135"/>
    </row>
    <row r="63" customFormat="false" ht="15" hidden="false" customHeight="false" outlineLevel="0" collapsed="false">
      <c r="A63" s="399" t="s">
        <v>507</v>
      </c>
      <c r="B63" s="399" t="s">
        <v>508</v>
      </c>
      <c r="C63" s="135"/>
      <c r="D63" s="135"/>
      <c r="E63" s="135"/>
      <c r="F63" s="135"/>
      <c r="G63" s="135"/>
      <c r="H63" s="136" t="n">
        <v>24659</v>
      </c>
      <c r="I63" s="135"/>
      <c r="J63" s="135"/>
      <c r="K63" s="135"/>
      <c r="L63" s="135"/>
      <c r="M63" s="135"/>
      <c r="N63" s="135"/>
      <c r="O63" s="135"/>
      <c r="P63" s="135"/>
      <c r="Q63" s="135"/>
      <c r="R63" s="135"/>
      <c r="S63" s="135"/>
    </row>
    <row r="64" customFormat="false" ht="15" hidden="false" customHeight="false" outlineLevel="0" collapsed="false">
      <c r="A64" s="400" t="s">
        <v>513</v>
      </c>
      <c r="B64" s="400"/>
      <c r="C64" s="401"/>
      <c r="D64" s="401"/>
      <c r="E64" s="401"/>
      <c r="F64" s="401"/>
      <c r="G64" s="401"/>
      <c r="H64" s="402" t="n">
        <f aca="false">SUM(H56:H63)</f>
        <v>425187</v>
      </c>
      <c r="I64" s="401"/>
      <c r="J64" s="401"/>
      <c r="K64" s="401"/>
      <c r="L64" s="401"/>
      <c r="M64" s="401"/>
      <c r="N64" s="401"/>
      <c r="O64" s="401"/>
      <c r="P64" s="401"/>
      <c r="Q64" s="401"/>
      <c r="R64" s="401"/>
      <c r="S64" s="401"/>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3" t="s">
        <v>514</v>
      </c>
      <c r="C67" s="404"/>
      <c r="D67" s="404"/>
      <c r="E67" s="404"/>
      <c r="F67" s="404"/>
      <c r="G67" s="404"/>
      <c r="H67" s="405"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8" activePane="bottomRight" state="frozen"/>
      <selection pane="topLeft" activeCell="A1" activeCellId="0" sqref="A1"/>
      <selection pane="topRight" activeCell="B1" activeCellId="0" sqref="B1"/>
      <selection pane="bottomLeft" activeCell="A18" activeCellId="0" sqref="A18"/>
      <selection pane="bottomRight" activeCell="H46" activeCellId="0" sqref="H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420</v>
      </c>
      <c r="G3" s="268" t="s">
        <v>515</v>
      </c>
      <c r="N3" s="4"/>
    </row>
    <row r="4" customFormat="false" ht="26.25" hidden="false" customHeight="false" outlineLevel="0" collapsed="false">
      <c r="A4" s="269"/>
      <c r="B4" s="269" t="s">
        <v>422</v>
      </c>
      <c r="C4" s="4"/>
      <c r="D4" s="4"/>
      <c r="E4" s="4"/>
      <c r="F4" s="4"/>
      <c r="G4" s="4"/>
      <c r="H4" s="270"/>
      <c r="I4" s="270"/>
      <c r="J4" s="270"/>
      <c r="K4" s="270"/>
      <c r="L4" s="4"/>
      <c r="M4" s="4"/>
      <c r="N4" s="4"/>
    </row>
    <row r="5" customFormat="false" ht="20.25" hidden="false" customHeight="false" outlineLevel="0" collapsed="false">
      <c r="A5" s="272"/>
      <c r="B5" s="272" t="s">
        <v>423</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4" t="s">
        <v>436</v>
      </c>
      <c r="M7" s="277" t="s">
        <v>437</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516</v>
      </c>
      <c r="B11" s="288"/>
      <c r="C11" s="286"/>
      <c r="D11" s="286"/>
      <c r="E11" s="286"/>
      <c r="F11" s="286"/>
      <c r="G11" s="286"/>
      <c r="H11" s="289"/>
      <c r="I11" s="289"/>
      <c r="J11" s="289"/>
      <c r="K11" s="289"/>
      <c r="L11" s="286"/>
      <c r="M11" s="286"/>
      <c r="N11" s="286"/>
      <c r="O11" s="18"/>
      <c r="P11" s="18"/>
    </row>
    <row r="12" customFormat="false" ht="6" hidden="false" customHeight="true" outlineLevel="0" collapsed="false">
      <c r="A12" s="291"/>
      <c r="B12" s="292"/>
      <c r="C12" s="293"/>
      <c r="D12" s="293"/>
      <c r="E12" s="293"/>
      <c r="F12" s="293"/>
      <c r="G12" s="293"/>
      <c r="H12" s="294"/>
      <c r="I12" s="295"/>
      <c r="J12" s="295"/>
      <c r="K12" s="295"/>
      <c r="L12" s="293"/>
      <c r="M12" s="297"/>
      <c r="N12" s="298"/>
    </row>
    <row r="13" customFormat="false" ht="94.5" hidden="false" customHeight="false" outlineLevel="0" collapsed="false">
      <c r="A13" s="406" t="s">
        <v>517</v>
      </c>
      <c r="B13" s="407" t="s">
        <v>518</v>
      </c>
      <c r="C13" s="408" t="s">
        <v>222</v>
      </c>
      <c r="D13" s="409" t="n">
        <v>36369</v>
      </c>
      <c r="E13" s="409"/>
      <c r="F13" s="408" t="s">
        <v>465</v>
      </c>
      <c r="G13" s="410"/>
      <c r="H13" s="410" t="n">
        <v>3822297</v>
      </c>
      <c r="I13" s="411" t="n">
        <v>0</v>
      </c>
      <c r="J13" s="411" t="n">
        <v>0</v>
      </c>
      <c r="K13" s="411" t="n">
        <f aca="false">SUM(G13:J13)</f>
        <v>3822297</v>
      </c>
      <c r="L13" s="408" t="s">
        <v>519</v>
      </c>
      <c r="M13" s="412"/>
      <c r="N13" s="413"/>
      <c r="O13" s="414"/>
      <c r="P13" s="414"/>
    </row>
    <row r="14" customFormat="false" ht="141.75" hidden="false" customHeight="false" outlineLevel="0" collapsed="false">
      <c r="A14" s="406" t="s">
        <v>520</v>
      </c>
      <c r="B14" s="407" t="s">
        <v>521</v>
      </c>
      <c r="C14" s="408" t="s">
        <v>222</v>
      </c>
      <c r="D14" s="409" t="n">
        <v>36464</v>
      </c>
      <c r="E14" s="409"/>
      <c r="F14" s="408" t="s">
        <v>465</v>
      </c>
      <c r="G14" s="410"/>
      <c r="H14" s="410" t="n">
        <v>2906759</v>
      </c>
      <c r="I14" s="411" t="n">
        <v>0</v>
      </c>
      <c r="J14" s="411" t="n">
        <v>0</v>
      </c>
      <c r="K14" s="411" t="n">
        <f aca="false">SUM(G14:J14)</f>
        <v>2906759</v>
      </c>
      <c r="L14" s="408" t="s">
        <v>519</v>
      </c>
      <c r="M14" s="412"/>
      <c r="N14" s="413"/>
      <c r="O14" s="414"/>
      <c r="P14" s="414"/>
    </row>
    <row r="15" customFormat="false" ht="12.75" hidden="false" customHeight="false" outlineLevel="0" collapsed="false">
      <c r="A15" s="409"/>
      <c r="B15" s="415" t="s">
        <v>522</v>
      </c>
      <c r="C15" s="409"/>
      <c r="D15" s="409"/>
      <c r="E15" s="409"/>
      <c r="F15" s="409"/>
      <c r="G15" s="409"/>
      <c r="H15" s="416" t="n">
        <v>263743</v>
      </c>
      <c r="I15" s="409"/>
      <c r="J15" s="409"/>
      <c r="K15" s="417" t="n">
        <f aca="false">SUM(C15:J15)</f>
        <v>263743</v>
      </c>
      <c r="L15" s="409"/>
      <c r="M15" s="409"/>
      <c r="N15" s="409"/>
      <c r="O15" s="409"/>
      <c r="P15" s="409"/>
      <c r="Q15" s="409"/>
      <c r="R15" s="409"/>
      <c r="S15" s="409"/>
    </row>
    <row r="16" customFormat="false" ht="15.75" hidden="false" customHeight="false" outlineLevel="0" collapsed="false">
      <c r="A16" s="357" t="s">
        <v>523</v>
      </c>
      <c r="B16" s="418"/>
      <c r="C16" s="349" t="s">
        <v>435</v>
      </c>
      <c r="D16" s="350" t="n">
        <v>36350</v>
      </c>
      <c r="E16" s="350" t="n">
        <v>36350</v>
      </c>
      <c r="F16" s="349" t="s">
        <v>438</v>
      </c>
      <c r="G16" s="351" t="n">
        <v>436901</v>
      </c>
      <c r="H16" s="351" t="n">
        <v>0</v>
      </c>
      <c r="I16" s="352" t="n">
        <v>0</v>
      </c>
      <c r="J16" s="352" t="n">
        <v>0</v>
      </c>
      <c r="K16" s="352" t="n">
        <f aca="false">SUM(G16:J16)</f>
        <v>436901</v>
      </c>
      <c r="L16" s="349" t="n">
        <v>0</v>
      </c>
      <c r="M16" s="355"/>
      <c r="N16" s="356"/>
    </row>
    <row r="17" customFormat="false" ht="15.75" hidden="false" customHeight="false" outlineLevel="0" collapsed="false">
      <c r="A17" s="357" t="s">
        <v>524</v>
      </c>
      <c r="B17" s="418" t="s">
        <v>525</v>
      </c>
      <c r="C17" s="349" t="s">
        <v>435</v>
      </c>
      <c r="D17" s="350" t="n">
        <v>36425</v>
      </c>
      <c r="E17" s="350" t="n">
        <v>36425</v>
      </c>
      <c r="F17" s="349" t="s">
        <v>438</v>
      </c>
      <c r="G17" s="351" t="n">
        <v>900</v>
      </c>
      <c r="H17" s="351" t="n">
        <v>0</v>
      </c>
      <c r="I17" s="352" t="n">
        <v>0</v>
      </c>
      <c r="J17" s="352" t="n">
        <v>0</v>
      </c>
      <c r="K17" s="352" t="n">
        <f aca="false">SUM(G17:J17)</f>
        <v>900</v>
      </c>
      <c r="L17" s="349" t="n">
        <v>0</v>
      </c>
      <c r="M17" s="355"/>
      <c r="N17" s="356"/>
    </row>
    <row r="18" customFormat="false" ht="15.75" hidden="false" customHeight="false" outlineLevel="0" collapsed="false">
      <c r="A18" s="357"/>
      <c r="B18" s="418"/>
      <c r="C18" s="349"/>
      <c r="D18" s="350"/>
      <c r="E18" s="350"/>
      <c r="F18" s="349"/>
      <c r="G18" s="351"/>
      <c r="H18" s="351"/>
      <c r="I18" s="352"/>
      <c r="J18" s="352"/>
      <c r="K18" s="352"/>
      <c r="L18" s="349"/>
      <c r="M18" s="355"/>
      <c r="N18" s="356"/>
    </row>
    <row r="19" customFormat="false" ht="15.75" hidden="false" customHeight="false" outlineLevel="0" collapsed="false">
      <c r="A19" s="357" t="s">
        <v>526</v>
      </c>
      <c r="B19" s="418" t="s">
        <v>527</v>
      </c>
      <c r="C19" s="349" t="s">
        <v>435</v>
      </c>
      <c r="D19" s="350" t="n">
        <v>36423</v>
      </c>
      <c r="E19" s="350" t="n">
        <v>36423</v>
      </c>
      <c r="F19" s="349" t="s">
        <v>438</v>
      </c>
      <c r="G19" s="351" t="n">
        <v>1099800</v>
      </c>
      <c r="H19" s="351" t="n">
        <v>0</v>
      </c>
      <c r="I19" s="351" t="n">
        <v>0</v>
      </c>
      <c r="J19" s="351" t="n">
        <v>0</v>
      </c>
      <c r="K19" s="352" t="n">
        <f aca="false">SUM(G19:J19)</f>
        <v>1099800</v>
      </c>
      <c r="L19" s="349" t="n">
        <v>0</v>
      </c>
      <c r="M19" s="355"/>
      <c r="N19" s="356"/>
    </row>
    <row r="20" customFormat="false" ht="15.75" hidden="false" customHeight="false" outlineLevel="0" collapsed="false">
      <c r="A20" s="357" t="s">
        <v>528</v>
      </c>
      <c r="B20" s="418" t="s">
        <v>529</v>
      </c>
      <c r="C20" s="349" t="s">
        <v>435</v>
      </c>
      <c r="D20" s="350" t="n">
        <v>36425</v>
      </c>
      <c r="E20" s="350" t="n">
        <v>36425</v>
      </c>
      <c r="F20" s="349" t="s">
        <v>438</v>
      </c>
      <c r="G20" s="351" t="n">
        <v>16100</v>
      </c>
      <c r="H20" s="351" t="n">
        <v>0</v>
      </c>
      <c r="I20" s="351" t="n">
        <v>0</v>
      </c>
      <c r="J20" s="351" t="n">
        <v>0</v>
      </c>
      <c r="K20" s="352" t="n">
        <f aca="false">SUM(G20:J20)</f>
        <v>16100</v>
      </c>
      <c r="L20" s="349" t="n">
        <v>0</v>
      </c>
      <c r="M20" s="355"/>
      <c r="N20" s="356"/>
    </row>
    <row r="21" customFormat="false" ht="15.75" hidden="false" customHeight="false" outlineLevel="0" collapsed="false">
      <c r="A21" s="357" t="s">
        <v>528</v>
      </c>
      <c r="B21" s="418" t="s">
        <v>530</v>
      </c>
      <c r="C21" s="349" t="s">
        <v>435</v>
      </c>
      <c r="D21" s="350" t="n">
        <v>36425</v>
      </c>
      <c r="E21" s="350" t="n">
        <v>36425</v>
      </c>
      <c r="F21" s="349" t="s">
        <v>438</v>
      </c>
      <c r="G21" s="351" t="n">
        <v>29800</v>
      </c>
      <c r="H21" s="351" t="n">
        <v>0</v>
      </c>
      <c r="I21" s="351" t="n">
        <v>0</v>
      </c>
      <c r="J21" s="351" t="n">
        <v>0</v>
      </c>
      <c r="K21" s="352" t="n">
        <f aca="false">SUM(G21:J21)</f>
        <v>29800</v>
      </c>
      <c r="L21" s="349" t="n">
        <v>0</v>
      </c>
      <c r="M21" s="355"/>
      <c r="N21" s="356"/>
    </row>
    <row r="22" customFormat="false" ht="15.75" hidden="false" customHeight="false" outlineLevel="0" collapsed="false">
      <c r="A22" s="357" t="s">
        <v>531</v>
      </c>
      <c r="B22" s="418" t="s">
        <v>532</v>
      </c>
      <c r="C22" s="349" t="s">
        <v>435</v>
      </c>
      <c r="D22" s="350" t="n">
        <v>36425</v>
      </c>
      <c r="E22" s="350" t="n">
        <v>36425</v>
      </c>
      <c r="F22" s="349" t="s">
        <v>438</v>
      </c>
      <c r="G22" s="351" t="n">
        <v>22900</v>
      </c>
      <c r="H22" s="351" t="n">
        <v>0</v>
      </c>
      <c r="I22" s="351" t="n">
        <v>0</v>
      </c>
      <c r="J22" s="351" t="n">
        <v>0</v>
      </c>
      <c r="K22" s="352" t="n">
        <f aca="false">SUM(G22:J22)</f>
        <v>22900</v>
      </c>
      <c r="L22" s="349" t="n">
        <v>0</v>
      </c>
      <c r="M22" s="355"/>
      <c r="N22" s="356"/>
    </row>
    <row r="23" customFormat="false" ht="15.75" hidden="false" customHeight="false" outlineLevel="0" collapsed="false">
      <c r="A23" s="357" t="s">
        <v>531</v>
      </c>
      <c r="B23" s="418" t="s">
        <v>533</v>
      </c>
      <c r="C23" s="349" t="s">
        <v>435</v>
      </c>
      <c r="D23" s="350" t="n">
        <v>36425</v>
      </c>
      <c r="E23" s="350" t="n">
        <v>36425</v>
      </c>
      <c r="F23" s="349" t="s">
        <v>438</v>
      </c>
      <c r="G23" s="351" t="n">
        <v>39315</v>
      </c>
      <c r="H23" s="351" t="n">
        <v>0</v>
      </c>
      <c r="I23" s="351" t="n">
        <v>0</v>
      </c>
      <c r="J23" s="351" t="n">
        <v>0</v>
      </c>
      <c r="K23" s="352" t="n">
        <f aca="false">SUM(G23:J23)</f>
        <v>39315</v>
      </c>
      <c r="L23" s="349" t="n">
        <v>0</v>
      </c>
      <c r="M23" s="355"/>
      <c r="N23" s="356"/>
    </row>
    <row r="24" customFormat="false" ht="15.75" hidden="false" customHeight="false" outlineLevel="0" collapsed="false">
      <c r="A24" s="382"/>
      <c r="B24" s="419"/>
      <c r="C24" s="349"/>
      <c r="D24" s="350"/>
      <c r="E24" s="350"/>
      <c r="F24" s="349"/>
      <c r="G24" s="351"/>
      <c r="H24" s="351"/>
      <c r="I24" s="352"/>
      <c r="J24" s="352"/>
      <c r="K24" s="352"/>
      <c r="L24" s="349"/>
      <c r="M24" s="355"/>
      <c r="N24" s="356"/>
    </row>
    <row r="25" customFormat="false" ht="4.5" hidden="false" customHeight="true" outlineLevel="0" collapsed="false">
      <c r="A25" s="384"/>
      <c r="B25" s="420"/>
      <c r="C25" s="386"/>
      <c r="D25" s="386"/>
      <c r="E25" s="386"/>
      <c r="F25" s="386"/>
      <c r="G25" s="386"/>
      <c r="H25" s="387"/>
      <c r="I25" s="388"/>
      <c r="J25" s="388"/>
      <c r="K25" s="388"/>
      <c r="L25" s="386"/>
      <c r="M25" s="391"/>
      <c r="N25" s="392"/>
    </row>
    <row r="26" customFormat="false" ht="4.5" hidden="false" customHeight="true" outlineLevel="0" collapsed="false">
      <c r="A26" s="357"/>
      <c r="B26" s="358"/>
      <c r="C26" s="349"/>
      <c r="D26" s="349"/>
      <c r="E26" s="349"/>
      <c r="F26" s="349"/>
      <c r="G26" s="349"/>
      <c r="H26" s="359"/>
      <c r="I26" s="359"/>
      <c r="J26" s="359"/>
      <c r="K26" s="359"/>
      <c r="L26" s="349"/>
      <c r="M26" s="355"/>
      <c r="N26" s="356"/>
    </row>
    <row r="27" customFormat="false" ht="12.75" hidden="false" customHeight="false" outlineLevel="0" collapsed="false">
      <c r="A27" s="357"/>
      <c r="B27" s="358" t="s">
        <v>485</v>
      </c>
      <c r="C27" s="349"/>
      <c r="D27" s="349"/>
      <c r="E27" s="349"/>
      <c r="F27" s="349" t="s">
        <v>438</v>
      </c>
      <c r="G27" s="359" t="n">
        <f aca="false">SUMIF($F$12:$F$25,$F27,G$12:G$25)</f>
        <v>1645716</v>
      </c>
      <c r="H27" s="359" t="n">
        <f aca="false">SUMIF($F$12:$F$25,$F27,H$12:H$25)</f>
        <v>0</v>
      </c>
      <c r="I27" s="359" t="n">
        <f aca="false">SUMIF($F$12:$F$25,$F27,I$12:I$25)</f>
        <v>0</v>
      </c>
      <c r="J27" s="359" t="n">
        <f aca="false">SUMIF($F$12:$F$25,$F27,J$12:J$25)</f>
        <v>0</v>
      </c>
      <c r="K27" s="359" t="n">
        <f aca="false">SUM(K16:K23)</f>
        <v>1645716</v>
      </c>
      <c r="L27" s="349"/>
      <c r="M27" s="355"/>
      <c r="N27" s="356"/>
    </row>
    <row r="28" customFormat="false" ht="12.75" hidden="false" customHeight="false" outlineLevel="0" collapsed="false">
      <c r="A28" s="357"/>
      <c r="B28" s="358" t="s">
        <v>486</v>
      </c>
      <c r="C28" s="349"/>
      <c r="D28" s="349"/>
      <c r="E28" s="349"/>
      <c r="F28" s="349" t="s">
        <v>461</v>
      </c>
      <c r="G28" s="359" t="n">
        <f aca="false">SUMIF($F$12:$F$25,$F28,G$12:G$25)</f>
        <v>0</v>
      </c>
      <c r="H28" s="359" t="n">
        <f aca="false">SUM(H13:H15)</f>
        <v>6992799</v>
      </c>
      <c r="I28" s="359" t="n">
        <f aca="false">SUMIF($F$12:$F$25,$F28,I$12:I$25)</f>
        <v>0</v>
      </c>
      <c r="J28" s="359" t="n">
        <f aca="false">SUMIF($F$12:$F$25,$F28,J$12:J$25)</f>
        <v>0</v>
      </c>
      <c r="K28" s="359" t="n">
        <f aca="false">SUM(K13:K15)</f>
        <v>6992799</v>
      </c>
      <c r="L28" s="349"/>
      <c r="M28" s="355"/>
      <c r="N28" s="356"/>
    </row>
    <row r="29" customFormat="false" ht="12.75" hidden="false" customHeight="false" outlineLevel="0" collapsed="false">
      <c r="A29" s="357"/>
      <c r="B29" s="358" t="s">
        <v>487</v>
      </c>
      <c r="C29" s="349"/>
      <c r="D29" s="349"/>
      <c r="E29" s="349"/>
      <c r="F29" s="349" t="s">
        <v>465</v>
      </c>
      <c r="G29" s="359" t="n">
        <f aca="false">SUMIF($F$12:$F$25,$F29,G$12:G$25)</f>
        <v>0</v>
      </c>
      <c r="H29" s="359" t="n">
        <v>0</v>
      </c>
      <c r="I29" s="359" t="n">
        <f aca="false">SUMIF($F$12:$F$25,$F29,I$12:I$25)</f>
        <v>0</v>
      </c>
      <c r="J29" s="359" t="n">
        <f aca="false">SUMIF($F$12:$F$25,$F29,J$12:J$25)</f>
        <v>0</v>
      </c>
      <c r="K29" s="359" t="n">
        <v>0</v>
      </c>
      <c r="L29" s="349"/>
      <c r="M29" s="355"/>
      <c r="N29" s="356"/>
    </row>
    <row r="30" customFormat="false" ht="12.75" hidden="false" customHeight="false" outlineLevel="0" collapsed="false">
      <c r="A30" s="357"/>
      <c r="B30" s="358" t="s">
        <v>488</v>
      </c>
      <c r="C30" s="349"/>
      <c r="D30" s="349"/>
      <c r="E30" s="349"/>
      <c r="F30" s="349" t="s">
        <v>489</v>
      </c>
      <c r="G30" s="359" t="n">
        <f aca="false">SUMIF($F$12:$F$25,$F30,G$12:G$25)</f>
        <v>0</v>
      </c>
      <c r="H30" s="359" t="n">
        <f aca="false">SUMIF($F$12:$F$25,$F30,H$12:H$25)</f>
        <v>0</v>
      </c>
      <c r="I30" s="359" t="n">
        <f aca="false">SUMIF($F$12:$F$25,$F30,I$12:I$25)</f>
        <v>0</v>
      </c>
      <c r="J30" s="359" t="n">
        <f aca="false">SUMIF($F$12:$F$25,$F30,J$12:J$25)</f>
        <v>0</v>
      </c>
      <c r="K30" s="359" t="n">
        <f aca="false">SUMIF($F$12:$F$25,$F30,K$12:K$25)</f>
        <v>0</v>
      </c>
      <c r="L30" s="349"/>
      <c r="M30" s="355"/>
      <c r="N30" s="356"/>
    </row>
    <row r="31" customFormat="false" ht="13.5" hidden="false" customHeight="false" outlineLevel="0" collapsed="false">
      <c r="A31" s="363"/>
      <c r="B31" s="364" t="s">
        <v>534</v>
      </c>
      <c r="C31" s="365"/>
      <c r="D31" s="365"/>
      <c r="E31" s="365"/>
      <c r="F31" s="366" t="s">
        <v>10</v>
      </c>
      <c r="G31" s="367" t="n">
        <f aca="false">SUM(G26:G30)</f>
        <v>1645716</v>
      </c>
      <c r="H31" s="367" t="n">
        <f aca="false">SUM(H27:H30)</f>
        <v>6992799</v>
      </c>
      <c r="I31" s="367" t="n">
        <f aca="false">SUM(I26:I30)</f>
        <v>0</v>
      </c>
      <c r="J31" s="367" t="n">
        <f aca="false">SUM(J26:J30)</f>
        <v>0</v>
      </c>
      <c r="K31" s="367" t="n">
        <f aca="false">SUM(K26:K30)</f>
        <v>8638515</v>
      </c>
      <c r="L31" s="365"/>
      <c r="M31" s="370"/>
      <c r="N31" s="371"/>
    </row>
    <row r="32" customFormat="false" ht="12.75" hidden="false" customHeight="false" outlineLevel="0" collapsed="false">
      <c r="A32" s="421"/>
      <c r="B32" s="422"/>
      <c r="C32" s="423"/>
      <c r="D32" s="423"/>
      <c r="E32" s="423"/>
      <c r="F32" s="286"/>
      <c r="G32" s="424"/>
      <c r="H32" s="424"/>
      <c r="I32" s="424"/>
      <c r="J32" s="424"/>
      <c r="K32" s="424"/>
      <c r="L32" s="423"/>
      <c r="M32" s="355"/>
      <c r="N32" s="425"/>
    </row>
    <row r="33" customFormat="false" ht="15" hidden="false" customHeight="false" outlineLevel="0" collapsed="false">
      <c r="A33" s="426" t="s">
        <v>535</v>
      </c>
    </row>
    <row r="34" customFormat="false" ht="15" hidden="false" customHeight="false" outlineLevel="0" collapsed="false">
      <c r="A34" s="426"/>
    </row>
    <row r="35" customFormat="false" ht="15.75" hidden="false" customHeight="false" outlineLevel="0" collapsed="false">
      <c r="A35" s="131" t="s">
        <v>536</v>
      </c>
      <c r="B35" s="131"/>
      <c r="C35" s="131"/>
      <c r="D35" s="131"/>
      <c r="E35" s="131"/>
      <c r="F35" s="131"/>
      <c r="G35" s="131"/>
      <c r="H35" s="427" t="n">
        <f aca="false">H24+H25</f>
        <v>0</v>
      </c>
      <c r="I35" s="131"/>
      <c r="J35" s="131"/>
      <c r="K35" s="131"/>
      <c r="L35" s="131"/>
      <c r="M35" s="131"/>
      <c r="N35" s="131"/>
      <c r="O35" s="131"/>
      <c r="P35" s="131"/>
    </row>
    <row r="37" customFormat="false" ht="15" hidden="false" customHeight="false" outlineLevel="0" collapsed="false">
      <c r="A37" s="428" t="s">
        <v>537</v>
      </c>
      <c r="B37" s="428"/>
      <c r="C37" s="428"/>
      <c r="D37" s="428"/>
      <c r="E37" s="428"/>
      <c r="F37" s="428"/>
      <c r="G37" s="428"/>
      <c r="H37" s="429" t="n">
        <v>0</v>
      </c>
      <c r="I37" s="428"/>
      <c r="J37" s="428"/>
      <c r="K37" s="428"/>
      <c r="L37" s="428"/>
      <c r="M37" s="428"/>
      <c r="N37" s="428"/>
      <c r="O37" s="428"/>
      <c r="P37" s="428"/>
    </row>
    <row r="39" customFormat="false" ht="15" hidden="false" customHeight="false" outlineLevel="0" collapsed="false">
      <c r="A39" s="397" t="s">
        <v>498</v>
      </c>
      <c r="B39" s="398"/>
    </row>
    <row r="40" customFormat="false" ht="15" hidden="false" customHeight="false" outlineLevel="0" collapsed="false">
      <c r="A40" s="399" t="s">
        <v>538</v>
      </c>
      <c r="B40" s="399" t="s">
        <v>539</v>
      </c>
      <c r="C40" s="135"/>
      <c r="D40" s="135"/>
      <c r="E40" s="135"/>
      <c r="F40" s="135"/>
      <c r="G40" s="135"/>
      <c r="H40" s="136" t="n">
        <v>317897</v>
      </c>
      <c r="I40" s="135"/>
      <c r="J40" s="135"/>
      <c r="K40" s="135"/>
      <c r="L40" s="135"/>
      <c r="M40" s="135"/>
      <c r="N40" s="135"/>
      <c r="O40" s="135"/>
      <c r="P40" s="135"/>
    </row>
    <row r="41" customFormat="false" ht="15" hidden="false" customHeight="false" outlineLevel="0" collapsed="false">
      <c r="A41" s="399" t="s">
        <v>503</v>
      </c>
      <c r="B41" s="399" t="s">
        <v>540</v>
      </c>
      <c r="C41" s="135"/>
      <c r="D41" s="135"/>
      <c r="E41" s="135"/>
      <c r="F41" s="135"/>
      <c r="G41" s="135"/>
      <c r="H41" s="136" t="n">
        <v>-739008</v>
      </c>
      <c r="I41" s="135"/>
      <c r="J41" s="135"/>
      <c r="K41" s="135"/>
      <c r="L41" s="135"/>
      <c r="M41" s="135"/>
      <c r="N41" s="135"/>
      <c r="O41" s="135"/>
      <c r="P41" s="135"/>
    </row>
    <row r="42" customFormat="false" ht="15" hidden="false" customHeight="false" outlineLevel="0" collapsed="false">
      <c r="A42" s="399" t="s">
        <v>507</v>
      </c>
      <c r="B42" s="399" t="s">
        <v>541</v>
      </c>
      <c r="C42" s="135"/>
      <c r="D42" s="135"/>
      <c r="E42" s="135"/>
      <c r="F42" s="135"/>
      <c r="G42" s="135"/>
      <c r="H42" s="136" t="n">
        <v>421112</v>
      </c>
      <c r="I42" s="135"/>
      <c r="J42" s="135"/>
      <c r="K42" s="135"/>
      <c r="L42" s="135"/>
      <c r="M42" s="135"/>
      <c r="N42" s="135"/>
      <c r="O42" s="135"/>
      <c r="P42" s="135"/>
    </row>
    <row r="43" customFormat="false" ht="15" hidden="false" customHeight="false" outlineLevel="0" collapsed="false">
      <c r="A43" s="400" t="s">
        <v>513</v>
      </c>
      <c r="B43" s="400"/>
      <c r="C43" s="401"/>
      <c r="D43" s="401"/>
      <c r="E43" s="401"/>
      <c r="F43" s="401"/>
      <c r="G43" s="401"/>
      <c r="H43" s="402" t="n">
        <f aca="false">SUM(H40:H42)</f>
        <v>1</v>
      </c>
      <c r="I43" s="401"/>
      <c r="J43" s="401"/>
      <c r="K43" s="401"/>
      <c r="L43" s="401"/>
      <c r="M43" s="401"/>
      <c r="N43" s="401"/>
      <c r="O43" s="401"/>
      <c r="P43" s="401"/>
    </row>
    <row r="44" customFormat="false" ht="12.75" hidden="false" customHeight="false" outlineLevel="0" collapsed="false">
      <c r="H44" s="265"/>
    </row>
    <row r="46" customFormat="false" ht="18.75" hidden="false" customHeight="false" outlineLevel="0" collapsed="false">
      <c r="B46" s="403" t="s">
        <v>514</v>
      </c>
      <c r="C46" s="404"/>
      <c r="D46" s="404"/>
      <c r="E46" s="404"/>
      <c r="F46" s="404"/>
      <c r="G46" s="404"/>
      <c r="H46" s="430"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420</v>
      </c>
      <c r="G3" s="268" t="s">
        <v>542</v>
      </c>
      <c r="N3" s="4"/>
    </row>
    <row r="4" customFormat="false" ht="26.25" hidden="false" customHeight="false" outlineLevel="0" collapsed="false">
      <c r="A4" s="269"/>
      <c r="B4" s="269" t="s">
        <v>422</v>
      </c>
      <c r="C4" s="4"/>
      <c r="D4" s="4"/>
      <c r="E4" s="4"/>
      <c r="F4" s="4"/>
      <c r="G4" s="4"/>
      <c r="H4" s="270"/>
      <c r="I4" s="270"/>
      <c r="J4" s="270"/>
      <c r="K4" s="270"/>
      <c r="L4" s="4"/>
      <c r="M4" s="4"/>
      <c r="N4" s="4"/>
    </row>
    <row r="5" customFormat="false" ht="20.25" hidden="false" customHeight="false" outlineLevel="0" collapsed="false">
      <c r="A5" s="272"/>
      <c r="B5" s="272" t="s">
        <v>423</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4" t="s">
        <v>436</v>
      </c>
      <c r="M7" s="277" t="s">
        <v>437</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543</v>
      </c>
      <c r="B11" s="288"/>
      <c r="C11" s="286"/>
      <c r="D11" s="286"/>
      <c r="E11" s="286"/>
      <c r="F11" s="286"/>
      <c r="G11" s="286"/>
      <c r="H11" s="289"/>
      <c r="I11" s="289"/>
      <c r="J11" s="289"/>
      <c r="K11" s="289"/>
      <c r="L11" s="286"/>
      <c r="M11" s="286"/>
      <c r="N11" s="286"/>
      <c r="O11" s="18"/>
      <c r="P11" s="18"/>
    </row>
    <row r="12" customFormat="false" ht="74.25" hidden="false" customHeight="true" outlineLevel="0" collapsed="false">
      <c r="A12" s="406" t="s">
        <v>544</v>
      </c>
      <c r="B12" s="407" t="s">
        <v>545</v>
      </c>
      <c r="C12" s="408" t="s">
        <v>222</v>
      </c>
      <c r="D12" s="409" t="n">
        <v>36388</v>
      </c>
      <c r="E12" s="409"/>
      <c r="F12" s="408" t="s">
        <v>465</v>
      </c>
      <c r="G12" s="410"/>
      <c r="H12" s="410" t="n">
        <v>3953393</v>
      </c>
      <c r="I12" s="411" t="n">
        <v>0</v>
      </c>
      <c r="J12" s="411" t="n">
        <v>0</v>
      </c>
      <c r="K12" s="411" t="n">
        <f aca="false">SUM(G12:J12)</f>
        <v>3953393</v>
      </c>
      <c r="L12" s="408" t="s">
        <v>519</v>
      </c>
      <c r="M12" s="412"/>
      <c r="N12" s="413"/>
      <c r="O12" s="414"/>
      <c r="P12" s="414"/>
    </row>
    <row r="13" customFormat="false" ht="89.25" hidden="false" customHeight="true" outlineLevel="0" collapsed="false">
      <c r="A13" s="406" t="s">
        <v>546</v>
      </c>
      <c r="B13" s="407" t="s">
        <v>547</v>
      </c>
      <c r="C13" s="408" t="s">
        <v>222</v>
      </c>
      <c r="D13" s="409" t="n">
        <v>36464</v>
      </c>
      <c r="E13" s="409"/>
      <c r="F13" s="408" t="s">
        <v>465</v>
      </c>
      <c r="G13" s="410"/>
      <c r="H13" s="410" t="n">
        <v>2321129</v>
      </c>
      <c r="I13" s="411" t="n">
        <v>0</v>
      </c>
      <c r="J13" s="411" t="n">
        <v>0</v>
      </c>
      <c r="K13" s="411" t="n">
        <f aca="false">SUM(G13:J13)</f>
        <v>2321129</v>
      </c>
      <c r="L13" s="408" t="s">
        <v>519</v>
      </c>
      <c r="M13" s="412"/>
      <c r="N13" s="413"/>
      <c r="O13" s="414"/>
      <c r="P13" s="414"/>
    </row>
    <row r="14" customFormat="false" ht="23.25" hidden="false" customHeight="true" outlineLevel="0" collapsed="false">
      <c r="A14" s="431"/>
      <c r="B14" s="432" t="s">
        <v>522</v>
      </c>
      <c r="C14" s="433"/>
      <c r="D14" s="434"/>
      <c r="E14" s="434"/>
      <c r="F14" s="433"/>
      <c r="G14" s="435"/>
      <c r="H14" s="435" t="n">
        <v>294693</v>
      </c>
      <c r="I14" s="436"/>
      <c r="J14" s="436"/>
      <c r="K14" s="436" t="n">
        <f aca="false">SUM(H14:J14)</f>
        <v>294693</v>
      </c>
      <c r="L14" s="433"/>
      <c r="M14" s="437"/>
      <c r="N14" s="438"/>
      <c r="O14" s="439"/>
      <c r="P14" s="439"/>
    </row>
    <row r="15" customFormat="false" ht="15.75" hidden="false" customHeight="false" outlineLevel="0" collapsed="false">
      <c r="A15" s="357"/>
      <c r="B15" s="418"/>
      <c r="C15" s="349"/>
      <c r="D15" s="350"/>
      <c r="E15" s="350"/>
      <c r="F15" s="349"/>
      <c r="G15" s="351"/>
      <c r="H15" s="351"/>
      <c r="I15" s="352"/>
      <c r="J15" s="352"/>
      <c r="K15" s="352"/>
      <c r="L15" s="349"/>
      <c r="M15" s="355"/>
      <c r="N15" s="356"/>
    </row>
    <row r="16" customFormat="false" ht="15.75" hidden="false" customHeight="false" outlineLevel="0" collapsed="false">
      <c r="A16" s="357" t="s">
        <v>548</v>
      </c>
      <c r="B16" s="418" t="s">
        <v>549</v>
      </c>
      <c r="C16" s="349" t="s">
        <v>435</v>
      </c>
      <c r="D16" s="350" t="n">
        <v>36342</v>
      </c>
      <c r="E16" s="350" t="n">
        <v>36342</v>
      </c>
      <c r="F16" s="349" t="s">
        <v>438</v>
      </c>
      <c r="G16" s="351" t="n">
        <v>-100000</v>
      </c>
      <c r="H16" s="351" t="n">
        <v>0</v>
      </c>
      <c r="I16" s="352" t="n">
        <v>0</v>
      </c>
      <c r="J16" s="352" t="n">
        <v>0</v>
      </c>
      <c r="K16" s="352" t="n">
        <f aca="false">SUM(G16:J16)</f>
        <v>-100000</v>
      </c>
      <c r="L16" s="349" t="n">
        <v>0</v>
      </c>
      <c r="M16" s="355"/>
      <c r="N16" s="356"/>
    </row>
    <row r="17" customFormat="false" ht="15.75" hidden="false" customHeight="false" outlineLevel="0" collapsed="false">
      <c r="A17" s="357" t="s">
        <v>550</v>
      </c>
      <c r="B17" s="418" t="s">
        <v>551</v>
      </c>
      <c r="C17" s="349" t="s">
        <v>435</v>
      </c>
      <c r="D17" s="350" t="n">
        <v>36348</v>
      </c>
      <c r="E17" s="350" t="n">
        <v>36348</v>
      </c>
      <c r="F17" s="349" t="s">
        <v>438</v>
      </c>
      <c r="G17" s="351" t="n">
        <v>353801</v>
      </c>
      <c r="H17" s="351" t="n">
        <v>0</v>
      </c>
      <c r="I17" s="352" t="n">
        <v>0</v>
      </c>
      <c r="J17" s="352" t="n">
        <v>0</v>
      </c>
      <c r="K17" s="352" t="n">
        <f aca="false">SUM(G17:J17)</f>
        <v>353801</v>
      </c>
      <c r="L17" s="349" t="n">
        <v>0</v>
      </c>
      <c r="M17" s="355"/>
      <c r="N17" s="356"/>
    </row>
    <row r="18" customFormat="false" ht="15.75" hidden="false" customHeight="false" outlineLevel="0" collapsed="false">
      <c r="A18" s="357" t="s">
        <v>552</v>
      </c>
      <c r="B18" s="418" t="s">
        <v>553</v>
      </c>
      <c r="C18" s="349" t="s">
        <v>435</v>
      </c>
      <c r="D18" s="350" t="n">
        <v>36398</v>
      </c>
      <c r="E18" s="350" t="n">
        <v>36398</v>
      </c>
      <c r="F18" s="349" t="s">
        <v>438</v>
      </c>
      <c r="G18" s="351" t="n">
        <v>-22200</v>
      </c>
      <c r="H18" s="351" t="n">
        <v>0</v>
      </c>
      <c r="I18" s="352" t="n">
        <v>0</v>
      </c>
      <c r="J18" s="352" t="n">
        <v>0</v>
      </c>
      <c r="K18" s="352" t="n">
        <f aca="false">SUM(G18:J18)</f>
        <v>-22200</v>
      </c>
      <c r="L18" s="349" t="n">
        <v>0</v>
      </c>
      <c r="M18" s="355"/>
      <c r="N18" s="356"/>
    </row>
    <row r="19" customFormat="false" ht="12.75" hidden="false" customHeight="false" outlineLevel="0" collapsed="false">
      <c r="A19" s="382"/>
      <c r="B19" s="440"/>
      <c r="C19" s="349"/>
      <c r="D19" s="350"/>
      <c r="E19" s="350"/>
      <c r="F19" s="349"/>
      <c r="G19" s="351"/>
      <c r="H19" s="351"/>
      <c r="I19" s="352"/>
      <c r="J19" s="352"/>
      <c r="K19" s="352"/>
      <c r="L19" s="349"/>
      <c r="M19" s="355"/>
      <c r="N19" s="356"/>
    </row>
    <row r="20" customFormat="false" ht="4.5" hidden="false" customHeight="true" outlineLevel="0" collapsed="false">
      <c r="A20" s="384"/>
      <c r="B20" s="420"/>
      <c r="C20" s="386"/>
      <c r="D20" s="386"/>
      <c r="E20" s="386"/>
      <c r="F20" s="386"/>
      <c r="G20" s="386"/>
      <c r="H20" s="387"/>
      <c r="I20" s="388"/>
      <c r="J20" s="388"/>
      <c r="K20" s="388"/>
      <c r="L20" s="386"/>
      <c r="M20" s="391"/>
      <c r="N20" s="392"/>
    </row>
    <row r="21" customFormat="false" ht="4.5" hidden="false" customHeight="true" outlineLevel="0" collapsed="false">
      <c r="A21" s="357"/>
      <c r="B21" s="358"/>
      <c r="C21" s="349"/>
      <c r="D21" s="349"/>
      <c r="E21" s="349"/>
      <c r="F21" s="349"/>
      <c r="G21" s="349"/>
      <c r="H21" s="359"/>
      <c r="I21" s="359"/>
      <c r="J21" s="359"/>
      <c r="K21" s="359"/>
      <c r="L21" s="349"/>
      <c r="M21" s="355"/>
      <c r="N21" s="356"/>
    </row>
    <row r="22" customFormat="false" ht="12.75" hidden="false" customHeight="false" outlineLevel="0" collapsed="false">
      <c r="A22" s="357"/>
      <c r="B22" s="358" t="s">
        <v>485</v>
      </c>
      <c r="C22" s="349"/>
      <c r="D22" s="349"/>
      <c r="E22" s="349"/>
      <c r="F22" s="349" t="s">
        <v>438</v>
      </c>
      <c r="G22" s="359" t="n">
        <f aca="false">SUMIF($F$12:$F$20,$F22,G$12:G$20)</f>
        <v>231601</v>
      </c>
      <c r="H22" s="359" t="n">
        <f aca="false">SUMIF($F$12:$F$20,$F22,H$12:H$20)</f>
        <v>0</v>
      </c>
      <c r="I22" s="359" t="n">
        <f aca="false">SUMIF($F$12:$F$20,$F22,I$12:I$20)</f>
        <v>0</v>
      </c>
      <c r="J22" s="359" t="n">
        <f aca="false">SUMIF($F$12:$F$20,$F22,J$12:J$20)</f>
        <v>0</v>
      </c>
      <c r="K22" s="359" t="n">
        <f aca="false">SUMIF($F$12:$F$20,$F22,K$12:K$20)</f>
        <v>231601</v>
      </c>
      <c r="L22" s="349"/>
      <c r="M22" s="355"/>
      <c r="N22" s="356"/>
    </row>
    <row r="23" customFormat="false" ht="12.75" hidden="false" customHeight="false" outlineLevel="0" collapsed="false">
      <c r="A23" s="357"/>
      <c r="B23" s="358" t="s">
        <v>486</v>
      </c>
      <c r="C23" s="349"/>
      <c r="D23" s="349"/>
      <c r="E23" s="349"/>
      <c r="F23" s="349" t="s">
        <v>461</v>
      </c>
      <c r="G23" s="359" t="n">
        <f aca="false">SUMIF($F$12:$F$20,$F23,G$12:G$20)</f>
        <v>0</v>
      </c>
      <c r="H23" s="359" t="n">
        <f aca="false">SUM(H12:H19)</f>
        <v>6569215</v>
      </c>
      <c r="I23" s="359" t="n">
        <f aca="false">SUMIF($F$12:$F$20,$F23,I$12:I$20)</f>
        <v>0</v>
      </c>
      <c r="J23" s="359" t="n">
        <f aca="false">SUMIF($F$12:$F$20,$F23,J$12:J$20)</f>
        <v>0</v>
      </c>
      <c r="K23" s="359" t="n">
        <f aca="false">SUMIF($F$12:$F$20,$F23,K$12:K$20)</f>
        <v>0</v>
      </c>
      <c r="L23" s="349"/>
      <c r="M23" s="355"/>
      <c r="N23" s="356"/>
    </row>
    <row r="24" customFormat="false" ht="12.75" hidden="false" customHeight="false" outlineLevel="0" collapsed="false">
      <c r="A24" s="357"/>
      <c r="B24" s="358" t="s">
        <v>487</v>
      </c>
      <c r="C24" s="349"/>
      <c r="D24" s="349"/>
      <c r="E24" s="349"/>
      <c r="F24" s="349" t="s">
        <v>465</v>
      </c>
      <c r="G24" s="359" t="n">
        <f aca="false">SUMIF($F$12:$F$20,$F24,G$12:G$20)</f>
        <v>0</v>
      </c>
      <c r="H24" s="359"/>
      <c r="I24" s="359" t="n">
        <f aca="false">SUMIF($F$12:$F$20,$F24,I$12:I$20)</f>
        <v>0</v>
      </c>
      <c r="J24" s="359" t="n">
        <f aca="false">SUMIF($F$12:$F$20,$F24,J$12:J$20)</f>
        <v>0</v>
      </c>
      <c r="K24" s="359" t="n">
        <f aca="false">SUMIF($F$12:$F$20,$F24,K$12:K$20)</f>
        <v>6274522</v>
      </c>
      <c r="L24" s="349"/>
      <c r="M24" s="355"/>
      <c r="N24" s="356"/>
    </row>
    <row r="25" customFormat="false" ht="12.75" hidden="false" customHeight="false" outlineLevel="0" collapsed="false">
      <c r="A25" s="357"/>
      <c r="B25" s="358" t="s">
        <v>488</v>
      </c>
      <c r="C25" s="349"/>
      <c r="D25" s="349"/>
      <c r="E25" s="349"/>
      <c r="F25" s="349" t="s">
        <v>489</v>
      </c>
      <c r="G25" s="359" t="n">
        <f aca="false">SUMIF($F$12:$F$20,$F25,G$12:G$20)</f>
        <v>0</v>
      </c>
      <c r="H25" s="359" t="n">
        <f aca="false">SUMIF($F$12:$F$20,$F25,H$12:H$20)</f>
        <v>0</v>
      </c>
      <c r="I25" s="359" t="n">
        <f aca="false">SUMIF($F$12:$F$20,$F25,I$12:I$20)</f>
        <v>0</v>
      </c>
      <c r="J25" s="359" t="n">
        <f aca="false">SUMIF($F$12:$F$20,$F25,J$12:J$20)</f>
        <v>0</v>
      </c>
      <c r="K25" s="359" t="n">
        <f aca="false">SUMIF($F$12:$F$20,$F25,K$12:K$20)</f>
        <v>0</v>
      </c>
      <c r="L25" s="349"/>
      <c r="M25" s="355"/>
      <c r="N25" s="356"/>
    </row>
    <row r="26" customFormat="false" ht="13.5" hidden="false" customHeight="false" outlineLevel="0" collapsed="false">
      <c r="A26" s="357"/>
      <c r="B26" s="358" t="s">
        <v>554</v>
      </c>
      <c r="C26" s="365"/>
      <c r="D26" s="365"/>
      <c r="E26" s="365"/>
      <c r="F26" s="366" t="s">
        <v>10</v>
      </c>
      <c r="G26" s="367" t="n">
        <f aca="false">SUM(G21:G25)</f>
        <v>231601</v>
      </c>
      <c r="H26" s="367" t="n">
        <f aca="false">SUM(H22:H25)</f>
        <v>6569215</v>
      </c>
      <c r="I26" s="367" t="n">
        <f aca="false">SUM(I21:I25)</f>
        <v>0</v>
      </c>
      <c r="J26" s="367" t="n">
        <f aca="false">SUM(J21:J25)</f>
        <v>0</v>
      </c>
      <c r="K26" s="367" t="n">
        <f aca="false">SUM(K21:K25)</f>
        <v>6506123</v>
      </c>
      <c r="L26" s="365"/>
      <c r="M26" s="370"/>
      <c r="N26" s="371"/>
    </row>
    <row r="27" customFormat="false" ht="12.75" hidden="false" customHeight="false" outlineLevel="0" collapsed="false">
      <c r="A27" s="18"/>
      <c r="B27" s="18"/>
    </row>
    <row r="28" customFormat="false" ht="15" hidden="false" customHeight="false" outlineLevel="0" collapsed="false">
      <c r="A28" s="441" t="s">
        <v>535</v>
      </c>
      <c r="B28" s="18"/>
    </row>
    <row r="29" customFormat="false" ht="15" hidden="false" customHeight="false" outlineLevel="0" collapsed="false">
      <c r="A29" s="441"/>
      <c r="B29" s="18"/>
    </row>
    <row r="30" customFormat="false" ht="15.75" hidden="false" customHeight="false" outlineLevel="0" collapsed="false">
      <c r="A30" s="442" t="s">
        <v>536</v>
      </c>
      <c r="B30" s="442"/>
      <c r="C30" s="131"/>
      <c r="D30" s="131"/>
      <c r="E30" s="131"/>
      <c r="F30" s="131"/>
      <c r="G30" s="131"/>
      <c r="H30" s="427" t="n">
        <f aca="false">H19+H20</f>
        <v>0</v>
      </c>
      <c r="I30" s="131"/>
      <c r="J30" s="131"/>
      <c r="K30" s="131"/>
      <c r="L30" s="131"/>
      <c r="M30" s="131"/>
      <c r="N30" s="131"/>
      <c r="O30" s="131"/>
      <c r="P30" s="131"/>
    </row>
    <row r="31" customFormat="false" ht="12.75" hidden="false" customHeight="false" outlineLevel="0" collapsed="false">
      <c r="A31" s="18"/>
      <c r="B31" s="18"/>
    </row>
    <row r="32" customFormat="false" ht="15" hidden="false" customHeight="false" outlineLevel="0" collapsed="false">
      <c r="A32" s="443" t="s">
        <v>537</v>
      </c>
      <c r="B32" s="443"/>
      <c r="C32" s="428"/>
      <c r="D32" s="428"/>
      <c r="E32" s="428"/>
      <c r="F32" s="428"/>
      <c r="G32" s="428"/>
      <c r="H32" s="429" t="n">
        <v>0</v>
      </c>
      <c r="I32" s="428"/>
      <c r="J32" s="428"/>
      <c r="K32" s="428"/>
      <c r="L32" s="428"/>
      <c r="M32" s="428"/>
      <c r="N32" s="428"/>
      <c r="O32" s="428"/>
      <c r="P32" s="428"/>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7" t="s">
        <v>498</v>
      </c>
      <c r="B35" s="398"/>
    </row>
    <row r="36" customFormat="false" ht="15" hidden="false" customHeight="false" outlineLevel="0" collapsed="false">
      <c r="A36" s="399" t="s">
        <v>538</v>
      </c>
      <c r="B36" s="399" t="s">
        <v>555</v>
      </c>
      <c r="C36" s="135"/>
      <c r="D36" s="135"/>
      <c r="E36" s="135"/>
      <c r="F36" s="135"/>
      <c r="G36" s="135"/>
      <c r="H36" s="136" t="n">
        <v>-124695</v>
      </c>
      <c r="I36" s="135"/>
      <c r="J36" s="135"/>
      <c r="K36" s="135"/>
      <c r="L36" s="135"/>
      <c r="M36" s="135"/>
      <c r="N36" s="135"/>
      <c r="O36" s="135"/>
      <c r="P36" s="135"/>
    </row>
    <row r="37" customFormat="false" ht="15" hidden="false" customHeight="false" outlineLevel="0" collapsed="false">
      <c r="A37" s="399" t="s">
        <v>556</v>
      </c>
      <c r="B37" s="399" t="s">
        <v>539</v>
      </c>
      <c r="C37" s="135"/>
      <c r="D37" s="135"/>
      <c r="E37" s="135"/>
      <c r="F37" s="135"/>
      <c r="G37" s="135"/>
      <c r="H37" s="136" t="n">
        <v>-95805</v>
      </c>
      <c r="I37" s="135"/>
      <c r="J37" s="135"/>
      <c r="K37" s="135"/>
      <c r="L37" s="135"/>
      <c r="M37" s="135"/>
      <c r="N37" s="135"/>
      <c r="O37" s="135"/>
      <c r="P37" s="135"/>
    </row>
    <row r="38" customFormat="false" ht="15" hidden="false" customHeight="false" outlineLevel="0" collapsed="false">
      <c r="A38" s="399" t="s">
        <v>503</v>
      </c>
      <c r="B38" s="399" t="s">
        <v>557</v>
      </c>
      <c r="C38" s="135"/>
      <c r="D38" s="135"/>
      <c r="E38" s="135"/>
      <c r="F38" s="135"/>
      <c r="G38" s="135"/>
      <c r="H38" s="136" t="n">
        <v>-477220</v>
      </c>
      <c r="I38" s="135"/>
      <c r="J38" s="135"/>
      <c r="K38" s="135"/>
      <c r="L38" s="135"/>
      <c r="M38" s="135"/>
      <c r="N38" s="135"/>
      <c r="O38" s="135"/>
      <c r="P38" s="135"/>
    </row>
    <row r="39" customFormat="false" ht="15" hidden="false" customHeight="false" outlineLevel="0" collapsed="false">
      <c r="A39" s="399" t="s">
        <v>507</v>
      </c>
      <c r="B39" s="399" t="s">
        <v>540</v>
      </c>
      <c r="C39" s="135"/>
      <c r="D39" s="135"/>
      <c r="E39" s="135"/>
      <c r="F39" s="135"/>
      <c r="G39" s="135"/>
      <c r="H39" s="136" t="n">
        <v>745403</v>
      </c>
      <c r="I39" s="135"/>
      <c r="J39" s="135"/>
      <c r="K39" s="135"/>
      <c r="L39" s="135"/>
      <c r="M39" s="135"/>
      <c r="N39" s="135"/>
      <c r="O39" s="135"/>
      <c r="P39" s="135"/>
    </row>
    <row r="40" customFormat="false" ht="15" hidden="false" customHeight="false" outlineLevel="0" collapsed="false">
      <c r="A40" s="400" t="s">
        <v>513</v>
      </c>
      <c r="B40" s="400"/>
      <c r="C40" s="401"/>
      <c r="D40" s="401"/>
      <c r="E40" s="401"/>
      <c r="F40" s="401"/>
      <c r="G40" s="401"/>
      <c r="H40" s="402" t="n">
        <f aca="false">SUM(H36:H39)</f>
        <v>47683</v>
      </c>
      <c r="I40" s="401"/>
      <c r="J40" s="401"/>
      <c r="K40" s="401"/>
      <c r="L40" s="401"/>
      <c r="M40" s="401"/>
      <c r="N40" s="401"/>
      <c r="O40" s="401"/>
      <c r="P40" s="401"/>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3" t="s">
        <v>514</v>
      </c>
      <c r="C43" s="404"/>
      <c r="D43" s="404"/>
      <c r="E43" s="404"/>
      <c r="F43" s="404"/>
      <c r="G43" s="404"/>
      <c r="H43" s="430"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4" t="s">
        <v>558</v>
      </c>
    </row>
    <row r="3" customFormat="false" ht="15.75" hidden="false" customHeight="false" outlineLevel="0" collapsed="false">
      <c r="A3" s="1" t="s">
        <v>559</v>
      </c>
    </row>
    <row r="4" customFormat="false" ht="15.75" hidden="false" customHeight="false" outlineLevel="0" collapsed="false">
      <c r="C4" s="445" t="n">
        <v>36281</v>
      </c>
      <c r="D4" s="445" t="n">
        <v>36312</v>
      </c>
      <c r="E4" s="445" t="n">
        <v>36342</v>
      </c>
      <c r="F4" s="445" t="n">
        <v>36373</v>
      </c>
      <c r="G4" s="445" t="n">
        <v>36404</v>
      </c>
      <c r="H4" s="445" t="n">
        <v>36434</v>
      </c>
      <c r="I4" s="445" t="n">
        <v>36465</v>
      </c>
      <c r="J4" s="445" t="n">
        <v>36495</v>
      </c>
      <c r="K4" s="445" t="n">
        <v>36526</v>
      </c>
      <c r="L4" s="445" t="n">
        <v>36557</v>
      </c>
      <c r="M4" s="445" t="n">
        <v>36586</v>
      </c>
      <c r="N4" s="445" t="n">
        <v>36617</v>
      </c>
      <c r="O4" s="445" t="n">
        <v>36647</v>
      </c>
      <c r="P4" s="445" t="n">
        <v>36678</v>
      </c>
      <c r="Q4" s="445" t="n">
        <v>36708</v>
      </c>
      <c r="R4" s="445" t="n">
        <v>36739</v>
      </c>
    </row>
    <row r="5" customFormat="false" ht="15.75" hidden="false" customHeight="false" outlineLevel="0" collapsed="false">
      <c r="B5" s="0" t="s">
        <v>560</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561</v>
      </c>
      <c r="C6" s="12" t="n">
        <f aca="false">C5</f>
        <v>14.024</v>
      </c>
      <c r="D6" s="12" t="n">
        <f aca="false">C6+D5</f>
        <v>71.542</v>
      </c>
      <c r="E6" s="12" t="n">
        <f aca="false">D6+E5</f>
        <v>157.702</v>
      </c>
      <c r="F6" s="12" t="n">
        <f aca="false">E6+F5</f>
        <v>332.739</v>
      </c>
      <c r="G6" s="12" t="n">
        <f aca="false">F6+G5</f>
        <v>577.209</v>
      </c>
      <c r="H6" s="12" t="n">
        <f aca="false">G6+H5</f>
        <v>3031.3</v>
      </c>
      <c r="I6" s="446"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562</v>
      </c>
      <c r="C7" s="447" t="n">
        <v>0.0002</v>
      </c>
      <c r="D7" s="447" t="n">
        <f aca="false">D6/$R$6</f>
        <v>0.00122447025641392</v>
      </c>
      <c r="E7" s="447" t="n">
        <f aca="false">E6/$R$6</f>
        <v>0.00269913349329048</v>
      </c>
      <c r="F7" s="447" t="n">
        <f aca="false">F6/$R$6</f>
        <v>0.00569496252060203</v>
      </c>
      <c r="G7" s="447" t="n">
        <f aca="false">G6/$R$6</f>
        <v>0.00987916541660032</v>
      </c>
      <c r="H7" s="447" t="n">
        <f aca="false">H6/$R$6</f>
        <v>0.0518819251386249</v>
      </c>
      <c r="I7" s="447" t="n">
        <f aca="false">I6/$R$6</f>
        <v>0.175136267286751</v>
      </c>
      <c r="J7" s="447" t="n">
        <f aca="false">J6/$R$6</f>
        <v>0.376511681717012</v>
      </c>
      <c r="K7" s="447" t="n">
        <f aca="false">K6/$R$6</f>
        <v>0.610351492383671</v>
      </c>
      <c r="L7" s="447" t="n">
        <f aca="false">L6/$R$6</f>
        <v>0.79114359637673</v>
      </c>
      <c r="M7" s="447" t="n">
        <f aca="false">M6/$R$6</f>
        <v>0.88363708982741</v>
      </c>
      <c r="N7" s="447" t="n">
        <f aca="false">N6/$R$6</f>
        <v>0.93968509264885</v>
      </c>
      <c r="O7" s="447" t="n">
        <f aca="false">O6/$R$6</f>
        <v>0.986763168793196</v>
      </c>
      <c r="P7" s="447" t="n">
        <f aca="false">P6/$R$6</f>
        <v>1</v>
      </c>
      <c r="Q7" s="447" t="n">
        <f aca="false">Q6/$R$6</f>
        <v>1</v>
      </c>
      <c r="R7" s="447" t="n">
        <f aca="false">R6/$R$6</f>
        <v>1</v>
      </c>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row>
    <row r="9" customFormat="false" ht="15.75" hidden="false" customHeight="false" outlineLevel="0" collapsed="false">
      <c r="B9" s="0" t="s">
        <v>563</v>
      </c>
      <c r="H9" s="448" t="n">
        <f aca="false">865.389</f>
        <v>865.389</v>
      </c>
      <c r="I9" s="448" t="n">
        <f aca="false">4488.545-865</f>
        <v>3623.545</v>
      </c>
    </row>
    <row r="10" customFormat="false" ht="15.75" hidden="false" customHeight="false" outlineLevel="0" collapsed="false">
      <c r="B10" s="0" t="s">
        <v>72</v>
      </c>
      <c r="G10" s="448" t="n">
        <f aca="false">G9</f>
        <v>0</v>
      </c>
      <c r="H10" s="448" t="n">
        <f aca="false">H9+G10</f>
        <v>865.389</v>
      </c>
      <c r="I10" s="448" t="n">
        <f aca="false">I9+H10</f>
        <v>4488.934</v>
      </c>
      <c r="J10" s="448" t="n">
        <f aca="false">J9+I10</f>
        <v>4488.934</v>
      </c>
      <c r="K10" s="448" t="n">
        <f aca="false">K9+J10</f>
        <v>4488.934</v>
      </c>
      <c r="L10" s="448" t="n">
        <f aca="false">L9+K10</f>
        <v>4488.934</v>
      </c>
      <c r="M10" s="448" t="n">
        <f aca="false">M9+L10</f>
        <v>4488.934</v>
      </c>
      <c r="N10" s="448" t="n">
        <f aca="false">N9+M10</f>
        <v>4488.934</v>
      </c>
      <c r="O10" s="448" t="n">
        <f aca="false">O9+N10</f>
        <v>4488.934</v>
      </c>
      <c r="P10" s="448" t="n">
        <f aca="false">P9+O10</f>
        <v>4488.934</v>
      </c>
      <c r="Q10" s="448" t="n">
        <f aca="false">Q9+P10</f>
        <v>4488.934</v>
      </c>
      <c r="R10" s="448" t="n">
        <f aca="false">R9+Q10</f>
        <v>4488.934</v>
      </c>
    </row>
    <row r="11" customFormat="false" ht="15.75" hidden="false" customHeight="false" outlineLevel="0" collapsed="false">
      <c r="A11" s="449"/>
      <c r="B11" s="447"/>
      <c r="C11" s="447"/>
      <c r="D11" s="447"/>
      <c r="E11" s="447"/>
      <c r="F11" s="447"/>
      <c r="G11" s="447" t="n">
        <f aca="false">G10/$R$15</f>
        <v>0</v>
      </c>
      <c r="H11" s="447" t="n">
        <f aca="false">H10/$R$6</f>
        <v>0.0148114826357634</v>
      </c>
      <c r="I11" s="447" t="n">
        <f aca="false">I10/$R$6</f>
        <v>0.0768299204104603</v>
      </c>
      <c r="J11" s="447" t="n">
        <f aca="false">J10/$R$6</f>
        <v>0.0768299204104603</v>
      </c>
      <c r="K11" s="447" t="n">
        <f aca="false">K10/$R$6</f>
        <v>0.0768299204104603</v>
      </c>
      <c r="L11" s="447" t="n">
        <f aca="false">L10/$R$6</f>
        <v>0.0768299204104603</v>
      </c>
      <c r="M11" s="447" t="n">
        <f aca="false">M10/$R$6</f>
        <v>0.0768299204104603</v>
      </c>
      <c r="N11" s="447" t="n">
        <f aca="false">N10/$R$6</f>
        <v>0.0768299204104603</v>
      </c>
      <c r="O11" s="447" t="n">
        <f aca="false">O10/$R$6</f>
        <v>0.0768299204104603</v>
      </c>
      <c r="P11" s="447" t="n">
        <f aca="false">P10/$R$6</f>
        <v>0.0768299204104603</v>
      </c>
      <c r="Q11" s="447" t="n">
        <f aca="false">Q10/$R$6</f>
        <v>0.0768299204104603</v>
      </c>
      <c r="R11" s="447" t="n">
        <f aca="false">R10/$R$6</f>
        <v>0.0768299204104603</v>
      </c>
    </row>
    <row r="12" customFormat="false" ht="15.75" hidden="false" customHeight="false" outlineLevel="0" collapsed="false">
      <c r="A12" s="1" t="s">
        <v>515</v>
      </c>
    </row>
    <row r="14" customFormat="false" ht="15.75" hidden="false" customHeight="false" outlineLevel="0" collapsed="false">
      <c r="B14" s="0" t="s">
        <v>560</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561</v>
      </c>
      <c r="C15" s="12" t="n">
        <v>0</v>
      </c>
      <c r="D15" s="12" t="n">
        <v>0</v>
      </c>
      <c r="E15" s="12" t="n">
        <f aca="false">E14</f>
        <v>25.337</v>
      </c>
      <c r="F15" s="12" t="n">
        <f aca="false">F14+E15</f>
        <v>90.545</v>
      </c>
      <c r="G15" s="12" t="n">
        <f aca="false">G14+F15</f>
        <v>260.271</v>
      </c>
      <c r="H15" s="12" t="n">
        <f aca="false">H14+G15</f>
        <v>1267.225</v>
      </c>
      <c r="I15" s="446"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562</v>
      </c>
      <c r="C16" s="447" t="n">
        <v>0.0002</v>
      </c>
      <c r="D16" s="447" t="n">
        <f aca="false">D15/$R$6</f>
        <v>0</v>
      </c>
      <c r="E16" s="447" t="n">
        <f aca="false">E15/$R$15</f>
        <v>0.000606999271538586</v>
      </c>
      <c r="F16" s="447" t="n">
        <f aca="false">F15/$R$15</f>
        <v>0.00216918929002886</v>
      </c>
      <c r="G16" s="447" t="n">
        <f aca="false">G15/$R$15</f>
        <v>0.00623532018007733</v>
      </c>
      <c r="H16" s="447" t="n">
        <f aca="false">H15/$R$15</f>
        <v>0.0303589474632152</v>
      </c>
      <c r="I16" s="447" t="n">
        <f aca="false">I15/$R$15</f>
        <v>0.145036626825247</v>
      </c>
      <c r="J16" s="447" t="n">
        <f aca="false">J15/$R$15</f>
        <v>0.293861363206281</v>
      </c>
      <c r="K16" s="447" t="n">
        <f aca="false">K15/$R$15</f>
        <v>0.476474687564991</v>
      </c>
      <c r="L16" s="447" t="n">
        <f aca="false">L15/$R$15</f>
        <v>0.645728541789961</v>
      </c>
      <c r="M16" s="447" t="n">
        <f aca="false">M15/$R$15</f>
        <v>0.779505508212338</v>
      </c>
      <c r="N16" s="447" t="n">
        <f aca="false">N15/$R$15</f>
        <v>0.861664010750382</v>
      </c>
      <c r="O16" s="447" t="n">
        <f aca="false">O15/$R$15</f>
        <v>0.929265503091283</v>
      </c>
      <c r="P16" s="447" t="n">
        <f aca="false">P15/$R$15</f>
        <v>0.976710820032131</v>
      </c>
      <c r="Q16" s="447" t="n">
        <f aca="false">Q15/$R$15</f>
        <v>0.999950888088304</v>
      </c>
      <c r="R16" s="447" t="n">
        <f aca="false">R15/$R$15</f>
        <v>1</v>
      </c>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row>
    <row r="18" customFormat="false" ht="15.75" hidden="false" customHeight="false" outlineLevel="0" collapsed="false">
      <c r="B18" s="0" t="s">
        <v>563</v>
      </c>
      <c r="G18" s="448" t="n">
        <v>0</v>
      </c>
      <c r="H18" s="448" t="n">
        <f aca="false">884.52-175.093</f>
        <v>709.427</v>
      </c>
      <c r="I18" s="448" t="n">
        <f aca="false">2628.807-709</f>
        <v>1919.807</v>
      </c>
    </row>
    <row r="19" customFormat="false" ht="15.75" hidden="false" customHeight="false" outlineLevel="0" collapsed="false">
      <c r="B19" s="0" t="s">
        <v>72</v>
      </c>
      <c r="G19" s="448" t="n">
        <f aca="false">G18</f>
        <v>0</v>
      </c>
      <c r="H19" s="448" t="n">
        <f aca="false">H18+G19</f>
        <v>709.427</v>
      </c>
      <c r="I19" s="448" t="n">
        <f aca="false">I18+H19</f>
        <v>2629.234</v>
      </c>
      <c r="J19" s="448" t="n">
        <f aca="false">J18+I19</f>
        <v>2629.234</v>
      </c>
      <c r="K19" s="448" t="n">
        <f aca="false">K18+J19</f>
        <v>2629.234</v>
      </c>
      <c r="L19" s="448" t="n">
        <f aca="false">L18+K19</f>
        <v>2629.234</v>
      </c>
      <c r="M19" s="448" t="n">
        <f aca="false">M18+L19</f>
        <v>2629.234</v>
      </c>
      <c r="N19" s="448" t="n">
        <f aca="false">N18+M19</f>
        <v>2629.234</v>
      </c>
      <c r="O19" s="448" t="n">
        <f aca="false">O18+N19</f>
        <v>2629.234</v>
      </c>
      <c r="P19" s="448" t="n">
        <f aca="false">P18+O19</f>
        <v>2629.234</v>
      </c>
      <c r="Q19" s="448" t="n">
        <f aca="false">Q18+P19</f>
        <v>2629.234</v>
      </c>
      <c r="R19" s="448" t="n">
        <f aca="false">R18+Q19</f>
        <v>2629.234</v>
      </c>
    </row>
    <row r="20" customFormat="false" ht="15.75" hidden="false" customHeight="false" outlineLevel="0" collapsed="false">
      <c r="A20" s="449"/>
      <c r="B20" s="447"/>
      <c r="C20" s="447"/>
      <c r="D20" s="447"/>
      <c r="E20" s="447"/>
      <c r="F20" s="447"/>
      <c r="G20" s="447" t="n">
        <f aca="false">G19/$R$15</f>
        <v>0</v>
      </c>
      <c r="H20" s="447" t="n">
        <f aca="false">H19/$R$15</f>
        <v>0.0169957639898095</v>
      </c>
      <c r="I20" s="447" t="n">
        <f aca="false">I19/$R$15</f>
        <v>0.0629886380670357</v>
      </c>
      <c r="J20" s="447" t="n">
        <f aca="false">J19/$R$15</f>
        <v>0.0629886380670357</v>
      </c>
      <c r="K20" s="447" t="n">
        <f aca="false">K19/$R$15</f>
        <v>0.0629886380670357</v>
      </c>
      <c r="L20" s="447" t="n">
        <f aca="false">L19/$R$15</f>
        <v>0.0629886380670357</v>
      </c>
      <c r="M20" s="447" t="n">
        <f aca="false">M19/$R$15</f>
        <v>0.0629886380670357</v>
      </c>
      <c r="N20" s="447" t="n">
        <f aca="false">N19/$R$15</f>
        <v>0.0629886380670357</v>
      </c>
      <c r="O20" s="447" t="n">
        <f aca="false">O19/$R$15</f>
        <v>0.0629886380670357</v>
      </c>
      <c r="P20" s="447" t="n">
        <f aca="false">P19/$R$15</f>
        <v>0.0629886380670357</v>
      </c>
      <c r="Q20" s="447" t="n">
        <f aca="false">Q19/$R$15</f>
        <v>0.0629886380670357</v>
      </c>
      <c r="R20" s="447" t="n">
        <f aca="false">R19/$R$15</f>
        <v>0.0629886380670357</v>
      </c>
    </row>
    <row r="21" customFormat="false" ht="15.75" hidden="false" customHeight="false" outlineLevel="0" collapsed="false">
      <c r="A21" s="449"/>
      <c r="B21" s="447"/>
      <c r="C21" s="447"/>
      <c r="D21" s="447"/>
      <c r="E21" s="447"/>
      <c r="F21" s="447"/>
      <c r="G21" s="447"/>
      <c r="H21" s="447"/>
      <c r="I21" s="447"/>
      <c r="J21" s="447"/>
      <c r="K21" s="447"/>
      <c r="L21" s="447"/>
      <c r="M21" s="447"/>
      <c r="N21" s="447"/>
      <c r="O21" s="447"/>
      <c r="P21" s="447"/>
      <c r="Q21" s="447"/>
      <c r="R21" s="447"/>
    </row>
    <row r="23" customFormat="false" ht="15.75" hidden="false" customHeight="false" outlineLevel="0" collapsed="false">
      <c r="A23" s="1" t="s">
        <v>542</v>
      </c>
    </row>
    <row r="25" customFormat="false" ht="15.75" hidden="false" customHeight="false" outlineLevel="0" collapsed="false">
      <c r="B25" s="0" t="s">
        <v>560</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561</v>
      </c>
      <c r="C26" s="12" t="n">
        <f aca="false">C25</f>
        <v>0</v>
      </c>
      <c r="D26" s="12" t="n">
        <f aca="false">C26+D25</f>
        <v>0</v>
      </c>
      <c r="E26" s="12" t="n">
        <f aca="false">D26+E25</f>
        <v>33</v>
      </c>
      <c r="F26" s="12" t="n">
        <f aca="false">E26+F25</f>
        <v>138.708</v>
      </c>
      <c r="G26" s="12" t="n">
        <f aca="false">F26+G25</f>
        <v>252.247</v>
      </c>
      <c r="H26" s="12" t="n">
        <f aca="false">G26+H25</f>
        <v>926.938</v>
      </c>
      <c r="I26" s="446"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562</v>
      </c>
      <c r="C27" s="447" t="n">
        <v>0</v>
      </c>
      <c r="D27" s="447" t="n">
        <f aca="false">D26/$R$6</f>
        <v>0</v>
      </c>
      <c r="E27" s="447" t="n">
        <f aca="false">E26/$R$26</f>
        <v>0.00086973095900647</v>
      </c>
      <c r="F27" s="447" t="n">
        <f aca="false">F26/$R$26</f>
        <v>0.00365571642005665</v>
      </c>
      <c r="G27" s="447" t="n">
        <f aca="false">G26/$R$26</f>
        <v>0.00664809167322743</v>
      </c>
      <c r="H27" s="447" t="n">
        <f aca="false">H26/$R$26</f>
        <v>0.0244298992630164</v>
      </c>
      <c r="I27" s="447" t="n">
        <f aca="false">I26/$R$26</f>
        <v>0.117412308980726</v>
      </c>
      <c r="J27" s="447" t="n">
        <f aca="false">J26/$R$26</f>
        <v>0.268871606836908</v>
      </c>
      <c r="K27" s="447" t="n">
        <f aca="false">K26/$R$26</f>
        <v>0.467278006707365</v>
      </c>
      <c r="L27" s="447" t="n">
        <f aca="false">L26/$R$26</f>
        <v>0.650313914894138</v>
      </c>
      <c r="M27" s="447" t="n">
        <f aca="false">M26/$R$26</f>
        <v>0.783303711526792</v>
      </c>
      <c r="N27" s="447" t="n">
        <f aca="false">N26/$R$26</f>
        <v>0.870248554349013</v>
      </c>
      <c r="O27" s="447" t="n">
        <f aca="false">O26/$R$26</f>
        <v>0.947644515550368</v>
      </c>
      <c r="P27" s="447" t="n">
        <f aca="false">P26/$R$26</f>
        <v>0.982359220602988</v>
      </c>
      <c r="Q27" s="447" t="n">
        <f aca="false">Q26/$R$26</f>
        <v>0.999891942517214</v>
      </c>
      <c r="R27" s="447" t="n">
        <f aca="false">R26/$R$26</f>
        <v>1</v>
      </c>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row>
    <row r="29" customFormat="false" ht="15.75" hidden="false" customHeight="false" outlineLevel="0" collapsed="false">
      <c r="B29" s="0" t="s">
        <v>563</v>
      </c>
      <c r="G29" s="448" t="n">
        <v>0</v>
      </c>
      <c r="H29" s="448" t="n">
        <f aca="false">1018.28-214.458</f>
        <v>803.822</v>
      </c>
      <c r="I29" s="448" t="n">
        <f aca="false">2301.095-804</f>
        <v>1497.095</v>
      </c>
    </row>
    <row r="30" customFormat="false" ht="15.75" hidden="false" customHeight="false" outlineLevel="0" collapsed="false">
      <c r="B30" s="0" t="s">
        <v>72</v>
      </c>
      <c r="G30" s="448" t="n">
        <f aca="false">G29</f>
        <v>0</v>
      </c>
      <c r="H30" s="448" t="n">
        <f aca="false">H29+G30</f>
        <v>803.822</v>
      </c>
      <c r="I30" s="448" t="n">
        <f aca="false">I29+H30</f>
        <v>2300.917</v>
      </c>
      <c r="J30" s="448" t="n">
        <f aca="false">J29+I30</f>
        <v>2300.917</v>
      </c>
      <c r="K30" s="448" t="n">
        <f aca="false">K29+J30</f>
        <v>2300.917</v>
      </c>
      <c r="L30" s="448" t="n">
        <f aca="false">L29+K30</f>
        <v>2300.917</v>
      </c>
      <c r="M30" s="448" t="n">
        <f aca="false">M29+L30</f>
        <v>2300.917</v>
      </c>
      <c r="N30" s="448" t="n">
        <f aca="false">N29+M30</f>
        <v>2300.917</v>
      </c>
      <c r="O30" s="448" t="n">
        <f aca="false">O29+N30</f>
        <v>2300.917</v>
      </c>
      <c r="P30" s="448" t="n">
        <f aca="false">P29+O30</f>
        <v>2300.917</v>
      </c>
      <c r="Q30" s="448" t="n">
        <f aca="false">Q29+P30</f>
        <v>2300.917</v>
      </c>
      <c r="R30" s="448" t="n">
        <f aca="false">R29+Q30</f>
        <v>2300.917</v>
      </c>
    </row>
    <row r="31" customFormat="false" ht="15.75" hidden="false" customHeight="false" outlineLevel="0" collapsed="false">
      <c r="A31" s="449"/>
      <c r="B31" s="447"/>
      <c r="C31" s="447"/>
      <c r="D31" s="447"/>
      <c r="E31" s="447"/>
      <c r="F31" s="447"/>
      <c r="G31" s="447" t="n">
        <f aca="false">G30/$R$26</f>
        <v>0</v>
      </c>
      <c r="H31" s="447" t="n">
        <f aca="false">H30/$R$26</f>
        <v>0.0211851175433485</v>
      </c>
      <c r="I31" s="447" t="n">
        <f aca="false">I30/$R$26</f>
        <v>0.0606417802728573</v>
      </c>
      <c r="J31" s="447" t="n">
        <f aca="false">J30/$R$26</f>
        <v>0.0606417802728573</v>
      </c>
      <c r="K31" s="447" t="n">
        <f aca="false">K30/$R$26</f>
        <v>0.0606417802728573</v>
      </c>
      <c r="L31" s="447" t="n">
        <f aca="false">L30/$R$26</f>
        <v>0.0606417802728573</v>
      </c>
      <c r="M31" s="447" t="n">
        <f aca="false">M30/$R$26</f>
        <v>0.0606417802728573</v>
      </c>
      <c r="N31" s="447" t="n">
        <f aca="false">N30/$R$26</f>
        <v>0.0606417802728573</v>
      </c>
      <c r="O31" s="447" t="n">
        <f aca="false">O30/$R$26</f>
        <v>0.0606417802728573</v>
      </c>
      <c r="P31" s="447" t="n">
        <f aca="false">P30/$R$26</f>
        <v>0.0606417802728573</v>
      </c>
      <c r="Q31" s="447" t="n">
        <f aca="false">Q30/$R$26</f>
        <v>0.0606417802728573</v>
      </c>
      <c r="R31" s="447" t="n">
        <f aca="false">R30/$R$26</f>
        <v>0.0606417802728573</v>
      </c>
    </row>
    <row r="32" customFormat="false" ht="15.75" hidden="false" customHeight="false" outlineLevel="0" collapsed="false">
      <c r="A32" s="449"/>
      <c r="B32" s="447"/>
      <c r="C32" s="447"/>
      <c r="D32" s="447"/>
      <c r="E32" s="447"/>
      <c r="F32" s="447"/>
      <c r="G32" s="447"/>
      <c r="H32" s="447"/>
      <c r="I32" s="447"/>
      <c r="J32" s="447"/>
      <c r="K32" s="447"/>
      <c r="L32" s="447"/>
      <c r="M32" s="447"/>
      <c r="N32" s="447"/>
      <c r="O32" s="447"/>
      <c r="P32" s="447"/>
      <c r="Q32" s="447"/>
      <c r="R32" s="447"/>
    </row>
    <row r="33" customFormat="false" ht="15.75" hidden="false" customHeight="false" outlineLevel="0" collapsed="false">
      <c r="A33" s="449"/>
      <c r="B33" s="447"/>
      <c r="C33" s="447"/>
      <c r="D33" s="447"/>
      <c r="E33" s="447"/>
      <c r="F33" s="447"/>
      <c r="G33" s="447"/>
      <c r="H33" s="447"/>
      <c r="I33" s="447"/>
      <c r="J33" s="447"/>
      <c r="K33" s="447"/>
      <c r="L33" s="447"/>
      <c r="M33" s="447"/>
      <c r="N33" s="447"/>
      <c r="O33" s="447"/>
      <c r="P33" s="447"/>
      <c r="Q33" s="447"/>
      <c r="R33" s="447"/>
    </row>
    <row r="34" customFormat="false" ht="15.75" hidden="false" customHeight="false" outlineLevel="0" collapsed="false">
      <c r="A34" s="449"/>
      <c r="B34" s="447"/>
      <c r="C34" s="447"/>
      <c r="D34" s="447"/>
      <c r="E34" s="447"/>
      <c r="F34" s="447"/>
      <c r="G34" s="447"/>
      <c r="H34" s="447"/>
      <c r="I34" s="447"/>
      <c r="J34" s="447"/>
      <c r="K34" s="447"/>
      <c r="L34" s="447"/>
      <c r="M34" s="447"/>
      <c r="N34" s="447"/>
      <c r="O34" s="447"/>
      <c r="P34" s="447"/>
      <c r="Q34" s="447"/>
      <c r="R34" s="447"/>
    </row>
    <row r="36" customFormat="false" ht="15.75" hidden="false" customHeight="false" outlineLevel="0" collapsed="false">
      <c r="A36" s="1" t="s">
        <v>564</v>
      </c>
    </row>
    <row r="37" customFormat="false" ht="15.75" hidden="false" customHeight="false" outlineLevel="0" collapsed="false">
      <c r="B37" s="0" t="s">
        <v>560</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561</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562</v>
      </c>
      <c r="C39" s="447" t="n">
        <f aca="false">C38/$R$38</f>
        <v>0.000101541463715276</v>
      </c>
      <c r="D39" s="447" t="n">
        <f aca="false">D38/$R$38</f>
        <v>0.000518003379714651</v>
      </c>
      <c r="E39" s="447" t="n">
        <f aca="false">E38/$R$38</f>
        <v>0.00156424103533831</v>
      </c>
      <c r="F39" s="447" t="n">
        <f aca="false">F38/$R$38</f>
        <v>0.00406913079551307</v>
      </c>
      <c r="G39" s="447" t="n">
        <f aca="false">G38/$R$38</f>
        <v>0.00789022209284487</v>
      </c>
      <c r="H39" s="447" t="n">
        <f aca="false">H38/$R$38</f>
        <v>0.0378352225905602</v>
      </c>
      <c r="I39" s="447" t="n">
        <f aca="false">I38/$R$38</f>
        <v>0.15018093263894</v>
      </c>
      <c r="J39" s="447" t="n">
        <f aca="false">J38/$R$38</f>
        <v>0.321960641126894</v>
      </c>
      <c r="K39" s="447" t="n">
        <f aca="false">K38/$R$38</f>
        <v>0.530583740037402</v>
      </c>
      <c r="L39" s="447" t="n">
        <f aca="false">L38/$R$38</f>
        <v>0.708505063475434</v>
      </c>
      <c r="M39" s="447" t="n">
        <f aca="false">M38/$R$38</f>
        <v>0.824601095692056</v>
      </c>
      <c r="N39" s="447" t="n">
        <f aca="false">N38/$R$38</f>
        <v>0.897028672604284</v>
      </c>
      <c r="O39" s="447" t="n">
        <f aca="false">O38/$R$38</f>
        <v>0.958638680572653</v>
      </c>
      <c r="P39" s="447" t="n">
        <f aca="false">P38/$R$38</f>
        <v>0.988114906185506</v>
      </c>
      <c r="Q39" s="447" t="n">
        <f aca="false">Q38/$R$38</f>
        <v>0.99995547062166</v>
      </c>
      <c r="R39" s="447" t="n">
        <f aca="false">R38/$R$38</f>
        <v>1</v>
      </c>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row>
    <row r="41" customFormat="false" ht="15.75" hidden="false" customHeight="false" outlineLevel="0" collapsed="false">
      <c r="B41" s="0" t="s">
        <v>563</v>
      </c>
      <c r="G41" s="448" t="n">
        <f aca="false">G29+G18+G9</f>
        <v>0</v>
      </c>
      <c r="H41" s="448" t="n">
        <f aca="false">H29+H18+H9</f>
        <v>2378.638</v>
      </c>
      <c r="I41" s="448" t="n">
        <f aca="false">I29+I18+I9</f>
        <v>7040.447</v>
      </c>
      <c r="J41" s="448" t="n">
        <f aca="false">J29+J18+J9</f>
        <v>0</v>
      </c>
      <c r="K41" s="448" t="n">
        <f aca="false">K29+K18+K9</f>
        <v>0</v>
      </c>
      <c r="L41" s="448" t="n">
        <f aca="false">L29+L18+L9</f>
        <v>0</v>
      </c>
      <c r="M41" s="448" t="n">
        <f aca="false">M29+M18+M9</f>
        <v>0</v>
      </c>
      <c r="N41" s="448" t="n">
        <f aca="false">N29+N18+N9</f>
        <v>0</v>
      </c>
      <c r="O41" s="448" t="n">
        <f aca="false">O29+O18+O9</f>
        <v>0</v>
      </c>
      <c r="P41" s="448" t="n">
        <f aca="false">P29+P18+P9</f>
        <v>0</v>
      </c>
      <c r="Q41" s="448" t="n">
        <f aca="false">Q29+Q18+Q9</f>
        <v>0</v>
      </c>
      <c r="R41" s="448" t="n">
        <f aca="false">R29+R18+R9</f>
        <v>0</v>
      </c>
    </row>
    <row r="42" customFormat="false" ht="15.75" hidden="false" customHeight="false" outlineLevel="0" collapsed="false">
      <c r="B42" s="0" t="s">
        <v>72</v>
      </c>
      <c r="G42" s="448" t="n">
        <f aca="false">G41</f>
        <v>0</v>
      </c>
      <c r="H42" s="448" t="n">
        <f aca="false">H41+G42</f>
        <v>2378.638</v>
      </c>
      <c r="I42" s="448" t="n">
        <f aca="false">I41+H42</f>
        <v>9419.085</v>
      </c>
      <c r="J42" s="448" t="n">
        <f aca="false">J41+I42</f>
        <v>9419.085</v>
      </c>
      <c r="K42" s="448" t="n">
        <f aca="false">K41+J42</f>
        <v>9419.085</v>
      </c>
      <c r="L42" s="448" t="n">
        <f aca="false">L41+K42</f>
        <v>9419.085</v>
      </c>
      <c r="M42" s="448" t="n">
        <f aca="false">M41+L42</f>
        <v>9419.085</v>
      </c>
      <c r="N42" s="448" t="n">
        <f aca="false">N41+M42</f>
        <v>9419.085</v>
      </c>
      <c r="O42" s="448" t="n">
        <f aca="false">O41+N42</f>
        <v>9419.085</v>
      </c>
      <c r="P42" s="448" t="n">
        <f aca="false">P41+O42</f>
        <v>9419.085</v>
      </c>
      <c r="Q42" s="448" t="n">
        <f aca="false">Q41+P42</f>
        <v>9419.085</v>
      </c>
      <c r="R42" s="448" t="n">
        <f aca="false">R41+Q42</f>
        <v>9419.085</v>
      </c>
    </row>
    <row r="43" customFormat="false" ht="15.75" hidden="false" customHeight="false" outlineLevel="0" collapsed="false">
      <c r="A43" s="449"/>
      <c r="B43" s="447"/>
      <c r="C43" s="447"/>
      <c r="D43" s="447"/>
      <c r="E43" s="447"/>
      <c r="F43" s="447"/>
      <c r="G43" s="447" t="n">
        <f aca="false">G42/$R$38</f>
        <v>0</v>
      </c>
      <c r="H43" s="447" t="n">
        <f aca="false">H42/$R$38</f>
        <v>0.0172226457621774</v>
      </c>
      <c r="I43" s="447" t="n">
        <f aca="false">I42/$R$38</f>
        <v>0.0681993495264261</v>
      </c>
      <c r="J43" s="447" t="n">
        <f aca="false">J42/$R$38</f>
        <v>0.0681993495264261</v>
      </c>
      <c r="K43" s="447" t="n">
        <f aca="false">K42/$R$38</f>
        <v>0.0681993495264261</v>
      </c>
      <c r="L43" s="447" t="n">
        <f aca="false">L42/$R$38</f>
        <v>0.0681993495264261</v>
      </c>
      <c r="M43" s="447" t="n">
        <f aca="false">M42/$R$38</f>
        <v>0.0681993495264261</v>
      </c>
      <c r="N43" s="447" t="n">
        <f aca="false">N42/$R$38</f>
        <v>0.0681993495264261</v>
      </c>
      <c r="O43" s="447" t="n">
        <f aca="false">O42/$R$38</f>
        <v>0.0681993495264261</v>
      </c>
      <c r="P43" s="447" t="n">
        <f aca="false">P42/$R$38</f>
        <v>0.0681993495264261</v>
      </c>
      <c r="Q43" s="447" t="n">
        <f aca="false">Q42/$R$38</f>
        <v>0.0681993495264261</v>
      </c>
      <c r="R43" s="447" t="n">
        <f aca="false">R42/$R$38</f>
        <v>0.0681993495264261</v>
      </c>
    </row>
    <row r="45" customFormat="false" ht="13.5" hidden="false" customHeight="false" outlineLevel="0" collapsed="false">
      <c r="A45" s="2"/>
      <c r="B45" s="123"/>
      <c r="C45" s="123"/>
      <c r="D45" s="123"/>
      <c r="E45" s="123"/>
      <c r="F45" s="123"/>
      <c r="G45" s="123" t="s">
        <v>565</v>
      </c>
      <c r="H45" s="123"/>
      <c r="I45" s="245" t="n">
        <v>19947.872</v>
      </c>
      <c r="J45" s="16" t="n">
        <f aca="false">I45+10717.074</f>
        <v>30664.946</v>
      </c>
      <c r="K45" s="123"/>
      <c r="L45" s="123"/>
      <c r="M45" s="123"/>
      <c r="N45" s="123"/>
      <c r="O45" s="123"/>
      <c r="P45" s="123"/>
      <c r="Q45" s="123"/>
      <c r="R45" s="123"/>
    </row>
    <row r="46" customFormat="false" ht="16.5" hidden="false" customHeight="false" outlineLevel="0" collapsed="false">
      <c r="D46" s="0" t="s">
        <v>566</v>
      </c>
      <c r="I46" s="5" t="n">
        <f aca="false">I45-I42</f>
        <v>10528.787</v>
      </c>
      <c r="J46" s="450"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45926.9318742373</v>
      </c>
    </row>
    <row r="3" customFormat="false" ht="15.75" hidden="false" customHeight="false" outlineLevel="0" collapsed="false">
      <c r="A3" s="30" t="s">
        <v>64</v>
      </c>
      <c r="G3" s="28"/>
      <c r="J3" s="29"/>
      <c r="O3" s="28"/>
      <c r="BV3" s="0" t="str">
        <f aca="false">Summary!A5</f>
        <v>Revision # 56</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5/31/00</v>
      </c>
      <c r="H9" s="47"/>
      <c r="I9" s="48" t="str">
        <f aca="false">+O4</f>
        <v> As of 5/31/00</v>
      </c>
      <c r="J9" s="47"/>
      <c r="K9" s="49" t="str">
        <f aca="false">+O4</f>
        <v> As of 5/31/00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239675.46775</v>
      </c>
      <c r="F11" s="12"/>
      <c r="G11" s="55" t="n">
        <f aca="false">Wilton!BL177/1000</f>
        <v>247554.216818692</v>
      </c>
      <c r="H11" s="47"/>
      <c r="I11" s="54" t="n">
        <f aca="false">K11-G11</f>
        <v>9582.5491028796</v>
      </c>
      <c r="J11" s="47"/>
      <c r="K11" s="56" t="n">
        <f aca="false">Wilton!BR177/1000</f>
        <v>257136.765921572</v>
      </c>
      <c r="M11" s="54" t="n">
        <f aca="false">+E11-K11</f>
        <v>-17461.2981715716</v>
      </c>
      <c r="O11" s="57" t="n">
        <f aca="false">+G11/K11</f>
        <v>0.96273364849816</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170575.01</v>
      </c>
      <c r="F13" s="12"/>
      <c r="G13" s="55" t="n">
        <f aca="false">Gleason!BN225/1000</f>
        <v>149251.333954875</v>
      </c>
      <c r="H13" s="47"/>
      <c r="I13" s="54" t="n">
        <f aca="false">K13-G13</f>
        <v>25778.0232624374</v>
      </c>
      <c r="J13" s="47"/>
      <c r="K13" s="56" t="n">
        <f aca="false">Gleason!BT225/1000</f>
        <v>175029.357217312</v>
      </c>
      <c r="M13" s="54" t="n">
        <f aca="false">+E13-K13</f>
        <v>-4454.34721731205</v>
      </c>
      <c r="O13" s="57" t="n">
        <f aca="false">+G13/K13</f>
        <v>0.852721716675037</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158451.2481</v>
      </c>
      <c r="F15" s="12"/>
      <c r="G15" s="55" t="n">
        <f aca="false">Wheatland!BL176/1000</f>
        <v>134398.996217948</v>
      </c>
      <c r="H15" s="47"/>
      <c r="I15" s="54" t="n">
        <f aca="false">K15-G15</f>
        <v>25689.9138818169</v>
      </c>
      <c r="J15" s="47"/>
      <c r="K15" s="56" t="n">
        <f aca="false">Wheatland!BR176/1000</f>
        <v>160088.910099765</v>
      </c>
      <c r="M15" s="54" t="n">
        <f aca="false">+E15-K15</f>
        <v>-1637.66199976523</v>
      </c>
      <c r="O15" s="57" t="n">
        <f aca="false">+G15/K15</f>
        <v>0.839527211061608</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568701.72585</v>
      </c>
      <c r="F17" s="71"/>
      <c r="G17" s="72" t="n">
        <f aca="false">SUM(G11:G15)</f>
        <v>531204.546991515</v>
      </c>
      <c r="H17" s="71"/>
      <c r="I17" s="70" t="n">
        <f aca="false">SUM(I11:I15)</f>
        <v>61050.4862471339</v>
      </c>
      <c r="J17" s="47"/>
      <c r="K17" s="73" t="n">
        <f aca="false">SUM(K11:K15)</f>
        <v>592255.033238649</v>
      </c>
      <c r="L17" s="47"/>
      <c r="M17" s="70" t="n">
        <f aca="false">SUM(M10:M15)</f>
        <v>-23553.3073886489</v>
      </c>
      <c r="N17" s="47"/>
      <c r="O17" s="74" t="n">
        <f aca="false">+G17/K17</f>
        <v>0.896918586046809</v>
      </c>
    </row>
    <row r="18" customFormat="false" ht="13.5" hidden="false" customHeight="false" outlineLevel="0" collapsed="false">
      <c r="A18" s="75" t="s">
        <v>86</v>
      </c>
      <c r="B18" s="68"/>
      <c r="C18" s="75"/>
      <c r="D18" s="47"/>
      <c r="E18" s="76" t="n">
        <f aca="false">E17/C17</f>
        <v>358.350173818526</v>
      </c>
      <c r="F18" s="71"/>
      <c r="G18" s="77"/>
      <c r="H18" s="78"/>
      <c r="I18" s="79"/>
      <c r="J18" s="80"/>
      <c r="K18" s="81" t="n">
        <f aca="false">+K17/C17</f>
        <v>373.191577340043</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5/31/00</v>
      </c>
      <c r="H22" s="47"/>
      <c r="I22" s="48" t="str">
        <f aca="false">I9</f>
        <v> As of 5/31/00</v>
      </c>
      <c r="J22" s="47"/>
      <c r="K22" s="49" t="str">
        <f aca="false">K9</f>
        <v> As of 5/31/00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5/31/00</v>
      </c>
      <c r="H35" s="47"/>
      <c r="I35" s="48" t="str">
        <f aca="false">O4</f>
        <v> As of 5/31/00</v>
      </c>
      <c r="J35" s="47"/>
      <c r="K35" s="49" t="str">
        <f aca="false">O4</f>
        <v> As of 5/31/00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1407.08544333333</v>
      </c>
      <c r="H39" s="47"/>
      <c r="I39" s="54" t="n">
        <f aca="false">E39-G39</f>
        <v>105.914556666667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1736.70971333333</v>
      </c>
      <c r="H43" s="78"/>
      <c r="I43" s="79" t="n">
        <f aca="false">SUM(I37:I41)</f>
        <v>105.914556666667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Wilton!BT88/1000-C73</f>
        <v>-10133.994</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-7400</v>
      </c>
      <c r="E61" s="26" t="s">
        <v>104</v>
      </c>
    </row>
    <row r="62" customFormat="false" ht="12.75" hidden="false" customHeight="false" outlineLevel="0" collapsed="false">
      <c r="A62" s="47"/>
      <c r="C62" s="5" t="n">
        <f aca="false">(Wilton!BT131+Wilton!BT98+Wilton!BT107)/1000</f>
        <v>-199.75228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402.207398428373</v>
      </c>
      <c r="E64" s="26" t="s">
        <v>107</v>
      </c>
    </row>
    <row r="65" customFormat="false" ht="12.75" hidden="false" customHeight="false" outlineLevel="0" collapsed="false">
      <c r="A65" s="47"/>
      <c r="C65" s="5" t="n">
        <f aca="false">(Wilton!BT161-Wilton!BT160-Wilton!BT159)/1000</f>
        <v>-554.21936</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-121.2485</v>
      </c>
      <c r="E69" s="47" t="s">
        <v>112</v>
      </c>
      <c r="F69" s="47"/>
      <c r="G69" s="47"/>
      <c r="H69" s="47"/>
      <c r="I69" s="47"/>
    </row>
    <row r="70" customFormat="false" ht="12.75" hidden="false" customHeight="false" outlineLevel="0" collapsed="false">
      <c r="A70" s="47"/>
      <c r="C70" s="7" t="n">
        <f aca="false">Wilton!BT120/1000</f>
        <v>-393.91972</v>
      </c>
      <c r="D70" s="103"/>
      <c r="E70" s="103" t="s">
        <v>113</v>
      </c>
      <c r="F70" s="103"/>
      <c r="G70" s="103"/>
      <c r="H70" s="103"/>
      <c r="I70" s="103"/>
      <c r="J70" s="103"/>
      <c r="K70" s="103"/>
    </row>
    <row r="71" customFormat="false" ht="12.75" hidden="false" customHeight="false" outlineLevel="0" collapsed="false">
      <c r="A71" s="47"/>
      <c r="C71" s="104" t="n">
        <f aca="false">SUM(C57:C70)</f>
        <v>-17381.2979215716</v>
      </c>
      <c r="D71" s="105"/>
      <c r="E71" s="106" t="s">
        <v>114</v>
      </c>
      <c r="F71" s="105"/>
      <c r="G71" s="105"/>
      <c r="H71" s="105"/>
      <c r="I71" s="105"/>
      <c r="J71" s="105"/>
      <c r="K71" s="105"/>
      <c r="L71" s="47"/>
    </row>
    <row r="72" customFormat="false" ht="12.75" hidden="false" customHeight="false" outlineLevel="0" collapsed="false">
      <c r="A72" s="47"/>
      <c r="C72" s="107"/>
      <c r="D72" s="47"/>
      <c r="E72" s="108"/>
      <c r="F72" s="47"/>
      <c r="G72" s="47"/>
      <c r="H72" s="47"/>
      <c r="I72" s="47"/>
      <c r="J72" s="47"/>
      <c r="K72" s="47"/>
      <c r="L72" s="47"/>
    </row>
    <row r="73" customFormat="false" ht="12.75" hidden="false" customHeight="false" outlineLevel="0" collapsed="false">
      <c r="A73" s="47"/>
      <c r="C73" s="5" t="n">
        <v>-14000</v>
      </c>
      <c r="E73" s="26" t="s">
        <v>115</v>
      </c>
      <c r="L73" s="47"/>
    </row>
    <row r="74" customFormat="false" ht="13.5" hidden="false" customHeight="false" outlineLevel="0" collapsed="false">
      <c r="A74" s="47"/>
      <c r="C74" s="109" t="n">
        <f aca="false">SUM(C71:C73)</f>
        <v>-31381.2979215716</v>
      </c>
      <c r="D74" s="110"/>
      <c r="E74" s="111" t="s">
        <v>114</v>
      </c>
      <c r="F74" s="110"/>
      <c r="G74" s="112"/>
      <c r="H74" s="113"/>
      <c r="I74" s="114"/>
      <c r="J74" s="110"/>
      <c r="K74" s="110"/>
      <c r="L74" s="47"/>
    </row>
    <row r="75" customFormat="false" ht="13.5" hidden="false" customHeight="false" outlineLevel="0" collapsed="false">
      <c r="A75" s="47"/>
      <c r="C75" s="115"/>
    </row>
    <row r="76" customFormat="false" ht="12.75" hidden="false" customHeight="false" outlineLevel="0" collapsed="false">
      <c r="A76" s="47"/>
      <c r="C76" s="5"/>
    </row>
    <row r="77" customFormat="false" ht="12.75" hidden="false" customHeight="false" outlineLevel="0" collapsed="false">
      <c r="A77" s="102" t="s">
        <v>116</v>
      </c>
      <c r="C77" s="5" t="n">
        <f aca="false">Gleason!BV202/1000</f>
        <v>-32.20328</v>
      </c>
      <c r="E77" s="101" t="s">
        <v>100</v>
      </c>
      <c r="F77" s="101"/>
      <c r="G77" s="101"/>
      <c r="H77" s="101"/>
      <c r="I77" s="101"/>
    </row>
    <row r="78" customFormat="false" ht="12.75" hidden="false" customHeight="false" outlineLevel="0" collapsed="false">
      <c r="A78" s="102"/>
      <c r="C78" s="5" t="n">
        <f aca="false">Gleason!BV97/1000</f>
        <v>-4967.50656</v>
      </c>
      <c r="D78" s="47"/>
      <c r="E78" s="26" t="s">
        <v>101</v>
      </c>
      <c r="F78" s="84"/>
      <c r="G78" s="84"/>
      <c r="H78" s="84"/>
      <c r="I78" s="84"/>
      <c r="J78" s="47"/>
      <c r="K78" s="47"/>
    </row>
    <row r="79" customFormat="false" ht="12.75" hidden="false" customHeight="false" outlineLevel="0" collapsed="false">
      <c r="A79" s="102"/>
      <c r="C79" s="5" t="n">
        <f aca="false">Gleason!BV16/1000</f>
        <v>-1981.044</v>
      </c>
      <c r="E79" s="26" t="s">
        <v>102</v>
      </c>
      <c r="F79" s="84"/>
      <c r="G79" s="84"/>
      <c r="H79" s="84"/>
      <c r="I79" s="84"/>
      <c r="J79" s="47"/>
      <c r="K79" s="47"/>
    </row>
    <row r="80" customFormat="false" ht="12.75" hidden="false" customHeight="false" outlineLevel="0" collapsed="false">
      <c r="A80" s="102"/>
      <c r="C80" s="5" t="n">
        <f aca="false">Gleason!BV35/1000</f>
        <v>-579.65</v>
      </c>
      <c r="E80" s="26" t="s">
        <v>117</v>
      </c>
      <c r="F80" s="84"/>
      <c r="G80" s="84"/>
      <c r="H80" s="84"/>
      <c r="I80" s="84"/>
      <c r="J80" s="47"/>
      <c r="K80" s="47"/>
    </row>
    <row r="81" customFormat="false" ht="12.75" hidden="false" customHeight="false" outlineLevel="0" collapsed="false">
      <c r="A81" s="102"/>
      <c r="C81" s="5" t="n">
        <f aca="false">Gleason!BV182/1000</f>
        <v>-1799.46983</v>
      </c>
      <c r="E81" s="26" t="s">
        <v>118</v>
      </c>
      <c r="F81" s="84"/>
      <c r="G81" s="84"/>
      <c r="H81" s="84"/>
      <c r="I81" s="84"/>
      <c r="J81" s="47"/>
      <c r="K81" s="47"/>
    </row>
    <row r="82" customFormat="false" ht="12.75" hidden="false" customHeight="false" outlineLevel="0" collapsed="false">
      <c r="A82" s="102"/>
      <c r="C82" s="5" t="n">
        <f aca="false">Gleason!BV201/1000</f>
        <v>-191.0129</v>
      </c>
      <c r="E82" s="26" t="s">
        <v>109</v>
      </c>
      <c r="F82" s="84"/>
      <c r="G82" s="84"/>
      <c r="H82" s="84"/>
      <c r="I82" s="84"/>
      <c r="J82" s="47"/>
      <c r="K82" s="47"/>
    </row>
    <row r="83" customFormat="false" ht="12.75" hidden="false" customHeight="false" outlineLevel="0" collapsed="false">
      <c r="A83" s="102"/>
      <c r="C83" s="5" t="n">
        <f aca="false">Gleason!BV211/1000</f>
        <v>346.883062687941</v>
      </c>
      <c r="E83" s="26" t="s">
        <v>107</v>
      </c>
      <c r="F83" s="84"/>
      <c r="G83" s="84"/>
      <c r="H83" s="84"/>
      <c r="I83" s="84"/>
      <c r="J83" s="47"/>
      <c r="K83" s="47"/>
    </row>
    <row r="84" customFormat="false" ht="12.75" hidden="false" customHeight="false" outlineLevel="0" collapsed="false">
      <c r="A84" s="102"/>
      <c r="C84" s="5" t="n">
        <f aca="false">Gleason!BV209/1000</f>
        <v>-252.20846</v>
      </c>
      <c r="E84" s="26" t="s">
        <v>119</v>
      </c>
      <c r="F84" s="84"/>
      <c r="G84" s="84"/>
      <c r="H84" s="84"/>
      <c r="I84" s="84"/>
      <c r="J84" s="47"/>
      <c r="K84" s="47"/>
    </row>
    <row r="85" customFormat="false" ht="12.75" hidden="false" customHeight="false" outlineLevel="0" collapsed="false">
      <c r="A85" s="102"/>
      <c r="C85" s="5" t="n">
        <f aca="false">Gleason!BV149/1000</f>
        <v>-39.51</v>
      </c>
      <c r="E85" s="26" t="s">
        <v>120</v>
      </c>
      <c r="F85" s="84"/>
      <c r="G85" s="84"/>
      <c r="H85" s="84"/>
      <c r="I85" s="84"/>
      <c r="J85" s="47"/>
      <c r="K85" s="47"/>
    </row>
    <row r="86" customFormat="false" ht="12.75" hidden="false" customHeight="false" outlineLevel="0" collapsed="false">
      <c r="A86" s="102"/>
      <c r="C86" s="5" t="n">
        <f aca="false">Gleason!BV159/1000</f>
        <v>-241.8181</v>
      </c>
      <c r="E86" s="26" t="s">
        <v>121</v>
      </c>
      <c r="F86" s="84"/>
      <c r="G86" s="84"/>
      <c r="H86" s="84"/>
      <c r="I86" s="84"/>
      <c r="J86" s="47"/>
      <c r="K86" s="47"/>
    </row>
    <row r="87" customFormat="false" ht="12.75" hidden="false" customHeight="false" outlineLevel="0" collapsed="false">
      <c r="A87" s="102"/>
      <c r="C87" s="5" t="n">
        <f aca="false">Gleason!BV200/1000</f>
        <v>-310.96912</v>
      </c>
      <c r="E87" s="26" t="s">
        <v>108</v>
      </c>
      <c r="F87" s="84"/>
      <c r="G87" s="84"/>
      <c r="H87" s="84"/>
      <c r="I87" s="84"/>
      <c r="J87" s="47"/>
      <c r="K87" s="47"/>
    </row>
    <row r="88" customFormat="false" ht="12.75" hidden="false" customHeight="false" outlineLevel="0" collapsed="false">
      <c r="A88" s="102"/>
      <c r="C88" s="5" t="n">
        <f aca="false">Gleason!BV215/1000</f>
        <v>5423.498</v>
      </c>
      <c r="D88" s="47"/>
      <c r="E88" s="47" t="s">
        <v>111</v>
      </c>
      <c r="F88" s="84"/>
      <c r="G88" s="84"/>
      <c r="H88" s="84"/>
      <c r="I88" s="84"/>
      <c r="J88" s="47"/>
      <c r="K88" s="47"/>
    </row>
    <row r="89" customFormat="false" ht="12.75" hidden="false" customHeight="false" outlineLevel="0" collapsed="false">
      <c r="A89" s="102"/>
      <c r="B89" s="47"/>
      <c r="C89" s="7" t="n">
        <f aca="false">Gleason!BV105/1000+1</f>
        <v>251</v>
      </c>
      <c r="D89" s="103"/>
      <c r="E89" s="116" t="s">
        <v>122</v>
      </c>
      <c r="F89" s="117"/>
      <c r="G89" s="117"/>
      <c r="H89" s="117"/>
      <c r="I89" s="117"/>
      <c r="J89" s="103"/>
      <c r="K89" s="103"/>
      <c r="L89" s="47"/>
      <c r="M89" s="47"/>
      <c r="N89" s="47"/>
      <c r="O89" s="47"/>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row>
    <row r="90" customFormat="false" ht="12.75" hidden="false" customHeight="false" outlineLevel="0" collapsed="false">
      <c r="A90" s="102"/>
      <c r="C90" s="107" t="n">
        <f aca="false">SUM(C77:C89)</f>
        <v>-4374.01118731206</v>
      </c>
      <c r="D90" s="47"/>
      <c r="E90" s="118" t="s">
        <v>123</v>
      </c>
      <c r="F90" s="84"/>
      <c r="G90" s="84"/>
      <c r="H90" s="84"/>
      <c r="I90" s="84"/>
      <c r="J90" s="47"/>
      <c r="K90" s="47"/>
    </row>
    <row r="91" customFormat="false" ht="12.75" hidden="false" customHeight="false" outlineLevel="0" collapsed="false">
      <c r="A91" s="47"/>
      <c r="C91" s="5"/>
      <c r="E91" s="101"/>
      <c r="F91" s="101"/>
      <c r="G91" s="101"/>
      <c r="H91" s="101"/>
      <c r="I91" s="101"/>
    </row>
    <row r="92" customFormat="false" ht="12.75" hidden="false" customHeight="false" outlineLevel="0" collapsed="false">
      <c r="A92" s="47"/>
      <c r="C92" s="5" t="n">
        <f aca="false">Gleason!BT93/1000</f>
        <v>-3387.761</v>
      </c>
      <c r="E92" s="26" t="s">
        <v>124</v>
      </c>
    </row>
    <row r="93" customFormat="false" ht="13.5" hidden="false" customHeight="false" outlineLevel="0" collapsed="false">
      <c r="A93" s="47"/>
      <c r="C93" s="109" t="n">
        <f aca="false">SUM(C90:C92)</f>
        <v>-7761.77218731206</v>
      </c>
      <c r="D93" s="110"/>
      <c r="E93" s="111" t="s">
        <v>114</v>
      </c>
      <c r="F93" s="110"/>
      <c r="G93" s="112"/>
      <c r="H93" s="113"/>
      <c r="I93" s="114"/>
      <c r="J93" s="110"/>
      <c r="K93" s="110"/>
    </row>
    <row r="94" customFormat="false" ht="13.5" hidden="false" customHeight="false" outlineLevel="0" collapsed="false">
      <c r="A94" s="47"/>
      <c r="C94" s="5"/>
      <c r="E94" s="101"/>
      <c r="F94" s="101"/>
      <c r="G94" s="101"/>
      <c r="H94" s="101"/>
      <c r="I94" s="101"/>
    </row>
    <row r="95" customFormat="false" ht="12.75" hidden="false" customHeight="false" outlineLevel="0" collapsed="false">
      <c r="A95" s="102" t="s">
        <v>83</v>
      </c>
      <c r="C95" s="5" t="n">
        <f aca="false">Wheatland!BT159/1000</f>
        <v>-168.35608</v>
      </c>
      <c r="E95" s="101" t="s">
        <v>100</v>
      </c>
    </row>
    <row r="96" customFormat="false" ht="12.75" hidden="false" customHeight="false" outlineLevel="0" collapsed="false">
      <c r="C96" s="5" t="n">
        <f aca="false">Wheatland!BT91/1000</f>
        <v>-2735.05</v>
      </c>
      <c r="E96" s="26" t="s">
        <v>125</v>
      </c>
    </row>
    <row r="97" customFormat="false" ht="12.75" hidden="false" customHeight="false" outlineLevel="0" collapsed="false">
      <c r="A97" s="119"/>
      <c r="B97" s="100"/>
      <c r="C97" s="5" t="n">
        <f aca="false">Wheatland!BT12/1000</f>
        <v>-297.801</v>
      </c>
      <c r="D97" s="100"/>
      <c r="E97" s="26" t="s">
        <v>102</v>
      </c>
      <c r="F97" s="100"/>
      <c r="G97" s="100"/>
      <c r="H97" s="100"/>
      <c r="I97" s="100"/>
      <c r="J97" s="100"/>
      <c r="K97" s="100"/>
      <c r="L97" s="100"/>
      <c r="M97" s="100"/>
      <c r="N97" s="100"/>
    </row>
    <row r="98" customFormat="false" ht="12.75" hidden="false" customHeight="false" outlineLevel="0" collapsed="false">
      <c r="C98" s="5" t="n">
        <f aca="false">Wheatland!BT32/1000</f>
        <v>-428.4806</v>
      </c>
      <c r="E98" s="26" t="s">
        <v>103</v>
      </c>
    </row>
    <row r="99" customFormat="false" ht="12.75" hidden="false" customHeight="false" outlineLevel="0" collapsed="false">
      <c r="C99" s="5" t="n">
        <f aca="false">Wheatland!BT130/1000</f>
        <v>-1142.80257</v>
      </c>
      <c r="E99" s="26" t="s">
        <v>126</v>
      </c>
    </row>
    <row r="100" customFormat="false" ht="12.75" hidden="false" customHeight="false" outlineLevel="0" collapsed="false">
      <c r="C100" s="5" t="n">
        <f aca="false">Wheatland!BT157/1000</f>
        <v>-110.03764</v>
      </c>
      <c r="E100" s="26" t="s">
        <v>108</v>
      </c>
    </row>
    <row r="101" customFormat="false" ht="12.75" hidden="false" customHeight="false" outlineLevel="0" collapsed="false">
      <c r="C101" s="5" t="n">
        <f aca="false">Wheatland!BT158/1000</f>
        <v>-195.04081</v>
      </c>
      <c r="E101" s="26" t="s">
        <v>127</v>
      </c>
    </row>
    <row r="102" customFormat="false" ht="12.75" hidden="false" customHeight="false" outlineLevel="0" collapsed="false">
      <c r="C102" s="5" t="n">
        <f aca="false">Wheatland!BT167/1000</f>
        <v>-301.67213</v>
      </c>
      <c r="E102" s="26" t="s">
        <v>119</v>
      </c>
    </row>
    <row r="103" customFormat="false" ht="12.75" hidden="false" customHeight="false" outlineLevel="0" collapsed="false">
      <c r="C103" s="5" t="n">
        <f aca="false">Wheatland!BT169/1000</f>
        <v>417.426830234733</v>
      </c>
      <c r="E103" s="26" t="s">
        <v>128</v>
      </c>
    </row>
    <row r="104" customFormat="false" ht="12.75" hidden="false" customHeight="false" outlineLevel="0" collapsed="false">
      <c r="A104" s="119"/>
      <c r="B104" s="100"/>
      <c r="C104" s="7" t="n">
        <v>3324.1521</v>
      </c>
      <c r="D104" s="120"/>
      <c r="E104" s="103" t="s">
        <v>111</v>
      </c>
      <c r="F104" s="120"/>
      <c r="G104" s="120"/>
      <c r="H104" s="120"/>
      <c r="I104" s="120"/>
      <c r="J104" s="108"/>
      <c r="K104" s="108"/>
      <c r="L104" s="100"/>
      <c r="M104" s="100"/>
    </row>
    <row r="105" customFormat="false" ht="14.25" hidden="false" customHeight="true" outlineLevel="0" collapsed="false">
      <c r="C105" s="121" t="n">
        <f aca="false">SUM(C95:C104)</f>
        <v>-1637.66189976527</v>
      </c>
      <c r="D105" s="47"/>
      <c r="E105" s="108" t="s">
        <v>114</v>
      </c>
      <c r="F105" s="47"/>
      <c r="G105" s="47"/>
      <c r="H105" s="47"/>
      <c r="I105" s="47"/>
      <c r="J105" s="47"/>
      <c r="K105" s="47"/>
    </row>
    <row r="107" customFormat="false" ht="12.75" hidden="false" customHeight="false" outlineLevel="0" collapsed="false">
      <c r="C107" s="5" t="n">
        <f aca="false">Wheatland!BR87/1000</f>
        <v>-3953.393</v>
      </c>
      <c r="E107" s="26" t="s">
        <v>124</v>
      </c>
    </row>
    <row r="108" customFormat="false" ht="13.5" hidden="false" customHeight="false" outlineLevel="0" collapsed="false">
      <c r="A108" s="0"/>
      <c r="B108" s="0"/>
      <c r="C108" s="109" t="n">
        <f aca="false">C105+C107</f>
        <v>-5591.05489976527</v>
      </c>
      <c r="D108" s="110"/>
      <c r="E108" s="111" t="s">
        <v>114</v>
      </c>
      <c r="F108" s="110"/>
      <c r="G108" s="112"/>
      <c r="H108" s="113"/>
      <c r="I108" s="114"/>
      <c r="J108" s="110"/>
      <c r="K108" s="110"/>
      <c r="L108" s="0"/>
      <c r="M108" s="0"/>
      <c r="N108" s="0"/>
      <c r="O108" s="0"/>
    </row>
    <row r="109" customFormat="false" ht="13.5" hidden="false" customHeight="false" outlineLevel="0" collapsed="false">
      <c r="A109" s="0"/>
      <c r="B109" s="0"/>
      <c r="C109" s="0"/>
      <c r="D109" s="0"/>
      <c r="E109" s="0"/>
      <c r="F109" s="0"/>
      <c r="G109" s="0"/>
      <c r="H109" s="0"/>
      <c r="I109" s="0"/>
      <c r="J109" s="0"/>
      <c r="K109" s="0"/>
      <c r="L109" s="0"/>
      <c r="M109" s="0"/>
      <c r="N109" s="0"/>
      <c r="O109" s="0"/>
    </row>
    <row r="110" customFormat="false" ht="12.75" hidden="false" customHeight="false" outlineLevel="0" collapsed="false">
      <c r="B110" s="32"/>
      <c r="C110" s="29"/>
    </row>
    <row r="111" customFormat="false" ht="12.75" hidden="false" customHeight="false" outlineLevel="0" collapsed="false">
      <c r="A111" s="122" t="str">
        <f aca="true">CELL("FILENAME")</f>
        <v>'file:///mnt/12tb/@roms/datasets/enron/EDRM Enron Email Data Set v2 XML/filtered-attachments/xls/2000_Weekly_Report___0531-40bd6ef38d2d7305aad51e8252174a212a5645152e09152be9335e828a4365bf.xls'#$Summary</v>
      </c>
      <c r="B111" s="29"/>
      <c r="C111"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P166" activePane="bottomRight" state="frozen"/>
      <selection pane="topLeft" activeCell="A1" activeCellId="0" sqref="A1"/>
      <selection pane="topRight" activeCell="BP1" activeCellId="0" sqref="BP1"/>
      <selection pane="bottomLeft" activeCell="A166" activeCellId="0" sqref="A166"/>
      <selection pane="bottomRight" activeCell="R178" activeCellId="0" sqref="R178"/>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false" outlineLevel="0" max="17" min="17" style="123" width="0.85"/>
    <col collapsed="false" customWidth="true" hidden="false" outlineLevel="0" max="18" min="18" style="115" width="21.28"/>
    <col collapsed="false" customWidth="true" hidden="false" outlineLevel="0" max="19" min="19" style="123" width="2.13"/>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9.14"/>
    <col collapsed="false" customWidth="true" hidden="true" outlineLevel="0" max="35" min="35" style="115" width="1.41"/>
    <col collapsed="false" customWidth="true" hidden="true" outlineLevel="0" max="36" min="36" style="115" width="19.41"/>
    <col collapsed="false" customWidth="true" hidden="true" outlineLevel="0" max="37" min="37" style="0" width="0.99"/>
    <col collapsed="false" customWidth="true" hidden="true" outlineLevel="0" max="38" min="38" style="115" width="19.41"/>
    <col collapsed="false" customWidth="true" hidden="true" outlineLevel="0" max="39" min="39" style="0"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56"/>
    <col collapsed="false" customWidth="true" hidden="true" outlineLevel="0" max="44" min="44" style="115" width="17.28"/>
    <col collapsed="false" customWidth="true" hidden="true" outlineLevel="0" max="45" min="45" style="115" width="1.99"/>
    <col collapsed="false" customWidth="true" hidden="true" outlineLevel="0" max="46" min="46" style="115" width="11.7"/>
    <col collapsed="false" customWidth="true" hidden="true" outlineLevel="0" max="47" min="47" style="115" width="6.41"/>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7.28"/>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2.56"/>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22.28"/>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t="s">
        <v>129</v>
      </c>
      <c r="S1" s="135"/>
      <c r="T1" s="137"/>
      <c r="U1" s="138"/>
      <c r="V1" s="137"/>
      <c r="W1" s="136"/>
      <c r="X1" s="137"/>
      <c r="Y1" s="136"/>
      <c r="Z1" s="137"/>
      <c r="AA1" s="136"/>
      <c r="AB1" s="137"/>
      <c r="AC1" s="136"/>
      <c r="AD1" s="137"/>
      <c r="AE1" s="136"/>
      <c r="AF1" s="136"/>
      <c r="AG1" s="136"/>
      <c r="AH1" s="136"/>
      <c r="AI1" s="0"/>
      <c r="AJ1" s="136"/>
      <c r="AL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0"/>
      <c r="AJ2" s="136"/>
      <c r="AL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XML/filtered-attachments/xls/2000_Weekly_Report___0531-40bd6ef38d2d7305aad51e8252174a212a5645152e09152be9335e828a4365bf.xls'#$Wilton</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82</v>
      </c>
      <c r="B3" s="129"/>
      <c r="C3" s="130"/>
      <c r="D3" s="131"/>
      <c r="E3" s="132"/>
      <c r="F3" s="131"/>
      <c r="G3" s="132"/>
      <c r="H3" s="131"/>
      <c r="I3" s="132"/>
      <c r="J3" s="132"/>
      <c r="K3" s="131"/>
      <c r="L3" s="142"/>
      <c r="M3" s="131"/>
      <c r="N3" s="143"/>
      <c r="O3" s="131"/>
      <c r="P3" s="144"/>
      <c r="Q3" s="135"/>
      <c r="R3" s="136"/>
      <c r="S3" s="135"/>
      <c r="T3" s="137"/>
      <c r="U3" s="138"/>
      <c r="V3" s="137"/>
      <c r="W3" s="136"/>
      <c r="X3" s="137"/>
      <c r="Y3" s="136"/>
      <c r="Z3" s="137"/>
      <c r="AA3" s="136"/>
      <c r="AB3" s="137"/>
      <c r="AC3" s="136"/>
      <c r="AD3" s="137"/>
      <c r="AE3" s="136"/>
      <c r="AF3" s="136"/>
      <c r="AG3" s="136"/>
      <c r="AH3" s="136"/>
      <c r="AI3" s="0"/>
      <c r="AJ3" s="136"/>
      <c r="AL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45926.9318742942</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Summary!C11</f>
        <v>608</v>
      </c>
      <c r="C4" s="0"/>
      <c r="D4" s="135"/>
      <c r="E4" s="135"/>
      <c r="F4" s="135"/>
      <c r="G4" s="148"/>
      <c r="H4" s="135"/>
      <c r="I4" s="135"/>
      <c r="J4" s="148"/>
      <c r="K4" s="135"/>
      <c r="L4" s="149"/>
      <c r="M4" s="135"/>
      <c r="N4" s="137"/>
      <c r="O4" s="150"/>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0"/>
      <c r="AJ4" s="151" t="s">
        <v>69</v>
      </c>
      <c r="AL4" s="151" t="s">
        <v>69</v>
      </c>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0"/>
      <c r="AJ5" s="151" t="s">
        <v>134</v>
      </c>
      <c r="AL5" s="151" t="s">
        <v>134</v>
      </c>
      <c r="AN5" s="151" t="s">
        <v>134</v>
      </c>
      <c r="AO5" s="137"/>
      <c r="AP5" s="151" t="s">
        <v>134</v>
      </c>
      <c r="AQ5" s="137"/>
      <c r="AR5" s="151" t="s">
        <v>134</v>
      </c>
      <c r="AS5" s="137"/>
      <c r="AT5" s="151" t="s">
        <v>134</v>
      </c>
      <c r="AU5" s="151"/>
      <c r="AV5" s="151" t="s">
        <v>134</v>
      </c>
      <c r="AW5" s="151"/>
      <c r="AX5" s="151" t="s">
        <v>134</v>
      </c>
      <c r="AY5" s="151"/>
      <c r="AZ5" s="151" t="s">
        <v>134</v>
      </c>
      <c r="BA5" s="151"/>
      <c r="BB5" s="151" t="s">
        <v>134</v>
      </c>
      <c r="BC5" s="151"/>
      <c r="BD5" s="151" t="s">
        <v>134</v>
      </c>
      <c r="BE5" s="151"/>
      <c r="BF5" s="151" t="s">
        <v>134</v>
      </c>
      <c r="BG5" s="151"/>
      <c r="BH5" s="151" t="s">
        <v>134</v>
      </c>
      <c r="BI5" s="151"/>
      <c r="BJ5" s="151" t="s">
        <v>134</v>
      </c>
      <c r="BK5" s="135"/>
      <c r="BL5" s="152" t="s">
        <v>72</v>
      </c>
      <c r="BM5" s="135"/>
      <c r="BN5" s="151" t="s">
        <v>133</v>
      </c>
      <c r="BO5" s="135"/>
      <c r="BP5" s="152" t="s">
        <v>135</v>
      </c>
      <c r="BQ5" s="135"/>
      <c r="BR5" s="152" t="s">
        <v>136</v>
      </c>
      <c r="BS5" s="135"/>
      <c r="BT5" s="152" t="s">
        <v>137</v>
      </c>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0"/>
      <c r="AJ6" s="157" t="n">
        <v>36403</v>
      </c>
      <c r="AL6" s="157" t="n">
        <v>36433</v>
      </c>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145</v>
      </c>
      <c r="BM6" s="135"/>
      <c r="BN6" s="157" t="s">
        <v>144</v>
      </c>
      <c r="BO6" s="135"/>
      <c r="BP6" s="160" t="s">
        <v>146</v>
      </c>
      <c r="BQ6" s="135"/>
      <c r="BR6" s="160" t="s">
        <v>147</v>
      </c>
      <c r="BS6" s="135"/>
      <c r="BT6" s="160" t="s">
        <v>148</v>
      </c>
      <c r="BU6" s="135"/>
      <c r="BV6" s="160" t="s">
        <v>149</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0"/>
      <c r="AJ7" s="151" t="str">
        <f aca="false">+Summary!$O$4</f>
        <v> As of 5/31/00</v>
      </c>
      <c r="AL7" s="151" t="str">
        <f aca="false">+Summary!$O$4</f>
        <v> As of 5/31/00</v>
      </c>
      <c r="AN7" s="151" t="str">
        <f aca="false">+Summary!$O$4</f>
        <v> As of 5/31/00</v>
      </c>
      <c r="AO7" s="137"/>
      <c r="AP7" s="151" t="str">
        <f aca="false">+Summary!$O$4</f>
        <v> As of 5/31/00</v>
      </c>
      <c r="AQ7" s="137"/>
      <c r="AR7" s="151" t="str">
        <f aca="false">+Summary!$O$4</f>
        <v> As of 5/31/00</v>
      </c>
      <c r="AS7" s="137"/>
      <c r="AT7" s="151" t="str">
        <f aca="false">+Summary!$O$4</f>
        <v> As of 5/31/00</v>
      </c>
      <c r="AU7" s="151"/>
      <c r="AV7" s="151" t="str">
        <f aca="false">+Summary!$O$4</f>
        <v> As of 5/31/00</v>
      </c>
      <c r="AW7" s="151"/>
      <c r="AX7" s="151" t="str">
        <f aca="false">+Summary!$O$4</f>
        <v> As of 5/31/00</v>
      </c>
      <c r="AY7" s="151"/>
      <c r="AZ7" s="151"/>
      <c r="BA7" s="151"/>
      <c r="BB7" s="151"/>
      <c r="BC7" s="151"/>
      <c r="BD7" s="151" t="str">
        <f aca="false">+Summary!$O$4</f>
        <v> As of 5/31/00</v>
      </c>
      <c r="BE7" s="151"/>
      <c r="BF7" s="151" t="str">
        <f aca="false">+Summary!$O$4</f>
        <v> As of 5/31/00</v>
      </c>
      <c r="BG7" s="151"/>
      <c r="BH7" s="151" t="str">
        <f aca="false">+Summary!$O$4</f>
        <v> As of 5/31/00</v>
      </c>
      <c r="BI7" s="151"/>
      <c r="BJ7" s="151" t="str">
        <f aca="false">+Summary!$O$4</f>
        <v> As of 5/31/00</v>
      </c>
      <c r="BK7" s="135"/>
      <c r="BL7" s="152" t="str">
        <f aca="false">Summary!O4</f>
        <v> As of 5/31/00</v>
      </c>
      <c r="BM7" s="135"/>
      <c r="BN7" s="163" t="str">
        <f aca="false">+Summary!$O$4</f>
        <v> As of 5/31/00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AI8" s="0"/>
      <c r="BJ8" s="115"/>
      <c r="BK8" s="115"/>
      <c r="BM8" s="115"/>
      <c r="BN8" s="115"/>
      <c r="BO8" s="115"/>
      <c r="BU8" s="115"/>
    </row>
    <row r="9" customFormat="false" ht="12.75" hidden="false" customHeight="false" outlineLevel="0" collapsed="false">
      <c r="A9" s="168"/>
      <c r="B9" s="165" t="s">
        <v>151</v>
      </c>
      <c r="C9" s="0"/>
      <c r="D9" s="0"/>
      <c r="E9" s="0"/>
      <c r="F9" s="0"/>
      <c r="G9" s="0"/>
      <c r="H9" s="0"/>
      <c r="I9" s="0"/>
      <c r="J9" s="4" t="s">
        <v>132</v>
      </c>
      <c r="K9" s="0"/>
      <c r="L9" s="169" t="s">
        <v>142</v>
      </c>
      <c r="M9" s="115"/>
      <c r="N9" s="115" t="n">
        <v>0</v>
      </c>
      <c r="O9" s="115"/>
      <c r="P9" s="115" t="n">
        <v>0</v>
      </c>
      <c r="Q9" s="115"/>
      <c r="R9" s="115" t="n">
        <v>140040940</v>
      </c>
      <c r="S9" s="115"/>
      <c r="T9" s="115" t="n">
        <v>6800000</v>
      </c>
      <c r="U9" s="115"/>
      <c r="V9" s="115"/>
      <c r="X9" s="115" t="n">
        <v>32884800</v>
      </c>
      <c r="Z9" s="115"/>
      <c r="AB9" s="115"/>
      <c r="AD9" s="115" t="n">
        <v>18310527</v>
      </c>
      <c r="AF9" s="115" t="n">
        <v>6800000</v>
      </c>
      <c r="AH9" s="115" t="n">
        <v>5225143.44</v>
      </c>
      <c r="AI9" s="0"/>
      <c r="AJ9" s="115" t="n">
        <v>6152847</v>
      </c>
      <c r="AL9" s="115" t="n">
        <v>6924847</v>
      </c>
      <c r="AN9" s="115" t="n">
        <v>6924847</v>
      </c>
      <c r="AP9" s="115" t="n">
        <v>6924847</v>
      </c>
      <c r="AR9" s="115" t="n">
        <v>24688143.63</v>
      </c>
      <c r="AT9" s="115" t="n">
        <v>0</v>
      </c>
      <c r="AV9" s="115" t="n">
        <v>13325691.37</v>
      </c>
      <c r="AX9" s="115" t="n">
        <v>7103247</v>
      </c>
      <c r="AZ9" s="115" t="n">
        <v>0</v>
      </c>
      <c r="BB9" s="115" t="n">
        <v>0</v>
      </c>
      <c r="BD9" s="115" t="n">
        <v>0</v>
      </c>
      <c r="BF9" s="115" t="n">
        <v>0</v>
      </c>
      <c r="BH9" s="115" t="n">
        <v>0</v>
      </c>
      <c r="BJ9" s="115" t="n">
        <v>0</v>
      </c>
      <c r="BK9" s="115"/>
      <c r="BL9" s="115" t="n">
        <f aca="false">SUM(T9:BK9)</f>
        <v>142064940.44</v>
      </c>
      <c r="BM9" s="115"/>
      <c r="BN9" s="115" t="n">
        <f aca="false">142064940-R9-192000</f>
        <v>1832000</v>
      </c>
      <c r="BO9" s="115"/>
      <c r="BP9" s="115" t="n">
        <f aca="false">IF(+R9-BL9+BN9&gt;0,R9-BL9+BN9,0)</f>
        <v>0</v>
      </c>
      <c r="BR9" s="115" t="n">
        <f aca="false">+BL9+BP9</f>
        <v>142064940.44</v>
      </c>
      <c r="BT9" s="115" t="n">
        <f aca="false">+R9-BR9</f>
        <v>-2024000.44</v>
      </c>
      <c r="BU9" s="115"/>
    </row>
    <row r="10" customFormat="false" ht="12.75" hidden="false" customHeight="false" outlineLevel="0" collapsed="false">
      <c r="A10" s="168"/>
      <c r="B10" s="165" t="s">
        <v>152</v>
      </c>
      <c r="C10" s="0"/>
      <c r="D10" s="0"/>
      <c r="E10" s="0"/>
      <c r="F10" s="0"/>
      <c r="G10" s="0"/>
      <c r="H10" s="0"/>
      <c r="I10" s="0"/>
      <c r="J10" s="4" t="s">
        <v>132</v>
      </c>
      <c r="K10" s="0"/>
      <c r="L10" s="169" t="s">
        <v>142</v>
      </c>
      <c r="M10" s="115"/>
      <c r="N10" s="115" t="n">
        <v>93330000</v>
      </c>
      <c r="O10" s="115"/>
      <c r="P10" s="115" t="n">
        <v>0</v>
      </c>
      <c r="Q10" s="115"/>
      <c r="R10" s="115" t="n">
        <v>192000</v>
      </c>
      <c r="S10" s="115"/>
      <c r="T10" s="115"/>
      <c r="U10" s="115"/>
      <c r="V10" s="115"/>
      <c r="X10" s="115"/>
      <c r="Z10" s="115"/>
      <c r="AB10" s="115"/>
      <c r="AD10" s="115" t="n">
        <v>0</v>
      </c>
      <c r="AF10" s="115" t="n">
        <v>0</v>
      </c>
      <c r="AH10" s="115" t="n">
        <v>0</v>
      </c>
      <c r="AI10" s="0"/>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192000</v>
      </c>
      <c r="BR10" s="115" t="n">
        <f aca="false">+BL10+BP10</f>
        <v>192000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AI11" s="0"/>
      <c r="BJ11" s="115"/>
      <c r="BK11" s="115"/>
      <c r="BM11" s="115"/>
      <c r="BN11" s="115"/>
      <c r="BO11" s="115"/>
      <c r="BP11" s="115" t="n">
        <f aca="false">IF(+R11-BL11+BN11&gt;0,R11-BL11+BN11,0)</f>
        <v>0</v>
      </c>
      <c r="BU11" s="115"/>
    </row>
    <row r="12" customFormat="false" ht="12.75" hidden="false" customHeight="false" outlineLevel="0" collapsed="false">
      <c r="A12" s="168"/>
      <c r="B12" s="165" t="s">
        <v>153</v>
      </c>
      <c r="C12" s="0"/>
      <c r="D12" s="0"/>
      <c r="E12" s="0"/>
      <c r="F12" s="0"/>
      <c r="G12" s="0"/>
      <c r="H12" s="0"/>
      <c r="I12" s="0"/>
      <c r="J12" s="4"/>
      <c r="K12" s="0"/>
      <c r="L12" s="169"/>
      <c r="M12" s="115"/>
      <c r="N12" s="170" t="n">
        <f aca="false">SUM(N9:N11)</f>
        <v>93330000</v>
      </c>
      <c r="O12" s="115"/>
      <c r="P12" s="170" t="n">
        <f aca="false">SUM(P9:P11)</f>
        <v>0</v>
      </c>
      <c r="Q12" s="115"/>
      <c r="R12" s="170" t="n">
        <f aca="false">SUM(R9:R11)</f>
        <v>140232940</v>
      </c>
      <c r="S12" s="115"/>
      <c r="T12" s="170" t="n">
        <f aca="false">SUM(T9:T11)</f>
        <v>6800000</v>
      </c>
      <c r="U12" s="115"/>
      <c r="V12" s="170" t="n">
        <f aca="false">SUM(V9:V11)</f>
        <v>0</v>
      </c>
      <c r="X12" s="170" t="n">
        <f aca="false">SUM(X9:X11)</f>
        <v>32884800</v>
      </c>
      <c r="Z12" s="170" t="n">
        <f aca="false">SUM(Z9:Z11)</f>
        <v>0</v>
      </c>
      <c r="AB12" s="170" t="n">
        <f aca="false">SUM(AB9:AB11)</f>
        <v>0</v>
      </c>
      <c r="AD12" s="170" t="n">
        <f aca="false">SUM(AD9:AD11)</f>
        <v>18310527</v>
      </c>
      <c r="AF12" s="170" t="n">
        <f aca="false">SUM(AF9:AF11)</f>
        <v>6800000</v>
      </c>
      <c r="AH12" s="170" t="n">
        <f aca="false">SUM(AH9:AH11)</f>
        <v>5225143.44</v>
      </c>
      <c r="AI12" s="0"/>
      <c r="AJ12" s="170" t="n">
        <f aca="false">SUM(AJ9:AJ11)</f>
        <v>6152847</v>
      </c>
      <c r="AL12" s="170" t="n">
        <f aca="false">SUM(AL9:AL11)</f>
        <v>6924847</v>
      </c>
      <c r="AN12" s="170" t="n">
        <f aca="false">SUM(AN9:AN11)</f>
        <v>6924847</v>
      </c>
      <c r="AP12" s="170" t="n">
        <f aca="false">SUM(AP9:AP11)</f>
        <v>6924847</v>
      </c>
      <c r="AR12" s="170" t="n">
        <f aca="false">SUM(AR9:AR11)</f>
        <v>24688143.63</v>
      </c>
      <c r="AT12" s="170" t="n">
        <f aca="false">SUM(AT9:AT11)</f>
        <v>0</v>
      </c>
      <c r="AV12" s="170" t="n">
        <f aca="false">SUM(AV9:AV11)</f>
        <v>13325691.37</v>
      </c>
      <c r="AX12" s="170" t="n">
        <f aca="false">SUM(AX9:AX11)</f>
        <v>7103247</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142064940.44</v>
      </c>
      <c r="BM12" s="115"/>
      <c r="BN12" s="170" t="n">
        <f aca="false">SUM(BN9:BN11)</f>
        <v>1832000</v>
      </c>
      <c r="BO12" s="115"/>
      <c r="BP12" s="170" t="n">
        <f aca="false">SUM(BP9:BP11)</f>
        <v>192000</v>
      </c>
      <c r="BR12" s="170" t="n">
        <f aca="false">SUM(BR9:BR11)</f>
        <v>142256940.44</v>
      </c>
      <c r="BT12" s="170" t="n">
        <f aca="false">SUM(BT9:BT11)</f>
        <v>-2024000.44</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AI13" s="0"/>
      <c r="BJ13" s="115"/>
      <c r="BK13" s="115"/>
      <c r="BM13" s="115"/>
      <c r="BN13" s="115"/>
      <c r="BO13" s="115"/>
      <c r="BU13" s="115"/>
    </row>
    <row r="14" customFormat="false" ht="12.75" hidden="true" customHeight="false" outlineLevel="0" collapsed="false">
      <c r="A14" s="168"/>
      <c r="B14" s="165" t="s">
        <v>154</v>
      </c>
      <c r="C14" s="0"/>
      <c r="D14" s="0"/>
      <c r="E14" s="0"/>
      <c r="F14" s="0"/>
      <c r="G14" s="0"/>
      <c r="H14" s="0"/>
      <c r="I14" s="0"/>
      <c r="J14" s="4"/>
      <c r="K14" s="0"/>
      <c r="L14" s="169" t="s">
        <v>142</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I14" s="0"/>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155</v>
      </c>
      <c r="C15" s="0"/>
      <c r="D15" s="0"/>
      <c r="E15" s="0"/>
      <c r="F15" s="0"/>
      <c r="G15" s="0"/>
      <c r="H15" s="0"/>
      <c r="I15" s="0"/>
      <c r="J15" s="4" t="s">
        <v>132</v>
      </c>
      <c r="K15" s="0"/>
      <c r="L15" s="169" t="s">
        <v>142</v>
      </c>
      <c r="M15" s="115"/>
      <c r="N15" s="115" t="n">
        <v>0</v>
      </c>
      <c r="O15" s="115"/>
      <c r="P15" s="115" t="n">
        <v>0</v>
      </c>
      <c r="Q15" s="115"/>
      <c r="R15" s="115" t="n">
        <v>5878600</v>
      </c>
      <c r="S15" s="115"/>
      <c r="T15" s="115" t="n">
        <v>0</v>
      </c>
      <c r="U15" s="115"/>
      <c r="V15" s="115" t="n">
        <v>1250000</v>
      </c>
      <c r="X15" s="115" t="n">
        <v>0</v>
      </c>
      <c r="Z15" s="115" t="n">
        <v>0</v>
      </c>
      <c r="AB15" s="115" t="n">
        <v>0</v>
      </c>
      <c r="AD15" s="115" t="n">
        <v>0</v>
      </c>
      <c r="AF15" s="115" t="n">
        <v>0</v>
      </c>
      <c r="AH15" s="115" t="n">
        <f aca="false">-740943.25+666672.85</f>
        <v>-74270.4</v>
      </c>
      <c r="AI15" s="0"/>
      <c r="AJ15" s="115" t="n">
        <v>7480</v>
      </c>
      <c r="AL15" s="115" t="n">
        <v>0</v>
      </c>
      <c r="AN15" s="115" t="n">
        <v>1774814.4</v>
      </c>
      <c r="AP15" s="115" t="n">
        <v>0</v>
      </c>
      <c r="AR15" s="115" t="n">
        <v>1774814.4</v>
      </c>
      <c r="AT15" s="115" t="n">
        <v>591604.8</v>
      </c>
      <c r="AX15" s="115" t="n">
        <v>0</v>
      </c>
      <c r="AZ15" s="115" t="n">
        <v>427250</v>
      </c>
      <c r="BB15" s="115" t="n">
        <v>590954.8</v>
      </c>
      <c r="BD15" s="115" t="n">
        <v>0</v>
      </c>
      <c r="BF15" s="115" t="n">
        <v>0</v>
      </c>
      <c r="BH15" s="115" t="n">
        <v>0</v>
      </c>
      <c r="BJ15" s="115" t="n">
        <v>0</v>
      </c>
      <c r="BK15" s="115"/>
      <c r="BL15" s="115" t="n">
        <f aca="false">SUM(T15:BK15)</f>
        <v>6342648</v>
      </c>
      <c r="BM15" s="115"/>
      <c r="BN15" s="115" t="n">
        <f aca="false">5916048-5878600+220650+206600</f>
        <v>464698</v>
      </c>
      <c r="BO15" s="115"/>
      <c r="BP15" s="115" t="n">
        <f aca="false">IF(+R15-BL15+BN15&gt;0,R15-BL15+BN15,0)</f>
        <v>650</v>
      </c>
      <c r="BR15" s="115" t="n">
        <f aca="false">+BL15+BP15</f>
        <v>6343298</v>
      </c>
      <c r="BT15" s="115" t="n">
        <f aca="false">+R15-BR15</f>
        <v>-464698</v>
      </c>
      <c r="BU15" s="115"/>
    </row>
    <row r="16" customFormat="false" ht="12.75" hidden="false" customHeight="false" outlineLevel="0" collapsed="false">
      <c r="A16" s="171"/>
      <c r="B16" s="165" t="s">
        <v>156</v>
      </c>
      <c r="C16" s="0"/>
      <c r="D16" s="0"/>
      <c r="E16" s="0"/>
      <c r="F16" s="0"/>
      <c r="G16" s="0"/>
      <c r="H16" s="0"/>
      <c r="I16" s="0"/>
      <c r="J16" s="4" t="s">
        <v>132</v>
      </c>
      <c r="K16" s="0"/>
      <c r="L16" s="169" t="s">
        <v>142</v>
      </c>
      <c r="M16" s="115"/>
      <c r="O16" s="115"/>
      <c r="Q16" s="115"/>
      <c r="S16" s="115"/>
      <c r="T16" s="115"/>
      <c r="U16" s="115"/>
      <c r="V16" s="115"/>
      <c r="X16" s="115"/>
      <c r="Z16" s="115"/>
      <c r="AB16" s="115"/>
      <c r="AD16" s="115"/>
      <c r="AI16" s="0"/>
      <c r="BJ16" s="115"/>
      <c r="BK16" s="115"/>
      <c r="BM16" s="115"/>
      <c r="BN16" s="115"/>
      <c r="BO16" s="115"/>
      <c r="BP16" s="115" t="n">
        <f aca="false">IF(+R16-BL16+BN16&gt;0,R16-BL16+BN16,0)</f>
        <v>0</v>
      </c>
      <c r="BR16" s="115" t="n">
        <f aca="false">+BL16+BP16</f>
        <v>0</v>
      </c>
      <c r="BT16" s="115" t="n">
        <f aca="false">+R16-BR16</f>
        <v>0</v>
      </c>
      <c r="BU16" s="115"/>
    </row>
    <row r="17" customFormat="false" ht="12.75" hidden="false" customHeight="false" outlineLevel="0" collapsed="false">
      <c r="A17" s="171"/>
      <c r="B17" s="165" t="s">
        <v>157</v>
      </c>
      <c r="C17" s="0"/>
      <c r="D17" s="0"/>
      <c r="E17" s="0"/>
      <c r="F17" s="0"/>
      <c r="G17" s="0"/>
      <c r="H17" s="0"/>
      <c r="I17" s="0"/>
      <c r="J17" s="4" t="s">
        <v>132</v>
      </c>
      <c r="K17" s="0"/>
      <c r="L17" s="169" t="s">
        <v>142</v>
      </c>
      <c r="M17" s="115"/>
      <c r="O17" s="115"/>
      <c r="Q17" s="115"/>
      <c r="S17" s="115"/>
      <c r="T17" s="115"/>
      <c r="U17" s="115"/>
      <c r="V17" s="115"/>
      <c r="X17" s="115"/>
      <c r="Z17" s="115"/>
      <c r="AB17" s="115"/>
      <c r="AD17" s="115"/>
      <c r="AI17" s="0"/>
      <c r="BJ17" s="115"/>
      <c r="BK17" s="115"/>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158</v>
      </c>
      <c r="C18" s="0"/>
      <c r="D18" s="0"/>
      <c r="E18" s="0"/>
      <c r="F18" s="0"/>
      <c r="G18" s="0"/>
      <c r="H18" s="0"/>
      <c r="I18" s="0"/>
      <c r="J18" s="4" t="s">
        <v>132</v>
      </c>
      <c r="K18" s="0"/>
      <c r="L18" s="169" t="s">
        <v>142</v>
      </c>
      <c r="M18" s="115"/>
      <c r="O18" s="115"/>
      <c r="Q18" s="115"/>
      <c r="S18" s="115"/>
      <c r="T18" s="115"/>
      <c r="U18" s="115"/>
      <c r="V18" s="115"/>
      <c r="X18" s="115"/>
      <c r="Z18" s="115"/>
      <c r="AB18" s="115"/>
      <c r="AD18" s="115"/>
      <c r="AI18" s="0"/>
      <c r="BJ18" s="115"/>
      <c r="BK18" s="115"/>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159</v>
      </c>
      <c r="C19" s="0"/>
      <c r="D19" s="0"/>
      <c r="E19" s="0"/>
      <c r="F19" s="0"/>
      <c r="G19" s="0"/>
      <c r="H19" s="0"/>
      <c r="I19" s="0"/>
      <c r="J19" s="4" t="s">
        <v>132</v>
      </c>
      <c r="K19" s="0"/>
      <c r="L19" s="169" t="s">
        <v>142</v>
      </c>
      <c r="M19" s="115"/>
      <c r="O19" s="115"/>
      <c r="Q19" s="115"/>
      <c r="R19" s="115" t="n">
        <v>0</v>
      </c>
      <c r="S19" s="115"/>
      <c r="T19" s="115"/>
      <c r="U19" s="115"/>
      <c r="V19" s="115"/>
      <c r="X19" s="115"/>
      <c r="Z19" s="115"/>
      <c r="AB19" s="115"/>
      <c r="AD19" s="115"/>
      <c r="AI19" s="0"/>
      <c r="BJ19" s="115"/>
      <c r="BK19" s="115"/>
      <c r="BM19" s="115"/>
      <c r="BN19" s="115"/>
      <c r="BO19" s="115"/>
      <c r="BP19" s="115" t="n">
        <f aca="false">IF(+R19-BL19+BN19&gt;0,R19-BL19+BN19,0)</f>
        <v>0</v>
      </c>
      <c r="BR19" s="115" t="n">
        <f aca="false">+BL19+BP19</f>
        <v>0</v>
      </c>
      <c r="BT19" s="115" t="n">
        <f aca="false">+R19-BR19</f>
        <v>0</v>
      </c>
      <c r="BU19" s="115"/>
    </row>
    <row r="20" customFormat="false" ht="12.75" hidden="true" customHeight="false" outlineLevel="0" collapsed="false">
      <c r="A20" s="171"/>
      <c r="B20" s="165"/>
      <c r="C20" s="0"/>
      <c r="D20" s="0"/>
      <c r="E20" s="0"/>
      <c r="F20" s="0"/>
      <c r="G20" s="0"/>
      <c r="H20" s="0"/>
      <c r="I20" s="0"/>
      <c r="J20" s="4" t="s">
        <v>132</v>
      </c>
      <c r="K20" s="0"/>
      <c r="L20" s="169"/>
      <c r="M20" s="115"/>
      <c r="O20" s="115"/>
      <c r="Q20" s="115"/>
      <c r="S20" s="115"/>
      <c r="T20" s="115"/>
      <c r="U20" s="115"/>
      <c r="V20" s="115"/>
      <c r="X20" s="115"/>
      <c r="Z20" s="115"/>
      <c r="AB20" s="115"/>
      <c r="AD20" s="115"/>
      <c r="AI20" s="0"/>
      <c r="BJ20" s="115"/>
      <c r="BK20" s="115"/>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t="s">
        <v>160</v>
      </c>
      <c r="C21" s="0"/>
      <c r="D21" s="0"/>
      <c r="E21" s="0"/>
      <c r="F21" s="0"/>
      <c r="G21" s="0"/>
      <c r="H21" s="0"/>
      <c r="I21" s="0"/>
      <c r="J21" s="4" t="s">
        <v>132</v>
      </c>
      <c r="K21" s="0"/>
      <c r="L21" s="169" t="s">
        <v>142</v>
      </c>
      <c r="M21" s="115"/>
      <c r="N21" s="115" t="n">
        <v>0</v>
      </c>
      <c r="O21" s="115"/>
      <c r="P21" s="115" t="n">
        <v>0</v>
      </c>
      <c r="Q21" s="115"/>
      <c r="R21" s="115" t="n">
        <f aca="false">+N21+P21</f>
        <v>0</v>
      </c>
      <c r="S21" s="115"/>
      <c r="T21" s="115" t="n">
        <v>0</v>
      </c>
      <c r="U21" s="115"/>
      <c r="V21" s="115" t="n">
        <v>0</v>
      </c>
      <c r="X21" s="115" t="n">
        <v>0</v>
      </c>
      <c r="Z21" s="115" t="n">
        <v>0</v>
      </c>
      <c r="AB21" s="115" t="n">
        <v>0</v>
      </c>
      <c r="AD21" s="115" t="n">
        <v>0</v>
      </c>
      <c r="AF21" s="115" t="n">
        <v>0</v>
      </c>
      <c r="AH21" s="115" t="n">
        <v>0</v>
      </c>
      <c r="AI21" s="0"/>
      <c r="AJ21" s="115" t="n">
        <v>0</v>
      </c>
      <c r="AL21" s="115" t="n">
        <v>0</v>
      </c>
      <c r="AN21" s="115" t="n">
        <v>0</v>
      </c>
      <c r="AP21" s="115" t="n">
        <v>0</v>
      </c>
      <c r="AR21" s="115" t="n">
        <v>0</v>
      </c>
      <c r="AT21" s="115" t="n">
        <v>0</v>
      </c>
      <c r="AV21" s="115" t="n">
        <v>0</v>
      </c>
      <c r="AX21" s="115" t="n">
        <v>0</v>
      </c>
      <c r="AZ21" s="115" t="n">
        <v>0</v>
      </c>
      <c r="BB21" s="115" t="n">
        <v>0</v>
      </c>
      <c r="BD21" s="115" t="n">
        <v>0</v>
      </c>
      <c r="BF21" s="115" t="n">
        <v>0</v>
      </c>
      <c r="BH21" s="115" t="n">
        <v>0</v>
      </c>
      <c r="BJ21" s="115" t="n">
        <v>0</v>
      </c>
      <c r="BK21" s="115"/>
      <c r="BL21" s="115" t="n">
        <f aca="false">SUM(T21:BK21)</f>
        <v>0</v>
      </c>
      <c r="BM21" s="115"/>
      <c r="BN21" s="115" t="n">
        <v>0</v>
      </c>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161</v>
      </c>
      <c r="C22" s="0"/>
      <c r="D22" s="0"/>
      <c r="E22" s="0"/>
      <c r="F22" s="0"/>
      <c r="G22" s="0"/>
      <c r="H22" s="0"/>
      <c r="I22" s="0"/>
      <c r="J22" s="4" t="s">
        <v>132</v>
      </c>
      <c r="K22" s="0"/>
      <c r="L22" s="169" t="s">
        <v>142</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I22" s="0"/>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162</v>
      </c>
      <c r="C23" s="0"/>
      <c r="D23" s="0"/>
      <c r="E23" s="0"/>
      <c r="F23" s="0"/>
      <c r="G23" s="0"/>
      <c r="H23" s="0"/>
      <c r="I23" s="0"/>
      <c r="J23" s="4" t="s">
        <v>132</v>
      </c>
      <c r="K23" s="0"/>
      <c r="L23" s="169" t="s">
        <v>142</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I23" s="0"/>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163</v>
      </c>
      <c r="C24" s="0"/>
      <c r="D24" s="0"/>
      <c r="E24" s="0"/>
      <c r="F24" s="0"/>
      <c r="G24" s="0"/>
      <c r="H24" s="0"/>
      <c r="I24" s="0"/>
      <c r="J24" s="4" t="s">
        <v>132</v>
      </c>
      <c r="K24" s="0"/>
      <c r="L24" s="169" t="s">
        <v>142</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I24" s="0"/>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164</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I25" s="0"/>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2"/>
      <c r="B26" s="165" t="s">
        <v>165</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I26" s="0"/>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166</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I27" s="0"/>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3"/>
      <c r="B28" s="165" t="s">
        <v>167</v>
      </c>
      <c r="C28" s="18"/>
      <c r="D28" s="18"/>
      <c r="E28" s="18"/>
      <c r="F28" s="18"/>
      <c r="G28" s="18"/>
      <c r="H28" s="18"/>
      <c r="I28" s="18"/>
      <c r="J28" s="4" t="s">
        <v>132</v>
      </c>
      <c r="K28" s="18"/>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I28" s="0"/>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row>
    <row r="29" customFormat="false" ht="12.75" hidden="false" customHeight="false" outlineLevel="0" collapsed="false">
      <c r="A29" s="171"/>
      <c r="B29" s="165" t="s">
        <v>152</v>
      </c>
      <c r="C29" s="0"/>
      <c r="D29" s="0"/>
      <c r="E29" s="0"/>
      <c r="F29" s="0"/>
      <c r="G29" s="0"/>
      <c r="H29" s="0"/>
      <c r="I29" s="0"/>
      <c r="J29" s="4" t="s">
        <v>132</v>
      </c>
      <c r="K29" s="0"/>
      <c r="L29" s="169" t="s">
        <v>142</v>
      </c>
      <c r="M29" s="115"/>
      <c r="N29" s="115" t="n">
        <v>0</v>
      </c>
      <c r="O29" s="115"/>
      <c r="P29" s="115" t="n">
        <v>0</v>
      </c>
      <c r="Q29" s="115"/>
      <c r="R29" s="115" t="n">
        <v>0</v>
      </c>
      <c r="S29" s="115"/>
      <c r="T29" s="115" t="n">
        <v>0</v>
      </c>
      <c r="U29" s="115"/>
      <c r="V29" s="115" t="n">
        <v>0</v>
      </c>
      <c r="X29" s="115" t="n">
        <v>0</v>
      </c>
      <c r="Z29" s="115" t="n">
        <v>0</v>
      </c>
      <c r="AB29" s="115" t="n">
        <v>0</v>
      </c>
      <c r="AD29" s="115"/>
      <c r="AF29" s="115" t="n">
        <v>0</v>
      </c>
      <c r="AH29" s="115" t="n">
        <v>0</v>
      </c>
      <c r="AI29" s="0"/>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row>
    <row r="30" customFormat="false" ht="12.75" hidden="false" customHeight="false" outlineLevel="0" collapsed="false">
      <c r="A30" s="171"/>
      <c r="B30" s="165"/>
      <c r="C30" s="0"/>
      <c r="D30" s="0"/>
      <c r="E30" s="0"/>
      <c r="F30" s="0"/>
      <c r="G30" s="0"/>
      <c r="H30" s="0"/>
      <c r="I30" s="0"/>
      <c r="J30" s="4"/>
      <c r="K30" s="0"/>
      <c r="L30" s="169"/>
      <c r="M30" s="115"/>
      <c r="O30" s="115"/>
      <c r="Q30" s="115"/>
      <c r="S30" s="115"/>
      <c r="T30" s="115"/>
      <c r="U30" s="115"/>
      <c r="V30" s="115"/>
      <c r="X30" s="115"/>
      <c r="Z30" s="115"/>
      <c r="AB30" s="115"/>
      <c r="AD30" s="115"/>
      <c r="AI30" s="0"/>
      <c r="BJ30" s="115"/>
      <c r="BK30" s="115"/>
      <c r="BM30" s="115"/>
      <c r="BN30" s="115"/>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t="s">
        <v>168</v>
      </c>
      <c r="C31" s="0"/>
      <c r="D31" s="0"/>
      <c r="E31" s="0"/>
      <c r="F31" s="0"/>
      <c r="G31" s="0"/>
      <c r="H31" s="0"/>
      <c r="I31" s="0"/>
      <c r="J31" s="4"/>
      <c r="K31" s="0"/>
      <c r="L31" s="169"/>
      <c r="M31" s="115"/>
      <c r="N31" s="170" t="n">
        <f aca="false">SUM(N14:N30)</f>
        <v>0</v>
      </c>
      <c r="O31" s="115"/>
      <c r="P31" s="170" t="n">
        <f aca="false">SUM(P14:P30)</f>
        <v>0</v>
      </c>
      <c r="Q31" s="115"/>
      <c r="R31" s="170" t="n">
        <f aca="false">SUM(R14:R30)</f>
        <v>5878600</v>
      </c>
      <c r="S31" s="115"/>
      <c r="T31" s="170" t="n">
        <f aca="false">SUM(T14:T30)</f>
        <v>0</v>
      </c>
      <c r="U31" s="115"/>
      <c r="V31" s="170" t="n">
        <f aca="false">SUM(V14:V30)</f>
        <v>1250000</v>
      </c>
      <c r="X31" s="170" t="n">
        <f aca="false">SUM(X14:X30)</f>
        <v>0</v>
      </c>
      <c r="Z31" s="170" t="n">
        <f aca="false">SUM(Z14:Z30)</f>
        <v>0</v>
      </c>
      <c r="AB31" s="170" t="n">
        <f aca="false">SUM(AB14:AB30)</f>
        <v>0</v>
      </c>
      <c r="AD31" s="170" t="n">
        <f aca="false">SUM(AD14:AD30)</f>
        <v>0</v>
      </c>
      <c r="AF31" s="170" t="n">
        <f aca="false">SUM(AF14:AF30)</f>
        <v>0</v>
      </c>
      <c r="AH31" s="170" t="n">
        <f aca="false">SUM(AH14:AH30)</f>
        <v>-74270.4</v>
      </c>
      <c r="AI31" s="0"/>
      <c r="AJ31" s="170" t="n">
        <f aca="false">SUM(AJ14:AJ30)</f>
        <v>7480</v>
      </c>
      <c r="AL31" s="170" t="n">
        <f aca="false">SUM(AL14:AL30)</f>
        <v>0</v>
      </c>
      <c r="AN31" s="170" t="n">
        <f aca="false">SUM(AN14:AN30)</f>
        <v>1774814.4</v>
      </c>
      <c r="AP31" s="170" t="n">
        <f aca="false">SUM(AP14:AP30)</f>
        <v>0</v>
      </c>
      <c r="AR31" s="170" t="n">
        <f aca="false">SUM(AR14:AR30)</f>
        <v>1774814.4</v>
      </c>
      <c r="AT31" s="170" t="n">
        <f aca="false">SUM(AT14:AT30)</f>
        <v>591604.8</v>
      </c>
      <c r="AV31" s="170" t="n">
        <f aca="false">SUM(AV14:AV30)</f>
        <v>0</v>
      </c>
      <c r="AX31" s="170" t="n">
        <f aca="false">SUM(AX14:AX30)</f>
        <v>0</v>
      </c>
      <c r="AZ31" s="170" t="n">
        <f aca="false">SUM(AZ14:AZ30)</f>
        <v>427250</v>
      </c>
      <c r="BB31" s="170" t="n">
        <f aca="false">SUM(BB14:BB30)</f>
        <v>590954.8</v>
      </c>
      <c r="BD31" s="170" t="n">
        <f aca="false">SUM(BD14:BD30)</f>
        <v>0</v>
      </c>
      <c r="BF31" s="170" t="n">
        <f aca="false">SUM(BF14:BF30)</f>
        <v>0</v>
      </c>
      <c r="BH31" s="170" t="n">
        <f aca="false">SUM(BH14:BH30)</f>
        <v>0</v>
      </c>
      <c r="BJ31" s="170" t="n">
        <f aca="false">SUM(BJ14:BJ30)</f>
        <v>0</v>
      </c>
      <c r="BK31" s="115"/>
      <c r="BL31" s="170" t="n">
        <f aca="false">SUM(BL14:BL30)</f>
        <v>6342648</v>
      </c>
      <c r="BM31" s="115"/>
      <c r="BN31" s="170" t="n">
        <f aca="false">SUM(BN14:BN30)</f>
        <v>464698</v>
      </c>
      <c r="BO31" s="115"/>
      <c r="BP31" s="170" t="n">
        <f aca="false">SUM(BP14:BP30)</f>
        <v>650</v>
      </c>
      <c r="BR31" s="170" t="n">
        <f aca="false">SUM(BR14:BR30)</f>
        <v>6343298</v>
      </c>
      <c r="BT31" s="170" t="n">
        <f aca="false">SUM(BT14:BT30)</f>
        <v>-464698</v>
      </c>
      <c r="BU31" s="115"/>
    </row>
    <row r="32" customFormat="false" ht="12.75" hidden="false" customHeight="false" outlineLevel="0" collapsed="false">
      <c r="A32" s="171"/>
      <c r="B32" s="165"/>
      <c r="C32" s="0"/>
      <c r="D32" s="0"/>
      <c r="E32" s="0"/>
      <c r="F32" s="0"/>
      <c r="G32" s="0"/>
      <c r="H32" s="0"/>
      <c r="I32" s="0"/>
      <c r="J32" s="4"/>
      <c r="K32" s="0"/>
      <c r="L32" s="169"/>
      <c r="M32" s="115"/>
      <c r="O32" s="115"/>
      <c r="Q32" s="115"/>
      <c r="S32" s="115"/>
      <c r="T32" s="115"/>
      <c r="U32" s="115"/>
      <c r="V32" s="115"/>
      <c r="X32" s="115"/>
      <c r="Z32" s="115"/>
      <c r="AB32" s="115"/>
      <c r="AD32" s="115"/>
      <c r="AI32" s="0"/>
      <c r="BJ32" s="115"/>
      <c r="BK32" s="115"/>
      <c r="BM32" s="115"/>
      <c r="BN32" s="115"/>
      <c r="BO32" s="115"/>
      <c r="BU32" s="115"/>
    </row>
    <row r="33" customFormat="false" ht="12.75" hidden="false" customHeight="false" outlineLevel="0" collapsed="false">
      <c r="A33" s="175"/>
      <c r="B33" s="176" t="s">
        <v>169</v>
      </c>
      <c r="C33" s="177"/>
      <c r="D33" s="177"/>
      <c r="E33" s="177"/>
      <c r="F33" s="177"/>
      <c r="G33" s="177"/>
      <c r="H33" s="177"/>
      <c r="I33" s="177"/>
      <c r="J33" s="178"/>
      <c r="K33" s="177"/>
      <c r="L33" s="179"/>
      <c r="M33" s="180"/>
      <c r="N33" s="180" t="n">
        <f aca="false">+N31+N12</f>
        <v>93330000</v>
      </c>
      <c r="O33" s="180"/>
      <c r="P33" s="180" t="n">
        <f aca="false">+P31+P12</f>
        <v>0</v>
      </c>
      <c r="Q33" s="180"/>
      <c r="R33" s="180" t="n">
        <f aca="false">+R31+R12</f>
        <v>146111540</v>
      </c>
      <c r="S33" s="180"/>
      <c r="T33" s="180" t="n">
        <f aca="false">+T31+T12</f>
        <v>6800000</v>
      </c>
      <c r="U33" s="180"/>
      <c r="V33" s="180" t="n">
        <f aca="false">+V31+V12</f>
        <v>1250000</v>
      </c>
      <c r="W33" s="180"/>
      <c r="X33" s="180" t="n">
        <f aca="false">+X31+X12</f>
        <v>32884800</v>
      </c>
      <c r="Y33" s="180"/>
      <c r="Z33" s="180" t="n">
        <f aca="false">+Z31+Z12</f>
        <v>0</v>
      </c>
      <c r="AA33" s="180"/>
      <c r="AB33" s="180" t="n">
        <f aca="false">+AB31+AB12</f>
        <v>0</v>
      </c>
      <c r="AC33" s="180"/>
      <c r="AD33" s="180" t="n">
        <f aca="false">+AD31+AD12</f>
        <v>18310527</v>
      </c>
      <c r="AE33" s="180"/>
      <c r="AF33" s="180" t="n">
        <f aca="false">+AF31+AF12</f>
        <v>6800000</v>
      </c>
      <c r="AG33" s="180"/>
      <c r="AH33" s="180" t="n">
        <f aca="false">+AH31+AH12</f>
        <v>5150873.04</v>
      </c>
      <c r="AI33" s="0"/>
      <c r="AJ33" s="180" t="n">
        <f aca="false">+AJ31+AJ12</f>
        <v>6160327</v>
      </c>
      <c r="AL33" s="180" t="n">
        <f aca="false">+AL31+AL12</f>
        <v>6924847</v>
      </c>
      <c r="AN33" s="180" t="n">
        <f aca="false">+AN31+AN12</f>
        <v>8699661.4</v>
      </c>
      <c r="AO33" s="180"/>
      <c r="AP33" s="180" t="n">
        <f aca="false">+AP31+AP12</f>
        <v>6924847</v>
      </c>
      <c r="AQ33" s="180"/>
      <c r="AR33" s="180" t="n">
        <f aca="false">+AR31+AR12</f>
        <v>26462958.03</v>
      </c>
      <c r="AS33" s="180"/>
      <c r="AT33" s="180" t="n">
        <f aca="false">+AT31+AT12</f>
        <v>591604.8</v>
      </c>
      <c r="AU33" s="180"/>
      <c r="AV33" s="180" t="n">
        <f aca="false">+AV31+AV12</f>
        <v>13325691.37</v>
      </c>
      <c r="AW33" s="180"/>
      <c r="AX33" s="180" t="n">
        <f aca="false">+AX31+AX12</f>
        <v>7103247</v>
      </c>
      <c r="AY33" s="180"/>
      <c r="AZ33" s="180" t="n">
        <f aca="false">+AZ31+AZ12</f>
        <v>427250</v>
      </c>
      <c r="BA33" s="180"/>
      <c r="BB33" s="180" t="n">
        <f aca="false">+BB31+BB12</f>
        <v>590954.8</v>
      </c>
      <c r="BC33" s="180"/>
      <c r="BD33" s="180" t="n">
        <f aca="false">+BD31+BD12</f>
        <v>0</v>
      </c>
      <c r="BE33" s="180"/>
      <c r="BF33" s="180" t="n">
        <f aca="false">+BF31+BF12</f>
        <v>0</v>
      </c>
      <c r="BG33" s="180"/>
      <c r="BH33" s="180" t="n">
        <f aca="false">+BH31+BH12</f>
        <v>0</v>
      </c>
      <c r="BI33" s="180"/>
      <c r="BJ33" s="180" t="n">
        <f aca="false">+BJ31+BJ12</f>
        <v>0</v>
      </c>
      <c r="BK33" s="180"/>
      <c r="BL33" s="180" t="n">
        <f aca="false">+BL31+BL12</f>
        <v>148407588.44</v>
      </c>
      <c r="BM33" s="180"/>
      <c r="BN33" s="180" t="n">
        <f aca="false">+BN31+BN12</f>
        <v>2296698</v>
      </c>
      <c r="BO33" s="180"/>
      <c r="BP33" s="180" t="n">
        <f aca="false">+BP31+BP12</f>
        <v>192650</v>
      </c>
      <c r="BQ33" s="180"/>
      <c r="BR33" s="180" t="n">
        <f aca="false">+BR31+BR12</f>
        <v>148600238.44</v>
      </c>
      <c r="BS33" s="180"/>
      <c r="BT33" s="180" t="n">
        <f aca="false">+BT31+BT12</f>
        <v>-2488698.44</v>
      </c>
      <c r="BU33" s="180"/>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c r="IW33" s="177"/>
    </row>
    <row r="34" customFormat="false" ht="12.75" hidden="false" customHeight="false" outlineLevel="0" collapsed="false">
      <c r="A34" s="171"/>
      <c r="B34" s="181"/>
      <c r="C34" s="0"/>
      <c r="D34" s="0"/>
      <c r="E34" s="0"/>
      <c r="F34" s="0"/>
      <c r="G34" s="0"/>
      <c r="H34" s="0"/>
      <c r="I34" s="0"/>
      <c r="J34" s="4"/>
      <c r="K34" s="0"/>
      <c r="L34" s="169"/>
      <c r="M34" s="115"/>
      <c r="O34" s="115"/>
      <c r="Q34" s="115"/>
      <c r="S34" s="115"/>
      <c r="T34" s="115"/>
      <c r="U34" s="115"/>
      <c r="V34" s="115"/>
      <c r="X34" s="115"/>
      <c r="Z34" s="115"/>
      <c r="AB34" s="115"/>
      <c r="AD34" s="115"/>
      <c r="AI34" s="0"/>
      <c r="BJ34" s="115"/>
      <c r="BK34" s="115"/>
      <c r="BM34" s="115"/>
      <c r="BN34" s="115"/>
      <c r="BO34" s="115"/>
      <c r="BU34" s="115"/>
    </row>
    <row r="35" customFormat="false" ht="12.75" hidden="false" customHeight="false" outlineLevel="0" collapsed="false">
      <c r="A35" s="171"/>
      <c r="B35" s="165"/>
      <c r="C35" s="0"/>
      <c r="D35" s="0"/>
      <c r="E35" s="0"/>
      <c r="F35" s="0"/>
      <c r="G35" s="0"/>
      <c r="H35" s="0"/>
      <c r="I35" s="0"/>
      <c r="J35" s="4"/>
      <c r="K35" s="0"/>
      <c r="L35" s="169"/>
      <c r="M35" s="115"/>
      <c r="O35" s="115"/>
      <c r="Q35" s="115"/>
      <c r="S35" s="115"/>
      <c r="T35" s="115"/>
      <c r="U35" s="115"/>
      <c r="V35" s="115"/>
      <c r="X35" s="115"/>
      <c r="Z35" s="115"/>
      <c r="AB35" s="115"/>
      <c r="AD35" s="115"/>
      <c r="AI35" s="0"/>
      <c r="BJ35" s="115"/>
      <c r="BK35" s="115"/>
      <c r="BM35" s="115"/>
      <c r="BN35" s="115"/>
      <c r="BO35" s="115"/>
      <c r="BU35" s="115"/>
    </row>
    <row r="36" customFormat="false" ht="12.75" hidden="false" customHeight="false" outlineLevel="0" collapsed="false">
      <c r="A36" s="182" t="s">
        <v>170</v>
      </c>
      <c r="B36" s="165"/>
      <c r="C36" s="0"/>
      <c r="D36" s="0"/>
      <c r="E36" s="0"/>
      <c r="F36" s="0"/>
      <c r="G36" s="0"/>
      <c r="H36" s="0"/>
      <c r="I36" s="0"/>
      <c r="J36" s="4"/>
      <c r="K36" s="0"/>
      <c r="L36" s="169"/>
      <c r="M36" s="115"/>
      <c r="O36" s="115"/>
      <c r="Q36" s="115"/>
      <c r="S36" s="115"/>
      <c r="T36" s="115"/>
      <c r="U36" s="115"/>
      <c r="V36" s="115"/>
      <c r="X36" s="115"/>
      <c r="Z36" s="115"/>
      <c r="AB36" s="115"/>
      <c r="AD36" s="115"/>
      <c r="AI36" s="0"/>
      <c r="BJ36" s="115"/>
      <c r="BK36" s="115"/>
      <c r="BM36" s="115"/>
      <c r="BN36" s="115"/>
      <c r="BO36" s="115"/>
      <c r="BU36" s="115"/>
    </row>
    <row r="37" customFormat="false" ht="12.75" hidden="false" customHeight="false" outlineLevel="0" collapsed="false">
      <c r="A37" s="171"/>
      <c r="B37" s="165"/>
      <c r="C37" s="0"/>
      <c r="D37" s="0"/>
      <c r="E37" s="0"/>
      <c r="F37" s="0"/>
      <c r="G37" s="0"/>
      <c r="H37" s="0"/>
      <c r="I37" s="0"/>
      <c r="J37" s="4"/>
      <c r="K37" s="0"/>
      <c r="L37" s="169"/>
      <c r="M37" s="115"/>
      <c r="O37" s="115"/>
      <c r="Q37" s="115"/>
      <c r="S37" s="115"/>
      <c r="T37" s="115" t="n">
        <v>0</v>
      </c>
      <c r="U37" s="115"/>
      <c r="V37" s="115" t="n">
        <v>0</v>
      </c>
      <c r="X37" s="115" t="n">
        <v>0</v>
      </c>
      <c r="Z37" s="115" t="n">
        <v>0</v>
      </c>
      <c r="AB37" s="115" t="n">
        <v>0</v>
      </c>
      <c r="AD37" s="115" t="n">
        <v>0</v>
      </c>
      <c r="AF37" s="115" t="n">
        <v>0</v>
      </c>
      <c r="AH37" s="115" t="n">
        <v>0</v>
      </c>
      <c r="AI37" s="0"/>
      <c r="AJ37" s="115" t="n">
        <v>0</v>
      </c>
      <c r="AL37" s="115" t="n">
        <v>0</v>
      </c>
      <c r="AN37" s="115" t="n">
        <v>0</v>
      </c>
      <c r="AP37" s="115" t="n">
        <v>0</v>
      </c>
      <c r="AR37" s="115" t="n">
        <v>0</v>
      </c>
      <c r="AT37" s="115" t="n">
        <v>0</v>
      </c>
      <c r="AV37" s="115" t="n">
        <v>0</v>
      </c>
      <c r="AX37" s="115" t="n">
        <v>0</v>
      </c>
      <c r="AZ37" s="115" t="n">
        <v>0</v>
      </c>
      <c r="BB37" s="115" t="n">
        <v>0</v>
      </c>
      <c r="BD37" s="115" t="n">
        <v>0</v>
      </c>
      <c r="BF37" s="115" t="n">
        <v>0</v>
      </c>
      <c r="BH37" s="115" t="n">
        <v>0</v>
      </c>
      <c r="BJ37" s="115" t="n">
        <v>0</v>
      </c>
      <c r="BK37" s="115"/>
      <c r="BM37" s="115"/>
      <c r="BN37" s="115"/>
      <c r="BO37" s="115"/>
      <c r="BU37" s="115"/>
    </row>
    <row r="38" customFormat="false" ht="12.75" hidden="false" customHeight="false" outlineLevel="0" collapsed="false">
      <c r="A38" s="171"/>
      <c r="B38" s="183" t="s">
        <v>171</v>
      </c>
      <c r="C38" s="0"/>
      <c r="D38" s="0"/>
      <c r="E38" s="0"/>
      <c r="F38" s="0"/>
      <c r="G38" s="0"/>
      <c r="H38" s="0"/>
      <c r="I38" s="0"/>
      <c r="J38" s="4"/>
      <c r="K38" s="0"/>
      <c r="L38" s="169"/>
      <c r="M38" s="115"/>
      <c r="O38" s="115"/>
      <c r="Q38" s="115"/>
      <c r="S38" s="115"/>
      <c r="T38" s="115"/>
      <c r="U38" s="115"/>
      <c r="V38" s="115"/>
      <c r="X38" s="115"/>
      <c r="Z38" s="115"/>
      <c r="AB38" s="115"/>
      <c r="AD38" s="115"/>
      <c r="AI38" s="0"/>
      <c r="BJ38" s="115"/>
      <c r="BK38" s="115"/>
      <c r="BM38" s="115"/>
      <c r="BN38" s="115"/>
      <c r="BO38" s="115"/>
      <c r="BU38" s="115"/>
    </row>
    <row r="39" customFormat="false" ht="12.75" hidden="false" customHeight="false" outlineLevel="0" collapsed="false">
      <c r="A39" s="171"/>
      <c r="B39" s="184" t="s">
        <v>172</v>
      </c>
      <c r="C39" s="0"/>
      <c r="D39" s="0"/>
      <c r="E39" s="0"/>
      <c r="F39" s="0"/>
      <c r="G39" s="0"/>
      <c r="H39" s="0"/>
      <c r="I39" s="0"/>
      <c r="J39" s="4" t="s">
        <v>173</v>
      </c>
      <c r="K39" s="0"/>
      <c r="L39" s="169" t="s">
        <v>142</v>
      </c>
      <c r="M39" s="115"/>
      <c r="O39" s="115"/>
      <c r="Q39" s="115"/>
      <c r="R39" s="185" t="n">
        <v>1538965</v>
      </c>
      <c r="S39" s="115"/>
      <c r="T39" s="115"/>
      <c r="U39" s="115"/>
      <c r="V39" s="115"/>
      <c r="X39" s="115"/>
      <c r="Z39" s="115"/>
      <c r="AB39" s="115"/>
      <c r="AD39" s="115"/>
      <c r="AI39" s="0"/>
      <c r="AP39" s="115" t="n">
        <v>11510</v>
      </c>
      <c r="AR39" s="115" t="n">
        <f aca="false">54708-11510</f>
        <v>43198</v>
      </c>
      <c r="AT39" s="115" t="n">
        <f aca="false">303957-54708+123679</f>
        <v>372928</v>
      </c>
      <c r="AX39" s="115" t="n">
        <f aca="false">308820-123679</f>
        <v>185141</v>
      </c>
      <c r="BJ39" s="115"/>
      <c r="BK39" s="115"/>
      <c r="BL39" s="115" t="n">
        <f aca="false">SUM(T39:BK39)</f>
        <v>612777</v>
      </c>
      <c r="BM39" s="115"/>
      <c r="BN39" s="115" t="n">
        <f aca="false">3495680-R39</f>
        <v>1956715</v>
      </c>
      <c r="BO39" s="115"/>
      <c r="BP39" s="115" t="n">
        <f aca="false">IF(+R39-BL39+BN39&gt;0,R39-BL39+BN39,0)</f>
        <v>2882903</v>
      </c>
      <c r="BR39" s="115" t="n">
        <f aca="false">+BL39+BP39</f>
        <v>3495680</v>
      </c>
      <c r="BT39" s="115" t="n">
        <f aca="false">+R39-BR39</f>
        <v>-1956715</v>
      </c>
      <c r="BU39" s="115"/>
    </row>
    <row r="40" customFormat="false" ht="12.75" hidden="false" customHeight="false" outlineLevel="0" collapsed="false">
      <c r="A40" s="171"/>
      <c r="B40" s="184" t="s">
        <v>174</v>
      </c>
      <c r="C40" s="0"/>
      <c r="D40" s="0"/>
      <c r="E40" s="0"/>
      <c r="F40" s="0"/>
      <c r="G40" s="0"/>
      <c r="H40" s="0"/>
      <c r="I40" s="0"/>
      <c r="J40" s="4" t="s">
        <v>173</v>
      </c>
      <c r="K40" s="0"/>
      <c r="L40" s="169" t="s">
        <v>142</v>
      </c>
      <c r="M40" s="115"/>
      <c r="O40" s="115"/>
      <c r="Q40" s="115"/>
      <c r="R40" s="185" t="n">
        <v>1717382</v>
      </c>
      <c r="S40" s="115"/>
      <c r="T40" s="115"/>
      <c r="U40" s="115"/>
      <c r="V40" s="115"/>
      <c r="X40" s="115"/>
      <c r="Z40" s="115"/>
      <c r="AB40" s="115"/>
      <c r="AD40" s="115"/>
      <c r="AI40" s="0"/>
      <c r="AP40" s="115" t="n">
        <f aca="false">87721+37545</f>
        <v>125266</v>
      </c>
      <c r="AR40" s="115" t="n">
        <f aca="false">175242-87721+3444</f>
        <v>90965</v>
      </c>
      <c r="AT40" s="115" t="n">
        <f aca="false">601600-175242+14099</f>
        <v>440457</v>
      </c>
      <c r="AX40" s="115" t="n">
        <f aca="false">1413373-656688</f>
        <v>756685</v>
      </c>
      <c r="BJ40" s="115"/>
      <c r="BK40" s="115"/>
      <c r="BL40" s="115" t="n">
        <f aca="false">SUM(T40:BK40)</f>
        <v>1413373</v>
      </c>
      <c r="BM40" s="115"/>
      <c r="BN40" s="115" t="n">
        <f aca="false">-1717382+4094823</f>
        <v>2377441</v>
      </c>
      <c r="BO40" s="115"/>
      <c r="BP40" s="115" t="n">
        <f aca="false">IF(+R40-BL40+BN40&gt;0,R40-BL40+BN40,0)</f>
        <v>2681450</v>
      </c>
      <c r="BR40" s="115" t="n">
        <f aca="false">+BL40+BP40</f>
        <v>4094823</v>
      </c>
      <c r="BT40" s="115" t="n">
        <f aca="false">+R40-BR40</f>
        <v>-2377441</v>
      </c>
      <c r="BU40" s="115"/>
    </row>
    <row r="41" customFormat="false" ht="12.75" hidden="false" customHeight="false" outlineLevel="0" collapsed="false">
      <c r="A41" s="171"/>
      <c r="B41" s="184" t="s">
        <v>175</v>
      </c>
      <c r="C41" s="0"/>
      <c r="D41" s="0"/>
      <c r="E41" s="0"/>
      <c r="F41" s="0"/>
      <c r="G41" s="0"/>
      <c r="H41" s="0"/>
      <c r="I41" s="0"/>
      <c r="J41" s="4" t="s">
        <v>173</v>
      </c>
      <c r="K41" s="0"/>
      <c r="L41" s="169" t="s">
        <v>142</v>
      </c>
      <c r="M41" s="115"/>
      <c r="O41" s="115"/>
      <c r="Q41" s="115"/>
      <c r="R41" s="185" t="n">
        <v>14562379</v>
      </c>
      <c r="S41" s="115"/>
      <c r="T41" s="115"/>
      <c r="U41" s="115"/>
      <c r="V41" s="115"/>
      <c r="X41" s="115"/>
      <c r="Z41" s="115"/>
      <c r="AB41" s="115"/>
      <c r="AD41" s="115"/>
      <c r="AI41" s="0"/>
      <c r="AP41" s="115" t="n">
        <f aca="false">261+21574+247412+128235+27859+107400</f>
        <v>532741</v>
      </c>
      <c r="AR41" s="115" t="n">
        <f aca="false">227731-261+36207+20085+63844+7268+4264</f>
        <v>359138</v>
      </c>
      <c r="AT41" s="115" t="n">
        <f aca="false">814449-227731+31652+83503+44893+81985+5914</f>
        <v>834665</v>
      </c>
      <c r="AX41" s="115" t="n">
        <f aca="false">1663132-1726544</f>
        <v>-63412</v>
      </c>
      <c r="BJ41" s="115"/>
      <c r="BK41" s="115"/>
      <c r="BL41" s="115" t="n">
        <f aca="false">SUM(T41:BK41)</f>
        <v>1663132</v>
      </c>
      <c r="BM41" s="115"/>
      <c r="BN41" s="115" t="n">
        <f aca="false">8931768-R41</f>
        <v>-5630611</v>
      </c>
      <c r="BO41" s="115"/>
      <c r="BP41" s="115" t="n">
        <f aca="false">IF(+R41-BL41+BN41&gt;0,R41-BL41+BN41,0)</f>
        <v>7268636</v>
      </c>
      <c r="BR41" s="115" t="n">
        <f aca="false">+BL41+BP41</f>
        <v>8931768</v>
      </c>
      <c r="BT41" s="115" t="n">
        <f aca="false">+R41-BR41</f>
        <v>5630611</v>
      </c>
      <c r="BU41" s="115"/>
    </row>
    <row r="42" customFormat="false" ht="12.75" hidden="false" customHeight="false" outlineLevel="0" collapsed="false">
      <c r="A42" s="171"/>
      <c r="B42" s="184" t="s">
        <v>176</v>
      </c>
      <c r="C42" s="0"/>
      <c r="D42" s="0"/>
      <c r="E42" s="0"/>
      <c r="F42" s="0"/>
      <c r="G42" s="0"/>
      <c r="H42" s="0"/>
      <c r="I42" s="0"/>
      <c r="J42" s="4" t="s">
        <v>173</v>
      </c>
      <c r="K42" s="0"/>
      <c r="L42" s="169" t="s">
        <v>142</v>
      </c>
      <c r="M42" s="115"/>
      <c r="N42" s="115" t="n">
        <v>0</v>
      </c>
      <c r="O42" s="115"/>
      <c r="P42" s="115" t="n">
        <v>0</v>
      </c>
      <c r="Q42" s="115"/>
      <c r="R42" s="185" t="n">
        <f aca="false">542913-164225</f>
        <v>378688</v>
      </c>
      <c r="S42" s="115"/>
      <c r="T42" s="115" t="n">
        <v>0</v>
      </c>
      <c r="U42" s="115"/>
      <c r="V42" s="115" t="n">
        <v>0</v>
      </c>
      <c r="X42" s="115" t="n">
        <v>0</v>
      </c>
      <c r="Z42" s="115" t="n">
        <v>0</v>
      </c>
      <c r="AB42" s="115" t="n">
        <v>0</v>
      </c>
      <c r="AD42" s="115" t="n">
        <v>0</v>
      </c>
      <c r="AF42" s="115" t="n">
        <v>0</v>
      </c>
      <c r="AH42" s="115" t="n">
        <v>0</v>
      </c>
      <c r="AI42" s="0"/>
      <c r="AJ42" s="115" t="n">
        <v>0</v>
      </c>
      <c r="AL42" s="115" t="n">
        <v>0</v>
      </c>
      <c r="AP42" s="115" t="n">
        <f aca="false">192524</f>
        <v>192524</v>
      </c>
      <c r="AR42" s="115" t="n">
        <f aca="false">268032-192524</f>
        <v>75508</v>
      </c>
      <c r="AT42" s="115" t="n">
        <f aca="false">344773-268032</f>
        <v>76741</v>
      </c>
      <c r="AV42" s="115" t="n">
        <v>0</v>
      </c>
      <c r="AX42" s="115" t="n">
        <f aca="false">631966-344773</f>
        <v>287193</v>
      </c>
      <c r="AZ42" s="115" t="n">
        <v>0</v>
      </c>
      <c r="BB42" s="115" t="n">
        <v>0</v>
      </c>
      <c r="BD42" s="115" t="n">
        <v>0</v>
      </c>
      <c r="BF42" s="115" t="n">
        <v>0</v>
      </c>
      <c r="BH42" s="115" t="n">
        <v>0</v>
      </c>
      <c r="BJ42" s="115" t="n">
        <v>0</v>
      </c>
      <c r="BK42" s="115"/>
      <c r="BL42" s="115" t="n">
        <f aca="false">SUM(T42:BK42)</f>
        <v>631966</v>
      </c>
      <c r="BM42" s="115"/>
      <c r="BN42" s="115" t="n">
        <v>0</v>
      </c>
      <c r="BO42" s="115"/>
      <c r="BP42" s="115" t="n">
        <f aca="false">IF(+R42-BL42+BN42&gt;0,R42-BL42+BN42,0)</f>
        <v>0</v>
      </c>
      <c r="BR42" s="115" t="n">
        <f aca="false">+BL42+BP42</f>
        <v>631966</v>
      </c>
      <c r="BT42" s="115" t="n">
        <f aca="false">+R42-BR42</f>
        <v>-253278</v>
      </c>
      <c r="BU42" s="115"/>
    </row>
    <row r="43" customFormat="false" ht="12.75" hidden="false" customHeight="false" outlineLevel="0" collapsed="false">
      <c r="A43" s="171"/>
      <c r="B43" s="184" t="s">
        <v>177</v>
      </c>
      <c r="C43" s="0"/>
      <c r="D43" s="0"/>
      <c r="E43" s="0"/>
      <c r="F43" s="0"/>
      <c r="G43" s="0"/>
      <c r="H43" s="0"/>
      <c r="I43" s="0"/>
      <c r="J43" s="4" t="s">
        <v>173</v>
      </c>
      <c r="K43" s="0"/>
      <c r="L43" s="169" t="s">
        <v>142</v>
      </c>
      <c r="M43" s="115"/>
      <c r="N43" s="115" t="n">
        <v>0</v>
      </c>
      <c r="O43" s="115"/>
      <c r="P43" s="115" t="n">
        <v>0</v>
      </c>
      <c r="Q43" s="115"/>
      <c r="R43" s="185" t="n">
        <v>150000</v>
      </c>
      <c r="S43" s="115"/>
      <c r="T43" s="115" t="n">
        <v>0</v>
      </c>
      <c r="U43" s="115"/>
      <c r="V43" s="115" t="n">
        <v>0</v>
      </c>
      <c r="X43" s="115" t="n">
        <v>0</v>
      </c>
      <c r="Z43" s="115" t="n">
        <v>0</v>
      </c>
      <c r="AB43" s="115" t="n">
        <v>0</v>
      </c>
      <c r="AD43" s="115" t="n">
        <v>0</v>
      </c>
      <c r="AF43" s="115" t="n">
        <v>0</v>
      </c>
      <c r="AH43" s="115" t="n">
        <v>0</v>
      </c>
      <c r="AI43" s="0"/>
      <c r="AJ43" s="115" t="n">
        <v>0</v>
      </c>
      <c r="AL43" s="115" t="n">
        <v>0</v>
      </c>
      <c r="AP43" s="115" t="n">
        <v>47</v>
      </c>
      <c r="AR43" s="115" t="n">
        <f aca="false">67927-47</f>
        <v>67880</v>
      </c>
      <c r="AT43" s="115" t="n">
        <f aca="false">70698-67927</f>
        <v>2771</v>
      </c>
      <c r="AV43" s="115" t="n">
        <v>0</v>
      </c>
      <c r="AX43" s="115" t="n">
        <f aca="false">34086-70698+1</f>
        <v>-36611</v>
      </c>
      <c r="AZ43" s="115" t="n">
        <v>0</v>
      </c>
      <c r="BB43" s="115" t="n">
        <v>0</v>
      </c>
      <c r="BD43" s="115" t="n">
        <v>0</v>
      </c>
      <c r="BF43" s="115" t="n">
        <v>0</v>
      </c>
      <c r="BH43" s="115" t="n">
        <v>0</v>
      </c>
      <c r="BJ43" s="115" t="n">
        <v>0</v>
      </c>
      <c r="BK43" s="115"/>
      <c r="BL43" s="115" t="n">
        <f aca="false">SUM(T43:BK43)</f>
        <v>34087</v>
      </c>
      <c r="BM43" s="115"/>
      <c r="BN43" s="115" t="n">
        <v>0</v>
      </c>
      <c r="BO43" s="115"/>
      <c r="BP43" s="115" t="n">
        <f aca="false">IF(+R43-BL43+BN43&gt;0,R43-BL43+BN43,0)</f>
        <v>115913</v>
      </c>
      <c r="BR43" s="115" t="n">
        <f aca="false">+BL43+BP43</f>
        <v>150000</v>
      </c>
      <c r="BT43" s="115" t="n">
        <f aca="false">+R43-BR43</f>
        <v>0</v>
      </c>
      <c r="BU43" s="115"/>
    </row>
    <row r="44" customFormat="false" ht="12.75" hidden="false" customHeight="false" outlineLevel="0" collapsed="false">
      <c r="A44" s="171"/>
      <c r="B44" s="184" t="s">
        <v>178</v>
      </c>
      <c r="C44" s="0"/>
      <c r="D44" s="0"/>
      <c r="E44" s="0"/>
      <c r="F44" s="0"/>
      <c r="G44" s="0"/>
      <c r="H44" s="0"/>
      <c r="I44" s="0"/>
      <c r="J44" s="4" t="s">
        <v>173</v>
      </c>
      <c r="K44" s="0"/>
      <c r="L44" s="169" t="s">
        <v>142</v>
      </c>
      <c r="M44" s="115"/>
      <c r="N44" s="115" t="n">
        <v>0</v>
      </c>
      <c r="O44" s="115"/>
      <c r="P44" s="115" t="n">
        <v>0</v>
      </c>
      <c r="Q44" s="115"/>
      <c r="R44" s="185" t="n">
        <v>104121</v>
      </c>
      <c r="S44" s="115"/>
      <c r="T44" s="115" t="n">
        <v>0</v>
      </c>
      <c r="U44" s="115"/>
      <c r="V44" s="115" t="n">
        <v>0</v>
      </c>
      <c r="X44" s="115" t="n">
        <v>0</v>
      </c>
      <c r="Z44" s="115" t="n">
        <v>0</v>
      </c>
      <c r="AB44" s="115" t="n">
        <v>0</v>
      </c>
      <c r="AD44" s="115" t="n">
        <v>0</v>
      </c>
      <c r="AF44" s="115" t="n">
        <v>0</v>
      </c>
      <c r="AH44" s="115" t="n">
        <v>0</v>
      </c>
      <c r="AI44" s="0"/>
      <c r="AJ44" s="115" t="n">
        <v>0</v>
      </c>
      <c r="AL44" s="115" t="n">
        <v>0</v>
      </c>
      <c r="AN44" s="115" t="n">
        <v>0</v>
      </c>
      <c r="AP44" s="115" t="n">
        <v>0</v>
      </c>
      <c r="AR44" s="115" t="n">
        <v>0</v>
      </c>
      <c r="AT44" s="115" t="n">
        <v>0</v>
      </c>
      <c r="AV44" s="115" t="n">
        <v>0</v>
      </c>
      <c r="AX44" s="115" t="n">
        <v>0</v>
      </c>
      <c r="AZ44" s="115" t="n">
        <v>0</v>
      </c>
      <c r="BB44" s="115" t="n">
        <v>0</v>
      </c>
      <c r="BD44" s="115" t="n">
        <v>0</v>
      </c>
      <c r="BF44" s="115" t="n">
        <v>0</v>
      </c>
      <c r="BH44" s="115" t="n">
        <v>0</v>
      </c>
      <c r="BJ44" s="115" t="n">
        <v>0</v>
      </c>
      <c r="BK44" s="115"/>
      <c r="BL44" s="115" t="n">
        <f aca="false">SUM(T44:BK44)</f>
        <v>0</v>
      </c>
      <c r="BM44" s="115"/>
      <c r="BN44" s="115" t="n">
        <f aca="false">65660-104121</f>
        <v>-38461</v>
      </c>
      <c r="BO44" s="115"/>
      <c r="BP44" s="115" t="n">
        <f aca="false">IF(+R44-BL44+BN44&gt;0,R44-BL44+BN44,0)</f>
        <v>65660</v>
      </c>
      <c r="BR44" s="115" t="n">
        <f aca="false">+BL44+BP44</f>
        <v>65660</v>
      </c>
      <c r="BT44" s="115" t="n">
        <f aca="false">+R44-BR44</f>
        <v>38461</v>
      </c>
      <c r="BU44" s="115"/>
    </row>
    <row r="45" customFormat="false" ht="12.75" hidden="false" customHeight="false" outlineLevel="0" collapsed="false">
      <c r="A45" s="171"/>
      <c r="B45" s="184" t="s">
        <v>179</v>
      </c>
      <c r="C45" s="0"/>
      <c r="D45" s="0"/>
      <c r="E45" s="0"/>
      <c r="F45" s="0"/>
      <c r="G45" s="0"/>
      <c r="H45" s="0"/>
      <c r="I45" s="0"/>
      <c r="J45" s="4"/>
      <c r="K45" s="0"/>
      <c r="L45" s="169" t="s">
        <v>142</v>
      </c>
      <c r="M45" s="115"/>
      <c r="N45" s="115" t="n">
        <v>0</v>
      </c>
      <c r="O45" s="115"/>
      <c r="P45" s="115" t="n">
        <v>0</v>
      </c>
      <c r="Q45" s="115"/>
      <c r="R45" s="185" t="n">
        <v>164225</v>
      </c>
      <c r="S45" s="115"/>
      <c r="T45" s="115" t="n">
        <v>0</v>
      </c>
      <c r="U45" s="115"/>
      <c r="V45" s="115" t="n">
        <v>0</v>
      </c>
      <c r="X45" s="115" t="n">
        <v>0</v>
      </c>
      <c r="Z45" s="115" t="n">
        <v>0</v>
      </c>
      <c r="AB45" s="115" t="n">
        <v>0</v>
      </c>
      <c r="AD45" s="115" t="n">
        <v>0</v>
      </c>
      <c r="AF45" s="115" t="n">
        <v>0</v>
      </c>
      <c r="AH45" s="115" t="n">
        <v>0</v>
      </c>
      <c r="AI45" s="0"/>
      <c r="AJ45" s="115" t="n">
        <v>0</v>
      </c>
      <c r="AL45" s="115" t="n">
        <v>0</v>
      </c>
      <c r="AN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f aca="false">94-164225</f>
        <v>-164131</v>
      </c>
      <c r="BO45" s="115"/>
      <c r="BP45" s="115" t="n">
        <f aca="false">IF(+R45-BL45+BN45&gt;0,R45-BL45+BN45,0)</f>
        <v>94</v>
      </c>
      <c r="BR45" s="115" t="n">
        <f aca="false">+BL45+BP45</f>
        <v>94</v>
      </c>
      <c r="BT45" s="115" t="n">
        <f aca="false">+R45-BR45</f>
        <v>164131</v>
      </c>
      <c r="BU45" s="115"/>
    </row>
    <row r="46" customFormat="false" ht="12.75" hidden="false" customHeight="false" outlineLevel="0" collapsed="false">
      <c r="A46" s="186"/>
      <c r="B46" s="187" t="s">
        <v>180</v>
      </c>
      <c r="C46" s="2"/>
      <c r="D46" s="2"/>
      <c r="E46" s="2"/>
      <c r="F46" s="2"/>
      <c r="G46" s="2"/>
      <c r="H46" s="2"/>
      <c r="I46" s="2"/>
      <c r="J46" s="3"/>
      <c r="K46" s="2"/>
      <c r="L46" s="188" t="s">
        <v>142</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71"/>
      <c r="B47" s="189"/>
      <c r="C47" s="0"/>
      <c r="D47" s="0"/>
      <c r="E47" s="0"/>
      <c r="F47" s="0"/>
      <c r="G47" s="0"/>
      <c r="H47" s="0"/>
      <c r="I47" s="0"/>
      <c r="J47" s="4"/>
      <c r="K47" s="0"/>
      <c r="L47" s="169"/>
      <c r="M47" s="115"/>
      <c r="O47" s="115"/>
      <c r="Q47" s="115"/>
      <c r="S47" s="115"/>
      <c r="T47" s="115"/>
      <c r="U47" s="115"/>
      <c r="V47" s="115"/>
      <c r="X47" s="115"/>
      <c r="Z47" s="115"/>
      <c r="AB47" s="115"/>
      <c r="AD47" s="115"/>
      <c r="AI47" s="0"/>
      <c r="BJ47" s="115"/>
      <c r="BK47" s="115"/>
      <c r="BM47" s="115"/>
      <c r="BN47" s="115"/>
      <c r="BO47" s="115"/>
      <c r="BU47" s="115"/>
    </row>
    <row r="48" customFormat="false" ht="12.75" hidden="false" customHeight="false" outlineLevel="0" collapsed="false">
      <c r="B48" s="2" t="s">
        <v>181</v>
      </c>
      <c r="C48" s="0"/>
      <c r="D48" s="0"/>
      <c r="E48" s="0"/>
      <c r="F48" s="0"/>
      <c r="G48" s="0"/>
      <c r="H48" s="0"/>
      <c r="I48" s="0"/>
      <c r="J48" s="4"/>
      <c r="K48" s="0"/>
      <c r="L48" s="169"/>
      <c r="M48" s="115"/>
      <c r="O48" s="115"/>
      <c r="Q48" s="115"/>
      <c r="S48" s="115"/>
      <c r="T48" s="115"/>
      <c r="U48" s="115"/>
      <c r="V48" s="115"/>
      <c r="X48" s="115"/>
      <c r="Z48" s="115"/>
      <c r="AB48" s="115"/>
      <c r="AD48" s="115"/>
      <c r="AI48" s="0"/>
      <c r="BJ48" s="115"/>
      <c r="BK48" s="115"/>
      <c r="BM48" s="115"/>
      <c r="BN48" s="115"/>
      <c r="BO48" s="115"/>
      <c r="BU48" s="115"/>
    </row>
    <row r="49" customFormat="false" ht="12.75" hidden="false" customHeight="false" outlineLevel="0" collapsed="false">
      <c r="A49" s="0"/>
      <c r="B49" s="184" t="s">
        <v>182</v>
      </c>
      <c r="C49" s="0"/>
      <c r="D49" s="0"/>
      <c r="E49" s="0"/>
      <c r="F49" s="0"/>
      <c r="G49" s="0"/>
      <c r="H49" s="0"/>
      <c r="I49" s="0"/>
      <c r="J49" s="4" t="s">
        <v>173</v>
      </c>
      <c r="K49" s="0"/>
      <c r="L49" s="169"/>
      <c r="M49" s="115"/>
      <c r="O49" s="115"/>
      <c r="Q49" s="115"/>
      <c r="R49" s="185" t="n">
        <v>410304</v>
      </c>
      <c r="S49" s="115"/>
      <c r="T49" s="115"/>
      <c r="U49" s="115"/>
      <c r="V49" s="115"/>
      <c r="X49" s="115"/>
      <c r="Z49" s="115"/>
      <c r="AB49" s="115"/>
      <c r="AD49" s="115"/>
      <c r="AI49" s="0"/>
      <c r="AR49" s="115" t="n">
        <v>10115</v>
      </c>
      <c r="AT49" s="115" t="n">
        <f aca="false">92620-10115</f>
        <v>82505</v>
      </c>
      <c r="AX49" s="115" t="n">
        <f aca="false">347139-92620</f>
        <v>254519</v>
      </c>
      <c r="BJ49" s="115"/>
      <c r="BK49" s="115"/>
      <c r="BL49" s="115" t="n">
        <f aca="false">SUM(T49:BK49)</f>
        <v>347139</v>
      </c>
      <c r="BM49" s="115"/>
      <c r="BN49" s="115" t="n">
        <f aca="false">431520-410304</f>
        <v>21216</v>
      </c>
      <c r="BO49" s="115"/>
      <c r="BP49" s="115" t="n">
        <f aca="false">IF(+R49-BL49+BN49&gt;0,R49-BL49+BN49,0)</f>
        <v>84381</v>
      </c>
      <c r="BR49" s="115" t="n">
        <f aca="false">+BL49+BP49</f>
        <v>431520</v>
      </c>
      <c r="BT49" s="115" t="n">
        <f aca="false">+R49-BR49</f>
        <v>-21216</v>
      </c>
      <c r="BU49" s="115"/>
    </row>
    <row r="50" customFormat="false" ht="12.75" hidden="false" customHeight="false" outlineLevel="0" collapsed="false">
      <c r="A50" s="0"/>
      <c r="B50" s="184" t="s">
        <v>183</v>
      </c>
      <c r="C50" s="0"/>
      <c r="D50" s="0"/>
      <c r="E50" s="0"/>
      <c r="F50" s="0"/>
      <c r="G50" s="0"/>
      <c r="H50" s="0"/>
      <c r="I50" s="0"/>
      <c r="J50" s="4" t="s">
        <v>173</v>
      </c>
      <c r="K50" s="0"/>
      <c r="L50" s="169"/>
      <c r="M50" s="115"/>
      <c r="O50" s="115"/>
      <c r="Q50" s="115"/>
      <c r="R50" s="185" t="n">
        <v>4987110</v>
      </c>
      <c r="S50" s="115"/>
      <c r="T50" s="115"/>
      <c r="U50" s="115"/>
      <c r="V50" s="115"/>
      <c r="X50" s="115"/>
      <c r="Z50" s="115"/>
      <c r="AB50" s="115"/>
      <c r="AD50" s="115"/>
      <c r="AI50" s="0"/>
      <c r="AR50" s="115" t="n">
        <f aca="false">32997+239169+447</f>
        <v>272613</v>
      </c>
      <c r="AT50" s="115" t="n">
        <f aca="false">136407-32997+424960+187089+246544+650+1151</f>
        <v>963804</v>
      </c>
      <c r="AX50" s="115" t="n">
        <f aca="false">2851195-1236417</f>
        <v>1614778</v>
      </c>
      <c r="BJ50" s="115"/>
      <c r="BK50" s="115"/>
      <c r="BL50" s="115" t="n">
        <f aca="false">SUM(T50:BK50)</f>
        <v>2851195</v>
      </c>
      <c r="BM50" s="115"/>
      <c r="BN50" s="115" t="n">
        <f aca="false">5669687-4987110</f>
        <v>682577</v>
      </c>
      <c r="BO50" s="115"/>
      <c r="BP50" s="115" t="n">
        <f aca="false">IF(+R50-BL50+BN50&gt;0,R50-BL50+BN50,0)</f>
        <v>2818492</v>
      </c>
      <c r="BR50" s="115" t="n">
        <f aca="false">+BL50+BP50</f>
        <v>5669687</v>
      </c>
      <c r="BT50" s="115" t="n">
        <f aca="false">+R50-BR50</f>
        <v>-682577</v>
      </c>
      <c r="BU50" s="115"/>
    </row>
    <row r="51" customFormat="false" ht="12.75" hidden="false" customHeight="false" outlineLevel="0" collapsed="false">
      <c r="A51" s="0"/>
      <c r="B51" s="184" t="s">
        <v>184</v>
      </c>
      <c r="C51" s="0"/>
      <c r="D51" s="0"/>
      <c r="E51" s="0"/>
      <c r="F51" s="0"/>
      <c r="G51" s="0"/>
      <c r="H51" s="0"/>
      <c r="I51" s="0"/>
      <c r="J51" s="4" t="s">
        <v>173</v>
      </c>
      <c r="K51" s="0"/>
      <c r="L51" s="169"/>
      <c r="M51" s="115"/>
      <c r="O51" s="115"/>
      <c r="Q51" s="115"/>
      <c r="R51" s="185" t="n">
        <v>786663</v>
      </c>
      <c r="S51" s="115"/>
      <c r="T51" s="115"/>
      <c r="U51" s="115"/>
      <c r="V51" s="115"/>
      <c r="X51" s="115"/>
      <c r="Z51" s="115"/>
      <c r="AB51" s="115"/>
      <c r="AD51" s="115"/>
      <c r="AI51" s="0"/>
      <c r="AP51" s="115" t="n">
        <v>3301</v>
      </c>
      <c r="AT51" s="115" t="n">
        <f aca="false">40398+33588</f>
        <v>73986</v>
      </c>
      <c r="AX51" s="115" t="n">
        <f aca="false">524003-77287</f>
        <v>446716</v>
      </c>
      <c r="BJ51" s="115"/>
      <c r="BK51" s="115"/>
      <c r="BL51" s="115" t="n">
        <f aca="false">SUM(T51:BK51)</f>
        <v>524003</v>
      </c>
      <c r="BM51" s="115"/>
      <c r="BN51" s="115" t="n">
        <f aca="false">851083-786663</f>
        <v>64420</v>
      </c>
      <c r="BO51" s="115"/>
      <c r="BP51" s="115" t="n">
        <f aca="false">IF(+R51-BL51+BN51&gt;0,R51-BL51+BN51,0)</f>
        <v>327080</v>
      </c>
      <c r="BR51" s="115" t="n">
        <f aca="false">+BL51+BP51</f>
        <v>851083</v>
      </c>
      <c r="BT51" s="115" t="n">
        <f aca="false">+R51-BR51</f>
        <v>-64420</v>
      </c>
      <c r="BU51" s="115"/>
    </row>
    <row r="52" customFormat="false" ht="12.75" hidden="false" customHeight="false" outlineLevel="0" collapsed="false">
      <c r="A52" s="0"/>
      <c r="B52" s="184" t="s">
        <v>185</v>
      </c>
      <c r="C52" s="0"/>
      <c r="D52" s="0"/>
      <c r="E52" s="0"/>
      <c r="F52" s="0"/>
      <c r="G52" s="0"/>
      <c r="H52" s="0"/>
      <c r="I52" s="0"/>
      <c r="J52" s="4" t="s">
        <v>173</v>
      </c>
      <c r="K52" s="0"/>
      <c r="L52" s="169"/>
      <c r="M52" s="115"/>
      <c r="O52" s="115"/>
      <c r="Q52" s="115"/>
      <c r="R52" s="185" t="n">
        <v>654500</v>
      </c>
      <c r="S52" s="115"/>
      <c r="T52" s="115"/>
      <c r="U52" s="115"/>
      <c r="V52" s="115"/>
      <c r="X52" s="115"/>
      <c r="Z52" s="115"/>
      <c r="AB52" s="115"/>
      <c r="AD52" s="115"/>
      <c r="AI52" s="0"/>
      <c r="AR52" s="115" t="n">
        <v>63890</v>
      </c>
      <c r="AT52" s="115" t="n">
        <v>331326</v>
      </c>
      <c r="AX52" s="115" t="n">
        <f aca="false">744472-395216</f>
        <v>349256</v>
      </c>
      <c r="BJ52" s="115"/>
      <c r="BK52" s="115"/>
      <c r="BL52" s="115" t="n">
        <f aca="false">SUM(T52:BK52)</f>
        <v>744472</v>
      </c>
      <c r="BM52" s="115"/>
      <c r="BN52" s="115" t="n">
        <f aca="false">720933-654500</f>
        <v>66433</v>
      </c>
      <c r="BO52" s="115"/>
      <c r="BP52" s="115" t="n">
        <f aca="false">IF(+R52-BL52+BN52&gt;0,R52-BL52+BN52,0)</f>
        <v>0</v>
      </c>
      <c r="BR52" s="115" t="n">
        <f aca="false">+BL52+BP52</f>
        <v>744472</v>
      </c>
      <c r="BT52" s="115" t="n">
        <f aca="false">+R52-BR52</f>
        <v>-89972</v>
      </c>
      <c r="BU52" s="115"/>
    </row>
    <row r="53" customFormat="false" ht="12.75" hidden="false" customHeight="false" outlineLevel="0" collapsed="false">
      <c r="A53" s="2"/>
      <c r="B53" s="187" t="s">
        <v>186</v>
      </c>
      <c r="C53" s="2"/>
      <c r="D53" s="2"/>
      <c r="E53" s="2"/>
      <c r="F53" s="2"/>
      <c r="G53" s="2"/>
      <c r="H53" s="2"/>
      <c r="I53" s="2"/>
      <c r="J53" s="3"/>
      <c r="K53" s="2"/>
      <c r="L53" s="188" t="s">
        <v>142</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7"/>
      <c r="C54" s="2"/>
      <c r="D54" s="2"/>
      <c r="E54" s="2"/>
      <c r="F54" s="2"/>
      <c r="G54" s="2"/>
      <c r="H54" s="2"/>
      <c r="I54" s="2"/>
      <c r="J54" s="3"/>
      <c r="K54" s="2"/>
      <c r="L54" s="188"/>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90" t="s">
        <v>187</v>
      </c>
      <c r="C55" s="2"/>
      <c r="D55" s="2"/>
      <c r="E55" s="2"/>
      <c r="F55" s="2"/>
      <c r="G55" s="2"/>
      <c r="H55" s="2"/>
      <c r="I55" s="2"/>
      <c r="J55" s="3"/>
      <c r="K55" s="2"/>
      <c r="L55" s="188"/>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91" t="s">
        <v>188</v>
      </c>
      <c r="C56" s="2"/>
      <c r="D56" s="2"/>
      <c r="E56" s="2"/>
      <c r="F56" s="2"/>
      <c r="G56" s="2"/>
      <c r="H56" s="2"/>
      <c r="I56" s="2"/>
      <c r="J56" s="3"/>
      <c r="K56" s="2"/>
      <c r="L56" s="188"/>
      <c r="M56" s="24"/>
      <c r="N56" s="24"/>
      <c r="O56" s="24"/>
      <c r="P56" s="24"/>
      <c r="Q56" s="24"/>
      <c r="R56" s="185"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15" t="n">
        <v>949522</v>
      </c>
      <c r="AS56" s="24"/>
      <c r="AT56" s="115" t="n">
        <f aca="false">976794-949522</f>
        <v>27272</v>
      </c>
      <c r="AU56" s="24"/>
      <c r="AV56" s="24"/>
      <c r="AW56" s="24"/>
      <c r="AX56" s="115" t="n">
        <v>2274</v>
      </c>
      <c r="AY56" s="24"/>
      <c r="AZ56" s="24"/>
      <c r="BA56" s="24"/>
      <c r="BB56" s="24"/>
      <c r="BC56" s="24"/>
      <c r="BD56" s="24"/>
      <c r="BE56" s="24"/>
      <c r="BF56" s="24"/>
      <c r="BG56" s="24"/>
      <c r="BH56" s="24"/>
      <c r="BI56" s="24"/>
      <c r="BJ56" s="24"/>
      <c r="BK56" s="24"/>
      <c r="BL56" s="115" t="n">
        <f aca="false">SUM(T56:BK56)</f>
        <v>979068</v>
      </c>
      <c r="BM56" s="24"/>
      <c r="BN56" s="115" t="n">
        <f aca="false">1029131+1708681-2332998</f>
        <v>404814</v>
      </c>
      <c r="BO56" s="24"/>
      <c r="BP56" s="115" t="n">
        <f aca="false">IF(+R56-BL56+BN56&gt;0,R56-BL56+BN56,0)</f>
        <v>1758744</v>
      </c>
      <c r="BR56" s="115" t="n">
        <f aca="false">+BL56+BP56</f>
        <v>2737812</v>
      </c>
      <c r="BT56" s="115"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1" t="s">
        <v>189</v>
      </c>
      <c r="C57" s="2"/>
      <c r="D57" s="2"/>
      <c r="E57" s="2"/>
      <c r="F57" s="2"/>
      <c r="G57" s="2"/>
      <c r="H57" s="2"/>
      <c r="I57" s="2"/>
      <c r="J57" s="3"/>
      <c r="K57" s="2"/>
      <c r="L57" s="188"/>
      <c r="M57" s="24"/>
      <c r="N57" s="24"/>
      <c r="O57" s="24"/>
      <c r="P57" s="24"/>
      <c r="Q57" s="24"/>
      <c r="R57" s="185"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15" t="n">
        <v>133215</v>
      </c>
      <c r="AS57" s="24"/>
      <c r="AT57" s="115" t="n">
        <f aca="false">261726-133215</f>
        <v>128511</v>
      </c>
      <c r="AU57" s="24"/>
      <c r="AV57" s="24"/>
      <c r="AW57" s="24"/>
      <c r="AX57" s="115" t="n">
        <f aca="false">1322243-261726</f>
        <v>1060517</v>
      </c>
      <c r="AY57" s="24"/>
      <c r="AZ57" s="24"/>
      <c r="BA57" s="24"/>
      <c r="BB57" s="24"/>
      <c r="BC57" s="24"/>
      <c r="BD57" s="24"/>
      <c r="BE57" s="24"/>
      <c r="BF57" s="24"/>
      <c r="BG57" s="24"/>
      <c r="BH57" s="24"/>
      <c r="BI57" s="24"/>
      <c r="BJ57" s="24"/>
      <c r="BK57" s="24"/>
      <c r="BL57" s="115" t="n">
        <f aca="false">SUM(T57:BK57)</f>
        <v>1322243</v>
      </c>
      <c r="BM57" s="24"/>
      <c r="BN57" s="115" t="n">
        <f aca="false">561934-497417</f>
        <v>64517</v>
      </c>
      <c r="BO57" s="24"/>
      <c r="BP57" s="115" t="n">
        <f aca="false">IF(+R57-BL57+BN57&gt;0,R57-BL57+BN57,0)</f>
        <v>0</v>
      </c>
      <c r="BR57" s="115" t="n">
        <f aca="false">+BL57+BP57</f>
        <v>1322243</v>
      </c>
      <c r="BT57" s="115"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190</v>
      </c>
      <c r="C58" s="2"/>
      <c r="D58" s="2"/>
      <c r="E58" s="2"/>
      <c r="F58" s="2"/>
      <c r="G58" s="2"/>
      <c r="H58" s="2"/>
      <c r="I58" s="2"/>
      <c r="J58" s="3"/>
      <c r="K58" s="2"/>
      <c r="L58" s="188"/>
      <c r="M58" s="24"/>
      <c r="N58" s="24"/>
      <c r="O58" s="24"/>
      <c r="P58" s="24"/>
      <c r="Q58" s="24"/>
      <c r="R58" s="185"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15" t="n">
        <v>725</v>
      </c>
      <c r="AS58" s="24"/>
      <c r="AT58" s="115" t="n">
        <v>936926</v>
      </c>
      <c r="AU58" s="24"/>
      <c r="AV58" s="24"/>
      <c r="AW58" s="24"/>
      <c r="AX58" s="115" t="n">
        <f aca="false">1423431-937651</f>
        <v>485780</v>
      </c>
      <c r="AY58" s="24"/>
      <c r="AZ58" s="24"/>
      <c r="BA58" s="24"/>
      <c r="BB58" s="24"/>
      <c r="BC58" s="24"/>
      <c r="BD58" s="24"/>
      <c r="BE58" s="24"/>
      <c r="BF58" s="24"/>
      <c r="BG58" s="24"/>
      <c r="BH58" s="24"/>
      <c r="BI58" s="24"/>
      <c r="BJ58" s="24"/>
      <c r="BK58" s="24"/>
      <c r="BL58" s="115" t="n">
        <f aca="false">SUM(T58:BK58)</f>
        <v>1423431</v>
      </c>
      <c r="BM58" s="24"/>
      <c r="BN58" s="115" t="n">
        <f aca="false">2160163-834305</f>
        <v>1325858</v>
      </c>
      <c r="BO58" s="24"/>
      <c r="BP58" s="115" t="n">
        <f aca="false">IF(+R58-BL58+BN58&gt;0,R58-BL58+BN58,0)</f>
        <v>736732</v>
      </c>
      <c r="BR58" s="115" t="n">
        <f aca="false">+BL58+BP58</f>
        <v>2160163</v>
      </c>
      <c r="BT58" s="115"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191</v>
      </c>
      <c r="C59" s="2"/>
      <c r="D59" s="2"/>
      <c r="E59" s="2"/>
      <c r="F59" s="2"/>
      <c r="G59" s="2"/>
      <c r="H59" s="2"/>
      <c r="I59" s="2"/>
      <c r="J59" s="3"/>
      <c r="K59" s="2"/>
      <c r="L59" s="188"/>
      <c r="M59" s="24"/>
      <c r="N59" s="24"/>
      <c r="O59" s="24"/>
      <c r="P59" s="24"/>
      <c r="Q59" s="24"/>
      <c r="R59" s="185"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15" t="n">
        <v>6350</v>
      </c>
      <c r="AS59" s="24"/>
      <c r="AT59" s="115" t="n">
        <f aca="false">561632-6350</f>
        <v>555282</v>
      </c>
      <c r="AU59" s="24"/>
      <c r="AV59" s="24"/>
      <c r="AW59" s="24"/>
      <c r="AX59" s="115" t="n">
        <f aca="false">1006302-561632</f>
        <v>444670</v>
      </c>
      <c r="AY59" s="24"/>
      <c r="AZ59" s="24"/>
      <c r="BA59" s="24"/>
      <c r="BB59" s="24"/>
      <c r="BC59" s="24"/>
      <c r="BD59" s="24"/>
      <c r="BE59" s="24"/>
      <c r="BF59" s="24"/>
      <c r="BG59" s="24"/>
      <c r="BH59" s="24"/>
      <c r="BI59" s="24"/>
      <c r="BJ59" s="24"/>
      <c r="BK59" s="24"/>
      <c r="BL59" s="115" t="n">
        <f aca="false">SUM(T59:BK59)</f>
        <v>1006302</v>
      </c>
      <c r="BM59" s="24"/>
      <c r="BN59" s="115" t="n">
        <f aca="false">1338879-718539</f>
        <v>620340</v>
      </c>
      <c r="BO59" s="24"/>
      <c r="BP59" s="115" t="n">
        <f aca="false">IF(+R59-BL59+BN59&gt;0,R59-BL59+BN59,0)</f>
        <v>332577</v>
      </c>
      <c r="BR59" s="115" t="n">
        <f aca="false">+BL59+BP59</f>
        <v>1338879</v>
      </c>
      <c r="BT59" s="115"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192</v>
      </c>
      <c r="C60" s="2"/>
      <c r="D60" s="2"/>
      <c r="E60" s="2"/>
      <c r="F60" s="2"/>
      <c r="G60" s="2"/>
      <c r="H60" s="2"/>
      <c r="I60" s="2"/>
      <c r="J60" s="3"/>
      <c r="K60" s="2"/>
      <c r="L60" s="188"/>
      <c r="M60" s="24"/>
      <c r="N60" s="24"/>
      <c r="O60" s="24"/>
      <c r="P60" s="24"/>
      <c r="Q60" s="24"/>
      <c r="R60" s="185"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15" t="n">
        <v>103285</v>
      </c>
      <c r="AS60" s="24"/>
      <c r="AT60" s="115" t="n">
        <f aca="false">168329-103285</f>
        <v>65044</v>
      </c>
      <c r="AU60" s="24"/>
      <c r="AV60" s="24"/>
      <c r="AW60" s="24"/>
      <c r="AX60" s="115" t="n">
        <f aca="false">234316-168329</f>
        <v>65987</v>
      </c>
      <c r="AY60" s="24"/>
      <c r="AZ60" s="24"/>
      <c r="BA60" s="24"/>
      <c r="BB60" s="24"/>
      <c r="BC60" s="24"/>
      <c r="BD60" s="24"/>
      <c r="BE60" s="24"/>
      <c r="BF60" s="24"/>
      <c r="BG60" s="24"/>
      <c r="BH60" s="24"/>
      <c r="BI60" s="24"/>
      <c r="BJ60" s="24"/>
      <c r="BK60" s="24"/>
      <c r="BL60" s="115" t="n">
        <f aca="false">SUM(T60:BK60)</f>
        <v>234316</v>
      </c>
      <c r="BM60" s="24"/>
      <c r="BN60" s="115" t="n">
        <f aca="false">553270-453000</f>
        <v>100270</v>
      </c>
      <c r="BO60" s="24"/>
      <c r="BP60" s="115" t="n">
        <f aca="false">IF(+R60-BL60+BN60&gt;0,R60-BL60+BN60,0)</f>
        <v>318954</v>
      </c>
      <c r="BR60" s="115" t="n">
        <f aca="false">+BL60+BP60</f>
        <v>553270</v>
      </c>
      <c r="BT60" s="115"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193</v>
      </c>
      <c r="C61" s="2"/>
      <c r="D61" s="2"/>
      <c r="E61" s="2"/>
      <c r="F61" s="2"/>
      <c r="G61" s="2"/>
      <c r="H61" s="2"/>
      <c r="I61" s="2"/>
      <c r="J61" s="3"/>
      <c r="K61" s="2"/>
      <c r="L61" s="188"/>
      <c r="M61" s="24"/>
      <c r="N61" s="24"/>
      <c r="O61" s="24"/>
      <c r="P61" s="24"/>
      <c r="Q61" s="24"/>
      <c r="R61" s="185"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15" t="n">
        <v>644530</v>
      </c>
      <c r="AS61" s="24"/>
      <c r="AT61" s="115" t="n">
        <v>1379020</v>
      </c>
      <c r="AU61" s="24"/>
      <c r="AV61" s="24"/>
      <c r="AW61" s="24"/>
      <c r="AX61" s="115" t="n">
        <f aca="false">3209322-2023550</f>
        <v>1185772</v>
      </c>
      <c r="AY61" s="24"/>
      <c r="AZ61" s="24"/>
      <c r="BA61" s="24"/>
      <c r="BB61" s="24"/>
      <c r="BC61" s="24"/>
      <c r="BD61" s="24"/>
      <c r="BE61" s="24"/>
      <c r="BF61" s="24"/>
      <c r="BG61" s="24"/>
      <c r="BH61" s="24"/>
      <c r="BI61" s="24"/>
      <c r="BJ61" s="24"/>
      <c r="BK61" s="24"/>
      <c r="BL61" s="115" t="n">
        <f aca="false">SUM(T61:BK61)</f>
        <v>3209322</v>
      </c>
      <c r="BM61" s="24"/>
      <c r="BN61" s="115" t="n">
        <f aca="false">3504693-2265021</f>
        <v>1239672</v>
      </c>
      <c r="BO61" s="24"/>
      <c r="BP61" s="115" t="n">
        <f aca="false">IF(+R61-BL61+BN61&gt;0,R61-BL61+BN61,0)</f>
        <v>295371</v>
      </c>
      <c r="BR61" s="115" t="n">
        <f aca="false">+BL61+BP61</f>
        <v>3504693</v>
      </c>
      <c r="BT61" s="115"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194</v>
      </c>
      <c r="C62" s="2"/>
      <c r="D62" s="2"/>
      <c r="E62" s="2"/>
      <c r="F62" s="2"/>
      <c r="G62" s="2"/>
      <c r="H62" s="2"/>
      <c r="I62" s="2"/>
      <c r="J62" s="3"/>
      <c r="K62" s="2"/>
      <c r="L62" s="188"/>
      <c r="M62" s="24"/>
      <c r="N62" s="24"/>
      <c r="O62" s="24"/>
      <c r="P62" s="24"/>
      <c r="Q62" s="24"/>
      <c r="R62" s="185"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15" t="n">
        <v>508620</v>
      </c>
      <c r="AS62" s="24"/>
      <c r="AT62" s="115" t="n">
        <f aca="false">1062094-508620</f>
        <v>553474</v>
      </c>
      <c r="AU62" s="24"/>
      <c r="AV62" s="24"/>
      <c r="AW62" s="24"/>
      <c r="AX62" s="115" t="n">
        <f aca="false">1254696-1062094</f>
        <v>192602</v>
      </c>
      <c r="AY62" s="24"/>
      <c r="AZ62" s="24"/>
      <c r="BA62" s="24"/>
      <c r="BB62" s="24"/>
      <c r="BC62" s="24"/>
      <c r="BD62" s="24"/>
      <c r="BE62" s="24"/>
      <c r="BF62" s="24"/>
      <c r="BG62" s="24"/>
      <c r="BH62" s="24"/>
      <c r="BI62" s="24"/>
      <c r="BJ62" s="24"/>
      <c r="BK62" s="24"/>
      <c r="BL62" s="115" t="n">
        <f aca="false">SUM(T62:BK62)</f>
        <v>1254696</v>
      </c>
      <c r="BM62" s="24"/>
      <c r="BN62" s="115" t="n">
        <f aca="false">1395395-1150462</f>
        <v>244933</v>
      </c>
      <c r="BO62" s="24"/>
      <c r="BP62" s="115" t="n">
        <f aca="false">IF(+R62-BL62+BN62&gt;0,R62-BL62+BN62,0)</f>
        <v>140699</v>
      </c>
      <c r="BR62" s="115" t="n">
        <f aca="false">+BL62+BP62</f>
        <v>1395395</v>
      </c>
      <c r="BT62" s="115"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195</v>
      </c>
      <c r="C63" s="2"/>
      <c r="D63" s="2"/>
      <c r="E63" s="2"/>
      <c r="F63" s="2"/>
      <c r="G63" s="2"/>
      <c r="H63" s="2"/>
      <c r="I63" s="2"/>
      <c r="J63" s="3"/>
      <c r="K63" s="2"/>
      <c r="L63" s="188"/>
      <c r="M63" s="24"/>
      <c r="N63" s="24"/>
      <c r="O63" s="24"/>
      <c r="P63" s="24"/>
      <c r="Q63" s="24"/>
      <c r="R63" s="185"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15" t="n">
        <v>0</v>
      </c>
      <c r="AS63" s="24"/>
      <c r="AT63" s="115" t="n">
        <v>52828</v>
      </c>
      <c r="AU63" s="24"/>
      <c r="AV63" s="24"/>
      <c r="AW63" s="24"/>
      <c r="AX63" s="115" t="n">
        <f aca="false">288972-52828</f>
        <v>236144</v>
      </c>
      <c r="AY63" s="24"/>
      <c r="AZ63" s="24"/>
      <c r="BA63" s="24"/>
      <c r="BB63" s="24"/>
      <c r="BC63" s="24"/>
      <c r="BD63" s="24"/>
      <c r="BE63" s="24"/>
      <c r="BF63" s="24"/>
      <c r="BG63" s="24"/>
      <c r="BH63" s="24"/>
      <c r="BI63" s="24"/>
      <c r="BJ63" s="24"/>
      <c r="BK63" s="24"/>
      <c r="BL63" s="115" t="n">
        <f aca="false">SUM(T63:BK63)</f>
        <v>288972</v>
      </c>
      <c r="BM63" s="24"/>
      <c r="BN63" s="115" t="n">
        <f aca="false">1039312-189949</f>
        <v>849363</v>
      </c>
      <c r="BO63" s="24"/>
      <c r="BP63" s="115" t="n">
        <f aca="false">IF(+R63-BL63+BN63&gt;0,R63-BL63+BN63,0)</f>
        <v>750340</v>
      </c>
      <c r="BR63" s="115" t="n">
        <f aca="false">+BL63+BP63</f>
        <v>1039312</v>
      </c>
      <c r="BT63" s="115"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196</v>
      </c>
      <c r="C64" s="2"/>
      <c r="D64" s="2"/>
      <c r="E64" s="2"/>
      <c r="F64" s="2"/>
      <c r="G64" s="2"/>
      <c r="H64" s="2"/>
      <c r="I64" s="2"/>
      <c r="J64" s="3"/>
      <c r="K64" s="2"/>
      <c r="L64" s="188"/>
      <c r="M64" s="24"/>
      <c r="N64" s="24"/>
      <c r="O64" s="24"/>
      <c r="P64" s="24"/>
      <c r="Q64" s="24"/>
      <c r="R64" s="185"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15" t="n">
        <v>4214</v>
      </c>
      <c r="AS64" s="24"/>
      <c r="AT64" s="115" t="n">
        <f aca="false">11626-4214</f>
        <v>7412</v>
      </c>
      <c r="AU64" s="24"/>
      <c r="AV64" s="24"/>
      <c r="AW64" s="24"/>
      <c r="AX64" s="115" t="n">
        <f aca="false">15618-11626</f>
        <v>3992</v>
      </c>
      <c r="AY64" s="24"/>
      <c r="AZ64" s="24"/>
      <c r="BA64" s="24"/>
      <c r="BB64" s="24"/>
      <c r="BC64" s="24"/>
      <c r="BD64" s="24"/>
      <c r="BE64" s="24"/>
      <c r="BF64" s="24"/>
      <c r="BG64" s="24"/>
      <c r="BH64" s="24"/>
      <c r="BI64" s="24"/>
      <c r="BJ64" s="24"/>
      <c r="BK64" s="24"/>
      <c r="BL64" s="115" t="n">
        <f aca="false">SUM(T64:BK64)</f>
        <v>15618</v>
      </c>
      <c r="BM64" s="24"/>
      <c r="BN64" s="115" t="n">
        <v>0</v>
      </c>
      <c r="BO64" s="24"/>
      <c r="BP64" s="115" t="n">
        <f aca="false">IF(+R64-BL64+BN64&gt;0,R64-BL64+BN64,0)</f>
        <v>62003</v>
      </c>
      <c r="BR64" s="115" t="n">
        <f aca="false">+BL64+BP64</f>
        <v>77621</v>
      </c>
      <c r="BT64" s="115"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197</v>
      </c>
      <c r="C65" s="2"/>
      <c r="D65" s="2"/>
      <c r="E65" s="2"/>
      <c r="F65" s="2"/>
      <c r="G65" s="2"/>
      <c r="H65" s="2"/>
      <c r="I65" s="2"/>
      <c r="J65" s="3"/>
      <c r="K65" s="2"/>
      <c r="L65" s="188"/>
      <c r="M65" s="24"/>
      <c r="N65" s="24"/>
      <c r="O65" s="24"/>
      <c r="P65" s="24"/>
      <c r="Q65" s="24"/>
      <c r="R65" s="185"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15" t="n">
        <v>0</v>
      </c>
      <c r="AS65" s="24"/>
      <c r="AT65" s="115" t="n">
        <v>0</v>
      </c>
      <c r="AU65" s="24"/>
      <c r="AV65" s="24"/>
      <c r="AW65" s="24"/>
      <c r="AX65" s="115" t="n">
        <f aca="false">86250-0</f>
        <v>86250</v>
      </c>
      <c r="AY65" s="24"/>
      <c r="AZ65" s="24"/>
      <c r="BA65" s="24"/>
      <c r="BB65" s="24"/>
      <c r="BC65" s="24"/>
      <c r="BD65" s="24"/>
      <c r="BE65" s="24"/>
      <c r="BF65" s="24"/>
      <c r="BG65" s="24"/>
      <c r="BH65" s="24"/>
      <c r="BI65" s="24"/>
      <c r="BJ65" s="24"/>
      <c r="BK65" s="24"/>
      <c r="BL65" s="115" t="n">
        <f aca="false">SUM(T65:BK65)</f>
        <v>86250</v>
      </c>
      <c r="BM65" s="24"/>
      <c r="BN65" s="115" t="n">
        <f aca="false">600727-144437</f>
        <v>456290</v>
      </c>
      <c r="BO65" s="24"/>
      <c r="BP65" s="115" t="n">
        <f aca="false">IF(+R65-BL65+BN65&gt;0,R65-BL65+BN65,0)</f>
        <v>514477</v>
      </c>
      <c r="BR65" s="115" t="n">
        <f aca="false">+BL65+BP65</f>
        <v>600727</v>
      </c>
      <c r="BT65" s="115"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198</v>
      </c>
      <c r="C66" s="2"/>
      <c r="D66" s="2"/>
      <c r="E66" s="2"/>
      <c r="F66" s="2"/>
      <c r="G66" s="2"/>
      <c r="H66" s="2"/>
      <c r="I66" s="2"/>
      <c r="J66" s="3"/>
      <c r="K66" s="2"/>
      <c r="L66" s="188"/>
      <c r="M66" s="24"/>
      <c r="N66" s="24"/>
      <c r="O66" s="24"/>
      <c r="P66" s="24"/>
      <c r="Q66" s="24"/>
      <c r="R66" s="185"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85468</v>
      </c>
      <c r="AS66" s="24"/>
      <c r="AT66" s="115" t="n">
        <v>1</v>
      </c>
      <c r="AU66" s="24"/>
      <c r="AV66" s="24"/>
      <c r="AW66" s="24"/>
      <c r="AX66" s="115" t="n">
        <f aca="false">194633-85469</f>
        <v>109164</v>
      </c>
      <c r="AY66" s="24"/>
      <c r="AZ66" s="24"/>
      <c r="BA66" s="24"/>
      <c r="BB66" s="24"/>
      <c r="BC66" s="24"/>
      <c r="BD66" s="24"/>
      <c r="BE66" s="24"/>
      <c r="BF66" s="24"/>
      <c r="BG66" s="24"/>
      <c r="BH66" s="24"/>
      <c r="BI66" s="24"/>
      <c r="BJ66" s="24"/>
      <c r="BK66" s="24"/>
      <c r="BL66" s="115" t="n">
        <f aca="false">SUM(T66:BK66)</f>
        <v>194633</v>
      </c>
      <c r="BM66" s="24"/>
      <c r="BN66" s="115" t="n">
        <f aca="false">334564-327314</f>
        <v>7250</v>
      </c>
      <c r="BO66" s="24"/>
      <c r="BP66" s="115" t="n">
        <f aca="false">IF(+R66-BL66+BN66&gt;0,R66-BL66+BN66,0)</f>
        <v>139931</v>
      </c>
      <c r="BR66" s="115" t="n">
        <f aca="false">+BL66+BP66</f>
        <v>334564</v>
      </c>
      <c r="BT66" s="115"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199</v>
      </c>
      <c r="C67" s="2"/>
      <c r="D67" s="2"/>
      <c r="E67" s="2"/>
      <c r="F67" s="2"/>
      <c r="G67" s="2"/>
      <c r="H67" s="2"/>
      <c r="I67" s="2"/>
      <c r="J67" s="3"/>
      <c r="K67" s="2"/>
      <c r="L67" s="188"/>
      <c r="M67" s="24"/>
      <c r="N67" s="24"/>
      <c r="O67" s="24"/>
      <c r="P67" s="24"/>
      <c r="Q67" s="24"/>
      <c r="R67" s="185"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15" t="n">
        <v>0</v>
      </c>
      <c r="AS67" s="24"/>
      <c r="AU67" s="24"/>
      <c r="AV67" s="24"/>
      <c r="AW67" s="24"/>
      <c r="AX67" s="115" t="n">
        <v>204390</v>
      </c>
      <c r="AY67" s="24"/>
      <c r="AZ67" s="24"/>
      <c r="BA67" s="24"/>
      <c r="BB67" s="24"/>
      <c r="BC67" s="24"/>
      <c r="BD67" s="24"/>
      <c r="BE67" s="24"/>
      <c r="BF67" s="24"/>
      <c r="BG67" s="24"/>
      <c r="BH67" s="24"/>
      <c r="BI67" s="24"/>
      <c r="BJ67" s="24"/>
      <c r="BK67" s="24"/>
      <c r="BL67" s="115" t="n">
        <f aca="false">SUM(T67:BK67)</f>
        <v>204390</v>
      </c>
      <c r="BM67" s="24"/>
      <c r="BN67" s="115" t="n">
        <f aca="false">4071-330460</f>
        <v>-326389</v>
      </c>
      <c r="BO67" s="24"/>
      <c r="BP67" s="115" t="n">
        <f aca="false">IF(+R67-BL67+BN67&gt;0,R67-BL67+BN67,0)</f>
        <v>0</v>
      </c>
      <c r="BR67" s="115" t="n">
        <f aca="false">+BL67+BP67</f>
        <v>204390</v>
      </c>
      <c r="BT67" s="115"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200</v>
      </c>
      <c r="C68" s="2"/>
      <c r="D68" s="2"/>
      <c r="E68" s="2"/>
      <c r="F68" s="2"/>
      <c r="G68" s="2"/>
      <c r="H68" s="2"/>
      <c r="I68" s="2"/>
      <c r="J68" s="3"/>
      <c r="K68" s="2"/>
      <c r="L68" s="188"/>
      <c r="M68" s="24"/>
      <c r="N68" s="24"/>
      <c r="O68" s="24"/>
      <c r="P68" s="24"/>
      <c r="Q68" s="24"/>
      <c r="R68" s="185"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15" t="n">
        <v>0</v>
      </c>
      <c r="AS68" s="24"/>
      <c r="AT68" s="115" t="n">
        <v>92600</v>
      </c>
      <c r="AU68" s="24"/>
      <c r="AV68" s="24"/>
      <c r="AW68" s="24"/>
      <c r="AX68" s="115" t="n">
        <f aca="false">150560-92600</f>
        <v>57960</v>
      </c>
      <c r="AY68" s="24"/>
      <c r="AZ68" s="24"/>
      <c r="BA68" s="24"/>
      <c r="BB68" s="24"/>
      <c r="BC68" s="24"/>
      <c r="BD68" s="24"/>
      <c r="BE68" s="24"/>
      <c r="BF68" s="24"/>
      <c r="BG68" s="24"/>
      <c r="BH68" s="24"/>
      <c r="BI68" s="24"/>
      <c r="BJ68" s="24"/>
      <c r="BK68" s="24"/>
      <c r="BL68" s="115" t="n">
        <f aca="false">SUM(T68:BK68)</f>
        <v>150560</v>
      </c>
      <c r="BM68" s="24"/>
      <c r="BN68" s="115" t="n">
        <f aca="false">870591-808591</f>
        <v>62000</v>
      </c>
      <c r="BO68" s="24"/>
      <c r="BP68" s="115" t="n">
        <f aca="false">IF(+R68-BL68+BN68&gt;0,R68-BL68+BN68,0)</f>
        <v>720031</v>
      </c>
      <c r="BR68" s="115" t="n">
        <f aca="false">+BL68+BP68</f>
        <v>870591</v>
      </c>
      <c r="BT68" s="115"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201</v>
      </c>
      <c r="C69" s="2"/>
      <c r="D69" s="2"/>
      <c r="E69" s="2"/>
      <c r="F69" s="2"/>
      <c r="G69" s="2"/>
      <c r="H69" s="2"/>
      <c r="I69" s="2"/>
      <c r="J69" s="3"/>
      <c r="K69" s="2"/>
      <c r="L69" s="188"/>
      <c r="M69" s="24"/>
      <c r="N69" s="24"/>
      <c r="O69" s="24"/>
      <c r="P69" s="24"/>
      <c r="Q69" s="24"/>
      <c r="R69" s="185"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15" t="n">
        <v>0</v>
      </c>
      <c r="AS69" s="24"/>
      <c r="AT69" s="115" t="n">
        <f aca="false">44379+1584</f>
        <v>45963</v>
      </c>
      <c r="AU69" s="24"/>
      <c r="AV69" s="24"/>
      <c r="AW69" s="24"/>
      <c r="AX69" s="115" t="n">
        <f aca="false">358585-45963</f>
        <v>312622</v>
      </c>
      <c r="AY69" s="24"/>
      <c r="AZ69" s="24"/>
      <c r="BA69" s="24"/>
      <c r="BB69" s="24"/>
      <c r="BC69" s="24"/>
      <c r="BD69" s="24"/>
      <c r="BE69" s="24"/>
      <c r="BF69" s="24"/>
      <c r="BG69" s="24"/>
      <c r="BH69" s="24"/>
      <c r="BI69" s="24"/>
      <c r="BJ69" s="24"/>
      <c r="BK69" s="24"/>
      <c r="BL69" s="115" t="n">
        <f aca="false">SUM(T69:BK69)</f>
        <v>358585</v>
      </c>
      <c r="BM69" s="24"/>
      <c r="BN69" s="115" t="n">
        <f aca="false">1874965-858343</f>
        <v>1016622</v>
      </c>
      <c r="BO69" s="24"/>
      <c r="BP69" s="115" t="n">
        <f aca="false">IF(+R69-BL69+BN69&gt;0,R69-BL69+BN69,0)</f>
        <v>1516380</v>
      </c>
      <c r="BR69" s="115" t="n">
        <f aca="false">+BL69+BP69</f>
        <v>1874965</v>
      </c>
      <c r="BT69" s="115"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202</v>
      </c>
      <c r="C70" s="2"/>
      <c r="D70" s="2"/>
      <c r="E70" s="2"/>
      <c r="F70" s="2"/>
      <c r="G70" s="2"/>
      <c r="H70" s="2"/>
      <c r="I70" s="2"/>
      <c r="J70" s="3"/>
      <c r="K70" s="2"/>
      <c r="L70" s="188"/>
      <c r="M70" s="24"/>
      <c r="N70" s="24"/>
      <c r="O70" s="24"/>
      <c r="P70" s="24"/>
      <c r="Q70" s="24"/>
      <c r="R70" s="185"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15" t="n">
        <v>46290</v>
      </c>
      <c r="AU70" s="24"/>
      <c r="AV70" s="24"/>
      <c r="AW70" s="24"/>
      <c r="AX70" s="115" t="n">
        <f aca="false">1227338-46290</f>
        <v>1181048</v>
      </c>
      <c r="AY70" s="24"/>
      <c r="AZ70" s="24"/>
      <c r="BA70" s="24"/>
      <c r="BB70" s="24"/>
      <c r="BC70" s="24"/>
      <c r="BD70" s="24"/>
      <c r="BE70" s="24"/>
      <c r="BF70" s="24"/>
      <c r="BG70" s="24"/>
      <c r="BH70" s="24"/>
      <c r="BI70" s="24"/>
      <c r="BJ70" s="24"/>
      <c r="BK70" s="24"/>
      <c r="BL70" s="115" t="n">
        <f aca="false">SUM(T70:BK70)</f>
        <v>1227338</v>
      </c>
      <c r="BM70" s="24"/>
      <c r="BN70" s="115" t="n">
        <f aca="false">6493941-1745515</f>
        <v>4748426</v>
      </c>
      <c r="BO70" s="24"/>
      <c r="BP70" s="115" t="n">
        <f aca="false">IF(+R70-BL70+BN70&gt;0,R70-BL70+BN70,0)</f>
        <v>5266603</v>
      </c>
      <c r="BR70" s="115" t="n">
        <f aca="false">+BL70+BP70</f>
        <v>6493941</v>
      </c>
      <c r="BT70" s="115"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203</v>
      </c>
      <c r="C71" s="2"/>
      <c r="D71" s="2"/>
      <c r="E71" s="2"/>
      <c r="F71" s="2"/>
      <c r="G71" s="2"/>
      <c r="H71" s="2"/>
      <c r="I71" s="2"/>
      <c r="J71" s="3"/>
      <c r="K71" s="2"/>
      <c r="L71" s="188"/>
      <c r="M71" s="24"/>
      <c r="N71" s="24"/>
      <c r="O71" s="24"/>
      <c r="P71" s="24"/>
      <c r="Q71" s="24"/>
      <c r="R71" s="185"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15" t="n">
        <v>526</v>
      </c>
      <c r="AU71" s="24"/>
      <c r="AV71" s="24"/>
      <c r="AW71" s="24"/>
      <c r="AX71" s="115" t="n">
        <f aca="false">32975-526</f>
        <v>32449</v>
      </c>
      <c r="AY71" s="24"/>
      <c r="AZ71" s="24"/>
      <c r="BA71" s="24"/>
      <c r="BB71" s="24"/>
      <c r="BC71" s="24"/>
      <c r="BD71" s="24"/>
      <c r="BE71" s="24"/>
      <c r="BF71" s="24"/>
      <c r="BG71" s="24"/>
      <c r="BH71" s="24"/>
      <c r="BI71" s="24"/>
      <c r="BJ71" s="24"/>
      <c r="BK71" s="24"/>
      <c r="BL71" s="115" t="n">
        <f aca="false">SUM(T71:BK71)</f>
        <v>32975</v>
      </c>
      <c r="BM71" s="24"/>
      <c r="BN71" s="115" t="n">
        <f aca="false">447503-571564</f>
        <v>-124061</v>
      </c>
      <c r="BO71" s="24"/>
      <c r="BP71" s="115" t="n">
        <f aca="false">IF(+R71-BL71+BN71&gt;0,R71-BL71+BN71,0)</f>
        <v>414528</v>
      </c>
      <c r="BR71" s="115" t="n">
        <f aca="false">+BL71+BP71</f>
        <v>447503</v>
      </c>
      <c r="BT71" s="115"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204</v>
      </c>
      <c r="C72" s="2"/>
      <c r="D72" s="2"/>
      <c r="E72" s="2"/>
      <c r="F72" s="2"/>
      <c r="G72" s="2"/>
      <c r="H72" s="2"/>
      <c r="I72" s="2"/>
      <c r="J72" s="3"/>
      <c r="K72" s="2"/>
      <c r="L72" s="188"/>
      <c r="M72" s="24"/>
      <c r="N72" s="24"/>
      <c r="O72" s="24"/>
      <c r="P72" s="24"/>
      <c r="Q72" s="24"/>
      <c r="R72" s="185"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15" t="n">
        <v>0</v>
      </c>
      <c r="AU72" s="24"/>
      <c r="AV72" s="24"/>
      <c r="AW72" s="24"/>
      <c r="AY72" s="24"/>
      <c r="AZ72" s="24"/>
      <c r="BA72" s="24"/>
      <c r="BB72" s="24"/>
      <c r="BC72" s="24"/>
      <c r="BD72" s="24"/>
      <c r="BE72" s="24"/>
      <c r="BF72" s="24"/>
      <c r="BG72" s="24"/>
      <c r="BH72" s="24"/>
      <c r="BI72" s="24"/>
      <c r="BJ72" s="24"/>
      <c r="BK72" s="24"/>
      <c r="BL72" s="115" t="n">
        <f aca="false">SUM(T72:BK72)</f>
        <v>0</v>
      </c>
      <c r="BM72" s="24"/>
      <c r="BN72" s="115" t="n">
        <f aca="false">590892+351016-931641</f>
        <v>10267</v>
      </c>
      <c r="BO72" s="24"/>
      <c r="BP72" s="115" t="n">
        <f aca="false">IF(+R72-BL72+BN72&gt;0,R72-BL72+BN72,0)</f>
        <v>941908</v>
      </c>
      <c r="BR72" s="115" t="n">
        <f aca="false">+BL72+BP72</f>
        <v>941908</v>
      </c>
      <c r="BT72" s="115"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205</v>
      </c>
      <c r="C73" s="2"/>
      <c r="D73" s="2"/>
      <c r="E73" s="2"/>
      <c r="F73" s="2"/>
      <c r="G73" s="2"/>
      <c r="H73" s="2"/>
      <c r="I73" s="2"/>
      <c r="J73" s="3"/>
      <c r="K73" s="2"/>
      <c r="L73" s="188"/>
      <c r="M73" s="24"/>
      <c r="N73" s="24"/>
      <c r="O73" s="24"/>
      <c r="P73" s="24"/>
      <c r="Q73" s="24"/>
      <c r="R73" s="185"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15" t="n">
        <v>134000</v>
      </c>
      <c r="AS73" s="24"/>
      <c r="AT73" s="115" t="n">
        <f aca="false">537131+88400</f>
        <v>625531</v>
      </c>
      <c r="AU73" s="24"/>
      <c r="AV73" s="24"/>
      <c r="AW73" s="24"/>
      <c r="AX73" s="115" t="n">
        <f aca="false">3951728-759531</f>
        <v>3192197</v>
      </c>
      <c r="AY73" s="24"/>
      <c r="AZ73" s="24"/>
      <c r="BA73" s="24"/>
      <c r="BB73" s="24"/>
      <c r="BC73" s="24"/>
      <c r="BD73" s="24"/>
      <c r="BE73" s="24"/>
      <c r="BF73" s="24"/>
      <c r="BG73" s="24"/>
      <c r="BH73" s="24"/>
      <c r="BI73" s="24"/>
      <c r="BJ73" s="24"/>
      <c r="BK73" s="24"/>
      <c r="BL73" s="115" t="n">
        <f aca="false">SUM(T73:BK73)</f>
        <v>3951728</v>
      </c>
      <c r="BM73" s="24"/>
      <c r="BN73" s="115" t="n">
        <f aca="false">17384211-6297865</f>
        <v>11086346</v>
      </c>
      <c r="BO73" s="24"/>
      <c r="BP73" s="115" t="n">
        <f aca="false">IF(+R73-BL73+BN73&gt;0,R73-BL73+BN73,0)</f>
        <v>13432483</v>
      </c>
      <c r="BR73" s="115" t="n">
        <f aca="false">+BL73+BP73</f>
        <v>17384211</v>
      </c>
      <c r="BT73" s="115"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206</v>
      </c>
      <c r="C74" s="2"/>
      <c r="D74" s="2"/>
      <c r="E74" s="2"/>
      <c r="F74" s="2"/>
      <c r="G74" s="2"/>
      <c r="H74" s="2"/>
      <c r="I74" s="2"/>
      <c r="J74" s="3"/>
      <c r="K74" s="2"/>
      <c r="L74" s="188"/>
      <c r="M74" s="24"/>
      <c r="N74" s="24"/>
      <c r="O74" s="24"/>
      <c r="P74" s="24"/>
      <c r="Q74" s="24"/>
      <c r="R74" s="185"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15" t="n">
        <v>169550</v>
      </c>
      <c r="AY74" s="24"/>
      <c r="AZ74" s="24"/>
      <c r="BA74" s="24"/>
      <c r="BB74" s="24"/>
      <c r="BC74" s="24"/>
      <c r="BD74" s="24"/>
      <c r="BE74" s="24"/>
      <c r="BF74" s="24"/>
      <c r="BG74" s="24"/>
      <c r="BH74" s="24"/>
      <c r="BI74" s="24"/>
      <c r="BJ74" s="24"/>
      <c r="BK74" s="24"/>
      <c r="BL74" s="115" t="n">
        <f aca="false">SUM(T74:BK74)</f>
        <v>169550</v>
      </c>
      <c r="BM74" s="24"/>
      <c r="BN74" s="115" t="n">
        <f aca="false">2284466-868340</f>
        <v>1416126</v>
      </c>
      <c r="BO74" s="24"/>
      <c r="BP74" s="115" t="n">
        <f aca="false">IF(+R74-BL74+BN74&gt;0,R74-BL74+BN74,0)</f>
        <v>2114916</v>
      </c>
      <c r="BR74" s="115" t="n">
        <f aca="false">+BL74+BP74</f>
        <v>2284466</v>
      </c>
      <c r="BT74" s="115"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207</v>
      </c>
      <c r="C75" s="2"/>
      <c r="D75" s="2"/>
      <c r="E75" s="2"/>
      <c r="F75" s="2"/>
      <c r="G75" s="2"/>
      <c r="H75" s="2"/>
      <c r="I75" s="2"/>
      <c r="J75" s="3"/>
      <c r="K75" s="2"/>
      <c r="L75" s="188"/>
      <c r="M75" s="24"/>
      <c r="N75" s="24"/>
      <c r="O75" s="24"/>
      <c r="P75" s="24"/>
      <c r="Q75" s="24"/>
      <c r="R75" s="185"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15" t="n">
        <f aca="false">SUM(T75:BK75)</f>
        <v>0</v>
      </c>
      <c r="BM75" s="24"/>
      <c r="BN75" s="115" t="n">
        <v>1225177</v>
      </c>
      <c r="BO75" s="24"/>
      <c r="BP75" s="115" t="n">
        <f aca="false">IF(+R75-BL75+BN75&gt;0,R75-BL75+BN75,0)</f>
        <v>0</v>
      </c>
      <c r="BR75" s="115" t="n">
        <f aca="false">+BL75+BP75</f>
        <v>0</v>
      </c>
      <c r="BT75" s="115"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208</v>
      </c>
      <c r="C76" s="2"/>
      <c r="D76" s="2"/>
      <c r="E76" s="2"/>
      <c r="F76" s="2"/>
      <c r="G76" s="2"/>
      <c r="H76" s="2"/>
      <c r="I76" s="2"/>
      <c r="J76" s="3"/>
      <c r="K76" s="2"/>
      <c r="L76" s="188"/>
      <c r="M76" s="24"/>
      <c r="N76" s="24"/>
      <c r="O76" s="24"/>
      <c r="P76" s="24"/>
      <c r="Q76" s="24"/>
      <c r="R76" s="185"/>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15" t="n">
        <v>29554</v>
      </c>
      <c r="AU76" s="24"/>
      <c r="AV76" s="24"/>
      <c r="AW76" s="24"/>
      <c r="AX76" s="115" t="n">
        <f aca="false">57585-29554</f>
        <v>28031</v>
      </c>
      <c r="AY76" s="24"/>
      <c r="AZ76" s="24"/>
      <c r="BA76" s="24"/>
      <c r="BB76" s="24"/>
      <c r="BC76" s="24"/>
      <c r="BD76" s="24"/>
      <c r="BE76" s="24"/>
      <c r="BF76" s="24"/>
      <c r="BG76" s="24"/>
      <c r="BH76" s="24"/>
      <c r="BI76" s="24"/>
      <c r="BJ76" s="24"/>
      <c r="BK76" s="24"/>
      <c r="BL76" s="115" t="n">
        <f aca="false">SUM(T76:BK76)</f>
        <v>57585</v>
      </c>
      <c r="BM76" s="24"/>
      <c r="BN76" s="115" t="n">
        <v>99202</v>
      </c>
      <c r="BO76" s="24"/>
      <c r="BP76" s="115" t="n">
        <f aca="false">IF(+R76-BL76+BN76&gt;0,R76-BL76+BN76,0)</f>
        <v>41617</v>
      </c>
      <c r="BR76" s="115" t="n">
        <f aca="false">+BL76+BP76</f>
        <v>99202</v>
      </c>
      <c r="BT76" s="115"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209</v>
      </c>
      <c r="C77" s="2"/>
      <c r="D77" s="2"/>
      <c r="E77" s="2"/>
      <c r="F77" s="2"/>
      <c r="G77" s="2"/>
      <c r="H77" s="2"/>
      <c r="I77" s="2"/>
      <c r="J77" s="3"/>
      <c r="K77" s="2"/>
      <c r="L77" s="188"/>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15" t="n">
        <v>99225</v>
      </c>
      <c r="AU77" s="24"/>
      <c r="AV77" s="24"/>
      <c r="AW77" s="24"/>
      <c r="AX77" s="115" t="n">
        <f aca="false">116645-99225</f>
        <v>17420</v>
      </c>
      <c r="AY77" s="24"/>
      <c r="AZ77" s="24"/>
      <c r="BA77" s="24"/>
      <c r="BB77" s="24"/>
      <c r="BC77" s="24"/>
      <c r="BD77" s="24"/>
      <c r="BE77" s="24"/>
      <c r="BF77" s="24"/>
      <c r="BG77" s="24"/>
      <c r="BH77" s="24"/>
      <c r="BI77" s="24"/>
      <c r="BJ77" s="24"/>
      <c r="BK77" s="24"/>
      <c r="BL77" s="115" t="n">
        <f aca="false">SUM(T77:BK77)</f>
        <v>116645</v>
      </c>
      <c r="BM77" s="24"/>
      <c r="BN77" s="24" t="n">
        <v>0</v>
      </c>
      <c r="BO77" s="24"/>
      <c r="BP77" s="115" t="n">
        <f aca="false">IF(+R77-BL77+BN77&gt;0,R77-BL77+BN77,0)</f>
        <v>0</v>
      </c>
      <c r="BR77" s="115" t="n">
        <f aca="false">+BL77+BP77</f>
        <v>116645</v>
      </c>
      <c r="BT77" s="115"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4" t="s">
        <v>210</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15" t="n">
        <f aca="false">77361-12201</f>
        <v>65160</v>
      </c>
      <c r="AY78" s="24"/>
      <c r="AZ78" s="24"/>
      <c r="BA78" s="24"/>
      <c r="BB78" s="24"/>
      <c r="BC78" s="24"/>
      <c r="BD78" s="24"/>
      <c r="BE78" s="24"/>
      <c r="BF78" s="24"/>
      <c r="BG78" s="24"/>
      <c r="BH78" s="24"/>
      <c r="BI78" s="24"/>
      <c r="BJ78" s="24"/>
      <c r="BK78" s="24"/>
      <c r="BL78" s="115" t="n">
        <f aca="false">SUM(T78:BK78)</f>
        <v>77361</v>
      </c>
      <c r="BM78" s="24"/>
      <c r="BN78" s="115" t="n">
        <v>0</v>
      </c>
      <c r="BO78" s="24"/>
      <c r="BP78" s="24"/>
      <c r="BQ78" s="24"/>
      <c r="BR78" s="115" t="n">
        <f aca="false">+BL78+BP78</f>
        <v>77361</v>
      </c>
      <c r="BS78" s="24"/>
      <c r="BT78" s="115"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7" t="s">
        <v>211</v>
      </c>
      <c r="C79" s="2"/>
      <c r="D79" s="2"/>
      <c r="E79" s="2"/>
      <c r="F79" s="2"/>
      <c r="G79" s="2"/>
      <c r="H79" s="2"/>
      <c r="I79" s="2"/>
      <c r="J79" s="3"/>
      <c r="K79" s="2"/>
      <c r="L79" s="188"/>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c r="C80" s="2"/>
      <c r="D80" s="2"/>
      <c r="E80" s="2"/>
      <c r="F80" s="2"/>
      <c r="G80" s="2"/>
      <c r="H80" s="2"/>
      <c r="I80" s="2"/>
      <c r="J80" s="3"/>
      <c r="K80" s="2"/>
      <c r="L80" s="188"/>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2" t="s">
        <v>212</v>
      </c>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3" t="s">
        <v>213</v>
      </c>
      <c r="C82" s="2"/>
      <c r="D82" s="2"/>
      <c r="E82" s="2"/>
      <c r="F82" s="2"/>
      <c r="G82" s="2"/>
      <c r="H82" s="2"/>
      <c r="I82" s="2"/>
      <c r="J82" s="3"/>
      <c r="K82" s="2"/>
      <c r="L82" s="188"/>
      <c r="M82" s="24"/>
      <c r="N82" s="24"/>
      <c r="O82" s="24"/>
      <c r="P82" s="24"/>
      <c r="Q82" s="24"/>
      <c r="R82" s="185"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15" t="n">
        <v>28388</v>
      </c>
      <c r="AS82" s="24"/>
      <c r="AT82" s="115" t="n">
        <f aca="false">791673-28388</f>
        <v>763285</v>
      </c>
      <c r="AU82" s="24"/>
      <c r="AV82" s="24"/>
      <c r="AW82" s="24"/>
      <c r="AX82" s="115" t="n">
        <f aca="false">3252538-791673</f>
        <v>2460865</v>
      </c>
      <c r="AY82" s="24"/>
      <c r="AZ82" s="24"/>
      <c r="BA82" s="24"/>
      <c r="BB82" s="24"/>
      <c r="BC82" s="24"/>
      <c r="BD82" s="24"/>
      <c r="BE82" s="24"/>
      <c r="BF82" s="24"/>
      <c r="BG82" s="24"/>
      <c r="BH82" s="24"/>
      <c r="BI82" s="24"/>
      <c r="BJ82" s="24"/>
      <c r="BK82" s="24"/>
      <c r="BL82" s="115" t="n">
        <f aca="false">SUM(T82:BK82)</f>
        <v>3252538</v>
      </c>
      <c r="BM82" s="24"/>
      <c r="BN82" s="115" t="n">
        <f aca="false">5336650-5312100</f>
        <v>24550</v>
      </c>
      <c r="BO82" s="24"/>
      <c r="BP82" s="115" t="n">
        <f aca="false">IF(+R82-BL82+BN82&gt;0,R82-BL82+BN82,0)</f>
        <v>2084112</v>
      </c>
      <c r="BR82" s="115" t="n">
        <f aca="false">+BL82+BP82</f>
        <v>5336650</v>
      </c>
      <c r="BT82" s="115"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8"/>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214</v>
      </c>
      <c r="C84" s="2"/>
      <c r="D84" s="2"/>
      <c r="E84" s="2"/>
      <c r="F84" s="2"/>
      <c r="G84" s="2"/>
      <c r="H84" s="2"/>
      <c r="I84" s="2"/>
      <c r="J84" s="3"/>
      <c r="K84" s="2"/>
      <c r="L84" s="188"/>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15"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15"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2" t="s">
        <v>215</v>
      </c>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15"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2" t="s">
        <v>216</v>
      </c>
      <c r="C86" s="2"/>
      <c r="D86" s="2"/>
      <c r="E86" s="2"/>
      <c r="F86" s="2"/>
      <c r="G86" s="2"/>
      <c r="H86" s="2"/>
      <c r="I86" s="2"/>
      <c r="J86" s="3"/>
      <c r="K86" s="2"/>
      <c r="L86" s="188"/>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15" t="n">
        <f aca="false">10717074-3623155+41531</f>
        <v>7135450</v>
      </c>
      <c r="AS86" s="24"/>
      <c r="AT86" s="24" t="n">
        <f aca="false">-8600128+744251</f>
        <v>-7855877</v>
      </c>
      <c r="AU86" s="24"/>
      <c r="AV86" s="24" t="n">
        <v>12922196</v>
      </c>
      <c r="AW86" s="24"/>
      <c r="AX86" s="24" t="n">
        <f aca="false">-20774842+5385733+11527832</f>
        <v>-3861277</v>
      </c>
      <c r="AY86" s="24"/>
      <c r="AZ86" s="24" t="n">
        <v>19510321</v>
      </c>
      <c r="BA86" s="24"/>
      <c r="BB86" s="24"/>
      <c r="BC86" s="24"/>
      <c r="BD86" s="24"/>
      <c r="BE86" s="24"/>
      <c r="BF86" s="24"/>
      <c r="BG86" s="24"/>
      <c r="BH86" s="24"/>
      <c r="BI86" s="24"/>
      <c r="BJ86" s="24"/>
      <c r="BK86" s="24"/>
      <c r="BL86" s="115" t="n">
        <f aca="false">SUM(T86:BK86)</f>
        <v>36423886</v>
      </c>
      <c r="BM86" s="24"/>
      <c r="BN86" s="24" t="n">
        <v>0</v>
      </c>
      <c r="BO86" s="24" t="n">
        <f aca="false">SUM(BO84:BO85)</f>
        <v>0</v>
      </c>
      <c r="BP86" s="115" t="n">
        <v>-36423886</v>
      </c>
      <c r="BQ86" s="24" t="n">
        <f aca="false">SUM(BQ84:BQ85)</f>
        <v>0</v>
      </c>
      <c r="BR86" s="115" t="n">
        <f aca="false">+BL86+BP86</f>
        <v>0</v>
      </c>
      <c r="BS86" s="24" t="n">
        <f aca="false">SUM(BS84:BS85)</f>
        <v>0</v>
      </c>
      <c r="BT86" s="115"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4" t="s">
        <v>217</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t="n">
        <v>-14000000</v>
      </c>
      <c r="BQ87" s="24"/>
      <c r="BR87" s="115" t="n">
        <f aca="false">+BL87+BP87</f>
        <v>-14000000</v>
      </c>
      <c r="BS87" s="24"/>
      <c r="BT87" s="115" t="n">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5"/>
      <c r="B88" s="196" t="s">
        <v>218</v>
      </c>
      <c r="C88" s="197"/>
      <c r="D88" s="197"/>
      <c r="E88" s="197"/>
      <c r="F88" s="197"/>
      <c r="G88" s="197"/>
      <c r="H88" s="197"/>
      <c r="I88" s="197"/>
      <c r="J88" s="198"/>
      <c r="K88" s="197"/>
      <c r="L88" s="199"/>
      <c r="M88" s="200"/>
      <c r="N88" s="201" t="n">
        <f aca="false">SUM(N37:N87)</f>
        <v>0</v>
      </c>
      <c r="O88" s="200"/>
      <c r="P88" s="201" t="n">
        <f aca="false">SUM(P37:P87)</f>
        <v>0</v>
      </c>
      <c r="Q88" s="200"/>
      <c r="R88" s="201" t="n">
        <f aca="false">R84+R79+R53+R46+R86</f>
        <v>50944642</v>
      </c>
      <c r="S88" s="201" t="n">
        <f aca="false">S84+S79+S53+S46+S86</f>
        <v>0</v>
      </c>
      <c r="T88" s="201" t="n">
        <f aca="false">T84+T79+T53+T46+T86</f>
        <v>0</v>
      </c>
      <c r="U88" s="201" t="n">
        <f aca="false">U84+U79+U53+U46+U86</f>
        <v>0</v>
      </c>
      <c r="V88" s="201" t="n">
        <f aca="false">V84+V79+V53+V46+V86</f>
        <v>0</v>
      </c>
      <c r="W88" s="201" t="n">
        <f aca="false">W84+W79+W53+W46+W86</f>
        <v>0</v>
      </c>
      <c r="X88" s="201" t="n">
        <f aca="false">X84+X79+X53+X46+X86</f>
        <v>0</v>
      </c>
      <c r="Y88" s="201" t="n">
        <f aca="false">Y84+Y79+Y53+Y46+Y86</f>
        <v>0</v>
      </c>
      <c r="Z88" s="201" t="n">
        <f aca="false">Z84+Z79+Z53+Z46+Z86</f>
        <v>0</v>
      </c>
      <c r="AA88" s="201" t="n">
        <f aca="false">AA84+AA79+AA53+AA46+AA86</f>
        <v>0</v>
      </c>
      <c r="AB88" s="201" t="n">
        <f aca="false">AB84+AB79+AB53+AB46+AB86</f>
        <v>0</v>
      </c>
      <c r="AC88" s="201" t="n">
        <f aca="false">AC84+AC79+AC53+AC46+AC86</f>
        <v>0</v>
      </c>
      <c r="AD88" s="201" t="n">
        <f aca="false">AD84+AD79+AD53+AD46+AD86</f>
        <v>0</v>
      </c>
      <c r="AE88" s="201"/>
      <c r="AF88" s="201" t="n">
        <f aca="false">AF84+AF79+AF53+AF46+AF86</f>
        <v>0</v>
      </c>
      <c r="AG88" s="201"/>
      <c r="AH88" s="201" t="n">
        <f aca="false">AH84+AH79+AH53+AH46+AH86</f>
        <v>0</v>
      </c>
      <c r="AI88" s="201"/>
      <c r="AJ88" s="201" t="n">
        <f aca="false">AJ84+AJ79+AJ53+AJ46+AJ86</f>
        <v>0</v>
      </c>
      <c r="AK88" s="201" t="n">
        <f aca="false">AK84+AK79+AK53+AK46+AK86</f>
        <v>0</v>
      </c>
      <c r="AL88" s="201" t="n">
        <f aca="false">AL84+AL79+AL53+AL46+AL86</f>
        <v>0</v>
      </c>
      <c r="AM88" s="201" t="n">
        <f aca="false">AM84+AM79+AM53+AM46+AM86</f>
        <v>0</v>
      </c>
      <c r="AN88" s="201" t="n">
        <f aca="false">AN84+AN79+AN53+AN46+AN86</f>
        <v>0</v>
      </c>
      <c r="AO88" s="201" t="n">
        <f aca="false">AO84+AO79+AO53+AO46+AO86</f>
        <v>0</v>
      </c>
      <c r="AP88" s="201" t="n">
        <f aca="false">AP84+AP79+AP53+AP46+AP86</f>
        <v>9438462</v>
      </c>
      <c r="AQ88" s="201" t="n">
        <f aca="false">AQ84+AQ79+AQ53+AQ46+AQ86</f>
        <v>0</v>
      </c>
      <c r="AR88" s="201" t="n">
        <f aca="false">AR84+AR79+AR53+AR46+AR86</f>
        <v>10717074</v>
      </c>
      <c r="AS88" s="201" t="n">
        <f aca="false">AS84+AS79+AS53+AS46+AS86</f>
        <v>0</v>
      </c>
      <c r="AT88" s="201" t="n">
        <f aca="false">AT84+AT79+AT53+AT46+AT86</f>
        <v>744251</v>
      </c>
      <c r="AU88" s="201" t="n">
        <f aca="false">AU84+AU79+AU53+AU46+AU86</f>
        <v>0</v>
      </c>
      <c r="AV88" s="201" t="n">
        <f aca="false">AV84+AV79+AV53+AV46+AV86</f>
        <v>12922196</v>
      </c>
      <c r="AW88" s="201" t="n">
        <f aca="false">AW84+AW79+AW53+AW46+AW86</f>
        <v>0</v>
      </c>
      <c r="AX88" s="201" t="n">
        <f aca="false">AX84+AX79+AX53+AX46+AX86</f>
        <v>11527832</v>
      </c>
      <c r="AY88" s="201" t="n">
        <f aca="false">AY84+AY79+AY53+AY46+AY86</f>
        <v>0</v>
      </c>
      <c r="AZ88" s="201" t="n">
        <f aca="false">AZ84+AZ79+AZ53+AZ46+AZ86</f>
        <v>19510321</v>
      </c>
      <c r="BA88" s="201" t="n">
        <f aca="false">BA84+BA79+BA53+BA46+BA86</f>
        <v>0</v>
      </c>
      <c r="BB88" s="201" t="n">
        <f aca="false">BB84+BB79+BB53+BB46+BB86</f>
        <v>0</v>
      </c>
      <c r="BC88" s="201" t="n">
        <f aca="false">BC84+BC79+BC53+BC46+BC86</f>
        <v>0</v>
      </c>
      <c r="BD88" s="201" t="n">
        <f aca="false">BD84+BD79+BD53+BD46+BD86</f>
        <v>0</v>
      </c>
      <c r="BE88" s="201" t="n">
        <f aca="false">BE84+BE79+BE53+BE46+BE86</f>
        <v>0</v>
      </c>
      <c r="BF88" s="201" t="n">
        <f aca="false">BF84+BF79+BF53+BF46+BF86</f>
        <v>0</v>
      </c>
      <c r="BG88" s="201" t="n">
        <f aca="false">BG84+BG79+BG53+BG46+BG86</f>
        <v>0</v>
      </c>
      <c r="BH88" s="201" t="n">
        <f aca="false">BH84+BH79+BH53+BH46+BH86</f>
        <v>0</v>
      </c>
      <c r="BI88" s="201" t="n">
        <f aca="false">BI84+BI79+BI53+BI46+BI86</f>
        <v>0</v>
      </c>
      <c r="BJ88" s="201" t="n">
        <f aca="false">BJ84+BJ79+BJ53+BJ46+BJ86</f>
        <v>0</v>
      </c>
      <c r="BK88" s="201" t="n">
        <f aca="false">BK84+BK79+BK53+BK46+BK86</f>
        <v>0</v>
      </c>
      <c r="BL88" s="201" t="n">
        <f aca="false">BL84+BL79+BL53+BL46+BL86</f>
        <v>64860136</v>
      </c>
      <c r="BM88" s="201" t="n">
        <f aca="false">BM84+BM79+BM53+BM46+BM86</f>
        <v>0</v>
      </c>
      <c r="BN88" s="201" t="n">
        <f aca="false">BN84+BN79+BN53+BN46+BN86</f>
        <v>23887172</v>
      </c>
      <c r="BO88" s="201" t="n">
        <f aca="false">BO84+BO79+BO53+BO46+BO86</f>
        <v>0</v>
      </c>
      <c r="BP88" s="201" t="n">
        <f aca="false">BP84+BP79+BP53+BP46+BP86</f>
        <v>11403129</v>
      </c>
      <c r="BQ88" s="201" t="n">
        <f aca="false">BQ84+BQ79+BQ53+BQ46+BQ86</f>
        <v>0</v>
      </c>
      <c r="BR88" s="201" t="n">
        <f aca="false">BR84+BR79+BR53+BR46+BR86+BR85+BR87</f>
        <v>61078636</v>
      </c>
      <c r="BS88" s="201" t="n">
        <f aca="false">BS84+BS79+BS53+BS46+BS86</f>
        <v>0</v>
      </c>
      <c r="BT88" s="201" t="n">
        <f aca="false">BT84+BT79+BT53+BT46+BT86+BT85</f>
        <v>-24133994</v>
      </c>
      <c r="BU88" s="201" t="n">
        <f aca="false">BU84+BU79+BU53+BU46+BU86</f>
        <v>0</v>
      </c>
      <c r="BV88" s="197"/>
      <c r="BW88" s="197"/>
      <c r="BX88" s="197"/>
      <c r="BY88" s="197"/>
      <c r="BZ88" s="197"/>
      <c r="CA88" s="197"/>
      <c r="CB88" s="197"/>
      <c r="CC88" s="197"/>
      <c r="CD88" s="197"/>
      <c r="CE88" s="197"/>
      <c r="CF88" s="197"/>
      <c r="CG88" s="197"/>
      <c r="CH88" s="197"/>
      <c r="CI88" s="197"/>
      <c r="CJ88" s="197"/>
      <c r="CK88" s="197"/>
      <c r="CL88" s="197"/>
      <c r="CM88" s="197"/>
      <c r="CN88" s="197"/>
      <c r="CO88" s="197"/>
      <c r="CP88" s="197"/>
      <c r="CQ88" s="197"/>
      <c r="CR88" s="197"/>
      <c r="CS88" s="197"/>
      <c r="CT88" s="197"/>
      <c r="CU88" s="197"/>
      <c r="CV88" s="197"/>
      <c r="CW88" s="197"/>
      <c r="CX88" s="197"/>
      <c r="CY88" s="197"/>
      <c r="CZ88" s="197"/>
      <c r="DA88" s="197"/>
      <c r="DB88" s="197"/>
      <c r="DC88" s="197"/>
      <c r="DD88" s="197"/>
      <c r="DE88" s="197"/>
      <c r="DF88" s="197"/>
      <c r="DG88" s="197"/>
      <c r="DH88" s="197"/>
      <c r="DI88" s="197"/>
      <c r="DJ88" s="197"/>
      <c r="DK88" s="197"/>
      <c r="DL88" s="197"/>
      <c r="DM88" s="197"/>
      <c r="DN88" s="197"/>
      <c r="DO88" s="197"/>
      <c r="DP88" s="197"/>
      <c r="DQ88" s="197"/>
      <c r="DR88" s="197"/>
      <c r="DS88" s="197"/>
      <c r="DT88" s="197"/>
      <c r="DU88" s="197"/>
      <c r="DV88" s="197"/>
      <c r="DW88" s="197"/>
      <c r="DX88" s="197"/>
      <c r="DY88" s="197"/>
      <c r="DZ88" s="197"/>
      <c r="EA88" s="197"/>
      <c r="EB88" s="197"/>
      <c r="EC88" s="197"/>
      <c r="ED88" s="197"/>
      <c r="EE88" s="197"/>
      <c r="EF88" s="197"/>
      <c r="EG88" s="197"/>
      <c r="EH88" s="197"/>
      <c r="EI88" s="197"/>
      <c r="EJ88" s="197"/>
      <c r="EK88" s="197"/>
      <c r="EL88" s="197"/>
      <c r="EM88" s="197"/>
      <c r="EN88" s="197"/>
      <c r="EO88" s="197"/>
      <c r="EP88" s="197"/>
      <c r="EQ88" s="197"/>
      <c r="ER88" s="197"/>
      <c r="ES88" s="197"/>
      <c r="ET88" s="197"/>
      <c r="EU88" s="197"/>
      <c r="EV88" s="197"/>
      <c r="EW88" s="197"/>
      <c r="EX88" s="197"/>
      <c r="EY88" s="197"/>
      <c r="EZ88" s="197"/>
      <c r="FA88" s="197"/>
      <c r="FB88" s="197"/>
      <c r="FC88" s="197"/>
      <c r="FD88" s="197"/>
      <c r="FE88" s="197"/>
      <c r="FF88" s="197"/>
      <c r="FG88" s="197"/>
      <c r="FH88" s="197"/>
      <c r="FI88" s="197"/>
      <c r="FJ88" s="197"/>
      <c r="FK88" s="197"/>
      <c r="FL88" s="197"/>
      <c r="FM88" s="197"/>
      <c r="FN88" s="197"/>
      <c r="FO88" s="197"/>
      <c r="FP88" s="197"/>
      <c r="FQ88" s="197"/>
      <c r="FR88" s="197"/>
      <c r="FS88" s="197"/>
      <c r="FT88" s="197"/>
      <c r="FU88" s="197"/>
      <c r="FV88" s="197"/>
      <c r="FW88" s="197"/>
      <c r="FX88" s="197"/>
      <c r="FY88" s="197"/>
      <c r="FZ88" s="197"/>
      <c r="GA88" s="197"/>
      <c r="GB88" s="197"/>
      <c r="GC88" s="197"/>
      <c r="GD88" s="197"/>
      <c r="GE88" s="197"/>
      <c r="GF88" s="197"/>
      <c r="GG88" s="197"/>
      <c r="GH88" s="197"/>
      <c r="GI88" s="197"/>
      <c r="GJ88" s="197"/>
      <c r="GK88" s="197"/>
      <c r="GL88" s="197"/>
      <c r="GM88" s="197"/>
      <c r="GN88" s="197"/>
      <c r="GO88" s="197"/>
      <c r="GP88" s="197"/>
      <c r="GQ88" s="197"/>
      <c r="GR88" s="197"/>
      <c r="GS88" s="197"/>
      <c r="GT88" s="197"/>
      <c r="GU88" s="197"/>
      <c r="GV88" s="197"/>
      <c r="GW88" s="197"/>
      <c r="GX88" s="197"/>
      <c r="GY88" s="197"/>
      <c r="GZ88" s="197"/>
      <c r="HA88" s="197"/>
      <c r="HB88" s="197"/>
      <c r="HC88" s="197"/>
      <c r="HD88" s="197"/>
      <c r="HE88" s="197"/>
      <c r="HF88" s="197"/>
      <c r="HG88" s="197"/>
      <c r="HH88" s="197"/>
      <c r="HI88" s="197"/>
      <c r="HJ88" s="197"/>
      <c r="HK88" s="197"/>
      <c r="HL88" s="197"/>
      <c r="HM88" s="197"/>
      <c r="HN88" s="197"/>
      <c r="HO88" s="197"/>
      <c r="HP88" s="197"/>
      <c r="HQ88" s="197"/>
      <c r="HR88" s="197"/>
      <c r="HS88" s="197"/>
      <c r="HT88" s="197"/>
      <c r="HU88" s="197"/>
      <c r="HV88" s="197"/>
      <c r="HW88" s="197"/>
      <c r="HX88" s="197"/>
      <c r="HY88" s="197"/>
      <c r="HZ88" s="197"/>
      <c r="IA88" s="197"/>
      <c r="IB88" s="197"/>
      <c r="IC88" s="197"/>
      <c r="ID88" s="197"/>
      <c r="IE88" s="197"/>
      <c r="IF88" s="197"/>
      <c r="IG88" s="197"/>
      <c r="IH88" s="197"/>
      <c r="II88" s="197"/>
      <c r="IJ88" s="197"/>
      <c r="IK88" s="197"/>
      <c r="IL88" s="197"/>
      <c r="IM88" s="197"/>
      <c r="IN88" s="197"/>
      <c r="IO88" s="197"/>
      <c r="IP88" s="197"/>
      <c r="IQ88" s="197"/>
      <c r="IR88" s="197"/>
      <c r="IS88" s="197"/>
      <c r="IT88" s="197"/>
      <c r="IU88" s="197"/>
      <c r="IV88" s="197"/>
      <c r="IW88" s="197"/>
    </row>
    <row r="89" customFormat="false" ht="12.75" hidden="false" customHeight="false" outlineLevel="0" collapsed="false">
      <c r="A89" s="171"/>
      <c r="B89" s="165"/>
      <c r="C89" s="0"/>
      <c r="D89" s="0"/>
      <c r="E89" s="0"/>
      <c r="F89" s="0"/>
      <c r="G89" s="0"/>
      <c r="H89" s="0"/>
      <c r="I89" s="0"/>
      <c r="J89" s="4"/>
      <c r="K89" s="0"/>
      <c r="L89" s="169"/>
      <c r="M89" s="115"/>
      <c r="O89" s="115"/>
      <c r="Q89" s="115"/>
      <c r="S89" s="115"/>
      <c r="T89" s="115"/>
      <c r="U89" s="115"/>
      <c r="V89" s="115"/>
      <c r="X89" s="115"/>
      <c r="Z89" s="115"/>
      <c r="AB89" s="115"/>
      <c r="AD89" s="115"/>
      <c r="AI89" s="0"/>
      <c r="BJ89" s="115"/>
      <c r="BK89" s="115"/>
      <c r="BM89" s="115"/>
      <c r="BN89" s="115"/>
      <c r="BO89" s="115"/>
      <c r="BU89" s="115"/>
    </row>
    <row r="90" customFormat="false" ht="12.75" hidden="false" customHeight="false" outlineLevel="0" collapsed="false">
      <c r="A90" s="182" t="s">
        <v>219</v>
      </c>
      <c r="B90" s="174"/>
      <c r="C90" s="0"/>
      <c r="D90" s="0"/>
      <c r="E90" s="0"/>
      <c r="F90" s="0"/>
      <c r="G90" s="0"/>
      <c r="H90" s="0"/>
      <c r="I90" s="0"/>
      <c r="J90" s="4"/>
      <c r="K90" s="0"/>
      <c r="L90" s="169"/>
      <c r="M90" s="115"/>
      <c r="O90" s="115"/>
      <c r="Q90" s="115"/>
      <c r="S90" s="115"/>
      <c r="T90" s="115"/>
      <c r="U90" s="115"/>
      <c r="V90" s="115"/>
      <c r="X90" s="115"/>
      <c r="Z90" s="115"/>
      <c r="AB90" s="115"/>
      <c r="AD90" s="115"/>
      <c r="AI90" s="0"/>
      <c r="BJ90" s="115"/>
      <c r="BK90" s="115"/>
      <c r="BM90" s="115"/>
      <c r="BN90" s="115"/>
      <c r="BO90" s="115"/>
      <c r="BU90" s="115"/>
    </row>
    <row r="91" customFormat="false" ht="12.75" hidden="false" customHeight="false" outlineLevel="0" collapsed="false">
      <c r="A91" s="202"/>
      <c r="B91" s="165" t="s">
        <v>220</v>
      </c>
      <c r="C91" s="0"/>
      <c r="D91" s="0"/>
      <c r="E91" s="0"/>
      <c r="F91" s="0"/>
      <c r="G91" s="0"/>
      <c r="H91" s="0"/>
      <c r="I91" s="0"/>
      <c r="J91" s="4" t="s">
        <v>221</v>
      </c>
      <c r="K91" s="0"/>
      <c r="L91" s="169" t="s">
        <v>142</v>
      </c>
      <c r="M91" s="115"/>
      <c r="N91" s="115" t="n">
        <v>0</v>
      </c>
      <c r="O91" s="115"/>
      <c r="P91" s="115" t="n">
        <v>0</v>
      </c>
      <c r="Q91" s="115"/>
      <c r="R91" s="115" t="n">
        <v>935200</v>
      </c>
      <c r="S91" s="115"/>
      <c r="T91" s="115" t="n">
        <v>0</v>
      </c>
      <c r="U91" s="115"/>
      <c r="V91" s="115" t="n">
        <v>0</v>
      </c>
      <c r="X91" s="115" t="n">
        <v>0</v>
      </c>
      <c r="Z91" s="115" t="n">
        <v>0</v>
      </c>
      <c r="AB91" s="115" t="n">
        <v>0</v>
      </c>
      <c r="AD91" s="115" t="n">
        <v>0</v>
      </c>
      <c r="AF91" s="115" t="n">
        <v>0</v>
      </c>
      <c r="AH91" s="115" t="n">
        <f aca="false">935200/12</f>
        <v>77933.3333333333</v>
      </c>
      <c r="AI91" s="0"/>
      <c r="AJ91" s="115" t="n">
        <v>77933.35</v>
      </c>
      <c r="AL91" s="115" t="n">
        <v>77933</v>
      </c>
      <c r="AN91" s="115" t="n">
        <v>77933.33</v>
      </c>
      <c r="AP91" s="115" t="n">
        <v>82933.33</v>
      </c>
      <c r="AR91" s="115" t="n">
        <v>77933.34</v>
      </c>
      <c r="AT91" s="115" t="n">
        <v>77933.33</v>
      </c>
      <c r="AV91" s="115" t="n">
        <v>77933.33</v>
      </c>
      <c r="AX91" s="115" t="n">
        <v>77933.33</v>
      </c>
      <c r="AZ91" s="115" t="n">
        <v>77933</v>
      </c>
      <c r="BB91" s="115" t="n">
        <v>77933.33</v>
      </c>
      <c r="BD91" s="115" t="n">
        <v>0</v>
      </c>
      <c r="BF91" s="115" t="n">
        <v>0</v>
      </c>
      <c r="BH91" s="115" t="n">
        <v>0</v>
      </c>
      <c r="BJ91" s="115" t="n">
        <v>0</v>
      </c>
      <c r="BK91" s="115"/>
      <c r="BL91" s="115" t="n">
        <f aca="false">SUM(T91:BK91)</f>
        <v>862266.003333333</v>
      </c>
      <c r="BM91" s="115"/>
      <c r="BN91" s="115" t="n">
        <v>5000</v>
      </c>
      <c r="BO91" s="115"/>
      <c r="BP91" s="115" t="n">
        <f aca="false">IF(+R91-BL91+BN91&gt;0,R91-BL91+BN91,0)</f>
        <v>77933.9966666667</v>
      </c>
      <c r="BR91" s="115" t="n">
        <f aca="false">+BL91+BP91</f>
        <v>940200</v>
      </c>
      <c r="BT91" s="115" t="n">
        <f aca="false">+R91-BR91</f>
        <v>-5000</v>
      </c>
      <c r="BU91" s="115"/>
    </row>
    <row r="92" customFormat="false" ht="12.75" hidden="false" customHeight="false" outlineLevel="0" collapsed="false">
      <c r="A92" s="202"/>
      <c r="B92" s="165" t="s">
        <v>222</v>
      </c>
      <c r="C92" s="0"/>
      <c r="D92" s="0"/>
      <c r="E92" s="0"/>
      <c r="F92" s="0"/>
      <c r="G92" s="0"/>
      <c r="H92" s="0"/>
      <c r="I92" s="0"/>
      <c r="J92" s="4" t="s">
        <v>222</v>
      </c>
      <c r="K92" s="0"/>
      <c r="L92" s="169" t="s">
        <v>142</v>
      </c>
      <c r="M92" s="115"/>
      <c r="N92" s="115" t="n">
        <v>0</v>
      </c>
      <c r="O92" s="115"/>
      <c r="P92" s="115" t="n">
        <v>0</v>
      </c>
      <c r="Q92" s="115"/>
      <c r="R92" s="115" t="n">
        <v>2824800</v>
      </c>
      <c r="S92" s="115"/>
      <c r="T92" s="115" t="n">
        <v>0</v>
      </c>
      <c r="U92" s="115"/>
      <c r="V92" s="115" t="n">
        <v>0</v>
      </c>
      <c r="X92" s="115" t="n">
        <v>0</v>
      </c>
      <c r="Z92" s="115" t="n">
        <v>0</v>
      </c>
      <c r="AB92" s="115" t="n">
        <v>0</v>
      </c>
      <c r="AD92" s="115" t="n">
        <v>0</v>
      </c>
      <c r="AF92" s="115" t="n">
        <v>0</v>
      </c>
      <c r="AH92" s="115" t="n">
        <f aca="false">2824800/12</f>
        <v>235400</v>
      </c>
      <c r="AI92" s="0"/>
      <c r="AJ92" s="115" t="n">
        <v>235400</v>
      </c>
      <c r="AL92" s="115" t="n">
        <v>235399</v>
      </c>
      <c r="AN92" s="115" t="n">
        <v>235399</v>
      </c>
      <c r="AP92" s="115" t="n">
        <v>235399</v>
      </c>
      <c r="AR92" s="115" t="n">
        <v>235398</v>
      </c>
      <c r="AT92" s="115" t="n">
        <v>235399</v>
      </c>
      <c r="AV92" s="115" t="n">
        <v>235400</v>
      </c>
      <c r="AX92" s="115" t="n">
        <v>235400</v>
      </c>
      <c r="AZ92" s="115" t="n">
        <v>235400</v>
      </c>
      <c r="BB92" s="115" t="n">
        <v>235400</v>
      </c>
      <c r="BD92" s="115" t="n">
        <v>0</v>
      </c>
      <c r="BF92" s="115" t="n">
        <v>0</v>
      </c>
      <c r="BH92" s="115" t="n">
        <v>0</v>
      </c>
      <c r="BJ92" s="115" t="n">
        <v>0</v>
      </c>
      <c r="BK92" s="115"/>
      <c r="BL92" s="115" t="n">
        <f aca="false">SUM(T92:BK92)</f>
        <v>2589394</v>
      </c>
      <c r="BM92" s="115"/>
      <c r="BN92" s="115" t="n">
        <v>0</v>
      </c>
      <c r="BO92" s="115"/>
      <c r="BP92" s="115" t="n">
        <f aca="false">IF(+R92-BL92+BN92&gt;0,R92-BL92+BN92,0)</f>
        <v>235406</v>
      </c>
      <c r="BR92" s="115" t="n">
        <f aca="false">+BL92+BP92</f>
        <v>2824800</v>
      </c>
      <c r="BT92" s="115" t="n">
        <f aca="false">+R92-BR92</f>
        <v>0</v>
      </c>
      <c r="BU92" s="115"/>
    </row>
    <row r="93" customFormat="false" ht="12.75" hidden="false" customHeight="false" outlineLevel="0" collapsed="false">
      <c r="A93" s="202"/>
      <c r="B93" s="165" t="s">
        <v>223</v>
      </c>
      <c r="C93" s="0"/>
      <c r="D93" s="0"/>
      <c r="E93" s="0"/>
      <c r="F93" s="0"/>
      <c r="G93" s="0"/>
      <c r="H93" s="0"/>
      <c r="I93" s="0"/>
      <c r="J93" s="4" t="s">
        <v>221</v>
      </c>
      <c r="K93" s="0"/>
      <c r="L93" s="169" t="s">
        <v>142</v>
      </c>
      <c r="M93" s="115"/>
      <c r="N93" s="115" t="n">
        <v>0</v>
      </c>
      <c r="O93" s="115"/>
      <c r="P93" s="115" t="n">
        <v>0</v>
      </c>
      <c r="Q93" s="115"/>
      <c r="R93" s="115" t="n">
        <v>0</v>
      </c>
      <c r="S93" s="115"/>
      <c r="T93" s="115" t="n">
        <v>0</v>
      </c>
      <c r="U93" s="115"/>
      <c r="V93" s="115" t="n">
        <v>0</v>
      </c>
      <c r="X93" s="115" t="n">
        <v>0</v>
      </c>
      <c r="Z93" s="115" t="n">
        <v>0</v>
      </c>
      <c r="AB93" s="115" t="n">
        <v>0</v>
      </c>
      <c r="AD93" s="115" t="n">
        <v>0</v>
      </c>
      <c r="AF93" s="115" t="n">
        <v>0</v>
      </c>
      <c r="AH93" s="115" t="n">
        <v>0</v>
      </c>
      <c r="AI93" s="0"/>
      <c r="AJ93" s="115" t="n">
        <v>0</v>
      </c>
      <c r="AL93" s="203" t="n">
        <v>0</v>
      </c>
      <c r="AN93" s="115" t="n">
        <v>0</v>
      </c>
      <c r="AP93" s="115" t="n">
        <v>0</v>
      </c>
      <c r="AR93" s="115" t="n">
        <v>0</v>
      </c>
      <c r="AT93" s="115" t="n">
        <v>0</v>
      </c>
      <c r="AV93" s="115" t="n">
        <v>0</v>
      </c>
      <c r="AX93" s="115" t="n">
        <v>0</v>
      </c>
      <c r="AZ93" s="115" t="n">
        <v>0</v>
      </c>
      <c r="BB93" s="115" t="n">
        <v>0</v>
      </c>
      <c r="BD93" s="115" t="n">
        <v>0</v>
      </c>
      <c r="BF93" s="115" t="n">
        <v>0</v>
      </c>
      <c r="BH93" s="115" t="n">
        <v>0</v>
      </c>
      <c r="BJ93" s="115" t="n">
        <v>0</v>
      </c>
      <c r="BK93" s="115"/>
      <c r="BL93" s="115" t="n">
        <f aca="false">SUM(T93:BK93)</f>
        <v>0</v>
      </c>
      <c r="BM93" s="115"/>
      <c r="BN93" s="115" t="n">
        <v>0</v>
      </c>
      <c r="BO93" s="115"/>
      <c r="BP93" s="115" t="n">
        <f aca="false">IF(+R93-BL93+BN93&gt;0,R93-BL93+BN93,0)</f>
        <v>0</v>
      </c>
      <c r="BR93" s="115" t="n">
        <f aca="false">+BL93+BP93</f>
        <v>0</v>
      </c>
      <c r="BT93" s="115" t="n">
        <f aca="false">+R93-BR93</f>
        <v>0</v>
      </c>
      <c r="BU93" s="115"/>
    </row>
    <row r="94" customFormat="false" ht="12.75" hidden="false" customHeight="false" outlineLevel="0" collapsed="false">
      <c r="A94" s="202"/>
      <c r="B94" s="165" t="s">
        <v>224</v>
      </c>
      <c r="C94" s="0"/>
      <c r="D94" s="0"/>
      <c r="E94" s="0"/>
      <c r="F94" s="0"/>
      <c r="G94" s="0"/>
      <c r="H94" s="0"/>
      <c r="I94" s="0"/>
      <c r="J94" s="4" t="s">
        <v>221</v>
      </c>
      <c r="K94" s="0"/>
      <c r="L94" s="169" t="s">
        <v>142</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I94" s="0"/>
      <c r="AJ94" s="115" t="n">
        <v>0</v>
      </c>
      <c r="AL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K94" s="115"/>
      <c r="BL94" s="115" t="n">
        <f aca="false">SUM(T94:BK94)</f>
        <v>0</v>
      </c>
      <c r="BM94" s="115"/>
      <c r="BN94" s="115" t="n">
        <v>0</v>
      </c>
      <c r="BO94" s="115"/>
      <c r="BP94" s="115" t="n">
        <f aca="false">IF(+R94-BL94+BN94&gt;0,R94-BL94+BN94,0)</f>
        <v>0</v>
      </c>
      <c r="BR94" s="115" t="n">
        <f aca="false">+BL94+BP94</f>
        <v>0</v>
      </c>
      <c r="BT94" s="115" t="n">
        <f aca="false">+R94-BR94</f>
        <v>0</v>
      </c>
      <c r="BU94" s="115"/>
    </row>
    <row r="95" customFormat="false" ht="12.75" hidden="false" customHeight="false" outlineLevel="0" collapsed="false">
      <c r="A95" s="165"/>
      <c r="B95" s="165" t="s">
        <v>225</v>
      </c>
      <c r="C95" s="18"/>
      <c r="D95" s="18"/>
      <c r="E95" s="18"/>
      <c r="F95" s="18"/>
      <c r="G95" s="18"/>
      <c r="H95" s="18"/>
      <c r="I95" s="18"/>
      <c r="J95" s="204" t="s">
        <v>221</v>
      </c>
      <c r="K95" s="18"/>
      <c r="L95" s="169" t="s">
        <v>142</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I95" s="0"/>
      <c r="AJ95" s="115" t="n">
        <v>0</v>
      </c>
      <c r="AL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K95" s="115"/>
      <c r="BL95" s="115" t="n">
        <f aca="false">SUM(T95:BK95)</f>
        <v>0</v>
      </c>
      <c r="BM95" s="115"/>
      <c r="BN95" s="115" t="n">
        <v>0</v>
      </c>
      <c r="BO95" s="115"/>
      <c r="BP95" s="115" t="n">
        <f aca="false">IF(+R95-BL95+BN95&gt;0,R95-BL95+BN95,0)</f>
        <v>0</v>
      </c>
      <c r="BR95" s="115" t="n">
        <f aca="false">+BL95+BP95</f>
        <v>0</v>
      </c>
      <c r="BT95" s="115" t="n">
        <f aca="false">+R95-BR95</f>
        <v>0</v>
      </c>
      <c r="BU95" s="115"/>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c r="IO95" s="174"/>
      <c r="IP95" s="174"/>
      <c r="IQ95" s="174"/>
      <c r="IR95" s="174"/>
      <c r="IS95" s="174"/>
      <c r="IT95" s="174"/>
      <c r="IU95" s="174"/>
      <c r="IV95" s="174"/>
      <c r="IW95" s="174"/>
    </row>
    <row r="96" customFormat="false" ht="12.75" hidden="false" customHeight="false" outlineLevel="0" collapsed="false">
      <c r="A96" s="202"/>
      <c r="B96" s="165" t="s">
        <v>152</v>
      </c>
      <c r="C96" s="0"/>
      <c r="D96" s="0"/>
      <c r="E96" s="0"/>
      <c r="F96" s="0"/>
      <c r="G96" s="0"/>
      <c r="H96" s="0"/>
      <c r="I96" s="0"/>
      <c r="J96" s="4"/>
      <c r="K96" s="0"/>
      <c r="L96" s="169" t="s">
        <v>142</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I96" s="0"/>
      <c r="AJ96" s="115" t="n">
        <v>0</v>
      </c>
      <c r="AL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K96" s="115"/>
      <c r="BL96" s="115" t="n">
        <f aca="false">SUM(T96:BK96)</f>
        <v>0</v>
      </c>
      <c r="BM96" s="115"/>
      <c r="BN96" s="115" t="n">
        <v>0</v>
      </c>
      <c r="BO96" s="115"/>
      <c r="BP96" s="115" t="n">
        <f aca="false">IF(+R96-BL96+BN96&gt;0,R96-BL96+BN96,0)</f>
        <v>0</v>
      </c>
      <c r="BR96" s="115" t="n">
        <f aca="false">+BL96+BP96</f>
        <v>0</v>
      </c>
      <c r="BT96" s="115" t="n">
        <f aca="false">+R96-BR96</f>
        <v>0</v>
      </c>
      <c r="BU96" s="115"/>
    </row>
    <row r="97" customFormat="false" ht="12.75" hidden="false" customHeight="false" outlineLevel="0" collapsed="false">
      <c r="A97" s="202"/>
      <c r="B97" s="165"/>
      <c r="C97" s="0"/>
      <c r="D97" s="0"/>
      <c r="E97" s="0"/>
      <c r="F97" s="0"/>
      <c r="G97" s="0"/>
      <c r="H97" s="0"/>
      <c r="I97" s="0"/>
      <c r="J97" s="4"/>
      <c r="K97" s="0"/>
      <c r="L97" s="169"/>
      <c r="M97" s="115"/>
      <c r="O97" s="115"/>
      <c r="Q97" s="115"/>
      <c r="S97" s="115"/>
      <c r="T97" s="115"/>
      <c r="U97" s="115"/>
      <c r="V97" s="115"/>
      <c r="X97" s="115"/>
      <c r="Z97" s="115"/>
      <c r="AB97" s="115"/>
      <c r="AD97" s="115"/>
      <c r="AI97" s="0"/>
      <c r="BJ97" s="115"/>
      <c r="BK97" s="115"/>
      <c r="BM97" s="115"/>
      <c r="BN97" s="115"/>
      <c r="BO97" s="115"/>
      <c r="BP97" s="115" t="n">
        <f aca="false">IF(+R97-BL97+BN97&gt;0,R97-BL97+BN97,0)</f>
        <v>0</v>
      </c>
      <c r="BU97" s="115"/>
    </row>
    <row r="98" customFormat="false" ht="12.75" hidden="false" customHeight="false" outlineLevel="0" collapsed="false">
      <c r="A98" s="175"/>
      <c r="B98" s="176" t="s">
        <v>226</v>
      </c>
      <c r="C98" s="177"/>
      <c r="D98" s="177"/>
      <c r="E98" s="177"/>
      <c r="F98" s="177"/>
      <c r="G98" s="177"/>
      <c r="H98" s="177"/>
      <c r="I98" s="177"/>
      <c r="J98" s="178"/>
      <c r="K98" s="177"/>
      <c r="L98" s="179"/>
      <c r="M98" s="180"/>
      <c r="N98" s="205" t="n">
        <f aca="false">SUM(N91:N97)</f>
        <v>0</v>
      </c>
      <c r="O98" s="180"/>
      <c r="P98" s="205" t="n">
        <f aca="false">SUM(P91:P97)</f>
        <v>0</v>
      </c>
      <c r="Q98" s="180"/>
      <c r="R98" s="205" t="n">
        <f aca="false">SUM(R91:R97)</f>
        <v>3760000</v>
      </c>
      <c r="S98" s="180"/>
      <c r="T98" s="205" t="n">
        <f aca="false">SUM(T91:T97)</f>
        <v>0</v>
      </c>
      <c r="U98" s="180"/>
      <c r="V98" s="205" t="n">
        <f aca="false">SUM(V91:V97)</f>
        <v>0</v>
      </c>
      <c r="W98" s="180"/>
      <c r="X98" s="205" t="n">
        <f aca="false">SUM(X91:X97)</f>
        <v>0</v>
      </c>
      <c r="Y98" s="180"/>
      <c r="Z98" s="205" t="n">
        <f aca="false">SUM(Z91:Z97)</f>
        <v>0</v>
      </c>
      <c r="AA98" s="180"/>
      <c r="AB98" s="205" t="n">
        <f aca="false">SUM(AB91:AB97)</f>
        <v>0</v>
      </c>
      <c r="AC98" s="180"/>
      <c r="AD98" s="205" t="n">
        <f aca="false">SUM(AD91:AD97)</f>
        <v>0</v>
      </c>
      <c r="AE98" s="180"/>
      <c r="AF98" s="205" t="n">
        <f aca="false">SUM(AF91:AF97)</f>
        <v>0</v>
      </c>
      <c r="AG98" s="180"/>
      <c r="AH98" s="205" t="n">
        <f aca="false">SUM(AH91:AH97)</f>
        <v>313333.333333333</v>
      </c>
      <c r="AI98" s="0"/>
      <c r="AJ98" s="205" t="n">
        <f aca="false">SUM(AJ91:AJ97)</f>
        <v>313333.35</v>
      </c>
      <c r="AL98" s="205" t="n">
        <f aca="false">SUM(AL91:AL97)</f>
        <v>313332</v>
      </c>
      <c r="AN98" s="205" t="n">
        <f aca="false">SUM(AN91:AN97)</f>
        <v>313332.33</v>
      </c>
      <c r="AO98" s="180"/>
      <c r="AP98" s="205" t="n">
        <f aca="false">SUM(AP91:AP97)</f>
        <v>318332.33</v>
      </c>
      <c r="AQ98" s="180"/>
      <c r="AR98" s="205" t="n">
        <f aca="false">SUM(AR91:AR97)</f>
        <v>313331.34</v>
      </c>
      <c r="AS98" s="180"/>
      <c r="AT98" s="205" t="n">
        <f aca="false">SUM(AT91:AT97)</f>
        <v>313332.33</v>
      </c>
      <c r="AU98" s="180"/>
      <c r="AV98" s="205" t="n">
        <f aca="false">SUM(AV91:AV97)</f>
        <v>313333.33</v>
      </c>
      <c r="AW98" s="180"/>
      <c r="AX98" s="205" t="n">
        <f aca="false">SUM(AX91:AX97)</f>
        <v>313333.33</v>
      </c>
      <c r="AY98" s="180"/>
      <c r="AZ98" s="205" t="n">
        <f aca="false">SUM(AZ91:AZ97)</f>
        <v>313333</v>
      </c>
      <c r="BA98" s="180"/>
      <c r="BB98" s="205" t="n">
        <f aca="false">SUM(BB91:BB97)</f>
        <v>313333.33</v>
      </c>
      <c r="BC98" s="180"/>
      <c r="BD98" s="205" t="n">
        <f aca="false">SUM(BD91:BD97)</f>
        <v>0</v>
      </c>
      <c r="BE98" s="180"/>
      <c r="BF98" s="205" t="n">
        <f aca="false">SUM(BF91:BF97)</f>
        <v>0</v>
      </c>
      <c r="BG98" s="180"/>
      <c r="BH98" s="205" t="n">
        <f aca="false">SUM(BH91:BH97)</f>
        <v>0</v>
      </c>
      <c r="BI98" s="180"/>
      <c r="BJ98" s="205" t="n">
        <f aca="false">SUM(BJ91:BJ97)</f>
        <v>0</v>
      </c>
      <c r="BK98" s="180"/>
      <c r="BL98" s="205" t="n">
        <f aca="false">SUM(BL91:BL97)</f>
        <v>3451660.00333333</v>
      </c>
      <c r="BM98" s="180"/>
      <c r="BN98" s="205" t="n">
        <f aca="false">SUM(BN91:BN97)</f>
        <v>5000</v>
      </c>
      <c r="BO98" s="180"/>
      <c r="BP98" s="205" t="n">
        <f aca="false">SUM(BP91:BP97)</f>
        <v>313339.996666667</v>
      </c>
      <c r="BQ98" s="180"/>
      <c r="BR98" s="205" t="n">
        <f aca="false">SUM(BR91:BR97)</f>
        <v>3765000</v>
      </c>
      <c r="BS98" s="180"/>
      <c r="BT98" s="205" t="n">
        <f aca="false">SUM(BT91:BT97)</f>
        <v>-5000</v>
      </c>
      <c r="BU98" s="180"/>
      <c r="BV98" s="177"/>
      <c r="BW98" s="177"/>
      <c r="BX98" s="177"/>
      <c r="BY98" s="177"/>
      <c r="BZ98" s="177"/>
      <c r="CA98" s="177"/>
      <c r="CB98" s="177"/>
      <c r="CC98" s="177"/>
      <c r="CD98" s="177"/>
      <c r="CE98" s="177"/>
      <c r="CF98" s="177"/>
      <c r="CG98" s="177"/>
      <c r="CH98" s="177"/>
      <c r="CI98" s="177"/>
      <c r="CJ98" s="177"/>
      <c r="CK98" s="177"/>
      <c r="CL98" s="177"/>
      <c r="CM98" s="177"/>
      <c r="CN98" s="177"/>
      <c r="CO98" s="177"/>
      <c r="CP98" s="177"/>
      <c r="CQ98" s="177"/>
      <c r="CR98" s="177"/>
      <c r="CS98" s="177"/>
      <c r="CT98" s="177"/>
      <c r="CU98" s="177"/>
      <c r="CV98" s="177"/>
      <c r="CW98" s="177"/>
      <c r="CX98" s="177"/>
      <c r="CY98" s="177"/>
      <c r="CZ98" s="177"/>
      <c r="DA98" s="177"/>
      <c r="DB98" s="177"/>
      <c r="DC98" s="177"/>
      <c r="DD98" s="177"/>
      <c r="DE98" s="177"/>
      <c r="DF98" s="177"/>
      <c r="DG98" s="177"/>
      <c r="DH98" s="177"/>
      <c r="DI98" s="177"/>
      <c r="DJ98" s="177"/>
      <c r="DK98" s="177"/>
      <c r="DL98" s="177"/>
      <c r="DM98" s="177"/>
      <c r="DN98" s="177"/>
      <c r="DO98" s="177"/>
      <c r="DP98" s="177"/>
      <c r="DQ98" s="177"/>
      <c r="DR98" s="177"/>
      <c r="DS98" s="177"/>
      <c r="DT98" s="177"/>
      <c r="DU98" s="177"/>
      <c r="DV98" s="177"/>
      <c r="DW98" s="177"/>
      <c r="DX98" s="177"/>
      <c r="DY98" s="177"/>
      <c r="DZ98" s="177"/>
      <c r="EA98" s="177"/>
      <c r="EB98" s="177"/>
      <c r="EC98" s="177"/>
      <c r="ED98" s="177"/>
      <c r="EE98" s="177"/>
      <c r="EF98" s="177"/>
      <c r="EG98" s="177"/>
      <c r="EH98" s="177"/>
      <c r="EI98" s="177"/>
      <c r="EJ98" s="177"/>
      <c r="EK98" s="177"/>
      <c r="EL98" s="177"/>
      <c r="EM98" s="177"/>
      <c r="EN98" s="177"/>
      <c r="EO98" s="177"/>
      <c r="EP98" s="177"/>
      <c r="EQ98" s="177"/>
      <c r="ER98" s="177"/>
      <c r="ES98" s="177"/>
      <c r="ET98" s="177"/>
      <c r="EU98" s="177"/>
      <c r="EV98" s="177"/>
      <c r="EW98" s="177"/>
      <c r="EX98" s="177"/>
      <c r="EY98" s="177"/>
      <c r="EZ98" s="177"/>
      <c r="FA98" s="177"/>
      <c r="FB98" s="177"/>
      <c r="FC98" s="177"/>
      <c r="FD98" s="177"/>
      <c r="FE98" s="177"/>
      <c r="FF98" s="177"/>
      <c r="FG98" s="177"/>
      <c r="FH98" s="177"/>
      <c r="FI98" s="177"/>
      <c r="FJ98" s="177"/>
      <c r="FK98" s="177"/>
      <c r="FL98" s="177"/>
      <c r="FM98" s="177"/>
      <c r="FN98" s="177"/>
      <c r="FO98" s="177"/>
      <c r="FP98" s="177"/>
      <c r="FQ98" s="177"/>
      <c r="FR98" s="177"/>
      <c r="FS98" s="177"/>
      <c r="FT98" s="177"/>
      <c r="FU98" s="177"/>
      <c r="FV98" s="177"/>
      <c r="FW98" s="177"/>
      <c r="FX98" s="177"/>
      <c r="FY98" s="177"/>
      <c r="FZ98" s="177"/>
      <c r="GA98" s="177"/>
      <c r="GB98" s="177"/>
      <c r="GC98" s="177"/>
      <c r="GD98" s="177"/>
      <c r="GE98" s="177"/>
      <c r="GF98" s="177"/>
      <c r="GG98" s="177"/>
      <c r="GH98" s="177"/>
      <c r="GI98" s="177"/>
      <c r="GJ98" s="177"/>
      <c r="GK98" s="177"/>
      <c r="GL98" s="177"/>
      <c r="GM98" s="177"/>
      <c r="GN98" s="177"/>
      <c r="GO98" s="177"/>
      <c r="GP98" s="177"/>
      <c r="GQ98" s="177"/>
      <c r="GR98" s="177"/>
      <c r="GS98" s="177"/>
      <c r="GT98" s="177"/>
      <c r="GU98" s="177"/>
      <c r="GV98" s="177"/>
      <c r="GW98" s="177"/>
      <c r="GX98" s="177"/>
      <c r="GY98" s="177"/>
      <c r="GZ98" s="177"/>
      <c r="HA98" s="177"/>
      <c r="HB98" s="177"/>
      <c r="HC98" s="177"/>
      <c r="HD98" s="177"/>
      <c r="HE98" s="177"/>
      <c r="HF98" s="177"/>
      <c r="HG98" s="177"/>
      <c r="HH98" s="177"/>
      <c r="HI98" s="177"/>
      <c r="HJ98" s="177"/>
      <c r="HK98" s="177"/>
      <c r="HL98" s="177"/>
      <c r="HM98" s="177"/>
      <c r="HN98" s="177"/>
      <c r="HO98" s="177"/>
      <c r="HP98" s="177"/>
      <c r="HQ98" s="177"/>
      <c r="HR98" s="177"/>
      <c r="HS98" s="177"/>
      <c r="HT98" s="177"/>
      <c r="HU98" s="177"/>
      <c r="HV98" s="177"/>
      <c r="HW98" s="177"/>
      <c r="HX98" s="177"/>
      <c r="HY98" s="177"/>
      <c r="HZ98" s="177"/>
      <c r="IA98" s="177"/>
      <c r="IB98" s="177"/>
      <c r="IC98" s="177"/>
      <c r="ID98" s="177"/>
      <c r="IE98" s="177"/>
      <c r="IF98" s="177"/>
      <c r="IG98" s="177"/>
      <c r="IH98" s="177"/>
      <c r="II98" s="177"/>
      <c r="IJ98" s="177"/>
      <c r="IK98" s="177"/>
      <c r="IL98" s="177"/>
      <c r="IM98" s="177"/>
      <c r="IN98" s="177"/>
      <c r="IO98" s="177"/>
      <c r="IP98" s="177"/>
      <c r="IQ98" s="177"/>
      <c r="IR98" s="177"/>
      <c r="IS98" s="177"/>
      <c r="IT98" s="177"/>
      <c r="IU98" s="177"/>
      <c r="IV98" s="177"/>
      <c r="IW98" s="177"/>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6" t="s">
        <v>227</v>
      </c>
      <c r="B100" s="165"/>
      <c r="C100" s="0"/>
      <c r="D100" s="0"/>
      <c r="E100" s="0"/>
      <c r="F100" s="0"/>
      <c r="G100" s="0"/>
      <c r="H100" s="0"/>
      <c r="I100" s="0"/>
      <c r="J100" s="4"/>
      <c r="K100" s="0"/>
      <c r="L100" s="169" t="s">
        <v>142</v>
      </c>
      <c r="M100" s="115"/>
      <c r="O100" s="115"/>
      <c r="Q100" s="115"/>
      <c r="S100" s="115"/>
      <c r="T100" s="115"/>
      <c r="U100" s="115"/>
      <c r="V100" s="115"/>
      <c r="X100" s="115"/>
      <c r="Z100" s="115"/>
      <c r="AB100" s="115"/>
      <c r="AD100" s="115"/>
      <c r="AI100" s="0"/>
      <c r="BJ100" s="115"/>
      <c r="BK100" s="115"/>
      <c r="BM100" s="115"/>
      <c r="BN100" s="115"/>
      <c r="BO100" s="115"/>
      <c r="BU100" s="115"/>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false" customHeight="false" outlineLevel="0" collapsed="false">
      <c r="A101" s="186"/>
      <c r="B101" s="165" t="s">
        <v>228</v>
      </c>
      <c r="C101" s="0"/>
      <c r="D101" s="0"/>
      <c r="E101" s="0"/>
      <c r="F101" s="0"/>
      <c r="G101" s="0"/>
      <c r="H101" s="0"/>
      <c r="I101" s="0"/>
      <c r="J101" s="4" t="s">
        <v>132</v>
      </c>
      <c r="K101" s="0"/>
      <c r="L101" s="169" t="s">
        <v>142</v>
      </c>
      <c r="M101" s="115"/>
      <c r="N101" s="115" t="n">
        <v>0</v>
      </c>
      <c r="O101" s="115"/>
      <c r="P101" s="115" t="n">
        <v>0</v>
      </c>
      <c r="Q101" s="115"/>
      <c r="R101" s="115" t="n">
        <v>9479079</v>
      </c>
      <c r="S101" s="115"/>
      <c r="T101" s="115" t="n">
        <v>0</v>
      </c>
      <c r="U101" s="115"/>
      <c r="V101" s="115" t="n">
        <v>0</v>
      </c>
      <c r="X101" s="115" t="n">
        <v>0</v>
      </c>
      <c r="Z101" s="115" t="n">
        <v>0</v>
      </c>
      <c r="AB101" s="115" t="n">
        <v>0</v>
      </c>
      <c r="AD101" s="115" t="n">
        <v>0</v>
      </c>
      <c r="AF101" s="115" t="n">
        <v>815280</v>
      </c>
      <c r="AH101" s="115" t="n">
        <v>2025875.7</v>
      </c>
      <c r="AI101" s="0"/>
      <c r="AJ101" s="115" t="n">
        <v>0</v>
      </c>
      <c r="AL101" s="115" t="n">
        <v>0</v>
      </c>
      <c r="AN101" s="115" t="n">
        <v>1894103.8</v>
      </c>
      <c r="AP101" s="115" t="n">
        <v>0</v>
      </c>
      <c r="AR101" s="115" t="n">
        <v>0</v>
      </c>
      <c r="AT101" s="115" t="n">
        <v>0</v>
      </c>
      <c r="AV101" s="115" t="n">
        <v>1183814.88</v>
      </c>
      <c r="AX101" s="115" t="n">
        <v>2943550.62</v>
      </c>
      <c r="AZ101" s="115" t="n">
        <v>0</v>
      </c>
      <c r="BB101" s="115" t="n">
        <v>0</v>
      </c>
      <c r="BD101" s="115" t="n">
        <v>0</v>
      </c>
      <c r="BF101" s="115" t="n">
        <v>0</v>
      </c>
      <c r="BH101" s="115" t="n">
        <v>0</v>
      </c>
      <c r="BJ101" s="115" t="n">
        <v>0</v>
      </c>
      <c r="BK101" s="115"/>
      <c r="BL101" s="115" t="n">
        <f aca="false">SUM(T101:BK101)</f>
        <v>8862625</v>
      </c>
      <c r="BM101" s="115"/>
      <c r="BN101" s="115" t="n">
        <v>440</v>
      </c>
      <c r="BO101" s="115"/>
      <c r="BP101" s="115" t="n">
        <f aca="false">IF(+R101-BL101+BN101&gt;0,R101-BL101+BN101,0)</f>
        <v>616894</v>
      </c>
      <c r="BR101" s="115" t="n">
        <f aca="false">+BL101+BP101</f>
        <v>9479519</v>
      </c>
      <c r="BT101" s="115" t="n">
        <f aca="false">+R101-BR101</f>
        <v>-440</v>
      </c>
      <c r="BU101" s="115"/>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false" customHeight="false" outlineLevel="0" collapsed="false">
      <c r="A102" s="186"/>
      <c r="B102" s="165" t="s">
        <v>229</v>
      </c>
      <c r="C102" s="0"/>
      <c r="D102" s="0"/>
      <c r="E102" s="0"/>
      <c r="F102" s="0"/>
      <c r="G102" s="0"/>
      <c r="H102" s="0"/>
      <c r="I102" s="0"/>
      <c r="J102" s="4" t="s">
        <v>132</v>
      </c>
      <c r="K102" s="0"/>
      <c r="L102" s="169" t="s">
        <v>142</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I102" s="0"/>
      <c r="AJ102" s="115" t="n">
        <v>0</v>
      </c>
      <c r="AL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K102" s="115"/>
      <c r="BL102" s="115" t="n">
        <f aca="false">SUM(T102:BK102)</f>
        <v>0</v>
      </c>
      <c r="BM102" s="115"/>
      <c r="BN102" s="115" t="n">
        <v>0</v>
      </c>
      <c r="BO102" s="115"/>
      <c r="BP102" s="115" t="n">
        <f aca="false">IF(+R102-BL102+BN102&gt;0,R102-BL102+BN102,0)</f>
        <v>0</v>
      </c>
      <c r="BR102" s="115" t="n">
        <f aca="false">+BL102+BP102</f>
        <v>0</v>
      </c>
      <c r="BT102" s="115" t="n">
        <f aca="false">+R102-BR102</f>
        <v>0</v>
      </c>
      <c r="BU102" s="115"/>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false" customHeight="false" outlineLevel="0" collapsed="false">
      <c r="A103" s="171"/>
      <c r="B103" s="165" t="s">
        <v>230</v>
      </c>
      <c r="C103" s="0"/>
      <c r="D103" s="0"/>
      <c r="E103" s="0"/>
      <c r="F103" s="0"/>
      <c r="G103" s="0"/>
      <c r="H103" s="0"/>
      <c r="I103" s="0"/>
      <c r="J103" s="4" t="s">
        <v>132</v>
      </c>
      <c r="K103" s="0"/>
      <c r="L103" s="169" t="s">
        <v>142</v>
      </c>
      <c r="M103" s="115"/>
      <c r="N103" s="115" t="n">
        <v>0</v>
      </c>
      <c r="O103" s="115"/>
      <c r="P103" s="115" t="n">
        <v>0</v>
      </c>
      <c r="Q103" s="115"/>
      <c r="R103" s="115" t="n">
        <v>0</v>
      </c>
      <c r="S103" s="115"/>
      <c r="T103" s="115" t="n">
        <v>0</v>
      </c>
      <c r="U103" s="115"/>
      <c r="V103" s="115" t="n">
        <v>0</v>
      </c>
      <c r="X103" s="115" t="n">
        <v>0</v>
      </c>
      <c r="Z103" s="115" t="n">
        <v>0</v>
      </c>
      <c r="AB103" s="115" t="n">
        <v>0</v>
      </c>
      <c r="AD103" s="115" t="n">
        <v>0</v>
      </c>
      <c r="AF103" s="115" t="n">
        <v>0</v>
      </c>
      <c r="AH103" s="115" t="n">
        <v>0</v>
      </c>
      <c r="AI103" s="0"/>
      <c r="AJ103" s="115" t="n">
        <v>0</v>
      </c>
      <c r="AL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K103" s="115"/>
      <c r="BL103" s="115" t="n">
        <f aca="false">SUM(T103:BK103)</f>
        <v>0</v>
      </c>
      <c r="BM103" s="115"/>
      <c r="BN103" s="115" t="n">
        <v>0</v>
      </c>
      <c r="BO103" s="115"/>
      <c r="BP103" s="115" t="n">
        <f aca="false">IF(+R103-BL103+BN103&gt;0,R103-BL103+BN103,0)</f>
        <v>0</v>
      </c>
      <c r="BR103" s="115" t="n">
        <f aca="false">+BL103+BP103</f>
        <v>0</v>
      </c>
      <c r="BT103" s="115" t="n">
        <f aca="false">+R103-BR103</f>
        <v>0</v>
      </c>
      <c r="BU103" s="115"/>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false" customHeight="false" outlineLevel="0" collapsed="false">
      <c r="A104" s="173"/>
      <c r="B104" s="165" t="s">
        <v>231</v>
      </c>
      <c r="C104" s="18"/>
      <c r="D104" s="18"/>
      <c r="E104" s="18"/>
      <c r="F104" s="18"/>
      <c r="G104" s="18"/>
      <c r="H104" s="18"/>
      <c r="I104" s="18"/>
      <c r="J104" s="4" t="s">
        <v>132</v>
      </c>
      <c r="K104" s="18"/>
      <c r="L104" s="169" t="s">
        <v>142</v>
      </c>
      <c r="M104" s="115"/>
      <c r="N104" s="115" t="n">
        <v>0</v>
      </c>
      <c r="O104" s="115"/>
      <c r="P104" s="115" t="n">
        <v>0</v>
      </c>
      <c r="Q104" s="115"/>
      <c r="R104" s="115" t="n">
        <v>0</v>
      </c>
      <c r="S104" s="115"/>
      <c r="T104" s="115" t="n">
        <v>0</v>
      </c>
      <c r="U104" s="115"/>
      <c r="V104" s="115" t="n">
        <v>0</v>
      </c>
      <c r="X104" s="115" t="n">
        <v>0</v>
      </c>
      <c r="Z104" s="115" t="n">
        <v>0</v>
      </c>
      <c r="AB104" s="115" t="n">
        <v>0</v>
      </c>
      <c r="AD104" s="115" t="n">
        <v>0</v>
      </c>
      <c r="AF104" s="115" t="n">
        <v>0</v>
      </c>
      <c r="AH104" s="115" t="n">
        <v>0</v>
      </c>
      <c r="AI104" s="0"/>
      <c r="AJ104" s="115" t="n">
        <v>0</v>
      </c>
      <c r="AL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K104" s="115"/>
      <c r="BL104" s="115" t="n">
        <f aca="false">SUM(T104:BK104)</f>
        <v>0</v>
      </c>
      <c r="BM104" s="115"/>
      <c r="BN104" s="115" t="n">
        <v>0</v>
      </c>
      <c r="BO104" s="115"/>
      <c r="BP104" s="115" t="n">
        <f aca="false">IF(+R104-BL104+BN104&gt;0,R104-BL104+BN104,0)</f>
        <v>0</v>
      </c>
      <c r="BR104" s="115" t="n">
        <f aca="false">+BL104+BP104</f>
        <v>0</v>
      </c>
      <c r="BT104" s="115" t="n">
        <f aca="false">+R104-BR104</f>
        <v>0</v>
      </c>
      <c r="BU104" s="115"/>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c r="GJ104" s="207"/>
      <c r="GK104" s="207"/>
      <c r="GL104" s="207"/>
      <c r="GM104" s="207"/>
      <c r="GN104" s="207"/>
      <c r="GO104" s="207"/>
      <c r="GP104" s="207"/>
      <c r="GQ104" s="207"/>
      <c r="GR104" s="207"/>
      <c r="GS104" s="207"/>
      <c r="GT104" s="207"/>
      <c r="GU104" s="207"/>
      <c r="GV104" s="207"/>
      <c r="GW104" s="207"/>
      <c r="GX104" s="207"/>
      <c r="GY104" s="207"/>
      <c r="GZ104" s="207"/>
      <c r="HA104" s="207"/>
      <c r="HB104" s="207"/>
      <c r="HC104" s="207"/>
      <c r="HD104" s="207"/>
      <c r="HE104" s="207"/>
      <c r="HF104" s="207"/>
      <c r="HG104" s="207"/>
      <c r="HH104" s="207"/>
      <c r="HI104" s="207"/>
      <c r="HJ104" s="207"/>
      <c r="HK104" s="207"/>
      <c r="HL104" s="207"/>
      <c r="HM104" s="207"/>
      <c r="HN104" s="207"/>
      <c r="HO104" s="207"/>
      <c r="HP104" s="207"/>
      <c r="HQ104" s="207"/>
      <c r="HR104" s="207"/>
      <c r="HS104" s="207"/>
      <c r="HT104" s="207"/>
      <c r="HU104" s="207"/>
      <c r="HV104" s="207"/>
      <c r="HW104" s="207"/>
      <c r="HX104" s="207"/>
      <c r="HY104" s="207"/>
      <c r="HZ104" s="207"/>
      <c r="IA104" s="207"/>
      <c r="IB104" s="207"/>
      <c r="IC104" s="207"/>
      <c r="ID104" s="207"/>
      <c r="IE104" s="207"/>
      <c r="IF104" s="207"/>
      <c r="IG104" s="207"/>
      <c r="IH104" s="207"/>
      <c r="II104" s="207"/>
      <c r="IJ104" s="207"/>
      <c r="IK104" s="207"/>
      <c r="IL104" s="207"/>
      <c r="IM104" s="207"/>
      <c r="IN104" s="207"/>
      <c r="IO104" s="207"/>
      <c r="IP104" s="207"/>
      <c r="IQ104" s="207"/>
      <c r="IR104" s="207"/>
      <c r="IS104" s="207"/>
      <c r="IT104" s="207"/>
      <c r="IU104" s="207"/>
      <c r="IV104" s="207"/>
      <c r="IW104" s="207"/>
    </row>
    <row r="105" customFormat="false" ht="12.75" hidden="false" customHeight="false" outlineLevel="0" collapsed="false">
      <c r="A105" s="171"/>
      <c r="B105" s="165" t="s">
        <v>232</v>
      </c>
      <c r="C105" s="0"/>
      <c r="D105" s="0"/>
      <c r="E105" s="0"/>
      <c r="F105" s="0"/>
      <c r="G105" s="0"/>
      <c r="H105" s="0"/>
      <c r="I105" s="0"/>
      <c r="J105" s="4" t="s">
        <v>132</v>
      </c>
      <c r="K105" s="0"/>
      <c r="L105" s="169" t="s">
        <v>142</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I105" s="0"/>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AI106" s="0"/>
      <c r="BJ106" s="115"/>
      <c r="BK106" s="115"/>
      <c r="BM106" s="115"/>
      <c r="BN106" s="115"/>
      <c r="BO106" s="115"/>
      <c r="BP106" s="115" t="n">
        <f aca="false">IF(+R106-BL106+BN106&gt;0,R106-BL106+BN106,0)</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233</v>
      </c>
      <c r="C107" s="2"/>
      <c r="D107" s="2"/>
      <c r="E107" s="2"/>
      <c r="F107" s="2"/>
      <c r="G107" s="2"/>
      <c r="H107" s="2"/>
      <c r="I107" s="2"/>
      <c r="J107" s="3"/>
      <c r="K107" s="2"/>
      <c r="L107" s="188"/>
      <c r="M107" s="24"/>
      <c r="N107" s="210" t="n">
        <f aca="false">SUM(N101:N106)</f>
        <v>0</v>
      </c>
      <c r="O107" s="24"/>
      <c r="P107" s="210" t="n">
        <f aca="false">SUM(P101:P106)</f>
        <v>0</v>
      </c>
      <c r="Q107" s="24"/>
      <c r="R107" s="210" t="n">
        <f aca="false">SUM(R101:R106)</f>
        <v>9479079</v>
      </c>
      <c r="S107" s="24"/>
      <c r="T107" s="210" t="n">
        <f aca="false">SUM(T101:T106)</f>
        <v>0</v>
      </c>
      <c r="U107" s="24"/>
      <c r="V107" s="210" t="n">
        <f aca="false">SUM(V101:V106)</f>
        <v>0</v>
      </c>
      <c r="W107" s="24"/>
      <c r="X107" s="210" t="n">
        <f aca="false">SUM(X101:X106)</f>
        <v>0</v>
      </c>
      <c r="Y107" s="24"/>
      <c r="Z107" s="210" t="n">
        <f aca="false">SUM(Z101:Z106)</f>
        <v>0</v>
      </c>
      <c r="AA107" s="24"/>
      <c r="AB107" s="210" t="n">
        <f aca="false">SUM(AB101:AB106)</f>
        <v>0</v>
      </c>
      <c r="AC107" s="24"/>
      <c r="AD107" s="210" t="n">
        <f aca="false">SUM(AD101:AD106)</f>
        <v>0</v>
      </c>
      <c r="AE107" s="24"/>
      <c r="AF107" s="210" t="n">
        <f aca="false">SUM(AF101:AF106)</f>
        <v>815280</v>
      </c>
      <c r="AG107" s="24"/>
      <c r="AH107" s="210" t="n">
        <f aca="false">SUM(AH101:AH106)</f>
        <v>2025875.7</v>
      </c>
      <c r="AI107" s="0"/>
      <c r="AJ107" s="210" t="n">
        <f aca="false">SUM(AJ101:AJ106)</f>
        <v>0</v>
      </c>
      <c r="AL107" s="210" t="n">
        <f aca="false">SUM(AL101:AL106)</f>
        <v>0</v>
      </c>
      <c r="AN107" s="210" t="n">
        <f aca="false">SUM(AN101:AN106)</f>
        <v>1894103.8</v>
      </c>
      <c r="AO107" s="24"/>
      <c r="AP107" s="210" t="n">
        <f aca="false">SUM(AP101:AP106)</f>
        <v>0</v>
      </c>
      <c r="AQ107" s="24"/>
      <c r="AR107" s="210" t="n">
        <f aca="false">SUM(AR101:AR106)</f>
        <v>0</v>
      </c>
      <c r="AS107" s="24"/>
      <c r="AT107" s="210" t="n">
        <f aca="false">SUM(AT101:AT106)</f>
        <v>0</v>
      </c>
      <c r="AU107" s="24"/>
      <c r="AV107" s="210" t="n">
        <f aca="false">SUM(AV101:AV106)</f>
        <v>1183814.88</v>
      </c>
      <c r="AW107" s="24"/>
      <c r="AX107" s="210" t="n">
        <f aca="false">SUM(AX101:AX106)</f>
        <v>2943550.62</v>
      </c>
      <c r="AY107" s="24"/>
      <c r="AZ107" s="210" t="n">
        <f aca="false">SUM(AZ101:AZ106)</f>
        <v>0</v>
      </c>
      <c r="BA107" s="24"/>
      <c r="BB107" s="210" t="n">
        <f aca="false">SUM(BB101:BB106)</f>
        <v>0</v>
      </c>
      <c r="BC107" s="24"/>
      <c r="BD107" s="210" t="n">
        <f aca="false">SUM(BD101:BD106)</f>
        <v>0</v>
      </c>
      <c r="BE107" s="24"/>
      <c r="BF107" s="210" t="n">
        <f aca="false">SUM(BF101:BF106)</f>
        <v>0</v>
      </c>
      <c r="BG107" s="24"/>
      <c r="BH107" s="210" t="n">
        <f aca="false">SUM(BH101:BH106)</f>
        <v>0</v>
      </c>
      <c r="BI107" s="24"/>
      <c r="BJ107" s="210" t="n">
        <f aca="false">SUM(BJ101:BJ106)</f>
        <v>0</v>
      </c>
      <c r="BK107" s="24"/>
      <c r="BL107" s="210" t="n">
        <f aca="false">SUM(BL101:BL106)</f>
        <v>8862625</v>
      </c>
      <c r="BM107" s="24"/>
      <c r="BN107" s="210" t="n">
        <f aca="false">SUM(BN101:BN106)</f>
        <v>440</v>
      </c>
      <c r="BO107" s="24"/>
      <c r="BP107" s="210" t="n">
        <f aca="false">SUM(BP101:BP106)</f>
        <v>616894</v>
      </c>
      <c r="BQ107" s="24"/>
      <c r="BR107" s="210" t="n">
        <f aca="false">SUM(BR101:BR106)</f>
        <v>9479519</v>
      </c>
      <c r="BS107" s="24"/>
      <c r="BT107" s="210" t="n">
        <f aca="false">SUM(BT101:BT106)</f>
        <v>-440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AI108" s="0"/>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234</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0"/>
      <c r="AJ109" s="200"/>
      <c r="AL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AI110" s="0"/>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214"/>
      <c r="B111" s="173"/>
      <c r="C111" s="0"/>
      <c r="D111" s="0"/>
      <c r="E111" s="0"/>
      <c r="F111" s="0"/>
      <c r="G111" s="0"/>
      <c r="H111" s="0"/>
      <c r="I111" s="0"/>
      <c r="J111" s="4"/>
      <c r="K111" s="0"/>
      <c r="L111" s="169"/>
      <c r="M111" s="115"/>
      <c r="O111" s="115"/>
      <c r="Q111" s="115"/>
      <c r="S111" s="115"/>
      <c r="T111" s="115"/>
      <c r="U111" s="115"/>
      <c r="V111" s="115"/>
      <c r="X111" s="115"/>
      <c r="Z111" s="115"/>
      <c r="AB111" s="115"/>
      <c r="AD111" s="115"/>
      <c r="AI111" s="0"/>
      <c r="AJ111" s="115" t="n">
        <f aca="false">83584768.91+2296826</f>
        <v>85881594.91</v>
      </c>
      <c r="BJ111" s="115"/>
      <c r="BK111" s="115"/>
      <c r="BM111" s="115"/>
      <c r="BN111" s="115"/>
      <c r="BO111" s="115"/>
      <c r="BU111" s="115"/>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182" t="s">
        <v>235</v>
      </c>
      <c r="B112" s="215"/>
      <c r="C112" s="0"/>
      <c r="D112" s="0"/>
      <c r="E112" s="0"/>
      <c r="F112" s="0"/>
      <c r="G112" s="0"/>
      <c r="H112" s="0"/>
      <c r="I112" s="0"/>
      <c r="J112" s="4"/>
      <c r="K112" s="0"/>
      <c r="L112" s="169"/>
      <c r="M112" s="115"/>
      <c r="O112" s="115"/>
      <c r="Q112" s="115"/>
      <c r="S112" s="115"/>
      <c r="T112" s="115"/>
      <c r="U112" s="115"/>
      <c r="V112" s="115"/>
      <c r="X112" s="115"/>
      <c r="Z112" s="115"/>
      <c r="AB112" s="115"/>
      <c r="AD112" s="115"/>
      <c r="AI112" s="0"/>
      <c r="BJ112" s="115"/>
      <c r="BK112" s="115"/>
      <c r="BM112" s="115"/>
      <c r="BN112" s="115"/>
      <c r="BO112" s="115"/>
      <c r="BU112" s="115"/>
    </row>
    <row r="113" customFormat="false" ht="12.75" hidden="false" customHeight="false" outlineLevel="0" collapsed="false">
      <c r="A113" s="202"/>
      <c r="B113" s="165" t="s">
        <v>236</v>
      </c>
      <c r="E113" s="123"/>
      <c r="G113" s="123"/>
      <c r="I113" s="123"/>
      <c r="J113" s="124" t="s">
        <v>132</v>
      </c>
      <c r="L113" s="169" t="s">
        <v>142</v>
      </c>
      <c r="M113" s="115"/>
      <c r="N113" s="115" t="n">
        <v>0</v>
      </c>
      <c r="O113" s="115"/>
      <c r="P113" s="115" t="n">
        <v>0</v>
      </c>
      <c r="Q113" s="115"/>
      <c r="R113" s="115" t="n">
        <v>185000</v>
      </c>
      <c r="S113" s="115"/>
      <c r="T113" s="115" t="n">
        <v>0</v>
      </c>
      <c r="U113" s="115"/>
      <c r="V113" s="115" t="n">
        <v>0</v>
      </c>
      <c r="X113" s="115" t="n">
        <v>0</v>
      </c>
      <c r="Z113" s="115" t="n">
        <v>0</v>
      </c>
      <c r="AB113" s="115" t="n">
        <v>0</v>
      </c>
      <c r="AD113" s="115" t="n">
        <v>0</v>
      </c>
      <c r="AF113" s="115" t="n">
        <v>0</v>
      </c>
      <c r="AH113" s="115" t="n">
        <v>0</v>
      </c>
      <c r="AI113" s="0"/>
      <c r="AJ113" s="115" t="n">
        <v>0</v>
      </c>
      <c r="AL113" s="115" t="n">
        <v>0</v>
      </c>
      <c r="AN113" s="115" t="n">
        <v>0</v>
      </c>
      <c r="AP113" s="115" t="n">
        <v>0</v>
      </c>
      <c r="AR113" s="115" t="n">
        <v>0</v>
      </c>
      <c r="AT113" s="115" t="n">
        <v>0</v>
      </c>
      <c r="AV113" s="115" t="n">
        <v>37000</v>
      </c>
      <c r="AX113" s="115" t="n">
        <v>37000</v>
      </c>
      <c r="AZ113" s="115" t="n">
        <v>37000</v>
      </c>
      <c r="BB113" s="115" t="n">
        <v>37000</v>
      </c>
      <c r="BD113" s="115" t="n">
        <v>0</v>
      </c>
      <c r="BF113" s="115" t="n">
        <v>0</v>
      </c>
      <c r="BH113" s="115" t="n">
        <v>0</v>
      </c>
      <c r="BJ113" s="115" t="n">
        <v>0</v>
      </c>
      <c r="BK113" s="115"/>
      <c r="BL113" s="115" t="n">
        <f aca="false">SUM(T113:BK113)</f>
        <v>148000</v>
      </c>
      <c r="BM113" s="115"/>
      <c r="BN113" s="115" t="n">
        <v>0</v>
      </c>
      <c r="BO113" s="115"/>
      <c r="BP113" s="115" t="n">
        <f aca="false">IF(+R113-BL113+BN113&gt;0,R113-BL113+BN113,0)</f>
        <v>37000</v>
      </c>
      <c r="BR113" s="115" t="n">
        <f aca="false">+BL113+BP113</f>
        <v>185000</v>
      </c>
      <c r="BT113" s="115" t="n">
        <f aca="false">+R113-BR113</f>
        <v>0</v>
      </c>
      <c r="BU113" s="115"/>
    </row>
    <row r="114" customFormat="false" ht="12.75" hidden="false" customHeight="false" outlineLevel="0" collapsed="false">
      <c r="A114" s="202"/>
      <c r="B114" s="165" t="s">
        <v>237</v>
      </c>
      <c r="E114" s="123"/>
      <c r="G114" s="123"/>
      <c r="I114" s="123"/>
      <c r="L114" s="169" t="s">
        <v>142</v>
      </c>
      <c r="M114" s="115"/>
      <c r="N114" s="115" t="n">
        <v>0</v>
      </c>
      <c r="O114" s="115"/>
      <c r="P114" s="115" t="n">
        <v>0</v>
      </c>
      <c r="Q114" s="115"/>
      <c r="R114" s="115" t="n">
        <v>723786</v>
      </c>
      <c r="S114" s="115"/>
      <c r="T114" s="115" t="n">
        <v>0</v>
      </c>
      <c r="U114" s="115"/>
      <c r="V114" s="115" t="n">
        <v>0</v>
      </c>
      <c r="X114" s="115" t="n">
        <v>0</v>
      </c>
      <c r="Z114" s="115" t="n">
        <v>0</v>
      </c>
      <c r="AB114" s="115" t="n">
        <v>0</v>
      </c>
      <c r="AD114" s="115" t="n">
        <v>0</v>
      </c>
      <c r="AF114" s="115" t="n">
        <v>0</v>
      </c>
      <c r="AH114" s="115" t="n">
        <v>0</v>
      </c>
      <c r="AI114" s="0"/>
      <c r="AJ114" s="115" t="n">
        <v>0</v>
      </c>
      <c r="AL114" s="115" t="n">
        <v>0</v>
      </c>
      <c r="AN114" s="115" t="n">
        <v>0</v>
      </c>
      <c r="AP114" s="115" t="n">
        <v>0</v>
      </c>
      <c r="AR114" s="115" t="n">
        <v>0</v>
      </c>
      <c r="AT114" s="115" t="n">
        <v>0</v>
      </c>
      <c r="AX114" s="115" t="n">
        <f aca="false">60063+44589</f>
        <v>104652</v>
      </c>
      <c r="AZ114" s="115" t="n">
        <v>114711.83</v>
      </c>
      <c r="BB114" s="115" t="n">
        <v>194341.7</v>
      </c>
      <c r="BD114" s="115" t="n">
        <v>0</v>
      </c>
      <c r="BF114" s="115" t="n">
        <v>0</v>
      </c>
      <c r="BH114" s="115" t="n">
        <v>0</v>
      </c>
      <c r="BJ114" s="115" t="n">
        <v>0</v>
      </c>
      <c r="BK114" s="115"/>
      <c r="BL114" s="115" t="n">
        <f aca="false">SUM(T114:BK114)</f>
        <v>413705.53</v>
      </c>
      <c r="BM114" s="115"/>
      <c r="BN114" s="115" t="n">
        <v>0</v>
      </c>
      <c r="BO114" s="115"/>
      <c r="BP114" s="115" t="n">
        <f aca="false">+R114-BL114+BN114</f>
        <v>310080.47</v>
      </c>
      <c r="BR114" s="115" t="n">
        <f aca="false">+BL114+BP114</f>
        <v>723786</v>
      </c>
      <c r="BT114" s="115" t="n">
        <f aca="false">+R114-BR114</f>
        <v>0</v>
      </c>
      <c r="BU114" s="115"/>
    </row>
    <row r="115" customFormat="false" ht="12.75" hidden="true" customHeight="false" outlineLevel="0" collapsed="false">
      <c r="A115" s="202"/>
      <c r="B115" s="165" t="s">
        <v>152</v>
      </c>
      <c r="E115" s="123"/>
      <c r="G115" s="123"/>
      <c r="I115" s="123"/>
      <c r="L115" s="169" t="s">
        <v>142</v>
      </c>
      <c r="M115" s="115"/>
      <c r="N115" s="115" t="n">
        <v>0</v>
      </c>
      <c r="O115" s="115"/>
      <c r="P115" s="115" t="n">
        <v>0</v>
      </c>
      <c r="Q115" s="115"/>
      <c r="R115" s="115" t="n">
        <v>0</v>
      </c>
      <c r="S115" s="115"/>
      <c r="T115" s="115" t="n">
        <v>0</v>
      </c>
      <c r="U115" s="115"/>
      <c r="V115" s="115" t="n">
        <v>0</v>
      </c>
      <c r="X115" s="115" t="n">
        <v>0</v>
      </c>
      <c r="Z115" s="115" t="n">
        <v>0</v>
      </c>
      <c r="AB115" s="115" t="n">
        <v>0</v>
      </c>
      <c r="AD115" s="115" t="n">
        <v>0</v>
      </c>
      <c r="AF115" s="115" t="n">
        <v>0</v>
      </c>
      <c r="AH115" s="115" t="n">
        <v>0</v>
      </c>
      <c r="AI115" s="0"/>
      <c r="AJ115" s="115" t="n">
        <v>0</v>
      </c>
      <c r="AL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K115" s="115"/>
      <c r="BL115" s="115" t="n">
        <f aca="false">SUM(T115:BK115)</f>
        <v>0</v>
      </c>
      <c r="BM115" s="115"/>
      <c r="BN115" s="115" t="n">
        <v>0</v>
      </c>
      <c r="BO115" s="115"/>
      <c r="BP115" s="115" t="n">
        <f aca="false">+R115-BL115+BN115</f>
        <v>0</v>
      </c>
      <c r="BR115" s="115" t="n">
        <f aca="false">+BL115+BP115</f>
        <v>0</v>
      </c>
      <c r="BT115" s="115" t="n">
        <f aca="false">+R115-BR115</f>
        <v>0</v>
      </c>
      <c r="BU115" s="115"/>
    </row>
    <row r="116" customFormat="false" ht="12.75" hidden="false" customHeight="false" outlineLevel="0" collapsed="false">
      <c r="A116" s="182"/>
      <c r="B116" s="215" t="s">
        <v>238</v>
      </c>
      <c r="C116" s="2"/>
      <c r="D116" s="2"/>
      <c r="E116" s="2"/>
      <c r="F116" s="2"/>
      <c r="G116" s="2"/>
      <c r="H116" s="2"/>
      <c r="I116" s="2"/>
      <c r="J116" s="3"/>
      <c r="K116" s="2"/>
      <c r="L116" s="188"/>
      <c r="M116" s="24"/>
      <c r="N116" s="210" t="n">
        <f aca="false">SUM(N113:N115)</f>
        <v>0</v>
      </c>
      <c r="O116" s="24"/>
      <c r="P116" s="210" t="n">
        <f aca="false">SUM(P113:P115)</f>
        <v>0</v>
      </c>
      <c r="Q116" s="24"/>
      <c r="R116" s="210" t="n">
        <f aca="false">SUM(R113:R115)</f>
        <v>908786</v>
      </c>
      <c r="S116" s="24"/>
      <c r="T116" s="210" t="n">
        <f aca="false">SUM(T113:T115)</f>
        <v>0</v>
      </c>
      <c r="U116" s="24"/>
      <c r="V116" s="210" t="n">
        <f aca="false">SUM(V113:V115)</f>
        <v>0</v>
      </c>
      <c r="W116" s="24"/>
      <c r="X116" s="210" t="n">
        <f aca="false">SUM(X113:X115)</f>
        <v>0</v>
      </c>
      <c r="Y116" s="24"/>
      <c r="Z116" s="210" t="n">
        <f aca="false">SUM(Z113:Z115)</f>
        <v>0</v>
      </c>
      <c r="AA116" s="24"/>
      <c r="AB116" s="210" t="n">
        <f aca="false">SUM(AB113:AB115)</f>
        <v>0</v>
      </c>
      <c r="AC116" s="24"/>
      <c r="AD116" s="210" t="n">
        <f aca="false">SUM(AD113:AD115)</f>
        <v>0</v>
      </c>
      <c r="AE116" s="24"/>
      <c r="AF116" s="210" t="n">
        <f aca="false">SUM(AF113:AF115)</f>
        <v>0</v>
      </c>
      <c r="AG116" s="24"/>
      <c r="AH116" s="210" t="n">
        <f aca="false">SUM(AH113:AH115)</f>
        <v>0</v>
      </c>
      <c r="AI116" s="0"/>
      <c r="AJ116" s="210" t="n">
        <f aca="false">SUM(AJ113:AJ115)</f>
        <v>0</v>
      </c>
      <c r="AL116" s="210" t="n">
        <f aca="false">SUM(AL113:AL115)</f>
        <v>0</v>
      </c>
      <c r="AN116" s="210" t="n">
        <f aca="false">SUM(AN113:AN115)</f>
        <v>0</v>
      </c>
      <c r="AO116" s="24"/>
      <c r="AP116" s="210" t="n">
        <f aca="false">SUM(AP113:AP115)</f>
        <v>0</v>
      </c>
      <c r="AQ116" s="24"/>
      <c r="AR116" s="210" t="n">
        <f aca="false">SUM(AR113:AR115)</f>
        <v>0</v>
      </c>
      <c r="AS116" s="24"/>
      <c r="AT116" s="210" t="n">
        <f aca="false">SUM(AT113:AT115)</f>
        <v>0</v>
      </c>
      <c r="AU116" s="24"/>
      <c r="AV116" s="210" t="n">
        <f aca="false">SUM(AV113:AV115)</f>
        <v>37000</v>
      </c>
      <c r="AW116" s="24"/>
      <c r="AX116" s="210" t="n">
        <f aca="false">SUM(AX113:AX115)</f>
        <v>141652</v>
      </c>
      <c r="AY116" s="24"/>
      <c r="AZ116" s="210" t="n">
        <f aca="false">SUM(AZ113:AZ115)</f>
        <v>151711.83</v>
      </c>
      <c r="BA116" s="24"/>
      <c r="BB116" s="210" t="n">
        <f aca="false">SUM(BB113:BB115)</f>
        <v>231341.7</v>
      </c>
      <c r="BC116" s="24"/>
      <c r="BD116" s="210" t="n">
        <f aca="false">SUM(BD113:BD115)</f>
        <v>0</v>
      </c>
      <c r="BE116" s="24"/>
      <c r="BF116" s="210" t="n">
        <f aca="false">SUM(BF113:BF115)</f>
        <v>0</v>
      </c>
      <c r="BG116" s="24"/>
      <c r="BH116" s="210" t="n">
        <f aca="false">SUM(BH113:BH115)</f>
        <v>0</v>
      </c>
      <c r="BI116" s="24"/>
      <c r="BJ116" s="210" t="n">
        <f aca="false">SUM(BJ113:BJ115)</f>
        <v>0</v>
      </c>
      <c r="BK116" s="24"/>
      <c r="BL116" s="210" t="n">
        <f aca="false">SUM(BL113:BL115)</f>
        <v>561705.53</v>
      </c>
      <c r="BM116" s="24"/>
      <c r="BN116" s="210" t="n">
        <f aca="false">SUM(BN113:BN115)</f>
        <v>0</v>
      </c>
      <c r="BO116" s="24"/>
      <c r="BP116" s="210" t="n">
        <f aca="false">SUM(BP113:BP115)</f>
        <v>347080.47</v>
      </c>
      <c r="BQ116" s="24"/>
      <c r="BR116" s="210" t="n">
        <f aca="false">SUM(BR113:BR115)</f>
        <v>908786</v>
      </c>
      <c r="BS116" s="24"/>
      <c r="BT116" s="210"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2"/>
      <c r="B117" s="215"/>
      <c r="C117" s="2"/>
      <c r="D117" s="2"/>
      <c r="E117" s="2"/>
      <c r="F117" s="2"/>
      <c r="G117" s="2"/>
      <c r="H117" s="2"/>
      <c r="I117" s="2"/>
      <c r="J117" s="3"/>
      <c r="K117" s="2"/>
      <c r="L117" s="188"/>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9" customFormat="false" ht="12.75" hidden="false" customHeight="false" outlineLevel="0" collapsed="false">
      <c r="A119" s="186"/>
      <c r="B119" s="215"/>
      <c r="C119" s="2"/>
      <c r="D119" s="2"/>
      <c r="E119" s="2"/>
      <c r="F119" s="2"/>
      <c r="G119" s="2"/>
      <c r="H119" s="2"/>
      <c r="I119" s="2"/>
      <c r="J119" s="3"/>
      <c r="K119" s="2"/>
      <c r="L119" s="188"/>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t="s">
        <v>239</v>
      </c>
      <c r="B120" s="216"/>
      <c r="C120" s="2"/>
      <c r="D120" s="2"/>
      <c r="E120" s="2"/>
      <c r="F120" s="2"/>
      <c r="G120" s="2"/>
      <c r="H120" s="2"/>
      <c r="I120" s="2"/>
      <c r="J120" s="3" t="s">
        <v>132</v>
      </c>
      <c r="K120" s="2"/>
      <c r="L120" s="169" t="s">
        <v>142</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6527.91</v>
      </c>
      <c r="BC120" s="24"/>
      <c r="BD120" s="24" t="n">
        <v>0</v>
      </c>
      <c r="BE120" s="24"/>
      <c r="BF120" s="24" t="n">
        <v>0</v>
      </c>
      <c r="BG120" s="24"/>
      <c r="BH120" s="24" t="n">
        <v>0</v>
      </c>
      <c r="BI120" s="24"/>
      <c r="BJ120" s="24" t="n">
        <v>0</v>
      </c>
      <c r="BK120" s="24"/>
      <c r="BL120" s="24" t="n">
        <f aca="false">SUM(T120:BK120)</f>
        <v>393919.72</v>
      </c>
      <c r="BM120" s="24"/>
      <c r="BN120" s="24" t="n">
        <v>0</v>
      </c>
      <c r="BO120" s="24"/>
      <c r="BP120" s="115" t="n">
        <f aca="false">IF(+R120-BL120+BN120&gt;0,R120-BL120+BN120,0)</f>
        <v>0</v>
      </c>
      <c r="BQ120" s="24"/>
      <c r="BR120" s="24" t="n">
        <f aca="false">+BL120+BP120</f>
        <v>393919.72</v>
      </c>
      <c r="BS120" s="24"/>
      <c r="BT120" s="24" t="n">
        <f aca="false">+R120-BR120</f>
        <v>-393919.72</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2"/>
      <c r="B121" s="216"/>
      <c r="C121" s="2"/>
      <c r="D121" s="2"/>
      <c r="E121" s="2"/>
      <c r="F121" s="2"/>
      <c r="G121" s="2"/>
      <c r="H121" s="2"/>
      <c r="I121" s="2"/>
      <c r="J121" s="3"/>
      <c r="K121" s="2"/>
      <c r="L121" s="169"/>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5" t="s">
        <v>240</v>
      </c>
      <c r="B122" s="216"/>
      <c r="C122" s="216"/>
      <c r="D122" s="216"/>
      <c r="E122" s="216"/>
      <c r="F122" s="216"/>
      <c r="G122" s="216"/>
      <c r="H122" s="216"/>
      <c r="I122" s="216"/>
      <c r="J122" s="217" t="s">
        <v>132</v>
      </c>
      <c r="K122" s="216"/>
      <c r="L122" s="218" t="s">
        <v>142</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15" t="n">
        <f aca="false">IF(+R122-BL122+BN122&gt;0,R122-BL122+BN122,0)</f>
        <v>500000</v>
      </c>
      <c r="BQ122" s="24"/>
      <c r="BR122" s="24" t="n">
        <f aca="false">+BL122+BP122</f>
        <v>500000</v>
      </c>
      <c r="BS122" s="24"/>
      <c r="BT122" s="24" t="n">
        <f aca="false">+R122-BR122</f>
        <v>0</v>
      </c>
      <c r="BU122" s="24"/>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c r="GY122" s="216"/>
      <c r="GZ122" s="216"/>
      <c r="HA122" s="216"/>
      <c r="HB122" s="216"/>
      <c r="HC122" s="216"/>
      <c r="HD122" s="216"/>
      <c r="HE122" s="216"/>
      <c r="HF122" s="216"/>
      <c r="HG122" s="216"/>
      <c r="HH122" s="216"/>
      <c r="HI122" s="216"/>
      <c r="HJ122" s="216"/>
      <c r="HK122" s="216"/>
      <c r="HL122" s="216"/>
      <c r="HM122" s="216"/>
      <c r="HN122" s="216"/>
      <c r="HO122" s="216"/>
      <c r="HP122" s="216"/>
      <c r="HQ122" s="216"/>
      <c r="HR122" s="216"/>
      <c r="HS122" s="216"/>
      <c r="HT122" s="216"/>
      <c r="HU122" s="216"/>
      <c r="HV122" s="216"/>
      <c r="HW122" s="216"/>
      <c r="HX122" s="216"/>
      <c r="HY122" s="216"/>
      <c r="HZ122" s="216"/>
      <c r="IA122" s="216"/>
      <c r="IB122" s="216"/>
      <c r="IC122" s="216"/>
      <c r="ID122" s="216"/>
      <c r="IE122" s="216"/>
      <c r="IF122" s="216"/>
      <c r="IG122" s="216"/>
      <c r="IH122" s="216"/>
      <c r="II122" s="216"/>
      <c r="IJ122" s="216"/>
      <c r="IK122" s="216"/>
      <c r="IL122" s="216"/>
      <c r="IM122" s="216"/>
      <c r="IN122" s="216"/>
      <c r="IO122" s="216"/>
      <c r="IP122" s="216"/>
      <c r="IQ122" s="216"/>
      <c r="IR122" s="216"/>
      <c r="IS122" s="216"/>
      <c r="IT122" s="216"/>
      <c r="IU122" s="216"/>
      <c r="IV122" s="216"/>
      <c r="IW122" s="216"/>
    </row>
    <row r="123" customFormat="false" ht="12.75" hidden="false" customHeight="false" outlineLevel="0" collapsed="false">
      <c r="A123" s="182"/>
      <c r="B123" s="216"/>
      <c r="C123" s="2"/>
      <c r="D123" s="2"/>
      <c r="E123" s="2"/>
      <c r="F123" s="2"/>
      <c r="G123" s="2"/>
      <c r="H123" s="2"/>
      <c r="I123" s="2"/>
      <c r="J123" s="3"/>
      <c r="K123" s="2"/>
      <c r="L123" s="169"/>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t="s">
        <v>154</v>
      </c>
      <c r="B124" s="215"/>
      <c r="C124" s="2"/>
      <c r="D124" s="2"/>
      <c r="E124" s="2"/>
      <c r="F124" s="2"/>
      <c r="G124" s="2"/>
      <c r="H124" s="2"/>
      <c r="I124" s="2"/>
      <c r="J124" s="3" t="s">
        <v>132</v>
      </c>
      <c r="K124" s="2"/>
      <c r="L124" s="169" t="s">
        <v>142</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15"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c r="B125" s="216"/>
      <c r="C125" s="2"/>
      <c r="D125" s="2"/>
      <c r="E125" s="2"/>
      <c r="F125" s="2"/>
      <c r="G125" s="2"/>
      <c r="H125" s="2"/>
      <c r="I125" s="2"/>
      <c r="J125" s="3"/>
      <c r="K125" s="2"/>
      <c r="L125" s="169"/>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2" t="s">
        <v>241</v>
      </c>
      <c r="B126" s="174"/>
      <c r="C126" s="0"/>
      <c r="D126" s="0"/>
      <c r="E126" s="0"/>
      <c r="F126" s="0"/>
      <c r="G126" s="0"/>
      <c r="H126" s="0"/>
      <c r="I126" s="0"/>
      <c r="J126" s="4"/>
      <c r="K126" s="0"/>
      <c r="L126" s="169"/>
      <c r="M126" s="115"/>
      <c r="O126" s="115"/>
      <c r="Q126" s="115"/>
      <c r="S126" s="115"/>
      <c r="T126" s="115"/>
      <c r="U126" s="115"/>
      <c r="V126" s="115"/>
      <c r="X126" s="115"/>
      <c r="Z126" s="115"/>
      <c r="AB126" s="115"/>
      <c r="AD126" s="115"/>
      <c r="AI126" s="0"/>
      <c r="BJ126" s="115"/>
      <c r="BK126" s="115"/>
      <c r="BM126" s="115"/>
      <c r="BN126" s="115"/>
      <c r="BO126" s="115"/>
      <c r="BU126" s="115"/>
    </row>
    <row r="127" customFormat="false" ht="12.75" hidden="false" customHeight="false" outlineLevel="0" collapsed="false">
      <c r="A127" s="202"/>
      <c r="B127" s="174" t="s">
        <v>242</v>
      </c>
      <c r="E127" s="123"/>
      <c r="G127" s="123"/>
      <c r="I127" s="123"/>
      <c r="J127" s="124" t="s">
        <v>132</v>
      </c>
      <c r="L127" s="169" t="s">
        <v>142</v>
      </c>
      <c r="M127" s="115"/>
      <c r="N127" s="115" t="n">
        <v>0</v>
      </c>
      <c r="O127" s="115"/>
      <c r="P127" s="115" t="n">
        <v>0</v>
      </c>
      <c r="Q127" s="115"/>
      <c r="R127" s="115" t="n">
        <v>28500</v>
      </c>
      <c r="S127" s="115"/>
      <c r="T127" s="115" t="n">
        <v>0</v>
      </c>
      <c r="U127" s="115"/>
      <c r="V127" s="115" t="n">
        <v>0</v>
      </c>
      <c r="X127" s="115" t="n">
        <v>0</v>
      </c>
      <c r="Z127" s="115" t="n">
        <v>20000</v>
      </c>
      <c r="AB127" s="115" t="n">
        <v>0</v>
      </c>
      <c r="AD127" s="115" t="n">
        <v>8500</v>
      </c>
      <c r="AF127" s="115" t="n">
        <v>0</v>
      </c>
      <c r="AH127" s="115" t="n">
        <v>0</v>
      </c>
      <c r="AI127" s="0"/>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28500</v>
      </c>
      <c r="BM127" s="115"/>
      <c r="BN127" s="115" t="n">
        <v>0</v>
      </c>
      <c r="BO127" s="115"/>
      <c r="BP127" s="115" t="n">
        <f aca="false">IF(+R127-BL127+BN127&gt;0,R127-BL127+BN127,0)</f>
        <v>0</v>
      </c>
      <c r="BR127" s="115" t="n">
        <f aca="false">+BL127+BP127</f>
        <v>28500</v>
      </c>
      <c r="BT127" s="115" t="n">
        <f aca="false">+R127-BR127</f>
        <v>0</v>
      </c>
      <c r="BU127" s="115"/>
    </row>
    <row r="128" customFormat="false" ht="12.75" hidden="false" customHeight="false" outlineLevel="0" collapsed="false">
      <c r="A128" s="202"/>
      <c r="B128" s="174" t="s">
        <v>243</v>
      </c>
      <c r="E128" s="123"/>
      <c r="G128" s="123"/>
      <c r="I128" s="123"/>
      <c r="J128" s="124" t="s">
        <v>132</v>
      </c>
      <c r="L128" s="169" t="s">
        <v>142</v>
      </c>
      <c r="M128" s="115"/>
      <c r="O128" s="115"/>
      <c r="Q128" s="115"/>
      <c r="R128" s="115" t="n">
        <v>0</v>
      </c>
      <c r="S128" s="115"/>
      <c r="T128" s="115" t="n">
        <v>0</v>
      </c>
      <c r="U128" s="115"/>
      <c r="V128" s="115" t="n">
        <v>0</v>
      </c>
      <c r="X128" s="115" t="n">
        <v>0</v>
      </c>
      <c r="Z128" s="115" t="n">
        <v>0</v>
      </c>
      <c r="AB128" s="115" t="n">
        <v>0</v>
      </c>
      <c r="AD128" s="115" t="n">
        <v>0</v>
      </c>
      <c r="AF128" s="115" t="n">
        <v>0</v>
      </c>
      <c r="AH128" s="115" t="n">
        <v>0</v>
      </c>
      <c r="AI128" s="0"/>
      <c r="AJ128" s="115" t="n">
        <v>0</v>
      </c>
      <c r="AL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K128" s="115"/>
      <c r="BL128" s="115" t="n">
        <f aca="false">SUM(T128:BK128)</f>
        <v>0</v>
      </c>
      <c r="BM128" s="115"/>
      <c r="BN128" s="115" t="n">
        <v>0</v>
      </c>
      <c r="BO128" s="115"/>
      <c r="BP128" s="115" t="n">
        <f aca="false">+R128-BL128+BN128</f>
        <v>0</v>
      </c>
      <c r="BR128" s="115" t="n">
        <f aca="false">+BL128+BP128</f>
        <v>0</v>
      </c>
      <c r="BT128" s="115" t="n">
        <f aca="false">+R128-BR128</f>
        <v>0</v>
      </c>
      <c r="BU128" s="115"/>
    </row>
    <row r="129" customFormat="false" ht="12.75" hidden="false" customHeight="false" outlineLevel="0" collapsed="false">
      <c r="A129" s="202"/>
      <c r="B129" s="174" t="s">
        <v>244</v>
      </c>
      <c r="E129" s="123"/>
      <c r="G129" s="123"/>
      <c r="I129" s="123"/>
      <c r="J129" s="124" t="s">
        <v>132</v>
      </c>
      <c r="L129" s="169" t="s">
        <v>142</v>
      </c>
      <c r="M129" s="115"/>
      <c r="O129" s="115"/>
      <c r="Q129" s="115"/>
      <c r="R129" s="115" t="n">
        <f aca="false">2280000-28500</f>
        <v>2251500</v>
      </c>
      <c r="S129" s="115"/>
      <c r="T129" s="115" t="n">
        <v>0</v>
      </c>
      <c r="U129" s="115"/>
      <c r="V129" s="115" t="n">
        <v>0</v>
      </c>
      <c r="X129" s="115" t="n">
        <v>0</v>
      </c>
      <c r="Z129" s="115" t="n">
        <v>0</v>
      </c>
      <c r="AB129" s="115" t="n">
        <v>1446361</v>
      </c>
      <c r="AD129" s="115" t="n">
        <v>0</v>
      </c>
      <c r="AF129" s="115" t="n">
        <v>0</v>
      </c>
      <c r="AH129" s="115" t="n">
        <v>821965.14</v>
      </c>
      <c r="AI129" s="0"/>
      <c r="AJ129" s="115" t="n">
        <v>0</v>
      </c>
      <c r="AL129" s="115" t="n">
        <v>0</v>
      </c>
      <c r="AN129" s="115" t="n">
        <v>1000</v>
      </c>
      <c r="AP129" s="115" t="n">
        <v>7992</v>
      </c>
      <c r="AR129" s="115" t="n">
        <v>0</v>
      </c>
      <c r="AT129" s="115" t="n">
        <v>180000</v>
      </c>
      <c r="AV129" s="115" t="n">
        <f aca="false">3400-16567.86</f>
        <v>-13167.86</v>
      </c>
      <c r="AX129" s="115" t="n">
        <v>0</v>
      </c>
      <c r="AZ129" s="115" t="n">
        <v>0</v>
      </c>
      <c r="BB129" s="115" t="n">
        <v>1662</v>
      </c>
      <c r="BD129" s="115" t="n">
        <v>0</v>
      </c>
      <c r="BF129" s="115" t="n">
        <v>0</v>
      </c>
      <c r="BH129" s="115" t="n">
        <v>0</v>
      </c>
      <c r="BJ129" s="115" t="n">
        <v>0</v>
      </c>
      <c r="BK129" s="115"/>
      <c r="BL129" s="115" t="n">
        <f aca="false">SUM(T129:BK129)</f>
        <v>2445812.28</v>
      </c>
      <c r="BM129" s="115"/>
      <c r="BN129" s="115" t="n">
        <v>25818</v>
      </c>
      <c r="BO129" s="115"/>
      <c r="BP129" s="115" t="n">
        <f aca="false">IF(+R129-BL129+BN129&gt;0,R129-BL129+BN129,0)</f>
        <v>0</v>
      </c>
      <c r="BR129" s="115" t="n">
        <f aca="false">+BL129+BP129</f>
        <v>2445812.28</v>
      </c>
      <c r="BT129" s="115" t="n">
        <f aca="false">+R129-BR129</f>
        <v>-194312.28</v>
      </c>
      <c r="BU129" s="115"/>
    </row>
    <row r="130" customFormat="false" ht="12.75" hidden="false" customHeight="false" outlineLevel="0" collapsed="false">
      <c r="A130" s="202"/>
      <c r="B130" s="174" t="s">
        <v>245</v>
      </c>
      <c r="E130" s="123"/>
      <c r="G130" s="123"/>
      <c r="I130" s="123"/>
      <c r="J130" s="124" t="s">
        <v>132</v>
      </c>
      <c r="L130" s="169" t="s">
        <v>142</v>
      </c>
      <c r="M130" s="115"/>
      <c r="O130" s="115"/>
      <c r="Q130" s="115"/>
      <c r="R130" s="115" t="n">
        <v>0</v>
      </c>
      <c r="S130" s="115"/>
      <c r="T130" s="115"/>
      <c r="U130" s="115"/>
      <c r="V130" s="115"/>
      <c r="X130" s="115"/>
      <c r="Z130" s="115"/>
      <c r="AB130" s="115"/>
      <c r="AD130" s="115"/>
      <c r="AI130" s="0"/>
      <c r="BJ130" s="115"/>
      <c r="BK130" s="115"/>
      <c r="BM130" s="115"/>
      <c r="BN130" s="115"/>
      <c r="BO130" s="115"/>
      <c r="BP130" s="115" t="n">
        <f aca="false">+R130-BL130+BN130</f>
        <v>0</v>
      </c>
      <c r="BR130" s="115" t="n">
        <f aca="false">+BL130+BP130</f>
        <v>0</v>
      </c>
      <c r="BT130" s="115" t="n">
        <f aca="false">+R130-BR130</f>
        <v>0</v>
      </c>
      <c r="BU130" s="115"/>
    </row>
    <row r="131" customFormat="false" ht="12.75" hidden="false" customHeight="false" outlineLevel="0" collapsed="false">
      <c r="A131" s="182"/>
      <c r="B131" s="216" t="s">
        <v>246</v>
      </c>
      <c r="C131" s="2"/>
      <c r="D131" s="2"/>
      <c r="E131" s="2"/>
      <c r="F131" s="2"/>
      <c r="G131" s="2"/>
      <c r="H131" s="2"/>
      <c r="I131" s="2"/>
      <c r="J131" s="3"/>
      <c r="K131" s="2"/>
      <c r="L131" s="188"/>
      <c r="M131" s="24"/>
      <c r="N131" s="210" t="n">
        <f aca="false">SUM(N127:N130)</f>
        <v>0</v>
      </c>
      <c r="O131" s="24"/>
      <c r="P131" s="210" t="n">
        <f aca="false">SUM(P127:P130)</f>
        <v>0</v>
      </c>
      <c r="Q131" s="24"/>
      <c r="R131" s="210" t="n">
        <f aca="false">SUM(R127:R130)</f>
        <v>2280000</v>
      </c>
      <c r="S131" s="24"/>
      <c r="T131" s="210" t="n">
        <f aca="false">SUM(T127:T130)</f>
        <v>0</v>
      </c>
      <c r="U131" s="24"/>
      <c r="V131" s="210" t="n">
        <f aca="false">SUM(V127:V130)</f>
        <v>0</v>
      </c>
      <c r="W131" s="24"/>
      <c r="X131" s="210" t="n">
        <f aca="false">SUM(X127:X130)</f>
        <v>0</v>
      </c>
      <c r="Y131" s="24"/>
      <c r="Z131" s="210" t="n">
        <f aca="false">SUM(Z127:Z130)</f>
        <v>20000</v>
      </c>
      <c r="AA131" s="24"/>
      <c r="AB131" s="210" t="n">
        <f aca="false">SUM(AB127:AB130)</f>
        <v>1446361</v>
      </c>
      <c r="AC131" s="24"/>
      <c r="AD131" s="210" t="n">
        <f aca="false">SUM(AD127:AD130)</f>
        <v>8500</v>
      </c>
      <c r="AE131" s="24"/>
      <c r="AF131" s="210" t="n">
        <f aca="false">SUM(AF127:AF130)</f>
        <v>0</v>
      </c>
      <c r="AG131" s="24"/>
      <c r="AH131" s="210" t="n">
        <f aca="false">SUM(AH127:AH130)</f>
        <v>821965.14</v>
      </c>
      <c r="AI131" s="0"/>
      <c r="AJ131" s="210" t="n">
        <f aca="false">SUM(AJ127:AJ130)</f>
        <v>0</v>
      </c>
      <c r="AL131" s="210" t="n">
        <f aca="false">SUM(AL127:AL130)</f>
        <v>0</v>
      </c>
      <c r="AN131" s="210" t="n">
        <f aca="false">SUM(AN127:AN130)</f>
        <v>1000</v>
      </c>
      <c r="AO131" s="24"/>
      <c r="AP131" s="210" t="n">
        <f aca="false">SUM(AP127:AP130)</f>
        <v>7992</v>
      </c>
      <c r="AQ131" s="24"/>
      <c r="AR131" s="210" t="n">
        <f aca="false">SUM(AR127:AR130)</f>
        <v>0</v>
      </c>
      <c r="AS131" s="24"/>
      <c r="AT131" s="210" t="n">
        <f aca="false">SUM(AT127:AT130)</f>
        <v>180000</v>
      </c>
      <c r="AU131" s="24"/>
      <c r="AV131" s="210" t="n">
        <f aca="false">SUM(AV127:AV130)</f>
        <v>-13167.86</v>
      </c>
      <c r="AW131" s="24"/>
      <c r="AX131" s="210" t="n">
        <f aca="false">SUM(AX127:AX130)</f>
        <v>0</v>
      </c>
      <c r="AY131" s="24"/>
      <c r="AZ131" s="210" t="n">
        <f aca="false">SUM(AZ127:AZ130)</f>
        <v>0</v>
      </c>
      <c r="BA131" s="24"/>
      <c r="BB131" s="210" t="n">
        <f aca="false">SUM(BB127:BB130)</f>
        <v>1662</v>
      </c>
      <c r="BC131" s="24"/>
      <c r="BD131" s="210" t="n">
        <f aca="false">SUM(BD127:BD130)</f>
        <v>0</v>
      </c>
      <c r="BE131" s="24"/>
      <c r="BF131" s="210" t="n">
        <f aca="false">SUM(BF127:BF130)</f>
        <v>0</v>
      </c>
      <c r="BG131" s="24"/>
      <c r="BH131" s="210" t="n">
        <f aca="false">SUM(BH127:BH130)</f>
        <v>0</v>
      </c>
      <c r="BI131" s="24"/>
      <c r="BJ131" s="210" t="n">
        <f aca="false">SUM(BJ127:BJ130)</f>
        <v>0</v>
      </c>
      <c r="BK131" s="24"/>
      <c r="BL131" s="210" t="n">
        <f aca="false">SUM(BL127:BL130)</f>
        <v>2474312.28</v>
      </c>
      <c r="BM131" s="24"/>
      <c r="BN131" s="210" t="n">
        <f aca="false">SUM(BN127:BN130)</f>
        <v>25818</v>
      </c>
      <c r="BO131" s="24"/>
      <c r="BP131" s="210" t="n">
        <f aca="false">SUM(BP127:BP130)</f>
        <v>0</v>
      </c>
      <c r="BQ131" s="24"/>
      <c r="BR131" s="210" t="n">
        <f aca="false">SUM(BR127:BR130)</f>
        <v>2474312.28</v>
      </c>
      <c r="BS131" s="24"/>
      <c r="BT131" s="210" t="n">
        <f aca="false">SUM(BT127:BT130)</f>
        <v>-194312.28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c r="B132" s="216"/>
      <c r="C132" s="2"/>
      <c r="D132" s="2"/>
      <c r="E132" s="2"/>
      <c r="F132" s="2"/>
      <c r="G132" s="2"/>
      <c r="H132" s="2"/>
      <c r="I132" s="2"/>
      <c r="J132" s="3"/>
      <c r="K132" s="2"/>
      <c r="L132" s="169"/>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2" t="s">
        <v>247</v>
      </c>
      <c r="B133" s="174"/>
      <c r="C133" s="0"/>
      <c r="D133" s="0"/>
      <c r="E133" s="0"/>
      <c r="F133" s="0"/>
      <c r="G133" s="0"/>
      <c r="H133" s="0"/>
      <c r="I133" s="0"/>
      <c r="J133" s="4"/>
      <c r="K133" s="0"/>
      <c r="L133" s="169"/>
      <c r="M133" s="115"/>
      <c r="O133" s="115"/>
      <c r="Q133" s="115"/>
      <c r="S133" s="115"/>
      <c r="T133" s="115"/>
      <c r="U133" s="115"/>
      <c r="V133" s="115"/>
      <c r="X133" s="115"/>
      <c r="Z133" s="115"/>
      <c r="AB133" s="115"/>
      <c r="AD133" s="115"/>
      <c r="AI133" s="0"/>
      <c r="BJ133" s="115"/>
      <c r="BK133" s="115"/>
      <c r="BM133" s="115"/>
      <c r="BN133" s="115"/>
      <c r="BO133" s="115"/>
      <c r="BU133" s="115"/>
    </row>
    <row r="134" customFormat="false" ht="12.75" hidden="false" customHeight="false" outlineLevel="0" collapsed="false">
      <c r="A134" s="182"/>
      <c r="B134" s="174" t="s">
        <v>248</v>
      </c>
      <c r="C134" s="0"/>
      <c r="D134" s="0"/>
      <c r="E134" s="0"/>
      <c r="F134" s="0"/>
      <c r="G134" s="0"/>
      <c r="H134" s="0"/>
      <c r="I134" s="0"/>
      <c r="J134" s="4"/>
      <c r="K134" s="0"/>
      <c r="L134" s="169" t="s">
        <v>249</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I134" s="0"/>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250</v>
      </c>
      <c r="C135" s="0"/>
      <c r="D135" s="0"/>
      <c r="E135" s="0"/>
      <c r="F135" s="0"/>
      <c r="G135" s="0"/>
      <c r="H135" s="0"/>
      <c r="I135" s="0"/>
      <c r="J135" s="4"/>
      <c r="K135" s="0"/>
      <c r="L135" s="169" t="s">
        <v>249</v>
      </c>
      <c r="M135" s="115"/>
      <c r="N135" s="115" t="n">
        <v>0</v>
      </c>
      <c r="O135" s="115"/>
      <c r="P135" s="115" t="n">
        <v>0</v>
      </c>
      <c r="Q135" s="115"/>
      <c r="S135" s="115"/>
      <c r="T135" s="115" t="n">
        <v>0</v>
      </c>
      <c r="U135" s="115"/>
      <c r="V135" s="115" t="n">
        <v>0</v>
      </c>
      <c r="X135" s="115" t="n">
        <v>0</v>
      </c>
      <c r="Z135" s="115" t="n">
        <v>0</v>
      </c>
      <c r="AB135" s="115" t="n">
        <v>0</v>
      </c>
      <c r="AD135" s="115"/>
      <c r="AF135" s="115" t="n">
        <v>0</v>
      </c>
      <c r="AH135" s="115" t="n">
        <v>0</v>
      </c>
      <c r="AI135" s="0"/>
      <c r="AJ135" s="115" t="n">
        <v>0</v>
      </c>
      <c r="AL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K135" s="115"/>
      <c r="BL135" s="115" t="n">
        <f aca="false">SUM(T135:BK135)</f>
        <v>0</v>
      </c>
      <c r="BM135" s="115"/>
      <c r="BN135" s="115" t="n">
        <v>0</v>
      </c>
      <c r="BO135" s="115"/>
      <c r="BP135" s="115" t="n">
        <f aca="false">IF(+R135-BL135+BN135&gt;0,R135-BL135+BN135,0)</f>
        <v>0</v>
      </c>
      <c r="BR135" s="115" t="n">
        <f aca="false">+BL135+BP135</f>
        <v>0</v>
      </c>
      <c r="BT135" s="115" t="n">
        <f aca="false">+R135-BR135</f>
        <v>0</v>
      </c>
      <c r="BU135" s="115"/>
    </row>
    <row r="136" customFormat="false" ht="12.75" hidden="false" customHeight="false" outlineLevel="0" collapsed="false">
      <c r="A136" s="171"/>
      <c r="B136" s="165" t="s">
        <v>251</v>
      </c>
      <c r="C136" s="0"/>
      <c r="D136" s="0"/>
      <c r="E136" s="0"/>
      <c r="F136" s="0"/>
      <c r="G136" s="0"/>
      <c r="H136" s="0"/>
      <c r="I136" s="0"/>
      <c r="J136" s="4"/>
      <c r="K136" s="0"/>
      <c r="L136" s="169" t="s">
        <v>249</v>
      </c>
      <c r="M136" s="115"/>
      <c r="O136" s="115"/>
      <c r="P136" s="115" t="n">
        <v>0</v>
      </c>
      <c r="Q136" s="115"/>
      <c r="R136" s="115" t="n">
        <v>400000</v>
      </c>
      <c r="S136" s="115"/>
      <c r="T136" s="115" t="n">
        <v>0</v>
      </c>
      <c r="U136" s="115"/>
      <c r="V136" s="115" t="n">
        <v>0</v>
      </c>
      <c r="X136" s="115" t="n">
        <v>0</v>
      </c>
      <c r="Z136" s="115" t="n">
        <v>8000</v>
      </c>
      <c r="AB136" s="115" t="n">
        <v>24712</v>
      </c>
      <c r="AD136" s="115" t="n">
        <v>71081</v>
      </c>
      <c r="AF136" s="115" t="n">
        <f aca="false">11932.33+162+1167.32</f>
        <v>13261.65</v>
      </c>
      <c r="AH136" s="115" t="n">
        <f aca="false">22563.83+17013.6</f>
        <v>39577.43</v>
      </c>
      <c r="AI136" s="0"/>
      <c r="AJ136" s="115" t="n">
        <f aca="false">2460+6571.33+2789.89</f>
        <v>11821.22</v>
      </c>
      <c r="AL136" s="115" t="n">
        <v>11746.18</v>
      </c>
      <c r="AN136" s="115" t="n">
        <v>19877.66</v>
      </c>
      <c r="AP136" s="115" t="n">
        <f aca="false">12427.46+17404.94</f>
        <v>29832.4</v>
      </c>
      <c r="AR136" s="115" t="n">
        <v>39859.51</v>
      </c>
      <c r="AT136" s="115" t="n">
        <v>5434</v>
      </c>
      <c r="AV136" s="115" t="n">
        <v>2588.45</v>
      </c>
      <c r="AX136" s="115" t="n">
        <v>0</v>
      </c>
      <c r="AZ136" s="115" t="n">
        <v>3856</v>
      </c>
      <c r="BB136" s="115" t="n">
        <v>-1595</v>
      </c>
      <c r="BD136" s="115" t="n">
        <v>0</v>
      </c>
      <c r="BF136" s="115" t="n">
        <v>0</v>
      </c>
      <c r="BH136" s="115" t="n">
        <v>0</v>
      </c>
      <c r="BJ136" s="115" t="n">
        <v>0</v>
      </c>
      <c r="BK136" s="115"/>
      <c r="BL136" s="115" t="n">
        <f aca="false">SUM(T136:BK136)</f>
        <v>280052.5</v>
      </c>
      <c r="BM136" s="115"/>
      <c r="BN136" s="115" t="n">
        <v>0</v>
      </c>
      <c r="BO136" s="115"/>
      <c r="BP136" s="115" t="n">
        <f aca="false">IF(+R136-BL136+BN136&gt;0,R136-BL136+BN136,0)</f>
        <v>119947.5</v>
      </c>
      <c r="BR136" s="115" t="n">
        <f aca="false">+BL136+BP136</f>
        <v>400000</v>
      </c>
      <c r="BT136" s="115" t="n">
        <f aca="false">+R136-BR136</f>
        <v>0</v>
      </c>
      <c r="BU136" s="115"/>
    </row>
    <row r="137" customFormat="false" ht="12.75" hidden="false" customHeight="false" outlineLevel="0" collapsed="false">
      <c r="A137" s="171"/>
      <c r="B137" s="165"/>
      <c r="C137" s="0"/>
      <c r="D137" s="0"/>
      <c r="E137" s="0"/>
      <c r="F137" s="0"/>
      <c r="G137" s="0"/>
      <c r="H137" s="0"/>
      <c r="I137" s="0"/>
      <c r="J137" s="4"/>
      <c r="K137" s="0"/>
      <c r="L137" s="169"/>
      <c r="M137" s="115"/>
      <c r="O137" s="115"/>
      <c r="Q137" s="115"/>
      <c r="S137" s="115"/>
      <c r="T137" s="115"/>
      <c r="U137" s="115"/>
      <c r="V137" s="115"/>
      <c r="X137" s="115"/>
      <c r="Z137" s="115"/>
      <c r="AB137" s="115"/>
      <c r="AD137" s="115"/>
      <c r="AI137" s="0"/>
      <c r="BJ137" s="115"/>
      <c r="BK137" s="115"/>
      <c r="BM137" s="115"/>
      <c r="BN137" s="115"/>
      <c r="BO137" s="115"/>
      <c r="BP137" s="115" t="n">
        <f aca="false">IF(+R137-BL137+BN137&gt;0,R137-BL137+BN137,0)</f>
        <v>0</v>
      </c>
      <c r="BU137" s="115"/>
    </row>
    <row r="138" customFormat="false" ht="12.75" hidden="false" customHeight="false" outlineLevel="0" collapsed="false">
      <c r="A138" s="186"/>
      <c r="B138" s="215" t="s">
        <v>252</v>
      </c>
      <c r="C138" s="2"/>
      <c r="D138" s="2"/>
      <c r="E138" s="2"/>
      <c r="F138" s="2"/>
      <c r="G138" s="2"/>
      <c r="H138" s="2"/>
      <c r="I138" s="2"/>
      <c r="J138" s="3"/>
      <c r="K138" s="2"/>
      <c r="L138" s="188"/>
      <c r="M138" s="24"/>
      <c r="N138" s="210" t="n">
        <f aca="false">SUM(N134:N137)</f>
        <v>0</v>
      </c>
      <c r="O138" s="24"/>
      <c r="P138" s="210" t="n">
        <f aca="false">SUM(P134:P137)</f>
        <v>0</v>
      </c>
      <c r="Q138" s="24"/>
      <c r="R138" s="210" t="n">
        <f aca="false">SUM(R134:R137)</f>
        <v>400000</v>
      </c>
      <c r="S138" s="24"/>
      <c r="T138" s="210" t="n">
        <f aca="false">SUM(T134:T137)</f>
        <v>0</v>
      </c>
      <c r="U138" s="24"/>
      <c r="V138" s="210" t="n">
        <f aca="false">SUM(V134:V137)</f>
        <v>0</v>
      </c>
      <c r="W138" s="24"/>
      <c r="X138" s="210" t="n">
        <f aca="false">SUM(X134:X137)</f>
        <v>0</v>
      </c>
      <c r="Y138" s="24"/>
      <c r="Z138" s="210" t="n">
        <f aca="false">SUM(Z134:Z137)</f>
        <v>8000</v>
      </c>
      <c r="AA138" s="24"/>
      <c r="AB138" s="210" t="n">
        <f aca="false">SUM(AB134:AB137)</f>
        <v>24712</v>
      </c>
      <c r="AC138" s="24"/>
      <c r="AD138" s="210" t="n">
        <f aca="false">SUM(AD134:AD137)</f>
        <v>71081</v>
      </c>
      <c r="AE138" s="24"/>
      <c r="AF138" s="210" t="n">
        <f aca="false">SUM(AF134:AF137)</f>
        <v>13261.65</v>
      </c>
      <c r="AG138" s="24"/>
      <c r="AH138" s="210" t="n">
        <f aca="false">SUM(AH134:AH137)</f>
        <v>39577.43</v>
      </c>
      <c r="AI138" s="0"/>
      <c r="AJ138" s="210" t="n">
        <f aca="false">SUM(AJ134:AJ137)</f>
        <v>11821.22</v>
      </c>
      <c r="AL138" s="210" t="n">
        <f aca="false">SUM(AL134:AL137)</f>
        <v>11746.18</v>
      </c>
      <c r="AN138" s="210" t="n">
        <f aca="false">SUM(AN134:AN137)</f>
        <v>19877.66</v>
      </c>
      <c r="AO138" s="24"/>
      <c r="AP138" s="210" t="n">
        <f aca="false">SUM(AP134:AP137)</f>
        <v>29832.4</v>
      </c>
      <c r="AQ138" s="24"/>
      <c r="AR138" s="210" t="n">
        <f aca="false">SUM(AR134:AR137)</f>
        <v>39859.51</v>
      </c>
      <c r="AS138" s="24"/>
      <c r="AT138" s="210" t="n">
        <f aca="false">SUM(AT134:AT137)</f>
        <v>5434</v>
      </c>
      <c r="AU138" s="24"/>
      <c r="AV138" s="210" t="n">
        <f aca="false">SUM(AV134:AV137)</f>
        <v>2588.45</v>
      </c>
      <c r="AW138" s="24"/>
      <c r="AX138" s="210" t="n">
        <f aca="false">SUM(AX134:AX137)</f>
        <v>0</v>
      </c>
      <c r="AY138" s="24"/>
      <c r="AZ138" s="210" t="n">
        <f aca="false">SUM(AZ134:AZ137)</f>
        <v>3856</v>
      </c>
      <c r="BA138" s="24"/>
      <c r="BB138" s="210" t="n">
        <f aca="false">SUM(BB134:BB137)</f>
        <v>-1595</v>
      </c>
      <c r="BC138" s="24"/>
      <c r="BD138" s="210" t="n">
        <f aca="false">SUM(BD134:BD137)</f>
        <v>0</v>
      </c>
      <c r="BE138" s="24"/>
      <c r="BF138" s="210" t="n">
        <f aca="false">SUM(BF134:BF137)</f>
        <v>0</v>
      </c>
      <c r="BG138" s="24"/>
      <c r="BH138" s="210" t="n">
        <f aca="false">SUM(BH134:BH137)</f>
        <v>0</v>
      </c>
      <c r="BI138" s="24"/>
      <c r="BJ138" s="210" t="n">
        <f aca="false">SUM(BJ134:BJ137)</f>
        <v>0</v>
      </c>
      <c r="BK138" s="24"/>
      <c r="BL138" s="210" t="n">
        <f aca="false">SUM(BL134:BL137)</f>
        <v>280052.5</v>
      </c>
      <c r="BM138" s="24"/>
      <c r="BN138" s="210" t="n">
        <f aca="false">SUM(BN134:BN137)</f>
        <v>0</v>
      </c>
      <c r="BO138" s="24"/>
      <c r="BP138" s="210" t="n">
        <f aca="false">SUM(BP134:BP137)</f>
        <v>119947.5</v>
      </c>
      <c r="BQ138" s="24"/>
      <c r="BR138" s="210" t="n">
        <f aca="false">SUM(BR134:BR137)</f>
        <v>400000</v>
      </c>
      <c r="BS138" s="24"/>
      <c r="BT138" s="210"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6"/>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2" t="s">
        <v>253</v>
      </c>
      <c r="B140" s="216"/>
      <c r="C140" s="2"/>
      <c r="D140" s="2"/>
      <c r="E140" s="2"/>
      <c r="F140" s="2"/>
      <c r="G140" s="2"/>
      <c r="H140" s="2"/>
      <c r="I140" s="2"/>
      <c r="J140" s="3" t="s">
        <v>132</v>
      </c>
      <c r="K140" s="2"/>
      <c r="L140" s="169" t="s">
        <v>142</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15"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254</v>
      </c>
      <c r="B142" s="216"/>
      <c r="C142" s="2"/>
      <c r="D142" s="2"/>
      <c r="E142" s="2"/>
      <c r="F142" s="2"/>
      <c r="G142" s="2"/>
      <c r="H142" s="2"/>
      <c r="I142" s="2"/>
      <c r="J142" s="3" t="s">
        <v>132</v>
      </c>
      <c r="K142" s="2"/>
      <c r="L142" s="169" t="s">
        <v>142</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4210113.22</v>
      </c>
      <c r="BC142" s="24"/>
      <c r="BD142" s="24" t="n">
        <v>0</v>
      </c>
      <c r="BE142" s="24"/>
      <c r="BF142" s="24" t="n">
        <v>0</v>
      </c>
      <c r="BG142" s="24"/>
      <c r="BH142" s="24" t="n">
        <v>0</v>
      </c>
      <c r="BI142" s="24"/>
      <c r="BJ142" s="24" t="n">
        <v>0</v>
      </c>
      <c r="BK142" s="24"/>
      <c r="BL142" s="24" t="n">
        <f aca="false">SUM(T142:BK142)</f>
        <v>4210113.22</v>
      </c>
      <c r="BM142" s="24"/>
      <c r="BN142" s="24" t="n">
        <f aca="false">4500000+2900000</f>
        <v>7400000</v>
      </c>
      <c r="BO142" s="24"/>
      <c r="BP142" s="115" t="n">
        <f aca="false">IF(+R142-BL142+BN142&gt;0,R142-BL142+BN142,0)</f>
        <v>6689886.78</v>
      </c>
      <c r="BQ142" s="24"/>
      <c r="BR142" s="24" t="n">
        <f aca="false">+BL142+BP142</f>
        <v>10900000</v>
      </c>
      <c r="BS142" s="24"/>
      <c r="BT142" s="24" t="n">
        <f aca="false">+R142-BR142</f>
        <v>-7400000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6"/>
      <c r="B143" s="215"/>
      <c r="C143" s="2"/>
      <c r="D143" s="2"/>
      <c r="E143" s="2"/>
      <c r="F143" s="2"/>
      <c r="G143" s="2"/>
      <c r="H143" s="2"/>
      <c r="I143" s="2"/>
      <c r="J143" s="3"/>
      <c r="K143" s="2"/>
      <c r="L143" s="188"/>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8" t="s">
        <v>255</v>
      </c>
      <c r="B144" s="173"/>
      <c r="C144" s="0"/>
      <c r="D144" s="0"/>
      <c r="E144" s="0"/>
      <c r="F144" s="0"/>
      <c r="G144" s="0"/>
      <c r="H144" s="0"/>
      <c r="I144" s="0"/>
      <c r="J144" s="4"/>
      <c r="K144" s="0"/>
      <c r="L144" s="169"/>
      <c r="M144" s="115"/>
      <c r="O144" s="115"/>
      <c r="Q144" s="115"/>
      <c r="S144" s="115"/>
      <c r="T144" s="115"/>
      <c r="U144" s="115"/>
      <c r="V144" s="115"/>
      <c r="X144" s="115"/>
      <c r="Z144" s="115"/>
      <c r="AB144" s="115"/>
      <c r="AD144" s="115"/>
      <c r="AI144" s="0"/>
      <c r="BJ144" s="115"/>
      <c r="BK144" s="115"/>
      <c r="BM144" s="115"/>
      <c r="BN144" s="115"/>
      <c r="BO144" s="115"/>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true" customHeight="false" outlineLevel="0" collapsed="false">
      <c r="A145" s="214"/>
      <c r="B145" s="173" t="s">
        <v>256</v>
      </c>
      <c r="C145" s="0"/>
      <c r="D145" s="0"/>
      <c r="E145" s="0"/>
      <c r="F145" s="0"/>
      <c r="G145" s="0"/>
      <c r="H145" s="0"/>
      <c r="I145" s="0"/>
      <c r="J145" s="4"/>
      <c r="K145" s="0"/>
      <c r="L145" s="169" t="s">
        <v>142</v>
      </c>
      <c r="M145" s="115"/>
      <c r="N145" s="115" t="n">
        <v>0</v>
      </c>
      <c r="O145" s="115"/>
      <c r="P145" s="115" t="n">
        <v>0</v>
      </c>
      <c r="Q145" s="115"/>
      <c r="R145" s="115" t="n">
        <f aca="false">+N145+P145</f>
        <v>0</v>
      </c>
      <c r="S145" s="115"/>
      <c r="T145" s="115" t="n">
        <v>0</v>
      </c>
      <c r="U145" s="115"/>
      <c r="V145" s="115" t="n">
        <v>0</v>
      </c>
      <c r="X145" s="115" t="n">
        <v>0</v>
      </c>
      <c r="Z145" s="115" t="n">
        <v>0</v>
      </c>
      <c r="AB145" s="115" t="n">
        <v>0</v>
      </c>
      <c r="AD145" s="115" t="n">
        <v>0</v>
      </c>
      <c r="AF145" s="115" t="n">
        <v>0</v>
      </c>
      <c r="AH145" s="115" t="n">
        <v>0</v>
      </c>
      <c r="AI145" s="0"/>
      <c r="AJ145" s="115" t="n">
        <v>0</v>
      </c>
      <c r="AL145" s="115" t="n">
        <v>0</v>
      </c>
      <c r="AN145" s="115" t="n">
        <v>0</v>
      </c>
      <c r="AP145" s="115" t="n">
        <v>0</v>
      </c>
      <c r="AR145" s="115" t="n">
        <v>0</v>
      </c>
      <c r="AT145" s="115" t="n">
        <v>0</v>
      </c>
      <c r="AV145" s="115" t="n">
        <v>0</v>
      </c>
      <c r="AX145" s="115" t="n">
        <v>0</v>
      </c>
      <c r="AZ145" s="115" t="n">
        <v>0</v>
      </c>
      <c r="BB145" s="115" t="n">
        <v>0</v>
      </c>
      <c r="BD145" s="115" t="n">
        <v>0</v>
      </c>
      <c r="BF145" s="115" t="n">
        <v>0</v>
      </c>
      <c r="BH145" s="115" t="n">
        <v>0</v>
      </c>
      <c r="BJ145" s="115" t="n">
        <v>0</v>
      </c>
      <c r="BK145" s="115"/>
      <c r="BL145" s="115" t="n">
        <f aca="false">SUM(T145:BK145)</f>
        <v>0</v>
      </c>
      <c r="BM145" s="115"/>
      <c r="BN145" s="115" t="n">
        <v>0</v>
      </c>
      <c r="BO145" s="115"/>
      <c r="BP145" s="115" t="n">
        <f aca="false">+R145-BL145+BN145</f>
        <v>0</v>
      </c>
      <c r="BR145" s="115" t="n">
        <f aca="false">+BL145+BP145</f>
        <v>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false" customHeight="false" outlineLevel="0" collapsed="false">
      <c r="A146" s="214"/>
      <c r="B146" s="173" t="s">
        <v>257</v>
      </c>
      <c r="C146" s="0"/>
      <c r="D146" s="0"/>
      <c r="E146" s="0"/>
      <c r="F146" s="0"/>
      <c r="G146" s="0"/>
      <c r="H146" s="0"/>
      <c r="I146" s="0"/>
      <c r="J146" s="4"/>
      <c r="K146" s="0"/>
      <c r="L146" s="169" t="s">
        <v>142</v>
      </c>
      <c r="M146" s="115"/>
      <c r="N146" s="115" t="n">
        <v>0</v>
      </c>
      <c r="O146" s="115"/>
      <c r="P146" s="115" t="n">
        <v>0</v>
      </c>
      <c r="Q146" s="115"/>
      <c r="R146" s="115" t="n">
        <v>1500000</v>
      </c>
      <c r="S146" s="115"/>
      <c r="T146" s="115" t="n">
        <v>0</v>
      </c>
      <c r="U146" s="115"/>
      <c r="V146" s="115" t="n">
        <v>0</v>
      </c>
      <c r="X146" s="115" t="n">
        <v>0</v>
      </c>
      <c r="Z146" s="115" t="n">
        <v>0</v>
      </c>
      <c r="AB146" s="115" t="n">
        <v>0</v>
      </c>
      <c r="AD146" s="115" t="n">
        <v>0</v>
      </c>
      <c r="AF146" s="115" t="n">
        <v>0</v>
      </c>
      <c r="AH146" s="115" t="n">
        <v>0</v>
      </c>
      <c r="AI146" s="0"/>
      <c r="AJ146" s="115" t="n">
        <v>0</v>
      </c>
      <c r="AL146" s="115" t="n">
        <v>0</v>
      </c>
      <c r="AN146" s="115" t="n">
        <v>0</v>
      </c>
      <c r="AP146" s="115" t="n">
        <v>0</v>
      </c>
      <c r="AR146" s="115" t="n">
        <v>0</v>
      </c>
      <c r="AT146" s="115" t="n">
        <v>0</v>
      </c>
      <c r="AV146" s="115" t="n">
        <v>0</v>
      </c>
      <c r="AX146" s="115" t="n">
        <v>0</v>
      </c>
      <c r="AZ146" s="115" t="n">
        <v>310380</v>
      </c>
      <c r="BB146" s="115" t="n">
        <v>0</v>
      </c>
      <c r="BD146" s="115" t="n">
        <v>0</v>
      </c>
      <c r="BF146" s="115" t="n">
        <v>0</v>
      </c>
      <c r="BH146" s="115" t="n">
        <v>0</v>
      </c>
      <c r="BJ146" s="115" t="n">
        <v>0</v>
      </c>
      <c r="BK146" s="115"/>
      <c r="BL146" s="115" t="n">
        <f aca="false">SUM(T146:BK146)</f>
        <v>310380</v>
      </c>
      <c r="BM146" s="115"/>
      <c r="BN146" s="115" t="n">
        <v>0</v>
      </c>
      <c r="BO146" s="115"/>
      <c r="BP146" s="115" t="n">
        <f aca="false">IF(+R146-BL146+BN146&gt;0,R146-BL146+BN146,0)</f>
        <v>1189620</v>
      </c>
      <c r="BR146" s="115" t="n">
        <f aca="false">+BL146+BP146</f>
        <v>1500000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true" customHeight="false" outlineLevel="0" collapsed="false">
      <c r="A147" s="214"/>
      <c r="B147" s="173" t="s">
        <v>152</v>
      </c>
      <c r="C147" s="0"/>
      <c r="D147" s="0"/>
      <c r="E147" s="0"/>
      <c r="F147" s="0"/>
      <c r="G147" s="0"/>
      <c r="H147" s="0"/>
      <c r="I147" s="0"/>
      <c r="J147" s="4"/>
      <c r="K147" s="0"/>
      <c r="L147" s="169" t="s">
        <v>142</v>
      </c>
      <c r="M147" s="115"/>
      <c r="N147" s="115" t="n">
        <v>0</v>
      </c>
      <c r="O147" s="115"/>
      <c r="P147" s="115" t="n">
        <v>0</v>
      </c>
      <c r="Q147" s="115"/>
      <c r="R147" s="115" t="n">
        <v>0</v>
      </c>
      <c r="S147" s="115"/>
      <c r="T147" s="115" t="n">
        <v>0</v>
      </c>
      <c r="U147" s="115"/>
      <c r="V147" s="115" t="n">
        <v>0</v>
      </c>
      <c r="X147" s="115" t="n">
        <v>0</v>
      </c>
      <c r="Z147" s="115" t="n">
        <v>0</v>
      </c>
      <c r="AB147" s="115" t="n">
        <v>0</v>
      </c>
      <c r="AD147" s="115" t="n">
        <v>0</v>
      </c>
      <c r="AF147" s="115" t="n">
        <v>0</v>
      </c>
      <c r="AH147" s="115" t="n">
        <v>0</v>
      </c>
      <c r="AI147" s="0"/>
      <c r="AJ147" s="115" t="n">
        <v>0</v>
      </c>
      <c r="AL147" s="115" t="n">
        <v>0</v>
      </c>
      <c r="AN147" s="115" t="n">
        <v>0</v>
      </c>
      <c r="AP147" s="115" t="n">
        <v>0</v>
      </c>
      <c r="AR147" s="115" t="n">
        <v>0</v>
      </c>
      <c r="AT147" s="115" t="n">
        <v>0</v>
      </c>
      <c r="AV147" s="115" t="n">
        <v>0</v>
      </c>
      <c r="AX147" s="115" t="n">
        <v>0</v>
      </c>
      <c r="AZ147" s="115" t="n">
        <v>0</v>
      </c>
      <c r="BB147" s="115" t="n">
        <v>0</v>
      </c>
      <c r="BD147" s="115" t="n">
        <v>0</v>
      </c>
      <c r="BF147" s="115" t="n">
        <v>0</v>
      </c>
      <c r="BH147" s="115" t="n">
        <v>0</v>
      </c>
      <c r="BJ147" s="115" t="n">
        <v>0</v>
      </c>
      <c r="BK147" s="115"/>
      <c r="BL147" s="115" t="n">
        <f aca="false">SUM(T147:BK147)</f>
        <v>0</v>
      </c>
      <c r="BM147" s="115"/>
      <c r="BN147" s="115" t="n">
        <v>0</v>
      </c>
      <c r="BO147" s="115"/>
      <c r="BP147" s="115" t="n">
        <f aca="false">+R147-BL147+BN147</f>
        <v>0</v>
      </c>
      <c r="BR147" s="115" t="n">
        <f aca="false">+BL147+BP147</f>
        <v>0</v>
      </c>
      <c r="BT147" s="115" t="n">
        <f aca="false">+R147-BR147</f>
        <v>0</v>
      </c>
      <c r="BU147" s="115"/>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12.75" hidden="false" customHeight="false" outlineLevel="0" collapsed="false">
      <c r="A148" s="208"/>
      <c r="B148" s="209" t="s">
        <v>258</v>
      </c>
      <c r="C148" s="2"/>
      <c r="D148" s="2"/>
      <c r="E148" s="2"/>
      <c r="F148" s="2"/>
      <c r="G148" s="2"/>
      <c r="H148" s="2"/>
      <c r="I148" s="2"/>
      <c r="J148" s="3"/>
      <c r="K148" s="2"/>
      <c r="L148" s="188"/>
      <c r="M148" s="24"/>
      <c r="N148" s="210" t="n">
        <f aca="false">SUM(N145:N147)</f>
        <v>0</v>
      </c>
      <c r="O148" s="24"/>
      <c r="P148" s="210" t="n">
        <f aca="false">SUM(P145:P147)</f>
        <v>0</v>
      </c>
      <c r="Q148" s="24"/>
      <c r="R148" s="210" t="n">
        <f aca="false">SUM(R145:R147)</f>
        <v>1500000</v>
      </c>
      <c r="S148" s="24"/>
      <c r="T148" s="210" t="n">
        <f aca="false">SUM(T145:T147)</f>
        <v>0</v>
      </c>
      <c r="U148" s="24"/>
      <c r="V148" s="210" t="n">
        <f aca="false">SUM(V145:V147)</f>
        <v>0</v>
      </c>
      <c r="W148" s="24"/>
      <c r="X148" s="210" t="n">
        <f aca="false">SUM(X145:X147)</f>
        <v>0</v>
      </c>
      <c r="Y148" s="24"/>
      <c r="Z148" s="210" t="n">
        <f aca="false">SUM(Z145:Z147)</f>
        <v>0</v>
      </c>
      <c r="AA148" s="24"/>
      <c r="AB148" s="210" t="n">
        <f aca="false">SUM(AB145:AB147)</f>
        <v>0</v>
      </c>
      <c r="AC148" s="24"/>
      <c r="AD148" s="210" t="n">
        <f aca="false">SUM(AD145:AD147)</f>
        <v>0</v>
      </c>
      <c r="AE148" s="24"/>
      <c r="AF148" s="210" t="n">
        <f aca="false">SUM(AF145:AF147)</f>
        <v>0</v>
      </c>
      <c r="AG148" s="24"/>
      <c r="AH148" s="210" t="n">
        <f aca="false">SUM(AH145:AH147)</f>
        <v>0</v>
      </c>
      <c r="AI148" s="0"/>
      <c r="AJ148" s="210" t="n">
        <f aca="false">SUM(AJ145:AJ147)</f>
        <v>0</v>
      </c>
      <c r="AL148" s="210" t="n">
        <f aca="false">SUM(AL145:AL147)</f>
        <v>0</v>
      </c>
      <c r="AN148" s="210" t="n">
        <f aca="false">SUM(AN145:AN147)</f>
        <v>0</v>
      </c>
      <c r="AO148" s="24"/>
      <c r="AP148" s="210" t="n">
        <f aca="false">SUM(AP145:AP147)</f>
        <v>0</v>
      </c>
      <c r="AQ148" s="24"/>
      <c r="AR148" s="210" t="n">
        <f aca="false">SUM(AR145:AR147)</f>
        <v>0</v>
      </c>
      <c r="AS148" s="24"/>
      <c r="AT148" s="210" t="n">
        <f aca="false">SUM(AT145:AT147)</f>
        <v>0</v>
      </c>
      <c r="AU148" s="24"/>
      <c r="AV148" s="210" t="n">
        <f aca="false">SUM(AV145:AV147)</f>
        <v>0</v>
      </c>
      <c r="AW148" s="24"/>
      <c r="AX148" s="210" t="n">
        <f aca="false">SUM(AX145:AX147)</f>
        <v>0</v>
      </c>
      <c r="AY148" s="24"/>
      <c r="AZ148" s="210" t="n">
        <f aca="false">SUM(AZ145:AZ147)</f>
        <v>310380</v>
      </c>
      <c r="BA148" s="24"/>
      <c r="BB148" s="210" t="n">
        <f aca="false">SUM(BB145:BB147)</f>
        <v>0</v>
      </c>
      <c r="BC148" s="24"/>
      <c r="BD148" s="210" t="n">
        <f aca="false">SUM(BD145:BD147)</f>
        <v>0</v>
      </c>
      <c r="BE148" s="24"/>
      <c r="BF148" s="210" t="n">
        <f aca="false">SUM(BF145:BF147)</f>
        <v>0</v>
      </c>
      <c r="BG148" s="24"/>
      <c r="BH148" s="210" t="n">
        <f aca="false">SUM(BH145:BH147)</f>
        <v>0</v>
      </c>
      <c r="BI148" s="24"/>
      <c r="BJ148" s="210" t="n">
        <f aca="false">SUM(BJ145:BJ147)</f>
        <v>0</v>
      </c>
      <c r="BK148" s="24"/>
      <c r="BL148" s="210" t="n">
        <f aca="false">SUM(BL145:BL147)</f>
        <v>310380</v>
      </c>
      <c r="BM148" s="24"/>
      <c r="BN148" s="210" t="n">
        <f aca="false">SUM(BN145:BN147)</f>
        <v>0</v>
      </c>
      <c r="BO148" s="24"/>
      <c r="BP148" s="210" t="n">
        <f aca="false">SUM(BP145:BP147)</f>
        <v>1189620</v>
      </c>
      <c r="BQ148" s="24"/>
      <c r="BR148" s="210" t="n">
        <f aca="false">SUM(BR145:BR147)</f>
        <v>1500000</v>
      </c>
      <c r="BS148" s="24"/>
      <c r="BT148" s="210" t="n">
        <f aca="false">SUM(BT145:BT147)</f>
        <v>0</v>
      </c>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9"/>
      <c r="B149" s="209"/>
      <c r="C149" s="2"/>
      <c r="D149" s="2"/>
      <c r="E149" s="2"/>
      <c r="F149" s="2"/>
      <c r="G149" s="2"/>
      <c r="H149" s="2"/>
      <c r="I149" s="2"/>
      <c r="J149" s="3"/>
      <c r="K149" s="2"/>
      <c r="L149" s="188"/>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211"/>
      <c r="DC149" s="211"/>
      <c r="DD149" s="211"/>
      <c r="DE149" s="211"/>
      <c r="DF149" s="211"/>
      <c r="DG149" s="211"/>
      <c r="DH149" s="211"/>
      <c r="DI149" s="211"/>
      <c r="DJ149" s="211"/>
      <c r="DK149" s="211"/>
      <c r="DL149" s="211"/>
      <c r="DM149" s="211"/>
      <c r="DN149" s="211"/>
      <c r="DO149" s="211"/>
      <c r="DP149" s="211"/>
      <c r="DQ149" s="211"/>
      <c r="DR149" s="211"/>
      <c r="DS149" s="211"/>
      <c r="DT149" s="211"/>
      <c r="DU149" s="211"/>
      <c r="DV149" s="211"/>
      <c r="DW149" s="211"/>
      <c r="DX149" s="211"/>
      <c r="DY149" s="211"/>
      <c r="DZ149" s="211"/>
      <c r="EA149" s="211"/>
      <c r="EB149" s="211"/>
      <c r="EC149" s="211"/>
      <c r="ED149" s="211"/>
      <c r="EE149" s="211"/>
      <c r="EF149" s="211"/>
      <c r="EG149" s="211"/>
      <c r="EH149" s="211"/>
      <c r="EI149" s="211"/>
      <c r="EJ149" s="211"/>
      <c r="EK149" s="211"/>
      <c r="EL149" s="211"/>
      <c r="EM149" s="211"/>
      <c r="EN149" s="211"/>
      <c r="EO149" s="211"/>
      <c r="EP149" s="211"/>
      <c r="EQ149" s="211"/>
      <c r="ER149" s="211"/>
      <c r="ES149" s="211"/>
      <c r="ET149" s="211"/>
      <c r="EU149" s="211"/>
      <c r="EV149" s="211"/>
      <c r="EW149" s="211"/>
      <c r="EX149" s="211"/>
      <c r="EY149" s="211"/>
      <c r="EZ149" s="211"/>
      <c r="FA149" s="211"/>
      <c r="FB149" s="211"/>
      <c r="FC149" s="211"/>
      <c r="FD149" s="211"/>
      <c r="FE149" s="211"/>
      <c r="FF149" s="211"/>
      <c r="FG149" s="211"/>
      <c r="FH149" s="211"/>
      <c r="FI149" s="211"/>
      <c r="FJ149" s="211"/>
      <c r="FK149" s="211"/>
      <c r="FL149" s="211"/>
      <c r="FM149" s="211"/>
      <c r="FN149" s="211"/>
      <c r="FO149" s="211"/>
      <c r="FP149" s="211"/>
      <c r="FQ149" s="211"/>
      <c r="FR149" s="211"/>
      <c r="FS149" s="211"/>
      <c r="FT149" s="211"/>
      <c r="FU149" s="211"/>
      <c r="FV149" s="211"/>
      <c r="FW149" s="211"/>
      <c r="FX149" s="211"/>
      <c r="FY149" s="211"/>
      <c r="FZ149" s="211"/>
      <c r="GA149" s="211"/>
      <c r="GB149" s="211"/>
      <c r="GC149" s="211"/>
      <c r="GD149" s="211"/>
      <c r="GE149" s="211"/>
      <c r="GF149" s="211"/>
      <c r="GG149" s="211"/>
      <c r="GH149" s="211"/>
      <c r="GI149" s="211"/>
      <c r="GJ149" s="211"/>
      <c r="GK149" s="211"/>
      <c r="GL149" s="211"/>
      <c r="GM149" s="211"/>
      <c r="GN149" s="211"/>
      <c r="GO149" s="211"/>
      <c r="GP149" s="211"/>
      <c r="GQ149" s="211"/>
      <c r="GR149" s="211"/>
      <c r="GS149" s="211"/>
      <c r="GT149" s="211"/>
      <c r="GU149" s="211"/>
      <c r="GV149" s="211"/>
      <c r="GW149" s="211"/>
      <c r="GX149" s="211"/>
      <c r="GY149" s="211"/>
      <c r="GZ149" s="211"/>
      <c r="HA149" s="211"/>
      <c r="HB149" s="211"/>
      <c r="HC149" s="211"/>
      <c r="HD149" s="211"/>
      <c r="HE149" s="211"/>
      <c r="HF149" s="211"/>
      <c r="HG149" s="211"/>
      <c r="HH149" s="211"/>
      <c r="HI149" s="211"/>
      <c r="HJ149" s="211"/>
      <c r="HK149" s="211"/>
      <c r="HL149" s="211"/>
      <c r="HM149" s="211"/>
      <c r="HN149" s="211"/>
      <c r="HO149" s="211"/>
      <c r="HP149" s="211"/>
      <c r="HQ149" s="211"/>
      <c r="HR149" s="211"/>
      <c r="HS149" s="211"/>
      <c r="HT149" s="211"/>
      <c r="HU149" s="211"/>
      <c r="HV149" s="211"/>
      <c r="HW149" s="211"/>
      <c r="HX149" s="211"/>
      <c r="HY149" s="211"/>
      <c r="HZ149" s="211"/>
      <c r="IA149" s="211"/>
      <c r="IB149" s="211"/>
      <c r="IC149" s="211"/>
      <c r="ID149" s="211"/>
      <c r="IE149" s="211"/>
      <c r="IF149" s="211"/>
      <c r="IG149" s="211"/>
      <c r="IH149" s="211"/>
      <c r="II149" s="211"/>
      <c r="IJ149" s="211"/>
      <c r="IK149" s="211"/>
      <c r="IL149" s="211"/>
      <c r="IM149" s="211"/>
      <c r="IN149" s="211"/>
      <c r="IO149" s="211"/>
      <c r="IP149" s="211"/>
      <c r="IQ149" s="211"/>
      <c r="IR149" s="211"/>
      <c r="IS149" s="211"/>
      <c r="IT149" s="211"/>
      <c r="IU149" s="211"/>
      <c r="IV149" s="211"/>
      <c r="IW149" s="211"/>
    </row>
    <row r="150" customFormat="false" ht="12.75" hidden="false" customHeight="false" outlineLevel="0" collapsed="false">
      <c r="A150" s="215" t="s">
        <v>259</v>
      </c>
      <c r="B150" s="216"/>
      <c r="C150" s="216"/>
      <c r="D150" s="216"/>
      <c r="E150" s="216"/>
      <c r="F150" s="216"/>
      <c r="G150" s="216"/>
      <c r="H150" s="216"/>
      <c r="I150" s="216"/>
      <c r="J150" s="217"/>
      <c r="K150" s="216"/>
      <c r="L150" s="218" t="s">
        <v>142</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5000</v>
      </c>
      <c r="BA150" s="24"/>
      <c r="BB150" s="24" t="n">
        <v>0</v>
      </c>
      <c r="BC150" s="24"/>
      <c r="BD150" s="24" t="n">
        <v>0</v>
      </c>
      <c r="BE150" s="24"/>
      <c r="BF150" s="24" t="n">
        <v>0</v>
      </c>
      <c r="BG150" s="24"/>
      <c r="BH150" s="24" t="n">
        <v>0</v>
      </c>
      <c r="BI150" s="24"/>
      <c r="BJ150" s="24" t="n">
        <v>0</v>
      </c>
      <c r="BK150" s="24"/>
      <c r="BL150" s="24" t="n">
        <f aca="false">SUM(T150:BK150)</f>
        <v>271248.5</v>
      </c>
      <c r="BM150" s="24"/>
      <c r="BN150" s="24" t="n">
        <v>0</v>
      </c>
      <c r="BO150" s="24"/>
      <c r="BP150" s="115" t="n">
        <f aca="false">IF(+R150-BL150+BN150&gt;0,R150-BL150+BN150,0)</f>
        <v>0</v>
      </c>
      <c r="BQ150" s="24"/>
      <c r="BR150" s="24" t="n">
        <f aca="false">+BL150+BP150</f>
        <v>271248.5</v>
      </c>
      <c r="BS150" s="24"/>
      <c r="BT150" s="24" t="n">
        <f aca="false">+R150-BR150</f>
        <v>-121248.5</v>
      </c>
      <c r="BU150" s="24"/>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c r="GY150" s="216"/>
      <c r="GZ150" s="216"/>
      <c r="HA150" s="216"/>
      <c r="HB150" s="216"/>
      <c r="HC150" s="216"/>
      <c r="HD150" s="216"/>
      <c r="HE150" s="216"/>
      <c r="HF150" s="216"/>
      <c r="HG150" s="216"/>
      <c r="HH150" s="216"/>
      <c r="HI150" s="216"/>
      <c r="HJ150" s="216"/>
      <c r="HK150" s="216"/>
      <c r="HL150" s="216"/>
      <c r="HM150" s="216"/>
      <c r="HN150" s="216"/>
      <c r="HO150" s="216"/>
      <c r="HP150" s="216"/>
      <c r="HQ150" s="216"/>
      <c r="HR150" s="216"/>
      <c r="HS150" s="216"/>
      <c r="HT150" s="216"/>
      <c r="HU150" s="216"/>
      <c r="HV150" s="216"/>
      <c r="HW150" s="216"/>
      <c r="HX150" s="216"/>
      <c r="HY150" s="216"/>
      <c r="HZ150" s="216"/>
      <c r="IA150" s="216"/>
      <c r="IB150" s="216"/>
      <c r="IC150" s="216"/>
      <c r="ID150" s="216"/>
      <c r="IE150" s="216"/>
      <c r="IF150" s="216"/>
      <c r="IG150" s="216"/>
      <c r="IH150" s="216"/>
      <c r="II150" s="216"/>
      <c r="IJ150" s="216"/>
      <c r="IK150" s="216"/>
      <c r="IL150" s="216"/>
      <c r="IM150" s="216"/>
      <c r="IN150" s="216"/>
      <c r="IO150" s="216"/>
      <c r="IP150" s="216"/>
      <c r="IQ150" s="216"/>
      <c r="IR150" s="216"/>
      <c r="IS150" s="216"/>
      <c r="IT150" s="216"/>
      <c r="IU150" s="216"/>
      <c r="IV150" s="216"/>
      <c r="IW150" s="216"/>
    </row>
    <row r="151" customFormat="false" ht="12.75" hidden="false" customHeight="false" outlineLevel="0" collapsed="false">
      <c r="A151" s="214"/>
      <c r="B151" s="173"/>
      <c r="C151" s="0"/>
      <c r="D151" s="0"/>
      <c r="E151" s="0"/>
      <c r="F151" s="0"/>
      <c r="G151" s="0"/>
      <c r="H151" s="0"/>
      <c r="I151" s="0"/>
      <c r="J151" s="4"/>
      <c r="K151" s="0"/>
      <c r="L151" s="169"/>
      <c r="M151" s="115"/>
      <c r="O151" s="115"/>
      <c r="Q151" s="115"/>
      <c r="S151" s="115"/>
      <c r="T151" s="115"/>
      <c r="U151" s="115"/>
      <c r="V151" s="115"/>
      <c r="X151" s="115"/>
      <c r="Z151" s="115"/>
      <c r="AB151" s="115"/>
      <c r="AD151" s="115"/>
      <c r="AI151" s="0"/>
      <c r="BJ151" s="115"/>
      <c r="BK151" s="115"/>
      <c r="BM151" s="115"/>
      <c r="BN151" s="115"/>
      <c r="BO151" s="115"/>
      <c r="BU151" s="115"/>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6"/>
      <c r="DG151" s="206"/>
      <c r="DH151" s="206"/>
      <c r="DI151" s="206"/>
      <c r="DJ151" s="206"/>
      <c r="DK151" s="206"/>
      <c r="DL151" s="206"/>
      <c r="DM151" s="206"/>
      <c r="DN151" s="206"/>
      <c r="DO151" s="206"/>
      <c r="DP151" s="206"/>
      <c r="DQ151" s="206"/>
      <c r="DR151" s="206"/>
      <c r="DS151" s="206"/>
      <c r="DT151" s="206"/>
      <c r="DU151" s="206"/>
      <c r="DV151" s="206"/>
      <c r="DW151" s="206"/>
      <c r="DX151" s="206"/>
      <c r="DY151" s="206"/>
      <c r="DZ151" s="206"/>
      <c r="EA151" s="206"/>
      <c r="EB151" s="206"/>
      <c r="EC151" s="206"/>
      <c r="ED151" s="206"/>
      <c r="EE151" s="206"/>
      <c r="EF151" s="206"/>
      <c r="EG151" s="206"/>
      <c r="EH151" s="206"/>
      <c r="EI151" s="206"/>
      <c r="EJ151" s="206"/>
      <c r="EK151" s="206"/>
      <c r="EL151" s="206"/>
      <c r="EM151" s="206"/>
      <c r="EN151" s="206"/>
      <c r="EO151" s="206"/>
      <c r="EP151" s="206"/>
      <c r="EQ151" s="206"/>
      <c r="ER151" s="206"/>
      <c r="ES151" s="206"/>
      <c r="ET151" s="206"/>
      <c r="EU151" s="206"/>
      <c r="EV151" s="206"/>
      <c r="EW151" s="206"/>
      <c r="EX151" s="206"/>
      <c r="EY151" s="206"/>
      <c r="EZ151" s="206"/>
      <c r="FA151" s="206"/>
      <c r="FB151" s="206"/>
      <c r="FC151" s="206"/>
      <c r="FD151" s="206"/>
      <c r="FE151" s="206"/>
      <c r="FF151" s="206"/>
      <c r="FG151" s="206"/>
      <c r="FH151" s="206"/>
      <c r="FI151" s="206"/>
      <c r="FJ151" s="206"/>
      <c r="FK151" s="206"/>
      <c r="FL151" s="206"/>
      <c r="FM151" s="206"/>
      <c r="FN151" s="206"/>
      <c r="FO151" s="206"/>
      <c r="FP151" s="206"/>
      <c r="FQ151" s="206"/>
      <c r="FR151" s="206"/>
      <c r="FS151" s="206"/>
      <c r="FT151" s="206"/>
      <c r="FU151" s="206"/>
      <c r="FV151" s="206"/>
      <c r="FW151" s="206"/>
      <c r="FX151" s="206"/>
      <c r="FY151" s="206"/>
      <c r="FZ151" s="206"/>
      <c r="GA151" s="206"/>
      <c r="GB151" s="206"/>
      <c r="GC151" s="206"/>
      <c r="GD151" s="206"/>
      <c r="GE151" s="206"/>
      <c r="GF151" s="206"/>
      <c r="GG151" s="206"/>
      <c r="GH151" s="206"/>
      <c r="GI151" s="206"/>
      <c r="GJ151" s="206"/>
      <c r="GK151" s="206"/>
      <c r="GL151" s="206"/>
      <c r="GM151" s="206"/>
      <c r="GN151" s="206"/>
      <c r="GO151" s="206"/>
      <c r="GP151" s="206"/>
      <c r="GQ151" s="206"/>
      <c r="GR151" s="206"/>
      <c r="GS151" s="206"/>
      <c r="GT151" s="206"/>
      <c r="GU151" s="206"/>
      <c r="GV151" s="206"/>
      <c r="GW151" s="206"/>
      <c r="GX151" s="206"/>
      <c r="GY151" s="206"/>
      <c r="GZ151" s="206"/>
      <c r="HA151" s="206"/>
      <c r="HB151" s="206"/>
      <c r="HC151" s="206"/>
      <c r="HD151" s="206"/>
      <c r="HE151" s="206"/>
      <c r="HF151" s="206"/>
      <c r="HG151" s="206"/>
      <c r="HH151" s="206"/>
      <c r="HI151" s="206"/>
      <c r="HJ151" s="206"/>
      <c r="HK151" s="206"/>
      <c r="HL151" s="206"/>
      <c r="HM151" s="206"/>
      <c r="HN151" s="206"/>
      <c r="HO151" s="206"/>
      <c r="HP151" s="206"/>
      <c r="HQ151" s="206"/>
      <c r="HR151" s="206"/>
      <c r="HS151" s="206"/>
      <c r="HT151" s="206"/>
      <c r="HU151" s="206"/>
      <c r="HV151" s="206"/>
      <c r="HW151" s="206"/>
      <c r="HX151" s="206"/>
      <c r="HY151" s="206"/>
      <c r="HZ151" s="206"/>
      <c r="IA151" s="206"/>
      <c r="IB151" s="206"/>
      <c r="IC151" s="206"/>
      <c r="ID151" s="206"/>
      <c r="IE151" s="206"/>
      <c r="IF151" s="206"/>
      <c r="IG151" s="206"/>
      <c r="IH151" s="206"/>
      <c r="II151" s="206"/>
      <c r="IJ151" s="206"/>
      <c r="IK151" s="206"/>
      <c r="IL151" s="206"/>
      <c r="IM151" s="206"/>
      <c r="IN151" s="206"/>
      <c r="IO151" s="206"/>
      <c r="IP151" s="206"/>
      <c r="IQ151" s="206"/>
      <c r="IR151" s="206"/>
      <c r="IS151" s="206"/>
      <c r="IT151" s="206"/>
      <c r="IU151" s="206"/>
      <c r="IV151" s="206"/>
      <c r="IW151" s="206"/>
    </row>
    <row r="152" customFormat="false" ht="12.75" hidden="false" customHeight="false" outlineLevel="0" collapsed="false">
      <c r="A152" s="215" t="s">
        <v>260</v>
      </c>
      <c r="B152" s="216"/>
      <c r="C152" s="216"/>
      <c r="D152" s="216"/>
      <c r="E152" s="216"/>
      <c r="F152" s="216"/>
      <c r="G152" s="216"/>
      <c r="H152" s="216"/>
      <c r="I152" s="216"/>
      <c r="J152" s="217"/>
      <c r="K152" s="216"/>
      <c r="L152" s="218" t="s">
        <v>142</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9717.45</v>
      </c>
      <c r="BA152" s="24"/>
      <c r="BB152" s="24" t="n">
        <v>0</v>
      </c>
      <c r="BC152" s="24"/>
      <c r="BD152" s="24" t="n">
        <v>0</v>
      </c>
      <c r="BE152" s="24"/>
      <c r="BF152" s="24" t="n">
        <v>0</v>
      </c>
      <c r="BG152" s="24"/>
      <c r="BH152" s="24" t="n">
        <v>0</v>
      </c>
      <c r="BI152" s="24"/>
      <c r="BJ152" s="24" t="n">
        <v>0</v>
      </c>
      <c r="BK152" s="24"/>
      <c r="BL152" s="24" t="n">
        <f aca="false">SUM(T152:BK152)</f>
        <v>76030.64</v>
      </c>
      <c r="BM152" s="24"/>
      <c r="BN152" s="24" t="n">
        <v>0</v>
      </c>
      <c r="BO152" s="24"/>
      <c r="BP152" s="115" t="n">
        <f aca="false">IF(+R152-BL152+BN152&gt;0,R152-BL152+BN152,0)</f>
        <v>123969.36</v>
      </c>
      <c r="BQ152" s="24"/>
      <c r="BR152" s="24" t="n">
        <f aca="false">+BL152+BP152</f>
        <v>200000</v>
      </c>
      <c r="BS152" s="24"/>
      <c r="BT152" s="115" t="n">
        <f aca="false">+R152-BR152</f>
        <v>0</v>
      </c>
      <c r="BU152" s="24"/>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c r="GY152" s="216"/>
      <c r="GZ152" s="216"/>
      <c r="HA152" s="216"/>
      <c r="HB152" s="216"/>
      <c r="HC152" s="216"/>
      <c r="HD152" s="216"/>
      <c r="HE152" s="216"/>
      <c r="HF152" s="216"/>
      <c r="HG152" s="216"/>
      <c r="HH152" s="216"/>
      <c r="HI152" s="216"/>
      <c r="HJ152" s="216"/>
      <c r="HK152" s="216"/>
      <c r="HL152" s="216"/>
      <c r="HM152" s="216"/>
      <c r="HN152" s="216"/>
      <c r="HO152" s="216"/>
      <c r="HP152" s="216"/>
      <c r="HQ152" s="216"/>
      <c r="HR152" s="216"/>
      <c r="HS152" s="216"/>
      <c r="HT152" s="216"/>
      <c r="HU152" s="216"/>
      <c r="HV152" s="216"/>
      <c r="HW152" s="216"/>
      <c r="HX152" s="216"/>
      <c r="HY152" s="216"/>
      <c r="HZ152" s="216"/>
      <c r="IA152" s="216"/>
      <c r="IB152" s="216"/>
      <c r="IC152" s="216"/>
      <c r="ID152" s="216"/>
      <c r="IE152" s="216"/>
      <c r="IF152" s="216"/>
      <c r="IG152" s="216"/>
      <c r="IH152" s="216"/>
      <c r="II152" s="216"/>
      <c r="IJ152" s="216"/>
      <c r="IK152" s="216"/>
      <c r="IL152" s="216"/>
      <c r="IM152" s="216"/>
      <c r="IN152" s="216"/>
      <c r="IO152" s="216"/>
      <c r="IP152" s="216"/>
      <c r="IQ152" s="216"/>
      <c r="IR152" s="216"/>
      <c r="IS152" s="216"/>
      <c r="IT152" s="216"/>
      <c r="IU152" s="216"/>
      <c r="IV152" s="216"/>
      <c r="IW152" s="216"/>
    </row>
    <row r="153" customFormat="false" ht="12.75" hidden="false" customHeight="false" outlineLevel="0" collapsed="false">
      <c r="A153" s="214"/>
      <c r="B153" s="173"/>
      <c r="C153" s="0"/>
      <c r="D153" s="0"/>
      <c r="E153" s="0"/>
      <c r="F153" s="0"/>
      <c r="G153" s="0"/>
      <c r="H153" s="0"/>
      <c r="I153" s="0"/>
      <c r="J153" s="4"/>
      <c r="K153" s="0"/>
      <c r="L153" s="169"/>
      <c r="M153" s="115"/>
      <c r="O153" s="115"/>
      <c r="Q153" s="115"/>
      <c r="S153" s="115"/>
      <c r="T153" s="115"/>
      <c r="U153" s="115"/>
      <c r="V153" s="115"/>
      <c r="X153" s="115"/>
      <c r="Z153" s="115"/>
      <c r="AB153" s="115"/>
      <c r="AD153" s="115"/>
      <c r="AI153" s="0"/>
      <c r="BJ153" s="115"/>
      <c r="BK153" s="115"/>
      <c r="BM153" s="115"/>
      <c r="BN153" s="115"/>
      <c r="BO153" s="115"/>
      <c r="BU153" s="115"/>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c r="FI153" s="206"/>
      <c r="FJ153" s="206"/>
      <c r="FK153" s="206"/>
      <c r="FL153" s="206"/>
      <c r="FM153" s="206"/>
      <c r="FN153" s="206"/>
      <c r="FO153" s="206"/>
      <c r="FP153" s="206"/>
      <c r="FQ153" s="206"/>
      <c r="FR153" s="206"/>
      <c r="FS153" s="206"/>
      <c r="FT153" s="206"/>
      <c r="FU153" s="206"/>
      <c r="FV153" s="206"/>
      <c r="FW153" s="206"/>
      <c r="FX153" s="206"/>
      <c r="FY153" s="206"/>
      <c r="FZ153" s="206"/>
      <c r="GA153" s="206"/>
      <c r="GB153" s="206"/>
      <c r="GC153" s="206"/>
      <c r="GD153" s="206"/>
      <c r="GE153" s="206"/>
      <c r="GF153" s="206"/>
      <c r="GG153" s="206"/>
      <c r="GH153" s="206"/>
      <c r="GI153" s="206"/>
      <c r="GJ153" s="206"/>
      <c r="GK153" s="206"/>
      <c r="GL153" s="206"/>
      <c r="GM153" s="206"/>
      <c r="GN153" s="206"/>
      <c r="GO153" s="206"/>
      <c r="GP153" s="206"/>
      <c r="GQ153" s="206"/>
      <c r="GR153" s="206"/>
      <c r="GS153" s="206"/>
      <c r="GT153" s="206"/>
      <c r="GU153" s="206"/>
      <c r="GV153" s="206"/>
      <c r="GW153" s="206"/>
      <c r="GX153" s="206"/>
      <c r="GY153" s="206"/>
      <c r="GZ153" s="206"/>
      <c r="HA153" s="206"/>
      <c r="HB153" s="206"/>
      <c r="HC153" s="206"/>
      <c r="HD153" s="206"/>
      <c r="HE153" s="206"/>
      <c r="HF153" s="206"/>
      <c r="HG153" s="206"/>
      <c r="HH153" s="206"/>
      <c r="HI153" s="206"/>
      <c r="HJ153" s="206"/>
      <c r="HK153" s="206"/>
      <c r="HL153" s="206"/>
      <c r="HM153" s="206"/>
      <c r="HN153" s="206"/>
      <c r="HO153" s="206"/>
      <c r="HP153" s="206"/>
      <c r="HQ153" s="206"/>
      <c r="HR153" s="206"/>
      <c r="HS153" s="206"/>
      <c r="HT153" s="206"/>
      <c r="HU153" s="206"/>
      <c r="HV153" s="206"/>
      <c r="HW153" s="206"/>
      <c r="HX153" s="206"/>
      <c r="HY153" s="206"/>
      <c r="HZ153" s="206"/>
      <c r="IA153" s="206"/>
      <c r="IB153" s="206"/>
      <c r="IC153" s="206"/>
      <c r="ID153" s="206"/>
      <c r="IE153" s="206"/>
      <c r="IF153" s="206"/>
      <c r="IG153" s="206"/>
      <c r="IH153" s="206"/>
      <c r="II153" s="206"/>
      <c r="IJ153" s="206"/>
      <c r="IK153" s="206"/>
      <c r="IL153" s="206"/>
      <c r="IM153" s="206"/>
      <c r="IN153" s="206"/>
      <c r="IO153" s="206"/>
      <c r="IP153" s="206"/>
      <c r="IQ153" s="206"/>
      <c r="IR153" s="206"/>
      <c r="IS153" s="206"/>
      <c r="IT153" s="206"/>
      <c r="IU153" s="206"/>
      <c r="IV153" s="206"/>
      <c r="IW153" s="206"/>
    </row>
    <row r="154" customFormat="false" ht="12.75" hidden="false" customHeight="false" outlineLevel="0" collapsed="false">
      <c r="A154" s="182" t="s">
        <v>261</v>
      </c>
      <c r="B154" s="174"/>
      <c r="C154" s="0"/>
      <c r="D154" s="0"/>
      <c r="E154" s="0"/>
      <c r="F154" s="0"/>
      <c r="G154" s="0"/>
      <c r="H154" s="0"/>
      <c r="I154" s="0"/>
      <c r="J154" s="4"/>
      <c r="K154" s="0"/>
      <c r="L154" s="169"/>
      <c r="M154" s="115"/>
      <c r="O154" s="115"/>
      <c r="Q154" s="115"/>
      <c r="S154" s="115"/>
      <c r="T154" s="115"/>
      <c r="U154" s="115"/>
      <c r="V154" s="115"/>
      <c r="X154" s="115"/>
      <c r="Z154" s="115"/>
      <c r="AB154" s="115"/>
      <c r="AD154" s="115"/>
      <c r="AI154" s="0"/>
      <c r="BJ154" s="115"/>
      <c r="BK154" s="115"/>
      <c r="BM154" s="115"/>
      <c r="BN154" s="115"/>
      <c r="BO154" s="115"/>
      <c r="BU154" s="115"/>
    </row>
    <row r="155" customFormat="false" ht="12.75" hidden="false" customHeight="false" outlineLevel="0" collapsed="false">
      <c r="A155" s="165"/>
      <c r="B155" s="174" t="s">
        <v>262</v>
      </c>
      <c r="C155" s="174"/>
      <c r="D155" s="174"/>
      <c r="E155" s="174"/>
      <c r="F155" s="174"/>
      <c r="G155" s="174"/>
      <c r="H155" s="174"/>
      <c r="I155" s="174"/>
      <c r="J155" s="220"/>
      <c r="K155" s="174"/>
      <c r="L155" s="221" t="s">
        <v>249</v>
      </c>
      <c r="M155" s="115"/>
      <c r="N155" s="115" t="n">
        <v>200000</v>
      </c>
      <c r="O155" s="115"/>
      <c r="P155" s="115" t="n">
        <v>0</v>
      </c>
      <c r="Q155" s="115"/>
      <c r="R155" s="115" t="n">
        <v>35000</v>
      </c>
      <c r="S155" s="115"/>
      <c r="T155" s="115" t="n">
        <v>0</v>
      </c>
      <c r="U155" s="115"/>
      <c r="V155" s="115" t="n">
        <v>0</v>
      </c>
      <c r="X155" s="115" t="n">
        <v>22604</v>
      </c>
      <c r="Z155" s="115" t="n">
        <v>0</v>
      </c>
      <c r="AB155" s="115" t="n">
        <v>7949</v>
      </c>
      <c r="AD155" s="115" t="n">
        <v>0</v>
      </c>
      <c r="AH155" s="115" t="n">
        <v>0</v>
      </c>
      <c r="AI155" s="0"/>
      <c r="AJ155" s="115" t="n">
        <v>0</v>
      </c>
      <c r="AL155" s="115" t="n">
        <v>6591.41</v>
      </c>
      <c r="AN155" s="115" t="n">
        <v>0</v>
      </c>
      <c r="AP155" s="115" t="n">
        <v>0</v>
      </c>
      <c r="AR155" s="115" t="n">
        <v>0</v>
      </c>
      <c r="AT155" s="115" t="n">
        <v>0</v>
      </c>
      <c r="AV155" s="115" t="n">
        <v>19123.98</v>
      </c>
      <c r="AX155" s="115" t="n">
        <v>0</v>
      </c>
      <c r="AZ155" s="115" t="n">
        <v>0</v>
      </c>
      <c r="BB155" s="115" t="n">
        <v>0</v>
      </c>
      <c r="BD155" s="115" t="n">
        <v>0</v>
      </c>
      <c r="BF155" s="115" t="n">
        <v>0</v>
      </c>
      <c r="BH155" s="115" t="n">
        <v>0</v>
      </c>
      <c r="BJ155" s="115" t="n">
        <v>0</v>
      </c>
      <c r="BK155" s="115"/>
      <c r="BL155" s="115" t="n">
        <f aca="false">SUM(T155:BK155)</f>
        <v>56268.39</v>
      </c>
      <c r="BM155" s="115"/>
      <c r="BN155" s="115" t="n">
        <v>2144</v>
      </c>
      <c r="BO155" s="115"/>
      <c r="BP155" s="115" t="n">
        <f aca="false">IF(+R155-BL155+BN155&gt;0,R155-BL155+BN155,0)</f>
        <v>0</v>
      </c>
      <c r="BR155" s="115" t="n">
        <f aca="false">+BL155+BP155</f>
        <v>56268.39</v>
      </c>
      <c r="BT155" s="115" t="n">
        <f aca="false">+R155-BR155</f>
        <v>-21268.39</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263</v>
      </c>
      <c r="C156" s="174"/>
      <c r="D156" s="174"/>
      <c r="E156" s="174"/>
      <c r="F156" s="174"/>
      <c r="G156" s="174"/>
      <c r="H156" s="174"/>
      <c r="I156" s="174"/>
      <c r="J156" s="220"/>
      <c r="K156" s="174"/>
      <c r="L156" s="221" t="s">
        <v>249</v>
      </c>
      <c r="M156" s="115"/>
      <c r="N156" s="115" t="n">
        <v>0</v>
      </c>
      <c r="O156" s="115"/>
      <c r="P156" s="115" t="n">
        <v>50000</v>
      </c>
      <c r="Q156" s="115"/>
      <c r="R156" s="115" t="n">
        <v>45000</v>
      </c>
      <c r="S156" s="115"/>
      <c r="T156" s="115" t="n">
        <v>0</v>
      </c>
      <c r="U156" s="115"/>
      <c r="V156" s="115" t="n">
        <v>1236</v>
      </c>
      <c r="X156" s="115" t="n">
        <v>9770</v>
      </c>
      <c r="Z156" s="115" t="n">
        <v>5706</v>
      </c>
      <c r="AB156" s="115" t="n">
        <v>9652</v>
      </c>
      <c r="AD156" s="115" t="n">
        <v>3504</v>
      </c>
      <c r="AF156" s="115" t="n">
        <v>5185.43</v>
      </c>
      <c r="AH156" s="115" t="n">
        <v>3598.69</v>
      </c>
      <c r="AI156" s="0"/>
      <c r="AJ156" s="115" t="n">
        <v>3892.71</v>
      </c>
      <c r="AL156" s="115" t="n">
        <v>6342.74</v>
      </c>
      <c r="AN156" s="115" t="n">
        <v>1599.42</v>
      </c>
      <c r="AP156" s="115" t="n">
        <v>3506.18</v>
      </c>
      <c r="AR156" s="115" t="n">
        <v>5695.65</v>
      </c>
      <c r="AT156" s="115" t="n">
        <f aca="false">1559.48+7479.23</f>
        <v>9038.71</v>
      </c>
      <c r="AV156" s="115" t="n">
        <v>3164.35</v>
      </c>
      <c r="AX156" s="115" t="n">
        <v>3884.55</v>
      </c>
      <c r="AZ156" s="115" t="n">
        <v>1293.25</v>
      </c>
      <c r="BB156" s="115" t="n">
        <v>1428.68</v>
      </c>
      <c r="BD156" s="115" t="n">
        <v>0</v>
      </c>
      <c r="BF156" s="115" t="n">
        <v>0</v>
      </c>
      <c r="BH156" s="115" t="n">
        <v>0</v>
      </c>
      <c r="BJ156" s="115" t="n">
        <v>0</v>
      </c>
      <c r="BK156" s="115"/>
      <c r="BL156" s="115" t="n">
        <f aca="false">SUM(T156:BK156)</f>
        <v>78498.36</v>
      </c>
      <c r="BM156" s="115"/>
      <c r="BN156" s="115" t="n">
        <v>6683</v>
      </c>
      <c r="BO156" s="115"/>
      <c r="BP156" s="115" t="n">
        <f aca="false">IF(+R156-BL156+BN156&gt;0,R156-BL156+BN156,0)</f>
        <v>0</v>
      </c>
      <c r="BR156" s="115" t="n">
        <f aca="false">+BL156+BP156</f>
        <v>78498.36</v>
      </c>
      <c r="BT156" s="115" t="n">
        <f aca="false">+R156-BR156</f>
        <v>-33498.36</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264</v>
      </c>
      <c r="C157" s="174"/>
      <c r="D157" s="174"/>
      <c r="E157" s="174"/>
      <c r="F157" s="174"/>
      <c r="G157" s="174"/>
      <c r="H157" s="174"/>
      <c r="I157" s="174"/>
      <c r="J157" s="220"/>
      <c r="K157" s="174"/>
      <c r="L157" s="221" t="s">
        <v>249</v>
      </c>
      <c r="M157" s="115"/>
      <c r="N157" s="115" t="n">
        <v>0</v>
      </c>
      <c r="O157" s="115"/>
      <c r="P157" s="115" t="n">
        <v>24235</v>
      </c>
      <c r="Q157" s="115"/>
      <c r="R157" s="115" t="n">
        <v>0</v>
      </c>
      <c r="S157" s="115"/>
      <c r="T157" s="115" t="n">
        <v>0</v>
      </c>
      <c r="U157" s="115"/>
      <c r="V157" s="115" t="n">
        <v>0</v>
      </c>
      <c r="X157" s="115" t="n">
        <v>0</v>
      </c>
      <c r="Z157" s="115" t="n">
        <v>0</v>
      </c>
      <c r="AB157" s="115" t="n">
        <v>0</v>
      </c>
      <c r="AD157" s="115" t="n">
        <v>0</v>
      </c>
      <c r="AF157" s="115" t="n">
        <v>0</v>
      </c>
      <c r="AH157" s="115" t="n">
        <v>0</v>
      </c>
      <c r="AI157" s="0"/>
      <c r="AJ157" s="115" t="n">
        <v>0</v>
      </c>
      <c r="AL157" s="115" t="n">
        <v>0</v>
      </c>
      <c r="AN157" s="115" t="n">
        <v>37759.78</v>
      </c>
      <c r="AP157" s="115" t="n">
        <v>42194.99</v>
      </c>
      <c r="AR157" s="115" t="n">
        <v>35999.89</v>
      </c>
      <c r="AT157" s="115" t="n">
        <v>35401.09</v>
      </c>
      <c r="AV157" s="115" t="n">
        <v>38258.9</v>
      </c>
      <c r="AX157" s="115" t="n">
        <v>64824.96</v>
      </c>
      <c r="AZ157" s="115" t="n">
        <v>99822</v>
      </c>
      <c r="BB157" s="115" t="n">
        <v>0</v>
      </c>
      <c r="BD157" s="115" t="n">
        <v>0</v>
      </c>
      <c r="BF157" s="115" t="n">
        <v>0</v>
      </c>
      <c r="BH157" s="115" t="n">
        <v>0</v>
      </c>
      <c r="BJ157" s="115" t="n">
        <v>0</v>
      </c>
      <c r="BK157" s="115"/>
      <c r="BL157" s="115" t="n">
        <f aca="false">SUM(T157:BK157)</f>
        <v>354261.61</v>
      </c>
      <c r="BM157" s="115"/>
      <c r="BN157" s="115" t="n">
        <v>79955</v>
      </c>
      <c r="BO157" s="115"/>
      <c r="BP157" s="115" t="n">
        <f aca="false">IF(+R157-BL157+BN157&gt;0,R157-BL157+BN157,0)</f>
        <v>0</v>
      </c>
      <c r="BR157" s="115" t="n">
        <f aca="false">+BL157+BP157</f>
        <v>354261.61</v>
      </c>
      <c r="BT157" s="115" t="n">
        <f aca="false">+R157-BR157</f>
        <v>-354261.61</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152</v>
      </c>
      <c r="C158" s="174"/>
      <c r="D158" s="174"/>
      <c r="E158" s="174"/>
      <c r="F158" s="174"/>
      <c r="G158" s="174"/>
      <c r="H158" s="174"/>
      <c r="I158" s="174"/>
      <c r="J158" s="220"/>
      <c r="K158" s="174"/>
      <c r="L158" s="221" t="s">
        <v>249</v>
      </c>
      <c r="M158" s="115"/>
      <c r="N158" s="115" t="n">
        <v>400000</v>
      </c>
      <c r="O158" s="115"/>
      <c r="P158" s="115" t="n">
        <f aca="false">49065-N158-6000</f>
        <v>-356935</v>
      </c>
      <c r="Q158" s="115"/>
      <c r="R158" s="115" t="n">
        <f aca="false">129593+5000</f>
        <v>134593</v>
      </c>
      <c r="S158" s="115"/>
      <c r="T158" s="115" t="n">
        <v>0</v>
      </c>
      <c r="U158" s="115"/>
      <c r="V158" s="115" t="n">
        <v>0</v>
      </c>
      <c r="X158" s="115" t="n">
        <v>46735</v>
      </c>
      <c r="Z158" s="115" t="n">
        <v>21114</v>
      </c>
      <c r="AB158" s="115" t="n">
        <v>1899</v>
      </c>
      <c r="AD158" s="115" t="n">
        <v>8288</v>
      </c>
      <c r="AF158" s="115" t="n">
        <f aca="false">3330+7426.97+30387.78+738+100+50+20+10+11200+31000</f>
        <v>84262.75</v>
      </c>
      <c r="AH158" s="115" t="n">
        <f aca="false">10000+838.34</f>
        <v>10838.34</v>
      </c>
      <c r="AI158" s="0"/>
      <c r="AJ158" s="115" t="n">
        <v>0</v>
      </c>
      <c r="AL158" s="115" t="n">
        <v>20657.14</v>
      </c>
      <c r="AN158" s="115" t="n">
        <f aca="false">46225.52-37759.78</f>
        <v>8465.74</v>
      </c>
      <c r="AP158" s="115" t="n">
        <f aca="false">1415.06+712.75</f>
        <v>2127.81</v>
      </c>
      <c r="AR158" s="115" t="n">
        <f aca="false">2610+1500+540+200</f>
        <v>4850</v>
      </c>
      <c r="AT158" s="115" t="n">
        <f aca="false">1890.2+1000+2500+400.16+838.34</f>
        <v>6628.7</v>
      </c>
      <c r="AV158" s="115" t="n">
        <v>822.91</v>
      </c>
      <c r="AX158" s="115" t="n">
        <f aca="false">1450+1015+420+300+562.5+209+1085.4</f>
        <v>5041.9</v>
      </c>
      <c r="AZ158" s="115" t="n">
        <f aca="false">17+17+540+1</f>
        <v>575</v>
      </c>
      <c r="BB158" s="115" t="n">
        <v>57477.71</v>
      </c>
      <c r="BD158" s="115" t="n">
        <v>0</v>
      </c>
      <c r="BF158" s="115" t="n">
        <v>0</v>
      </c>
      <c r="BH158" s="115" t="n">
        <v>0</v>
      </c>
      <c r="BJ158" s="115" t="n">
        <v>0</v>
      </c>
      <c r="BK158" s="115"/>
      <c r="BL158" s="115" t="n">
        <f aca="false">SUM(T158:BK158)</f>
        <v>279784</v>
      </c>
      <c r="BM158" s="115"/>
      <c r="BN158" s="115" t="n">
        <v>106842</v>
      </c>
      <c r="BO158" s="115"/>
      <c r="BP158" s="115" t="n">
        <f aca="false">IF(+R158-BL158+BN158&gt;0,R158-BL158+BN158,0)</f>
        <v>0</v>
      </c>
      <c r="BR158" s="115" t="n">
        <f aca="false">+BL158+BP158</f>
        <v>279784</v>
      </c>
      <c r="BT158" s="115" t="n">
        <f aca="false">+R158-BR158</f>
        <v>-145191</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265</v>
      </c>
      <c r="C159" s="174"/>
      <c r="D159" s="174"/>
      <c r="E159" s="174"/>
      <c r="F159" s="174"/>
      <c r="G159" s="174"/>
      <c r="H159" s="174"/>
      <c r="I159" s="174"/>
      <c r="J159" s="220"/>
      <c r="K159" s="174"/>
      <c r="L159" s="221"/>
      <c r="M159" s="115"/>
      <c r="O159" s="115"/>
      <c r="Q159" s="115"/>
      <c r="R159" s="115" t="n">
        <v>0</v>
      </c>
      <c r="S159" s="115"/>
      <c r="T159" s="115"/>
      <c r="U159" s="115"/>
      <c r="V159" s="115"/>
      <c r="X159" s="115"/>
      <c r="Z159" s="115"/>
      <c r="AB159" s="115"/>
      <c r="AD159" s="115"/>
      <c r="AI159" s="0"/>
      <c r="AP159" s="115" t="n">
        <v>83333.33</v>
      </c>
      <c r="AR159" s="115" t="n">
        <f aca="false">82333.33+25346.23</f>
        <v>107679.56</v>
      </c>
      <c r="BJ159" s="115"/>
      <c r="BK159" s="115"/>
      <c r="BL159" s="115" t="n">
        <f aca="false">SUM(T159:BK159)</f>
        <v>191012.89</v>
      </c>
      <c r="BM159" s="115"/>
      <c r="BN159" s="115" t="n">
        <v>0</v>
      </c>
      <c r="BO159" s="115"/>
      <c r="BP159" s="115" t="n">
        <f aca="false">IF(+R159-BL159+BN159&gt;0,R159-BL159+BN159,0)</f>
        <v>0</v>
      </c>
      <c r="BR159" s="115" t="n">
        <f aca="false">+BL159+BP159</f>
        <v>191012.89</v>
      </c>
      <c r="BT159" s="115" t="n">
        <f aca="false">+R159-BR159</f>
        <v>-191012.89</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65"/>
      <c r="B160" s="174" t="s">
        <v>266</v>
      </c>
      <c r="C160" s="174"/>
      <c r="D160" s="174"/>
      <c r="E160" s="174"/>
      <c r="F160" s="174"/>
      <c r="G160" s="174"/>
      <c r="H160" s="174"/>
      <c r="I160" s="174"/>
      <c r="J160" s="220"/>
      <c r="K160" s="174"/>
      <c r="L160" s="221"/>
      <c r="M160" s="115"/>
      <c r="O160" s="115"/>
      <c r="Q160" s="115"/>
      <c r="R160" s="115" t="n">
        <v>0</v>
      </c>
      <c r="S160" s="115"/>
      <c r="T160" s="115"/>
      <c r="U160" s="115"/>
      <c r="V160" s="115"/>
      <c r="X160" s="115"/>
      <c r="Z160" s="115"/>
      <c r="AB160" s="115"/>
      <c r="AD160" s="115"/>
      <c r="AF160" s="115" t="n">
        <f aca="false">199867.23-30387.78-11200-31000</f>
        <v>127279.45</v>
      </c>
      <c r="AH160" s="115" t="n">
        <f aca="false">1916.6+566.91+3047.17+16608.78+17351.65+10439.68</f>
        <v>49930.79</v>
      </c>
      <c r="AI160" s="0"/>
      <c r="AJ160" s="115" t="n">
        <v>29848.78</v>
      </c>
      <c r="BJ160" s="115"/>
      <c r="BK160" s="115"/>
      <c r="BL160" s="115" t="n">
        <f aca="false">SUM(T160:BK160)</f>
        <v>207059.02</v>
      </c>
      <c r="BM160" s="115"/>
      <c r="BN160" s="115" t="n">
        <v>207060</v>
      </c>
      <c r="BO160" s="115"/>
      <c r="BP160" s="115" t="n">
        <f aca="false">IF(+R160-BL160+BN160&gt;0,R160-BL160+BN160,0)</f>
        <v>0.979999999981374</v>
      </c>
      <c r="BR160" s="115" t="n">
        <f aca="false">+BL160+BP160</f>
        <v>207060</v>
      </c>
      <c r="BT160" s="115" t="n">
        <f aca="false">+R160-BR160</f>
        <v>-207060</v>
      </c>
      <c r="BU160" s="115"/>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H160" s="174"/>
      <c r="FI160" s="174"/>
      <c r="FJ160" s="174"/>
      <c r="FK160" s="174"/>
      <c r="FL160" s="174"/>
      <c r="FM160" s="174"/>
      <c r="FN160" s="174"/>
      <c r="FO160" s="174"/>
      <c r="FP160" s="174"/>
      <c r="FQ160" s="174"/>
      <c r="FR160" s="174"/>
      <c r="FS160" s="174"/>
      <c r="FT160" s="174"/>
      <c r="FU160" s="174"/>
      <c r="FV160" s="174"/>
      <c r="FW160" s="174"/>
      <c r="FX160" s="174"/>
      <c r="FY160" s="174"/>
      <c r="FZ160" s="174"/>
      <c r="GA160" s="174"/>
      <c r="GB160" s="174"/>
      <c r="GC160" s="174"/>
      <c r="GD160" s="174"/>
      <c r="GE160" s="174"/>
      <c r="GF160" s="174"/>
      <c r="GG160" s="174"/>
      <c r="GH160" s="174"/>
      <c r="GI160" s="174"/>
      <c r="GJ160" s="174"/>
      <c r="GK160" s="174"/>
      <c r="GL160" s="174"/>
      <c r="GM160" s="174"/>
      <c r="GN160" s="174"/>
      <c r="GO160" s="174"/>
      <c r="GP160" s="174"/>
      <c r="GQ160" s="174"/>
      <c r="GR160" s="174"/>
      <c r="GS160" s="174"/>
      <c r="GT160" s="174"/>
      <c r="GU160" s="174"/>
      <c r="GV160" s="174"/>
      <c r="GW160" s="174"/>
      <c r="GX160" s="174"/>
      <c r="GY160" s="174"/>
      <c r="GZ160" s="174"/>
      <c r="HA160" s="174"/>
      <c r="HB160" s="174"/>
      <c r="HC160" s="174"/>
      <c r="HD160" s="174"/>
      <c r="HE160" s="174"/>
      <c r="HF160" s="174"/>
      <c r="HG160" s="174"/>
      <c r="HH160" s="174"/>
      <c r="HI160" s="174"/>
      <c r="HJ160" s="174"/>
      <c r="HK160" s="174"/>
      <c r="HL160" s="174"/>
      <c r="HM160" s="174"/>
      <c r="HN160" s="174"/>
      <c r="HO160" s="174"/>
      <c r="HP160" s="174"/>
      <c r="HQ160" s="174"/>
      <c r="HR160" s="174"/>
      <c r="HS160" s="174"/>
      <c r="HT160" s="174"/>
      <c r="HU160" s="174"/>
      <c r="HV160" s="174"/>
      <c r="HW160" s="174"/>
      <c r="HX160" s="174"/>
      <c r="HY160" s="174"/>
      <c r="HZ160" s="174"/>
      <c r="IA160" s="174"/>
      <c r="IB160" s="174"/>
      <c r="IC160" s="174"/>
      <c r="ID160" s="174"/>
      <c r="IE160" s="174"/>
      <c r="IF160" s="174"/>
      <c r="IG160" s="174"/>
      <c r="IH160" s="174"/>
      <c r="II160" s="174"/>
      <c r="IJ160" s="174"/>
      <c r="IK160" s="174"/>
      <c r="IL160" s="174"/>
      <c r="IM160" s="174"/>
      <c r="IN160" s="174"/>
      <c r="IO160" s="174"/>
      <c r="IP160" s="174"/>
      <c r="IQ160" s="174"/>
      <c r="IR160" s="174"/>
      <c r="IS160" s="174"/>
      <c r="IT160" s="174"/>
      <c r="IU160" s="174"/>
      <c r="IV160" s="174"/>
      <c r="IW160" s="174"/>
    </row>
    <row r="161" customFormat="false" ht="12.75" hidden="false" customHeight="false" outlineLevel="0" collapsed="false">
      <c r="A161" s="182"/>
      <c r="B161" s="216" t="s">
        <v>267</v>
      </c>
      <c r="C161" s="2"/>
      <c r="D161" s="2"/>
      <c r="E161" s="2"/>
      <c r="F161" s="2"/>
      <c r="G161" s="2"/>
      <c r="H161" s="2"/>
      <c r="I161" s="2"/>
      <c r="J161" s="3"/>
      <c r="K161" s="2"/>
      <c r="L161" s="188"/>
      <c r="M161" s="24"/>
      <c r="N161" s="210" t="n">
        <f aca="false">SUM(N155:N158)</f>
        <v>600000</v>
      </c>
      <c r="O161" s="24"/>
      <c r="P161" s="210" t="n">
        <f aca="false">SUM(P155:P158)</f>
        <v>-282700</v>
      </c>
      <c r="Q161" s="24"/>
      <c r="R161" s="210" t="n">
        <f aca="false">SUM(R155:R160)</f>
        <v>214593</v>
      </c>
      <c r="S161" s="210" t="n">
        <f aca="false">SUM(S155:S160)</f>
        <v>0</v>
      </c>
      <c r="T161" s="210" t="n">
        <f aca="false">SUM(T155:T160)</f>
        <v>0</v>
      </c>
      <c r="U161" s="210" t="n">
        <f aca="false">SUM(U155:U160)</f>
        <v>0</v>
      </c>
      <c r="V161" s="210" t="n">
        <f aca="false">SUM(V155:V160)</f>
        <v>1236</v>
      </c>
      <c r="W161" s="210" t="n">
        <f aca="false">SUM(W155:W160)</f>
        <v>0</v>
      </c>
      <c r="X161" s="210" t="n">
        <f aca="false">SUM(X155:X160)</f>
        <v>79109</v>
      </c>
      <c r="Y161" s="210" t="n">
        <f aca="false">SUM(Y155:Y160)</f>
        <v>0</v>
      </c>
      <c r="Z161" s="210" t="n">
        <f aca="false">SUM(Z155:Z160)</f>
        <v>26820</v>
      </c>
      <c r="AA161" s="210" t="n">
        <f aca="false">SUM(AA155:AA160)</f>
        <v>0</v>
      </c>
      <c r="AB161" s="210" t="n">
        <f aca="false">SUM(AB155:AB160)</f>
        <v>19500</v>
      </c>
      <c r="AC161" s="210" t="n">
        <f aca="false">SUM(AC155:AC160)</f>
        <v>0</v>
      </c>
      <c r="AD161" s="210" t="n">
        <f aca="false">SUM(AD155:AD160)</f>
        <v>11792</v>
      </c>
      <c r="AE161" s="210"/>
      <c r="AF161" s="210" t="n">
        <f aca="false">SUM(AF155:AF160)</f>
        <v>216727.63</v>
      </c>
      <c r="AG161" s="210"/>
      <c r="AH161" s="210" t="n">
        <f aca="false">SUM(AH155:AH160)</f>
        <v>64367.82</v>
      </c>
      <c r="AI161" s="0"/>
      <c r="AJ161" s="210" t="n">
        <f aca="false">SUM(AJ155:AJ160)</f>
        <v>33741.49</v>
      </c>
      <c r="AL161" s="210" t="n">
        <f aca="false">SUM(AL155:AL160)</f>
        <v>33591.29</v>
      </c>
      <c r="AN161" s="210" t="n">
        <f aca="false">SUM(AN155:AN160)</f>
        <v>47824.94</v>
      </c>
      <c r="AO161" s="210" t="n">
        <f aca="false">SUM(AO155:AO160)</f>
        <v>0</v>
      </c>
      <c r="AP161" s="210" t="n">
        <f aca="false">SUM(AP155:AP160)</f>
        <v>131162.31</v>
      </c>
      <c r="AQ161" s="210" t="n">
        <f aca="false">SUM(AQ155:AQ160)</f>
        <v>0</v>
      </c>
      <c r="AR161" s="210" t="n">
        <f aca="false">SUM(AR155:AR160)</f>
        <v>154225.1</v>
      </c>
      <c r="AS161" s="210" t="n">
        <f aca="false">SUM(AS155:AS160)</f>
        <v>0</v>
      </c>
      <c r="AT161" s="210" t="n">
        <f aca="false">SUM(AT155:AT160)</f>
        <v>51068.5</v>
      </c>
      <c r="AU161" s="210" t="n">
        <f aca="false">SUM(AU155:AU160)</f>
        <v>0</v>
      </c>
      <c r="AV161" s="210" t="n">
        <f aca="false">SUM(AV155:AV160)</f>
        <v>61370.14</v>
      </c>
      <c r="AW161" s="210" t="n">
        <f aca="false">SUM(AW155:AW160)</f>
        <v>0</v>
      </c>
      <c r="AX161" s="210" t="n">
        <f aca="false">SUM(AX155:AX160)</f>
        <v>73751.41</v>
      </c>
      <c r="AY161" s="210" t="n">
        <f aca="false">SUM(AY155:AY160)</f>
        <v>0</v>
      </c>
      <c r="AZ161" s="210" t="n">
        <f aca="false">SUM(AZ155:AZ160)</f>
        <v>101690.25</v>
      </c>
      <c r="BA161" s="210" t="n">
        <f aca="false">SUM(BA155:BA160)</f>
        <v>0</v>
      </c>
      <c r="BB161" s="210" t="n">
        <f aca="false">SUM(BB155:BB160)</f>
        <v>58906.39</v>
      </c>
      <c r="BC161" s="210" t="n">
        <f aca="false">SUM(BC155:BC160)</f>
        <v>0</v>
      </c>
      <c r="BD161" s="210" t="n">
        <f aca="false">SUM(BD155:BD160)</f>
        <v>0</v>
      </c>
      <c r="BE161" s="210" t="n">
        <f aca="false">SUM(BE155:BE160)</f>
        <v>0</v>
      </c>
      <c r="BF161" s="210" t="n">
        <f aca="false">SUM(BF155:BF160)</f>
        <v>0</v>
      </c>
      <c r="BG161" s="210" t="n">
        <f aca="false">SUM(BG155:BG160)</f>
        <v>0</v>
      </c>
      <c r="BH161" s="210" t="n">
        <f aca="false">SUM(BH155:BH160)</f>
        <v>0</v>
      </c>
      <c r="BI161" s="210" t="n">
        <f aca="false">SUM(BI155:BI160)</f>
        <v>0</v>
      </c>
      <c r="BJ161" s="210" t="n">
        <f aca="false">SUM(BJ155:BJ160)</f>
        <v>0</v>
      </c>
      <c r="BK161" s="210" t="n">
        <f aca="false">SUM(BK155:BK160)</f>
        <v>0</v>
      </c>
      <c r="BL161" s="210" t="n">
        <f aca="false">SUM(BL155:BL160)</f>
        <v>1166884.27</v>
      </c>
      <c r="BM161" s="210" t="n">
        <f aca="false">SUM(BM155:BM160)</f>
        <v>0</v>
      </c>
      <c r="BN161" s="210" t="n">
        <f aca="false">SUM(BN155:BN160)</f>
        <v>402684</v>
      </c>
      <c r="BO161" s="210" t="n">
        <f aca="false">SUM(BO155:BO160)</f>
        <v>0</v>
      </c>
      <c r="BP161" s="210" t="n">
        <f aca="false">SUM(BP155:BP160)</f>
        <v>0.979999999981374</v>
      </c>
      <c r="BQ161" s="210" t="n">
        <f aca="false">SUM(BQ155:BQ160)</f>
        <v>0</v>
      </c>
      <c r="BR161" s="210" t="n">
        <f aca="false">SUM(BR155:BR160)</f>
        <v>1166885.25</v>
      </c>
      <c r="BS161" s="210" t="n">
        <f aca="false">SUM(BS155:BS160)</f>
        <v>0</v>
      </c>
      <c r="BT161" s="210" t="n">
        <f aca="false">SUM(BT155:BT160)</f>
        <v>-952292.25</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c r="B162" s="216"/>
      <c r="C162" s="2"/>
      <c r="D162" s="2"/>
      <c r="E162" s="2"/>
      <c r="F162" s="2"/>
      <c r="G162" s="2"/>
      <c r="H162" s="2"/>
      <c r="I162" s="2"/>
      <c r="J162" s="3"/>
      <c r="K162" s="2"/>
      <c r="L162" s="188"/>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2" t="s">
        <v>268</v>
      </c>
      <c r="B163" s="174"/>
      <c r="C163" s="0"/>
      <c r="D163" s="0"/>
      <c r="E163" s="0"/>
      <c r="F163" s="0"/>
      <c r="G163" s="0"/>
      <c r="H163" s="0"/>
      <c r="I163" s="0"/>
      <c r="J163" s="4"/>
      <c r="K163" s="0"/>
      <c r="L163" s="169"/>
      <c r="M163" s="115"/>
      <c r="O163" s="115"/>
      <c r="Q163" s="115"/>
      <c r="S163" s="115"/>
      <c r="T163" s="115"/>
      <c r="U163" s="115"/>
      <c r="V163" s="115"/>
      <c r="X163" s="115"/>
      <c r="Z163" s="115"/>
      <c r="AB163" s="115"/>
      <c r="AD163" s="115"/>
      <c r="AI163" s="0"/>
      <c r="BJ163" s="115"/>
      <c r="BK163" s="115"/>
      <c r="BM163" s="115"/>
      <c r="BN163" s="115"/>
      <c r="BO163" s="115"/>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5"/>
      <c r="B164" s="174" t="s">
        <v>269</v>
      </c>
      <c r="C164" s="174"/>
      <c r="D164" s="174"/>
      <c r="E164" s="174"/>
      <c r="F164" s="174"/>
      <c r="G164" s="174"/>
      <c r="H164" s="174"/>
      <c r="I164" s="174"/>
      <c r="J164" s="220"/>
      <c r="K164" s="174"/>
      <c r="L164" s="221" t="s">
        <v>249</v>
      </c>
      <c r="M164" s="115"/>
      <c r="N164" s="115" t="n">
        <v>0</v>
      </c>
      <c r="O164" s="115"/>
      <c r="P164" s="115" t="n">
        <f aca="false">300000-5511</f>
        <v>294489</v>
      </c>
      <c r="Q164" s="115"/>
      <c r="R164" s="115" t="n">
        <v>206751</v>
      </c>
      <c r="S164" s="115"/>
      <c r="T164" s="115" t="n">
        <v>0</v>
      </c>
      <c r="U164" s="115"/>
      <c r="V164" s="115" t="n">
        <v>0</v>
      </c>
      <c r="X164" s="115" t="n">
        <v>0</v>
      </c>
      <c r="Z164" s="115" t="n">
        <v>0</v>
      </c>
      <c r="AB164" s="115" t="n">
        <v>0</v>
      </c>
      <c r="AD164" s="115" t="n">
        <v>605</v>
      </c>
      <c r="AF164" s="115" t="n">
        <v>0</v>
      </c>
      <c r="AH164" s="115" t="n">
        <v>0</v>
      </c>
      <c r="AI164" s="0"/>
      <c r="AJ164" s="115" t="n">
        <v>0</v>
      </c>
      <c r="AL164" s="115" t="n">
        <v>0</v>
      </c>
      <c r="AN164" s="115" t="n">
        <v>0</v>
      </c>
      <c r="AP164" s="115" t="n">
        <v>0</v>
      </c>
      <c r="AR164" s="115" t="n">
        <v>0</v>
      </c>
      <c r="AT164" s="115" t="n">
        <v>0</v>
      </c>
      <c r="AV164" s="115" t="n">
        <v>0</v>
      </c>
      <c r="AX164" s="115" t="n">
        <v>0</v>
      </c>
      <c r="AZ164" s="115" t="n">
        <v>0</v>
      </c>
      <c r="BB164" s="115" t="n">
        <v>0</v>
      </c>
      <c r="BD164" s="115" t="n">
        <v>0</v>
      </c>
      <c r="BF164" s="115" t="n">
        <v>0</v>
      </c>
      <c r="BH164" s="115" t="n">
        <v>0</v>
      </c>
      <c r="BJ164" s="115" t="n">
        <v>0</v>
      </c>
      <c r="BK164" s="115"/>
      <c r="BL164" s="115" t="n">
        <f aca="false">SUM(T164:BK164)</f>
        <v>605</v>
      </c>
      <c r="BM164" s="115"/>
      <c r="BN164" s="115" t="n">
        <v>0</v>
      </c>
      <c r="BO164" s="115"/>
      <c r="BP164" s="115" t="n">
        <f aca="false">IF(+R164-BL164+BN164&gt;0,R164-BL164+BN164,0)</f>
        <v>206146</v>
      </c>
      <c r="BR164" s="115" t="n">
        <f aca="false">+BL164+BP164</f>
        <v>206751</v>
      </c>
      <c r="BT164" s="115" t="n">
        <f aca="false">+R164-BR164</f>
        <v>0</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270</v>
      </c>
      <c r="C165" s="174"/>
      <c r="D165" s="174"/>
      <c r="E165" s="174"/>
      <c r="F165" s="174"/>
      <c r="G165" s="174"/>
      <c r="H165" s="174"/>
      <c r="I165" s="174"/>
      <c r="J165" s="220"/>
      <c r="K165" s="174"/>
      <c r="L165" s="221"/>
      <c r="M165" s="115"/>
      <c r="O165" s="115"/>
      <c r="Q165" s="115"/>
      <c r="S165" s="115"/>
      <c r="T165" s="115"/>
      <c r="U165" s="115"/>
      <c r="V165" s="115"/>
      <c r="X165" s="115"/>
      <c r="Z165" s="115"/>
      <c r="AB165" s="115"/>
      <c r="AD165" s="115"/>
      <c r="AI165" s="0"/>
      <c r="AR165" s="115" t="n">
        <v>252208.46</v>
      </c>
      <c r="AT165" s="115" t="n">
        <v>49463.67</v>
      </c>
      <c r="BJ165" s="115"/>
      <c r="BK165" s="115"/>
      <c r="BL165" s="115" t="n">
        <f aca="false">SUM(T165:BK165)</f>
        <v>301672.13</v>
      </c>
      <c r="BM165" s="115"/>
      <c r="BN165" s="115" t="n">
        <v>0</v>
      </c>
      <c r="BO165" s="115"/>
      <c r="BP165" s="115" t="n">
        <f aca="false">IF(+R165-BL165+BN165&gt;0,R165-BL165+BN165,0)</f>
        <v>0</v>
      </c>
      <c r="BR165" s="115" t="n">
        <f aca="false">+BL165+BP165</f>
        <v>301672.13</v>
      </c>
      <c r="BT165" s="115" t="n">
        <f aca="false">+R165-BR165</f>
        <v>-301672.13</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t="s">
        <v>152</v>
      </c>
      <c r="C166" s="174"/>
      <c r="D166" s="174"/>
      <c r="E166" s="174"/>
      <c r="F166" s="174"/>
      <c r="G166" s="174"/>
      <c r="H166" s="174"/>
      <c r="I166" s="174"/>
      <c r="J166" s="220"/>
      <c r="K166" s="174"/>
      <c r="L166" s="221" t="s">
        <v>249</v>
      </c>
      <c r="M166" s="115"/>
      <c r="N166" s="115" t="n">
        <v>500000</v>
      </c>
      <c r="O166" s="115"/>
      <c r="P166" s="115" t="n">
        <v>-300000</v>
      </c>
      <c r="Q166" s="115"/>
      <c r="R166" s="115" t="n">
        <v>50000</v>
      </c>
      <c r="S166" s="115"/>
      <c r="T166" s="115" t="n">
        <v>0</v>
      </c>
      <c r="U166" s="115"/>
      <c r="V166" s="115" t="n">
        <v>0</v>
      </c>
      <c r="X166" s="115" t="n">
        <v>0</v>
      </c>
      <c r="Z166" s="115" t="n">
        <v>10000</v>
      </c>
      <c r="AB166" s="115"/>
      <c r="AD166" s="115"/>
      <c r="AF166" s="115" t="n">
        <v>0</v>
      </c>
      <c r="AH166" s="115" t="n">
        <v>21422.91</v>
      </c>
      <c r="AI166" s="0"/>
      <c r="AJ166" s="115" t="n">
        <v>0</v>
      </c>
      <c r="AL166" s="115" t="n">
        <v>75</v>
      </c>
      <c r="AN166" s="115" t="n">
        <v>6749.05</v>
      </c>
      <c r="AP166" s="115" t="n">
        <v>4454.98</v>
      </c>
      <c r="AR166" s="115" t="n">
        <v>0</v>
      </c>
      <c r="AT166" s="115" t="n">
        <v>0</v>
      </c>
      <c r="AV166" s="115" t="n">
        <v>0</v>
      </c>
      <c r="AX166" s="115" t="n">
        <v>0</v>
      </c>
      <c r="AZ166" s="115" t="n">
        <v>0</v>
      </c>
      <c r="BB166" s="115" t="n">
        <v>0</v>
      </c>
      <c r="BD166" s="115" t="n">
        <v>0</v>
      </c>
      <c r="BF166" s="115" t="n">
        <v>0</v>
      </c>
      <c r="BH166" s="115" t="n">
        <v>0</v>
      </c>
      <c r="BJ166" s="115" t="n">
        <v>0</v>
      </c>
      <c r="BK166" s="115"/>
      <c r="BL166" s="115" t="n">
        <f aca="false">SUM(T166:BK166)</f>
        <v>42701.94</v>
      </c>
      <c r="BM166" s="115"/>
      <c r="BN166" s="115" t="n">
        <v>0</v>
      </c>
      <c r="BO166" s="115"/>
      <c r="BP166" s="115" t="n">
        <f aca="false">IF(+R166-BL166+BN166&gt;0,R166-BL166+BN166,0)</f>
        <v>7298.06</v>
      </c>
      <c r="BR166" s="115" t="n">
        <f aca="false">+BL166+BP166</f>
        <v>50000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65"/>
      <c r="B167" s="174"/>
      <c r="C167" s="174"/>
      <c r="D167" s="174"/>
      <c r="E167" s="174"/>
      <c r="F167" s="174"/>
      <c r="G167" s="174"/>
      <c r="H167" s="174"/>
      <c r="I167" s="174"/>
      <c r="J167" s="220"/>
      <c r="K167" s="174"/>
      <c r="L167" s="221"/>
      <c r="M167" s="115"/>
      <c r="O167" s="115"/>
      <c r="P167" s="115" t="n">
        <v>5511</v>
      </c>
      <c r="Q167" s="115"/>
      <c r="S167" s="115"/>
      <c r="T167" s="115"/>
      <c r="U167" s="115"/>
      <c r="V167" s="115"/>
      <c r="X167" s="115"/>
      <c r="Z167" s="115"/>
      <c r="AB167" s="115"/>
      <c r="AD167" s="115"/>
      <c r="AI167" s="0"/>
      <c r="BJ167" s="115"/>
      <c r="BK167" s="115"/>
      <c r="BL167" s="115" t="n">
        <f aca="false">SUM(T167:BK167)</f>
        <v>0</v>
      </c>
      <c r="BM167" s="115"/>
      <c r="BN167" s="115" t="n">
        <v>0</v>
      </c>
      <c r="BO167" s="115"/>
      <c r="BP167" s="115" t="n">
        <f aca="false">IF(+R167-BL167+BN167&gt;0,R167-BL167+BN167,0)</f>
        <v>0</v>
      </c>
      <c r="BR167" s="115" t="n">
        <f aca="false">+BL167+BP167</f>
        <v>0</v>
      </c>
      <c r="BT167" s="115" t="n">
        <f aca="false">+R167-BR167</f>
        <v>0</v>
      </c>
      <c r="BU167" s="115"/>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c r="EP167" s="174"/>
      <c r="EQ167" s="174"/>
      <c r="ER167" s="174"/>
      <c r="ES167" s="174"/>
      <c r="ET167" s="174"/>
      <c r="EU167" s="174"/>
      <c r="EV167" s="174"/>
      <c r="EW167" s="174"/>
      <c r="EX167" s="174"/>
      <c r="EY167" s="174"/>
      <c r="EZ167" s="174"/>
      <c r="FA167" s="174"/>
      <c r="FB167" s="174"/>
      <c r="FC167" s="174"/>
      <c r="FD167" s="174"/>
      <c r="FE167" s="174"/>
      <c r="FF167" s="174"/>
      <c r="FG167" s="174"/>
      <c r="FH167" s="174"/>
      <c r="FI167" s="174"/>
      <c r="FJ167" s="174"/>
      <c r="FK167" s="174"/>
      <c r="FL167" s="174"/>
      <c r="FM167" s="174"/>
      <c r="FN167" s="174"/>
      <c r="FO167" s="174"/>
      <c r="FP167" s="174"/>
      <c r="FQ167" s="174"/>
      <c r="FR167" s="174"/>
      <c r="FS167" s="174"/>
      <c r="FT167" s="174"/>
      <c r="FU167" s="174"/>
      <c r="FV167" s="174"/>
      <c r="FW167" s="174"/>
      <c r="FX167" s="174"/>
      <c r="FY167" s="174"/>
      <c r="FZ167" s="174"/>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c r="HB167" s="174"/>
      <c r="HC167" s="174"/>
      <c r="HD167" s="174"/>
      <c r="HE167" s="174"/>
      <c r="HF167" s="174"/>
      <c r="HG167" s="174"/>
      <c r="HH167" s="174"/>
      <c r="HI167" s="174"/>
      <c r="HJ167" s="174"/>
      <c r="HK167" s="174"/>
      <c r="HL167" s="174"/>
      <c r="HM167" s="174"/>
      <c r="HN167" s="174"/>
      <c r="HO167" s="174"/>
      <c r="HP167" s="174"/>
      <c r="HQ167" s="174"/>
      <c r="HR167" s="174"/>
      <c r="HS167" s="174"/>
      <c r="HT167" s="174"/>
      <c r="HU167" s="174"/>
      <c r="HV167" s="174"/>
      <c r="HW167" s="174"/>
      <c r="HX167" s="174"/>
      <c r="HY167" s="174"/>
      <c r="HZ167" s="174"/>
      <c r="IA167" s="174"/>
      <c r="IB167" s="174"/>
      <c r="IC167" s="174"/>
      <c r="ID167" s="174"/>
      <c r="IE167" s="174"/>
      <c r="IF167" s="174"/>
      <c r="IG167" s="174"/>
      <c r="IH167" s="174"/>
      <c r="II167" s="174"/>
      <c r="IJ167" s="174"/>
      <c r="IK167" s="174"/>
      <c r="IL167" s="174"/>
      <c r="IM167" s="174"/>
      <c r="IN167" s="174"/>
      <c r="IO167" s="174"/>
      <c r="IP167" s="174"/>
      <c r="IQ167" s="174"/>
      <c r="IR167" s="174"/>
      <c r="IS167" s="174"/>
      <c r="IT167" s="174"/>
      <c r="IU167" s="174"/>
      <c r="IV167" s="174"/>
      <c r="IW167" s="174"/>
    </row>
    <row r="168" customFormat="false" ht="12.75" hidden="false" customHeight="false" outlineLevel="0" collapsed="false">
      <c r="A168" s="182"/>
      <c r="B168" s="216" t="s">
        <v>271</v>
      </c>
      <c r="C168" s="2"/>
      <c r="D168" s="2"/>
      <c r="E168" s="2"/>
      <c r="F168" s="2"/>
      <c r="G168" s="2"/>
      <c r="H168" s="2"/>
      <c r="I168" s="2"/>
      <c r="J168" s="3"/>
      <c r="K168" s="2"/>
      <c r="L168" s="188"/>
      <c r="M168" s="24"/>
      <c r="N168" s="210" t="n">
        <f aca="false">SUM(N164:N167)</f>
        <v>500000</v>
      </c>
      <c r="O168" s="210" t="n">
        <f aca="false">SUM(O164:O167)</f>
        <v>0</v>
      </c>
      <c r="P168" s="210" t="n">
        <f aca="false">SUM(P164:P167)</f>
        <v>0</v>
      </c>
      <c r="Q168" s="210" t="n">
        <f aca="false">SUM(Q164:Q167)</f>
        <v>0</v>
      </c>
      <c r="R168" s="210" t="n">
        <f aca="false">SUM(R164:R167)</f>
        <v>256751</v>
      </c>
      <c r="S168" s="24"/>
      <c r="T168" s="210" t="n">
        <f aca="false">SUM(T164:T167)</f>
        <v>0</v>
      </c>
      <c r="U168" s="24"/>
      <c r="V168" s="210" t="n">
        <f aca="false">SUM(V164:V167)</f>
        <v>0</v>
      </c>
      <c r="W168" s="24"/>
      <c r="X168" s="210" t="n">
        <f aca="false">SUM(X164:X167)</f>
        <v>0</v>
      </c>
      <c r="Y168" s="24"/>
      <c r="Z168" s="210" t="n">
        <f aca="false">SUM(Z164:Z167)</f>
        <v>10000</v>
      </c>
      <c r="AA168" s="24"/>
      <c r="AB168" s="210" t="n">
        <f aca="false">SUM(AB164:AB167)</f>
        <v>0</v>
      </c>
      <c r="AC168" s="24"/>
      <c r="AD168" s="210" t="n">
        <f aca="false">SUM(AD164:AD167)</f>
        <v>605</v>
      </c>
      <c r="AE168" s="24"/>
      <c r="AF168" s="210" t="n">
        <f aca="false">SUM(AF164:AF167)</f>
        <v>0</v>
      </c>
      <c r="AG168" s="24"/>
      <c r="AH168" s="210" t="n">
        <f aca="false">SUM(AH164:AH167)</f>
        <v>21422.91</v>
      </c>
      <c r="AI168" s="0"/>
      <c r="AJ168" s="210" t="n">
        <f aca="false">SUM(AJ164:AJ167)</f>
        <v>0</v>
      </c>
      <c r="AL168" s="210" t="n">
        <f aca="false">SUM(AL164:AL167)</f>
        <v>75</v>
      </c>
      <c r="AN168" s="210" t="n">
        <f aca="false">SUM(AN164:AN167)</f>
        <v>6749.05</v>
      </c>
      <c r="AO168" s="24"/>
      <c r="AP168" s="210" t="n">
        <f aca="false">SUM(AP164:AP167)</f>
        <v>4454.98</v>
      </c>
      <c r="AQ168" s="24"/>
      <c r="AR168" s="210" t="n">
        <f aca="false">SUM(AR164:AR167)</f>
        <v>252208.46</v>
      </c>
      <c r="AS168" s="24"/>
      <c r="AT168" s="210" t="n">
        <f aca="false">SUM(AT164:AT167)</f>
        <v>49463.67</v>
      </c>
      <c r="AU168" s="24"/>
      <c r="AV168" s="210" t="n">
        <f aca="false">SUM(AV164:AV167)</f>
        <v>0</v>
      </c>
      <c r="AW168" s="24"/>
      <c r="AX168" s="210" t="n">
        <f aca="false">SUM(AX164:AX167)</f>
        <v>0</v>
      </c>
      <c r="AY168" s="24"/>
      <c r="AZ168" s="210" t="n">
        <f aca="false">SUM(AZ164:AZ167)</f>
        <v>0</v>
      </c>
      <c r="BA168" s="24"/>
      <c r="BB168" s="210" t="n">
        <f aca="false">SUM(BB164:BB167)</f>
        <v>0</v>
      </c>
      <c r="BC168" s="24"/>
      <c r="BD168" s="210" t="n">
        <f aca="false">SUM(BD164:BD167)</f>
        <v>0</v>
      </c>
      <c r="BE168" s="24"/>
      <c r="BF168" s="210" t="n">
        <f aca="false">SUM(BF164:BF167)</f>
        <v>0</v>
      </c>
      <c r="BG168" s="24"/>
      <c r="BH168" s="210" t="n">
        <f aca="false">SUM(BH164:BH167)</f>
        <v>0</v>
      </c>
      <c r="BI168" s="24"/>
      <c r="BJ168" s="210" t="n">
        <f aca="false">SUM(BJ164:BJ167)</f>
        <v>0</v>
      </c>
      <c r="BK168" s="24"/>
      <c r="BL168" s="210" t="n">
        <f aca="false">SUM(BL164:BL167)</f>
        <v>344979.07</v>
      </c>
      <c r="BM168" s="24"/>
      <c r="BN168" s="210" t="n">
        <f aca="false">SUM(BN164:BN167)</f>
        <v>0</v>
      </c>
      <c r="BO168" s="24"/>
      <c r="BP168" s="210" t="n">
        <f aca="false">SUM(BP164:BP167)</f>
        <v>213444.06</v>
      </c>
      <c r="BQ168" s="24"/>
      <c r="BR168" s="210" t="n">
        <f aca="false">SUM(BR164:BR167)</f>
        <v>558423.13</v>
      </c>
      <c r="BS168" s="24"/>
      <c r="BT168" s="210"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c r="B169" s="216"/>
      <c r="C169" s="2"/>
      <c r="D169" s="2"/>
      <c r="E169" s="2"/>
      <c r="F169" s="2"/>
      <c r="G169" s="2"/>
      <c r="H169" s="2"/>
      <c r="I169" s="2"/>
      <c r="J169" s="3"/>
      <c r="K169" s="2"/>
      <c r="L169" s="188"/>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5" t="s">
        <v>272</v>
      </c>
      <c r="B170" s="216"/>
      <c r="C170" s="216"/>
      <c r="D170" s="216"/>
      <c r="E170" s="216"/>
      <c r="F170" s="216"/>
      <c r="G170" s="216"/>
      <c r="H170" s="216"/>
      <c r="I170" s="216"/>
      <c r="J170" s="217"/>
      <c r="K170" s="216"/>
      <c r="L170" s="218" t="s">
        <v>142</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1292974</v>
      </c>
      <c r="BA170" s="24"/>
      <c r="BB170" s="24" t="n">
        <f aca="false">[1]Wilton!$T$39</f>
        <v>1330970.16094722</v>
      </c>
      <c r="BC170" s="24"/>
      <c r="BD170" s="24" t="n">
        <v>0</v>
      </c>
      <c r="BE170" s="24"/>
      <c r="BF170" s="24" t="n">
        <v>0</v>
      </c>
      <c r="BG170" s="24"/>
      <c r="BH170" s="24" t="n">
        <v>0</v>
      </c>
      <c r="BI170" s="24"/>
      <c r="BJ170" s="24" t="n">
        <v>0</v>
      </c>
      <c r="BK170" s="24"/>
      <c r="BL170" s="24" t="n">
        <f aca="false">SUM(T170:BK170)</f>
        <v>11022919.2053587</v>
      </c>
      <c r="BM170" s="24"/>
      <c r="BN170" s="24" t="n">
        <v>0</v>
      </c>
      <c r="BO170" s="24"/>
      <c r="BP170" s="115" t="n">
        <f aca="false">IF(+R170-BL170+BN170&gt;0,R170-BL170+BN170,0)-R170+[1]Wilton!$Y$39</f>
        <v>1382997.39621294</v>
      </c>
      <c r="BQ170" s="24"/>
      <c r="BR170" s="24" t="n">
        <f aca="false">+BL170+BP170</f>
        <v>12405916.6015716</v>
      </c>
      <c r="BS170" s="24"/>
      <c r="BT170" s="24" t="n">
        <f aca="false">+R170-BR170</f>
        <v>402207.398428373</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6"/>
      <c r="DT170" s="216"/>
      <c r="DU170" s="216"/>
      <c r="DV170" s="216"/>
      <c r="DW170" s="216"/>
      <c r="DX170" s="216"/>
      <c r="DY170" s="216"/>
      <c r="DZ170" s="216"/>
      <c r="EA170" s="216"/>
      <c r="EB170" s="216"/>
      <c r="EC170" s="216"/>
      <c r="ED170" s="216"/>
      <c r="EE170" s="216"/>
      <c r="EF170" s="216"/>
      <c r="EG170" s="216"/>
      <c r="EH170" s="216"/>
      <c r="EI170" s="216"/>
      <c r="EJ170" s="216"/>
      <c r="EK170" s="216"/>
      <c r="EL170" s="216"/>
      <c r="EM170" s="216"/>
      <c r="EN170" s="216"/>
      <c r="EO170" s="216"/>
      <c r="EP170" s="216"/>
      <c r="EQ170" s="216"/>
      <c r="ER170" s="216"/>
      <c r="ES170" s="216"/>
      <c r="ET170" s="216"/>
      <c r="EU170" s="216"/>
      <c r="EV170" s="216"/>
      <c r="EW170" s="216"/>
      <c r="EX170" s="216"/>
      <c r="EY170" s="216"/>
      <c r="EZ170" s="216"/>
      <c r="FA170" s="216"/>
      <c r="FB170" s="216"/>
      <c r="FC170" s="216"/>
      <c r="FD170" s="216"/>
      <c r="FE170" s="216"/>
      <c r="FF170" s="216"/>
      <c r="FG170" s="216"/>
      <c r="FH170" s="216"/>
      <c r="FI170" s="216"/>
      <c r="FJ170" s="216"/>
      <c r="FK170" s="216"/>
      <c r="FL170" s="216"/>
      <c r="FM170" s="216"/>
      <c r="FN170" s="216"/>
      <c r="FO170" s="216"/>
      <c r="FP170" s="216"/>
      <c r="FQ170" s="216"/>
      <c r="FR170" s="216"/>
      <c r="FS170" s="216"/>
      <c r="FT170" s="216"/>
      <c r="FU170" s="216"/>
      <c r="FV170" s="216"/>
      <c r="FW170" s="216"/>
      <c r="FX170" s="216"/>
      <c r="FY170" s="216"/>
      <c r="FZ170" s="216"/>
      <c r="GA170" s="216"/>
      <c r="GB170" s="216"/>
      <c r="GC170" s="216"/>
      <c r="GD170" s="216"/>
      <c r="GE170" s="216"/>
      <c r="GF170" s="216"/>
      <c r="GG170" s="216"/>
      <c r="GH170" s="216"/>
      <c r="GI170" s="216"/>
      <c r="GJ170" s="216"/>
      <c r="GK170" s="216"/>
      <c r="GL170" s="216"/>
      <c r="GM170" s="216"/>
      <c r="GN170" s="216"/>
      <c r="GO170" s="216"/>
      <c r="GP170" s="216"/>
      <c r="GQ170" s="216"/>
      <c r="GR170" s="216"/>
      <c r="GS170" s="216"/>
      <c r="GT170" s="216"/>
      <c r="GU170" s="216"/>
      <c r="GV170" s="216"/>
      <c r="GW170" s="216"/>
      <c r="GX170" s="216"/>
      <c r="GY170" s="216"/>
      <c r="GZ170" s="216"/>
      <c r="HA170" s="216"/>
      <c r="HB170" s="216"/>
      <c r="HC170" s="216"/>
      <c r="HD170" s="216"/>
      <c r="HE170" s="216"/>
      <c r="HF170" s="216"/>
      <c r="HG170" s="216"/>
      <c r="HH170" s="216"/>
      <c r="HI170" s="216"/>
      <c r="HJ170" s="216"/>
      <c r="HK170" s="216"/>
      <c r="HL170" s="216"/>
      <c r="HM170" s="216"/>
      <c r="HN170" s="216"/>
      <c r="HO170" s="216"/>
      <c r="HP170" s="216"/>
      <c r="HQ170" s="216"/>
      <c r="HR170" s="216"/>
      <c r="HS170" s="216"/>
      <c r="HT170" s="216"/>
      <c r="HU170" s="216"/>
      <c r="HV170" s="216"/>
      <c r="HW170" s="216"/>
      <c r="HX170" s="216"/>
      <c r="HY170" s="216"/>
      <c r="HZ170" s="216"/>
      <c r="IA170" s="216"/>
      <c r="IB170" s="216"/>
      <c r="IC170" s="216"/>
      <c r="ID170" s="216"/>
      <c r="IE170" s="216"/>
      <c r="IF170" s="216"/>
      <c r="IG170" s="216"/>
      <c r="IH170" s="216"/>
      <c r="II170" s="216"/>
      <c r="IJ170" s="216"/>
      <c r="IK170" s="216"/>
      <c r="IL170" s="216"/>
      <c r="IM170" s="216"/>
      <c r="IN170" s="216"/>
      <c r="IO170" s="216"/>
      <c r="IP170" s="216"/>
      <c r="IQ170" s="216"/>
      <c r="IR170" s="216"/>
      <c r="IS170" s="216"/>
      <c r="IT170" s="216"/>
      <c r="IU170" s="216"/>
      <c r="IV170" s="216"/>
      <c r="IW170" s="216"/>
    </row>
    <row r="171" customFormat="false" ht="12.75" hidden="false" customHeight="false" outlineLevel="0" collapsed="false">
      <c r="A171" s="182"/>
      <c r="B171" s="216"/>
      <c r="C171" s="2"/>
      <c r="D171" s="2"/>
      <c r="E171" s="2"/>
      <c r="F171" s="2"/>
      <c r="G171" s="2"/>
      <c r="H171" s="2"/>
      <c r="I171" s="2"/>
      <c r="J171" s="3"/>
      <c r="K171" s="2"/>
      <c r="L171" s="188"/>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2" t="s">
        <v>273</v>
      </c>
      <c r="B172" s="223"/>
      <c r="C172" s="197"/>
      <c r="D172" s="197"/>
      <c r="E172" s="197"/>
      <c r="F172" s="197"/>
      <c r="G172" s="197"/>
      <c r="H172" s="197"/>
      <c r="I172" s="197"/>
      <c r="J172" s="198"/>
      <c r="K172" s="197"/>
      <c r="L172" s="199"/>
      <c r="M172" s="200"/>
      <c r="N172" s="200"/>
      <c r="O172" s="200"/>
      <c r="P172" s="200"/>
      <c r="Q172" s="200"/>
      <c r="R172" s="200" t="n">
        <f aca="false">R170+R161+R152+R150+R148+R142+R138+R131+R124+R122+R120+R183+R116+R168+R140</f>
        <v>24972135</v>
      </c>
      <c r="S172" s="200" t="n">
        <f aca="false">S170+S161+S152+S150+S148+S142+S138+S131+S124+S122+S120+S183+S116+S168+S140</f>
        <v>0</v>
      </c>
      <c r="T172" s="200" t="n">
        <f aca="false">T170+T161+T152+T150+T148+T142+T138+T131+T124+T122+T120+T183+T116+T168+T140</f>
        <v>340000</v>
      </c>
      <c r="U172" s="200" t="n">
        <f aca="false">U170+U161+U152+U150+U148+U142+U138+U131+U124+U122+U120+U183+U116+U168+U140</f>
        <v>0</v>
      </c>
      <c r="V172" s="200" t="n">
        <f aca="false">V170+V161+V152+V150+V148+V142+V138+V131+V124+V122+V120+V183+V116+V168+V140</f>
        <v>47646</v>
      </c>
      <c r="W172" s="200" t="n">
        <f aca="false">W170+W161+W152+W150+W148+W142+W138+W131+W124+W122+W120+W183+W116+W168+W140</f>
        <v>0</v>
      </c>
      <c r="X172" s="200" t="n">
        <f aca="false">X170+X161+X152+X150+X148+X142+X138+X131+X124+X122+X120+X183+X116+X168+X140</f>
        <v>218493</v>
      </c>
      <c r="Y172" s="200" t="n">
        <f aca="false">Y170+Y161+Y152+Y150+Y148+Y142+Y138+Y131+Y124+Y122+Y120+Y183+Y116+Y168+Y140</f>
        <v>0</v>
      </c>
      <c r="Z172" s="200" t="n">
        <f aca="false">Z170+Z161+Z152+Z150+Z148+Z142+Z138+Z131+Z124+Z122+Z120+Z183+Z116+Z168+Z140</f>
        <v>292259</v>
      </c>
      <c r="AA172" s="200" t="n">
        <f aca="false">AA170+AA161+AA152+AA150+AA148+AA142+AA138+AA131+AA124+AA122+AA120+AA183+AA116+AA168+AA140</f>
        <v>0</v>
      </c>
      <c r="AB172" s="200" t="n">
        <f aca="false">AB170+AB161+AB152+AB150+AB148+AB142+AB138+AB131+AB124+AB122+AB120+AB183+AB116+AB168+AB140</f>
        <v>1722017</v>
      </c>
      <c r="AC172" s="200" t="n">
        <f aca="false">AC170+AC161+AC152+AC150+AC148+AC142+AC138+AC131+AC124+AC122+AC120+AC183+AC116+AC168+AC140</f>
        <v>0</v>
      </c>
      <c r="AD172" s="200" t="n">
        <f aca="false">AD170+AD161+AD152+AD150+AD148+AD142+AD138+AD131+AD124+AD122+AD120+AD183+AD116+AD168+AD140</f>
        <v>540746.83</v>
      </c>
      <c r="AE172" s="200" t="n">
        <f aca="false">AE170+AE161+AE152+AE150+AE148+AE142+AE138+AE131+AE124+AE122+AE120+AE183+AE116+AE168+AE140</f>
        <v>0</v>
      </c>
      <c r="AF172" s="200" t="n">
        <f aca="false">AF170+AF161+AF152+AF150+AF148+AF142+AF138+AF131+AF124+AF122+AF120+AF183+AF116+AF168+AF140</f>
        <v>622375.140854167</v>
      </c>
      <c r="AG172" s="200" t="n">
        <f aca="false">AG170+AG161+AG152+AG150+AG148+AG142+AG138+AG131+AG124+AG122+AG120+AG183+AG116+AG168+AG140</f>
        <v>0</v>
      </c>
      <c r="AH172" s="200" t="n">
        <f aca="false">AH170+AH161+AH152+AH150+AH148+AH142+AH138+AH131+AH124+AH122+AH120+AH183+AH116+AH168+AH140</f>
        <v>1381148.86412685</v>
      </c>
      <c r="AI172" s="200" t="n">
        <f aca="false">AI170+AI161+AI152+AI150+AI148+AI142+AI138+AI131+AI124+AI122+AI120+AI183+AI116+AI168+AI140</f>
        <v>0</v>
      </c>
      <c r="AJ172" s="200" t="n">
        <f aca="false">AJ170+AJ161+AJ152+AJ150+AJ148+AJ142+AJ138+AJ131+AJ124+AJ122+AJ120+AJ183+AJ116+AJ168+AJ140</f>
        <v>515549.775388706</v>
      </c>
      <c r="AK172" s="200" t="n">
        <f aca="false">AK170+AK161+AK152+AK150+AK148+AK142+AK138+AK131+AK124+AK122+AK120+AK183+AK116+AK168+AK140</f>
        <v>0</v>
      </c>
      <c r="AL172" s="200" t="n">
        <f aca="false">AL170+AL161+AL152+AL150+AL148+AL142+AL138+AL131+AL124+AL122+AL120+AL183+AL116+AL168+AL140</f>
        <v>551052.15570277</v>
      </c>
      <c r="AM172" s="200" t="n">
        <f aca="false">AM170+AM161+AM152+AM150+AM148+AM142+AM138+AM131+AM124+AM122+AM120+AM183+AM116+AM168+AM140</f>
        <v>0</v>
      </c>
      <c r="AN172" s="200" t="n">
        <f aca="false">AN170+AN161+AN152+AN150+AN148+AN142+AN138+AN131+AN124+AN122+AN120+AN183+AN116+AN168+AN140</f>
        <v>693677.65</v>
      </c>
      <c r="AO172" s="200" t="n">
        <f aca="false">AO170+AO161+AO152+AO150+AO148+AO142+AO138+AO131+AO124+AO122+AO120+AO183+AO116+AO168+AO140</f>
        <v>0</v>
      </c>
      <c r="AP172" s="200" t="n">
        <f aca="false">AP170+AP161+AP152+AP150+AP148+AP142+AP138+AP131+AP124+AP122+AP120+AP183+AP116+AP168+AP140</f>
        <v>997479.583877047</v>
      </c>
      <c r="AQ172" s="200" t="n">
        <f aca="false">AQ170+AQ161+AQ152+AQ150+AQ148+AQ142+AQ138+AQ131+AQ124+AQ122+AQ120+AQ183+AQ116+AQ168+AQ140</f>
        <v>0</v>
      </c>
      <c r="AR172" s="200" t="n">
        <f aca="false">AR170+AR161+AR152+AR150+AR148+AR142+AR138+AR131+AR124+AR122+AR120+AR183+AR116+AR168+AR140</f>
        <v>1810970.32529527</v>
      </c>
      <c r="AS172" s="200" t="n">
        <f aca="false">AS170+AS161+AS152+AS150+AS148+AS142+AS138+AS131+AS124+AS122+AS120+AS183+AS116+AS168+AS140</f>
        <v>0</v>
      </c>
      <c r="AT172" s="200" t="n">
        <f aca="false">AT170+AT161+AT152+AT150+AT148+AT142+AT138+AT131+AT124+AT122+AT120+AT183+AT116+AT168+AT140</f>
        <v>1294710.12590451</v>
      </c>
      <c r="AU172" s="200" t="n">
        <f aca="false">AU170+AU161+AU152+AU150+AU148+AU142+AU138+AU131+AU124+AU122+AU120+AU183+AU116+AU168+AU140</f>
        <v>0</v>
      </c>
      <c r="AV172" s="200" t="n">
        <f aca="false">AV170+AV161+AV152+AV150+AV148+AV142+AV138+AV131+AV124+AV122+AV120+AV183+AV116+AV168+AV140</f>
        <v>1582025.67877121</v>
      </c>
      <c r="AW172" s="200" t="n">
        <f aca="false">AW170+AW161+AW152+AW150+AW148+AW142+AW138+AW131+AW124+AW122+AW120+AW183+AW116+AW168+AW140</f>
        <v>0</v>
      </c>
      <c r="AX172" s="200" t="n">
        <f aca="false">AX170+AX161+AX152+AX150+AX148+AX142+AX138+AX131+AX124+AX122+AX120+AX183+AX116+AX168+AX140</f>
        <v>1568800.33449095</v>
      </c>
      <c r="AY172" s="200" t="n">
        <f aca="false">AY170+AY161+AY152+AY150+AY148+AY142+AY138+AY131+AY124+AY122+AY120+AY183+AY116+AY168+AY140</f>
        <v>0</v>
      </c>
      <c r="AZ172" s="200" t="n">
        <f aca="false">AZ170+AZ161+AZ152+AZ150+AZ148+AZ142+AZ138+AZ131+AZ124+AZ122+AZ120+AZ183+AZ116+AZ168+AZ140</f>
        <v>1875329.53</v>
      </c>
      <c r="BA172" s="200" t="n">
        <f aca="false">BA170+BA161+BA152+BA150+BA148+BA142+BA138+BA131+BA124+BA122+BA120+BA183+BA116+BA168+BA140</f>
        <v>0</v>
      </c>
      <c r="BB172" s="200" t="n">
        <f aca="false">BB170+BB161+BB152+BB150+BB148+BB142+BB138+BB131+BB124+BB122+BB120+BB183+BB116+BB168+BB140</f>
        <v>5917926.38094722</v>
      </c>
      <c r="BC172" s="200" t="n">
        <f aca="false">BC170+BC161+BC152+BC150+BC148+BC142+BC138+BC131+BC124+BC122+BC120+BC183+BC116+BC168+BC140</f>
        <v>0</v>
      </c>
      <c r="BD172" s="200" t="n">
        <f aca="false">BD170+BD161+BD152+BD150+BD148+BD142+BD138+BD131+BD124+BD122+BD120+BD183+BD116+BD168+BD140</f>
        <v>0</v>
      </c>
      <c r="BE172" s="200" t="n">
        <f aca="false">BE170+BE161+BE152+BE150+BE148+BE142+BE138+BE131+BE124+BE122+BE120+BE183+BE116+BE168+BE140</f>
        <v>0</v>
      </c>
      <c r="BF172" s="200" t="n">
        <f aca="false">BF170+BF161+BF152+BF150+BF148+BF142+BF138+BF131+BF124+BF122+BF120+BF183+BF116+BF168+BF140</f>
        <v>0</v>
      </c>
      <c r="BG172" s="200" t="n">
        <f aca="false">BG170+BG161+BG152+BG150+BG148+BG142+BG138+BG131+BG124+BG122+BG120+BG183+BG116+BG168+BG140</f>
        <v>0</v>
      </c>
      <c r="BH172" s="200" t="n">
        <f aca="false">BH170+BH161+BH152+BH150+BH148+BH142+BH138+BH131+BH124+BH122+BH120+BH183+BH116+BH168+BH140</f>
        <v>0</v>
      </c>
      <c r="BI172" s="200" t="n">
        <f aca="false">BI170+BI161+BI152+BI150+BI148+BI142+BI138+BI131+BI124+BI122+BI120+BI183+BI116+BI168+BI140</f>
        <v>0</v>
      </c>
      <c r="BJ172" s="200" t="n">
        <f aca="false">BJ170+BJ161+BJ152+BJ150+BJ148+BJ142+BJ138+BJ131+BJ124+BJ122+BJ120+BJ183+BJ116+BJ168+BJ140</f>
        <v>0</v>
      </c>
      <c r="BK172" s="200" t="n">
        <f aca="false">BK170+BK161+BK152+BK150+BK148+BK142+BK138+BK131+BK124+BK122+BK120+BK183+BK116+BK168+BK140</f>
        <v>0</v>
      </c>
      <c r="BL172" s="200" t="n">
        <f aca="false">BL170+BL161+BL152+BL150+BL148+BL142+BL138+BL131+BL124+BL122+BL120+BL183+BL116+BL168+BL140</f>
        <v>21972207.3753587</v>
      </c>
      <c r="BM172" s="200" t="n">
        <f aca="false">BM170+BM161+BM152+BM150+BM148+BM142+BM138+BM131+BM124+BM122+BM120+BM183+BM116+BM168+BM140</f>
        <v>0</v>
      </c>
      <c r="BN172" s="200" t="n">
        <f aca="false">BN170+BN161+BN152+BN150+BN148+BN142+BN138+BN131+BN124+BN122+BN120+BN183+BN116+BN168+BN140</f>
        <v>8028502</v>
      </c>
      <c r="BO172" s="200" t="n">
        <f aca="false">BO170+BO161+BO152+BO150+BO148+BO142+BO138+BO131+BO124+BO122+BO120+BO183+BO116+BO168+BO140</f>
        <v>0</v>
      </c>
      <c r="BP172" s="200" t="n">
        <f aca="false">BP170+BP161+BP152+BP150+BP148+BP142+BP138+BP131+BP124+BP122+BP120+BP183+BP116+BP168+BP140</f>
        <v>12241165.1062129</v>
      </c>
      <c r="BQ172" s="200" t="n">
        <f aca="false">BQ170+BQ161+BQ152+BQ150+BQ148+BQ142+BQ138+BQ131+BQ124+BQ122+BQ120+BQ183+BQ116+BQ168+BQ140</f>
        <v>0</v>
      </c>
      <c r="BR172" s="200" t="n">
        <f aca="false">BR170+BR161+BR152+BR150+BR148+BR142+BR138+BR131+BR124+BR122+BR120+BR183+BR116+BR168+BR140</f>
        <v>34213372.4815716</v>
      </c>
      <c r="BS172" s="200" t="n">
        <f aca="false">BS170+BS161+BS152+BS150+BS148+BS142+BS138+BS131+BS124+BS122+BS120+BS183+BS116+BS168+BS140</f>
        <v>0</v>
      </c>
      <c r="BT172" s="200" t="n">
        <f aca="false">BT170+BT161+BT152+BT150+BT148+BT142+BT138+BT131+BT124+BT122+BT120+BT183+BT116+BT168+BT140</f>
        <v>-9161237.48157163</v>
      </c>
      <c r="BU172" s="200" t="n">
        <f aca="false">BU170+BU161+BU152+BU150+BU148+BU142+BU138+BU131+BU124+BU122+BU120+BU183+BU116+BU168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7"/>
      <c r="DT172" s="197"/>
      <c r="DU172" s="197"/>
      <c r="DV172" s="197"/>
      <c r="DW172" s="197"/>
      <c r="DX172" s="197"/>
      <c r="DY172" s="197"/>
      <c r="DZ172" s="197"/>
      <c r="EA172" s="197"/>
      <c r="EB172" s="197"/>
      <c r="EC172" s="197"/>
      <c r="ED172" s="197"/>
      <c r="EE172" s="197"/>
      <c r="EF172" s="197"/>
      <c r="EG172" s="197"/>
      <c r="EH172" s="197"/>
      <c r="EI172" s="197"/>
      <c r="EJ172" s="197"/>
      <c r="EK172" s="197"/>
      <c r="EL172" s="197"/>
      <c r="EM172" s="197"/>
      <c r="EN172" s="197"/>
      <c r="EO172" s="197"/>
      <c r="EP172" s="197"/>
      <c r="EQ172" s="197"/>
      <c r="ER172" s="197"/>
      <c r="ES172" s="197"/>
      <c r="ET172" s="197"/>
      <c r="EU172" s="197"/>
      <c r="EV172" s="197"/>
      <c r="EW172" s="197"/>
      <c r="EX172" s="197"/>
      <c r="EY172" s="197"/>
      <c r="EZ172" s="197"/>
      <c r="FA172" s="197"/>
      <c r="FB172" s="197"/>
      <c r="FC172" s="197"/>
      <c r="FD172" s="197"/>
      <c r="FE172" s="197"/>
      <c r="FF172" s="197"/>
      <c r="FG172" s="197"/>
      <c r="FH172" s="197"/>
      <c r="FI172" s="197"/>
      <c r="FJ172" s="197"/>
      <c r="FK172" s="197"/>
      <c r="FL172" s="197"/>
      <c r="FM172" s="197"/>
      <c r="FN172" s="197"/>
      <c r="FO172" s="197"/>
      <c r="FP172" s="197"/>
      <c r="FQ172" s="197"/>
      <c r="FR172" s="197"/>
      <c r="FS172" s="197"/>
      <c r="FT172" s="197"/>
      <c r="FU172" s="197"/>
      <c r="FV172" s="197"/>
      <c r="FW172" s="197"/>
      <c r="FX172" s="197"/>
      <c r="FY172" s="197"/>
      <c r="FZ172" s="197"/>
      <c r="GA172" s="197"/>
      <c r="GB172" s="197"/>
      <c r="GC172" s="197"/>
      <c r="GD172" s="197"/>
      <c r="GE172" s="197"/>
      <c r="GF172" s="197"/>
      <c r="GG172" s="197"/>
      <c r="GH172" s="197"/>
      <c r="GI172" s="197"/>
      <c r="GJ172" s="197"/>
      <c r="GK172" s="197"/>
      <c r="GL172" s="197"/>
      <c r="GM172" s="197"/>
      <c r="GN172" s="197"/>
      <c r="GO172" s="197"/>
      <c r="GP172" s="197"/>
      <c r="GQ172" s="197"/>
      <c r="GR172" s="197"/>
      <c r="GS172" s="197"/>
      <c r="GT172" s="197"/>
      <c r="GU172" s="197"/>
      <c r="GV172" s="197"/>
      <c r="GW172" s="197"/>
      <c r="GX172" s="197"/>
      <c r="GY172" s="197"/>
      <c r="GZ172" s="197"/>
      <c r="HA172" s="197"/>
      <c r="HB172" s="197"/>
      <c r="HC172" s="197"/>
      <c r="HD172" s="197"/>
      <c r="HE172" s="197"/>
      <c r="HF172" s="197"/>
      <c r="HG172" s="197"/>
      <c r="HH172" s="197"/>
      <c r="HI172" s="197"/>
      <c r="HJ172" s="197"/>
      <c r="HK172" s="197"/>
      <c r="HL172" s="197"/>
      <c r="HM172" s="197"/>
      <c r="HN172" s="197"/>
      <c r="HO172" s="197"/>
      <c r="HP172" s="197"/>
      <c r="HQ172" s="197"/>
      <c r="HR172" s="197"/>
      <c r="HS172" s="197"/>
      <c r="HT172" s="197"/>
      <c r="HU172" s="197"/>
      <c r="HV172" s="197"/>
      <c r="HW172" s="197"/>
      <c r="HX172" s="197"/>
      <c r="HY172" s="197"/>
      <c r="HZ172" s="197"/>
      <c r="IA172" s="197"/>
      <c r="IB172" s="197"/>
      <c r="IC172" s="197"/>
      <c r="ID172" s="197"/>
      <c r="IE172" s="197"/>
      <c r="IF172" s="197"/>
      <c r="IG172" s="197"/>
      <c r="IH172" s="197"/>
      <c r="II172" s="197"/>
      <c r="IJ172" s="197"/>
      <c r="IK172" s="197"/>
      <c r="IL172" s="197"/>
      <c r="IM172" s="197"/>
      <c r="IN172" s="197"/>
      <c r="IO172" s="197"/>
      <c r="IP172" s="197"/>
      <c r="IQ172" s="197"/>
      <c r="IR172" s="197"/>
      <c r="IS172" s="197"/>
      <c r="IT172" s="197"/>
      <c r="IU172" s="197"/>
      <c r="IV172" s="197"/>
      <c r="IW172" s="197"/>
    </row>
    <row r="173" customFormat="false" ht="12.75" hidden="false" customHeight="false" outlineLevel="0" collapsed="false">
      <c r="A173" s="182"/>
      <c r="B173" s="216"/>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t="s">
        <v>178</v>
      </c>
      <c r="B174" s="216"/>
      <c r="C174" s="2"/>
      <c r="D174" s="2"/>
      <c r="E174" s="2"/>
      <c r="F174" s="2"/>
      <c r="G174" s="2"/>
      <c r="H174" s="2"/>
      <c r="I174" s="2"/>
      <c r="J174" s="3"/>
      <c r="K174" s="2"/>
      <c r="L174" s="188" t="s">
        <v>142</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15" t="n">
        <f aca="false">IF(+R174-BL174+BN174&gt;0,R174-BL174+BN174,0)</f>
        <v>0</v>
      </c>
      <c r="BQ174" s="24" t="n">
        <v>2030320</v>
      </c>
      <c r="BR174" s="24" t="n">
        <f aca="false">+BL174+BP174</f>
        <v>0</v>
      </c>
      <c r="BS174" s="24" t="n">
        <v>2030320</v>
      </c>
      <c r="BT174" s="115"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2"/>
      <c r="B176" s="216"/>
      <c r="C176" s="2"/>
      <c r="D176" s="2"/>
      <c r="E176" s="2"/>
      <c r="F176" s="2"/>
      <c r="G176" s="2"/>
      <c r="H176" s="2"/>
      <c r="I176" s="2"/>
      <c r="J176" s="3"/>
      <c r="K176" s="2"/>
      <c r="L176" s="188"/>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4" t="s">
        <v>274</v>
      </c>
      <c r="B177" s="225"/>
      <c r="C177" s="225"/>
      <c r="D177" s="225"/>
      <c r="E177" s="225"/>
      <c r="F177" s="225"/>
      <c r="G177" s="225"/>
      <c r="H177" s="225"/>
      <c r="I177" s="225"/>
      <c r="J177" s="226"/>
      <c r="K177" s="225"/>
      <c r="L177" s="227"/>
      <c r="M177" s="228"/>
      <c r="N177" s="228"/>
      <c r="O177" s="228"/>
      <c r="P177" s="228"/>
      <c r="Q177" s="228"/>
      <c r="R177" s="229" t="n">
        <f aca="false">R33+R98+R88+R107+R172+R174</f>
        <v>239675467.75</v>
      </c>
      <c r="S177" s="229" t="n">
        <f aca="false">S33+S98+S88+S107+S172+S174</f>
        <v>0</v>
      </c>
      <c r="T177" s="229" t="n">
        <f aca="false">T33+T98+T88+T107+T172+T174</f>
        <v>7140000</v>
      </c>
      <c r="U177" s="229" t="n">
        <f aca="false">U33+U98+U88+U107+U172+U174</f>
        <v>0</v>
      </c>
      <c r="V177" s="229" t="n">
        <f aca="false">V33+V98+V88+V107+V172+V174</f>
        <v>1297646</v>
      </c>
      <c r="W177" s="229" t="n">
        <f aca="false">W33+W98+W88+W107+W172+W174</f>
        <v>0</v>
      </c>
      <c r="X177" s="229" t="n">
        <f aca="false">X33+X98+X88+X107+X172+X174</f>
        <v>33103293</v>
      </c>
      <c r="Y177" s="229" t="n">
        <f aca="false">Y33+Y98+Y88+Y107+Y172+Y174</f>
        <v>0</v>
      </c>
      <c r="Z177" s="229" t="n">
        <f aca="false">Z33+Z98+Z88+Z107+Z172+Z174</f>
        <v>292259</v>
      </c>
      <c r="AA177" s="229" t="n">
        <f aca="false">AA33+AA98+AA88+AA107+AA172+AA174</f>
        <v>0</v>
      </c>
      <c r="AB177" s="229" t="n">
        <f aca="false">AB33+AB98+AB88+AB107+AB172+AB174</f>
        <v>1722017</v>
      </c>
      <c r="AC177" s="229" t="n">
        <f aca="false">AC33+AC98+AC88+AC107+AC172+AC174</f>
        <v>0</v>
      </c>
      <c r="AD177" s="229" t="n">
        <f aca="false">AD33+AD98+AD88+AD107+AD172+AD174</f>
        <v>18851273.83</v>
      </c>
      <c r="AE177" s="229"/>
      <c r="AF177" s="229" t="n">
        <f aca="false">AF33+AF98+AF88+AF107+AF172+AF174</f>
        <v>8237655.14085417</v>
      </c>
      <c r="AG177" s="229"/>
      <c r="AH177" s="229" t="n">
        <f aca="false">AH33+AH98+AH88+AH107+AH172+AH174</f>
        <v>8871230.93746018</v>
      </c>
      <c r="AI177" s="0"/>
      <c r="AJ177" s="229" t="n">
        <f aca="false">AJ33+AJ98+AJ88+AJ107+AJ172+AJ174</f>
        <v>6989210.12538871</v>
      </c>
      <c r="AL177" s="229" t="n">
        <f aca="false">AL33+AL98+AL88+AL107+AL172+AL174</f>
        <v>7789231.15570277</v>
      </c>
      <c r="AN177" s="229" t="n">
        <f aca="false">AN33+AN98+AN88+AN107+AN172+AN174</f>
        <v>11600775.18</v>
      </c>
      <c r="AO177" s="229" t="n">
        <f aca="false">AO33+AO98+AO88+AO107+AO172+AO174</f>
        <v>0</v>
      </c>
      <c r="AP177" s="229" t="n">
        <f aca="false">AP33+AP98+AP88+AP107+AP172+AP174</f>
        <v>17679120.913877</v>
      </c>
      <c r="AQ177" s="229" t="n">
        <f aca="false">AQ33+AQ98+AQ88+AQ107+AQ172+AQ174</f>
        <v>0</v>
      </c>
      <c r="AR177" s="229" t="n">
        <f aca="false">AR33+AR98+AR88+AR107+AR172+AR174</f>
        <v>39304333.6952953</v>
      </c>
      <c r="AS177" s="229" t="n">
        <f aca="false">AS33+AS98+AS88+AS107+AS172+AS174</f>
        <v>0</v>
      </c>
      <c r="AT177" s="229" t="n">
        <f aca="false">AT33+AT98+AT88+AT107+AT172+AT174</f>
        <v>2943898.25590451</v>
      </c>
      <c r="AU177" s="229" t="n">
        <f aca="false">AU33+AU98+AU88+AU107+AU172+AU174</f>
        <v>0</v>
      </c>
      <c r="AV177" s="229" t="n">
        <f aca="false">AV33+AV98+AV88+AV107+AV172+AV174</f>
        <v>29327061.2587712</v>
      </c>
      <c r="AW177" s="229" t="n">
        <f aca="false">AW33+AW98+AW88+AW107+AW172+AW174</f>
        <v>0</v>
      </c>
      <c r="AX177" s="229" t="n">
        <f aca="false">AX33+AX98+AX88+AX107+AX172+AX174</f>
        <v>23456763.2844909</v>
      </c>
      <c r="AY177" s="229" t="n">
        <f aca="false">AY33+AY98+AY88+AY107+AY172+AY174</f>
        <v>0</v>
      </c>
      <c r="AZ177" s="229" t="n">
        <f aca="false">AZ33+AZ98+AZ88+AZ107+AZ172+AZ174</f>
        <v>22126233.53</v>
      </c>
      <c r="BA177" s="229" t="n">
        <f aca="false">BA33+BA98+BA88+BA107+BA172+BA174</f>
        <v>0</v>
      </c>
      <c r="BB177" s="229" t="n">
        <f aca="false">BB33+BB98+BB88+BB107+BB172+BB174</f>
        <v>6822214.51094722</v>
      </c>
      <c r="BC177" s="229" t="n">
        <f aca="false">BC33+BC98+BC88+BC107+BC172+BC174</f>
        <v>0</v>
      </c>
      <c r="BD177" s="229" t="n">
        <f aca="false">BD33+BD98+BD88+BD107+BD172+BD174</f>
        <v>0</v>
      </c>
      <c r="BE177" s="229" t="n">
        <f aca="false">BE33+BE98+BE88+BE107+BE172+BE174</f>
        <v>0</v>
      </c>
      <c r="BF177" s="229" t="n">
        <f aca="false">BF33+BF98+BF88+BF107+BF172+BF174</f>
        <v>0</v>
      </c>
      <c r="BG177" s="229" t="n">
        <f aca="false">BG33+BG98+BG88+BG107+BG172+BG174</f>
        <v>0</v>
      </c>
      <c r="BH177" s="229" t="n">
        <f aca="false">BH33+BH98+BH88+BH107+BH172+BH174</f>
        <v>0</v>
      </c>
      <c r="BI177" s="229" t="n">
        <f aca="false">BI33+BI98+BI88+BI107+BI172+BI174</f>
        <v>0</v>
      </c>
      <c r="BJ177" s="229" t="n">
        <f aca="false">BJ33+BJ98+BJ88+BJ107+BJ172+BJ174</f>
        <v>0</v>
      </c>
      <c r="BK177" s="229" t="n">
        <f aca="false">BK33+BK98+BK88+BK107+BK172+BK174</f>
        <v>0</v>
      </c>
      <c r="BL177" s="229" t="n">
        <f aca="false">BL33+BL98+BL88+BL107+BL172+BL174</f>
        <v>247554216.818692</v>
      </c>
      <c r="BM177" s="229" t="n">
        <f aca="false">BM33+BM98+BM88+BM107+BM172+BM174</f>
        <v>2030320</v>
      </c>
      <c r="BN177" s="229" t="n">
        <f aca="false">BN33+BN98+BN88+BN107+BN172+BN174</f>
        <v>29809740</v>
      </c>
      <c r="BO177" s="229" t="n">
        <f aca="false">BO33+BO98+BO88+BO107+BO172+BO174</f>
        <v>2030320</v>
      </c>
      <c r="BP177" s="229" t="n">
        <f aca="false">BP33+BP98+BP88+BP107+BP172+BP174</f>
        <v>24767178.1028796</v>
      </c>
      <c r="BQ177" s="229" t="n">
        <f aca="false">BQ33+BQ98+BQ88+BQ107+BQ172+BQ174</f>
        <v>2030320</v>
      </c>
      <c r="BR177" s="229" t="n">
        <f aca="false">BR33+BR98+BR88+BR107+BR172+BR174</f>
        <v>257136765.921572</v>
      </c>
      <c r="BS177" s="229" t="n">
        <f aca="false">BS33+BS98+BS88+BS107+BS172+BS174</f>
        <v>2030320</v>
      </c>
      <c r="BT177" s="229" t="n">
        <f aca="false">BT33+BT98+BT88+BT107+BT172+BT174</f>
        <v>-31381298.1715716</v>
      </c>
      <c r="BU177" s="228"/>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c r="GY177" s="225"/>
      <c r="GZ177" s="225"/>
      <c r="HA177" s="225"/>
      <c r="HB177" s="225"/>
      <c r="HC177" s="225"/>
      <c r="HD177" s="225"/>
      <c r="HE177" s="225"/>
      <c r="HF177" s="225"/>
      <c r="HG177" s="225"/>
      <c r="HH177" s="225"/>
      <c r="HI177" s="225"/>
      <c r="HJ177" s="225"/>
      <c r="HK177" s="225"/>
      <c r="HL177" s="225"/>
      <c r="HM177" s="225"/>
      <c r="HN177" s="225"/>
      <c r="HO177" s="225"/>
      <c r="HP177" s="225"/>
      <c r="HQ177" s="225"/>
      <c r="HR177" s="225"/>
      <c r="HS177" s="225"/>
      <c r="HT177" s="225"/>
      <c r="HU177" s="225"/>
      <c r="HV177" s="225"/>
      <c r="HW177" s="225"/>
      <c r="HX177" s="225"/>
      <c r="HY177" s="225"/>
      <c r="HZ177" s="225"/>
      <c r="IA177" s="225"/>
      <c r="IB177" s="225"/>
      <c r="IC177" s="225"/>
      <c r="ID177" s="225"/>
      <c r="IE177" s="225"/>
      <c r="IF177" s="225"/>
      <c r="IG177" s="225"/>
      <c r="IH177" s="225"/>
      <c r="II177" s="225"/>
      <c r="IJ177" s="225"/>
      <c r="IK177" s="225"/>
      <c r="IL177" s="225"/>
      <c r="IM177" s="225"/>
      <c r="IN177" s="225"/>
      <c r="IO177" s="225"/>
      <c r="IP177" s="225"/>
      <c r="IQ177" s="225"/>
      <c r="IR177" s="225"/>
      <c r="IS177" s="225"/>
      <c r="IT177" s="225"/>
      <c r="IU177" s="225"/>
      <c r="IV177" s="225"/>
      <c r="IW177" s="225"/>
    </row>
    <row r="178" customFormat="false" ht="12.75" hidden="false" customHeight="false" outlineLevel="0" collapsed="false">
      <c r="A178" s="182" t="s">
        <v>275</v>
      </c>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422922.312371006</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2"/>
      <c r="B179" s="216"/>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5" t="s">
        <v>276</v>
      </c>
      <c r="B180" s="216"/>
      <c r="C180" s="2"/>
      <c r="D180" s="2"/>
      <c r="E180" s="2"/>
      <c r="F180" s="2"/>
      <c r="G180" s="2"/>
      <c r="H180" s="2"/>
      <c r="I180" s="2"/>
      <c r="J180" s="3"/>
      <c r="K180" s="2"/>
      <c r="L180" s="188" t="s">
        <v>142</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15"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c r="B181" s="216"/>
      <c r="C181" s="2"/>
      <c r="D181" s="2"/>
      <c r="E181" s="2"/>
      <c r="F181" s="2"/>
      <c r="G181" s="2"/>
      <c r="H181" s="2"/>
      <c r="I181" s="2"/>
      <c r="J181" s="3"/>
      <c r="K181" s="2"/>
      <c r="L181" s="188"/>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t="s">
        <v>277</v>
      </c>
      <c r="B182" s="216"/>
      <c r="C182" s="2"/>
      <c r="D182" s="2"/>
      <c r="E182" s="2"/>
      <c r="F182" s="2"/>
      <c r="G182" s="2"/>
      <c r="H182" s="2"/>
      <c r="I182" s="2"/>
      <c r="J182" s="3"/>
      <c r="K182" s="2"/>
      <c r="L182" s="188"/>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t="n">
        <v>100</v>
      </c>
      <c r="BC182" s="24"/>
      <c r="BD182" s="24"/>
      <c r="BE182" s="24"/>
      <c r="BF182" s="24"/>
      <c r="BG182" s="24"/>
      <c r="BH182" s="24"/>
      <c r="BI182" s="24"/>
      <c r="BJ182" s="24"/>
      <c r="BK182" s="24"/>
      <c r="BL182" s="24" t="n">
        <f aca="false">SUM(T182:BK182)</f>
        <v>1289</v>
      </c>
      <c r="BM182" s="24"/>
      <c r="BN182" s="24" t="n">
        <v>0</v>
      </c>
      <c r="BO182" s="24"/>
      <c r="BP182" s="115" t="n">
        <f aca="false">IF(+R182-BL182+BN182&gt;0,R182-BL182+BN182,0)</f>
        <v>0</v>
      </c>
      <c r="BQ182" s="24"/>
      <c r="BR182" s="24" t="n">
        <f aca="false">+BL182+BP182</f>
        <v>1289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6" t="s">
        <v>278</v>
      </c>
      <c r="B183" s="215"/>
      <c r="C183" s="2"/>
      <c r="D183" s="2"/>
      <c r="E183" s="2"/>
      <c r="F183" s="2"/>
      <c r="G183" s="2"/>
      <c r="H183" s="2"/>
      <c r="I183" s="2"/>
      <c r="J183" s="3" t="s">
        <v>132</v>
      </c>
      <c r="K183" s="2"/>
      <c r="L183" s="188" t="s">
        <v>142</v>
      </c>
      <c r="M183" s="24"/>
      <c r="N183" s="24" t="n">
        <v>0</v>
      </c>
      <c r="O183" s="24"/>
      <c r="P183" s="24" t="n">
        <v>0</v>
      </c>
      <c r="Q183" s="24"/>
      <c r="R183" s="24" t="n">
        <v>0</v>
      </c>
      <c r="S183" s="24"/>
      <c r="T183" s="24" t="n">
        <v>0</v>
      </c>
      <c r="U183" s="24"/>
      <c r="V183" s="24" t="n">
        <v>0</v>
      </c>
      <c r="W183" s="24"/>
      <c r="X183" s="24" t="n">
        <v>0</v>
      </c>
      <c r="Y183" s="24"/>
      <c r="Z183" s="24" t="n">
        <v>0</v>
      </c>
      <c r="AA183" s="24"/>
      <c r="AB183" s="24" t="n">
        <v>0</v>
      </c>
      <c r="AC183" s="24"/>
      <c r="AD183" s="24" t="n">
        <v>0</v>
      </c>
      <c r="AE183" s="24"/>
      <c r="AF183" s="24" t="n">
        <v>0</v>
      </c>
      <c r="AG183" s="24"/>
      <c r="AH183" s="24" t="n">
        <v>0</v>
      </c>
      <c r="AI183" s="0"/>
      <c r="AJ183" s="24" t="n">
        <v>0</v>
      </c>
      <c r="AL183" s="24" t="n">
        <v>0</v>
      </c>
      <c r="AN183" s="24" t="n">
        <v>0</v>
      </c>
      <c r="AO183" s="24"/>
      <c r="AP183" s="24" t="n">
        <v>0</v>
      </c>
      <c r="AQ183" s="24"/>
      <c r="AR183" s="24" t="n">
        <v>0</v>
      </c>
      <c r="AS183" s="24"/>
      <c r="AT183" s="24" t="n">
        <v>0</v>
      </c>
      <c r="AU183" s="24"/>
      <c r="AV183" s="24" t="n">
        <v>0</v>
      </c>
      <c r="AW183" s="24"/>
      <c r="AX183" s="24" t="n">
        <v>0</v>
      </c>
      <c r="AY183" s="24"/>
      <c r="AZ183" s="24" t="n">
        <v>0</v>
      </c>
      <c r="BA183" s="24"/>
      <c r="BB183" s="24" t="n">
        <v>80000</v>
      </c>
      <c r="BC183" s="24"/>
      <c r="BD183" s="24" t="n">
        <v>0</v>
      </c>
      <c r="BE183" s="24"/>
      <c r="BF183" s="24" t="n">
        <v>0</v>
      </c>
      <c r="BG183" s="24"/>
      <c r="BH183" s="24" t="n">
        <v>0</v>
      </c>
      <c r="BI183" s="24"/>
      <c r="BJ183" s="24" t="n">
        <v>0</v>
      </c>
      <c r="BK183" s="24"/>
      <c r="BL183" s="24" t="n">
        <f aca="false">SUM(T183:BK183)</f>
        <v>80000</v>
      </c>
      <c r="BM183" s="24"/>
      <c r="BN183" s="24" t="n">
        <v>0</v>
      </c>
      <c r="BO183" s="24"/>
      <c r="BP183" s="115" t="n">
        <f aca="false">IF(+R183-BL183+BN183&gt;0,R183-BL183+BN183,0)</f>
        <v>0</v>
      </c>
      <c r="BQ183" s="24"/>
      <c r="BR183" s="24" t="n">
        <f aca="false">+BL183+BP183</f>
        <v>80000</v>
      </c>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t="s">
        <v>279</v>
      </c>
      <c r="B184" s="216"/>
      <c r="C184" s="2"/>
      <c r="D184" s="2"/>
      <c r="E184" s="2"/>
      <c r="F184" s="2"/>
      <c r="G184" s="2"/>
      <c r="H184" s="2"/>
      <c r="I184" s="2"/>
      <c r="J184" s="3"/>
      <c r="K184" s="2"/>
      <c r="L184" s="188"/>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15"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c r="B185" s="216"/>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t="s">
        <v>280</v>
      </c>
      <c r="B186" s="216"/>
      <c r="C186" s="2"/>
      <c r="D186" s="2"/>
      <c r="E186" s="2"/>
      <c r="F186" s="2"/>
      <c r="G186" s="2"/>
      <c r="H186" s="2"/>
      <c r="I186" s="2"/>
      <c r="J186" s="3"/>
      <c r="K186" s="2"/>
      <c r="L186" s="188"/>
      <c r="M186" s="24"/>
      <c r="N186" s="24"/>
      <c r="O186" s="24"/>
      <c r="P186" s="24"/>
      <c r="Q186" s="24"/>
      <c r="R186" s="24" t="n">
        <f aca="false">R177+R180+R182+R184</f>
        <v>239612890.75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22126233.53</v>
      </c>
      <c r="BA186" s="24" t="n">
        <f aca="false">BA177+BA180+BA182+BA184</f>
        <v>0</v>
      </c>
      <c r="BB186" s="24" t="n">
        <f aca="false">BB177+BB180+BB182+BB184</f>
        <v>6822314.51094722</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BL177+BL180+BL182+BL184+BL183</f>
        <v>247479687.328692</v>
      </c>
      <c r="BM186" s="24" t="n">
        <f aca="false">BM177+BM180+BM182+BM184+BM183</f>
        <v>2030320</v>
      </c>
      <c r="BN186" s="24" t="n">
        <f aca="false">BN177+BN180+BN182+BN184+BN183</f>
        <v>29809740</v>
      </c>
      <c r="BO186" s="24" t="n">
        <f aca="false">BO177+BO180+BO182+BO184+BO183</f>
        <v>2030320</v>
      </c>
      <c r="BP186" s="24" t="n">
        <f aca="false">BP177+BP180+BP182+BP184+BP183</f>
        <v>24767178.1028796</v>
      </c>
      <c r="BQ186" s="24" t="n">
        <f aca="false">BQ177+BQ180+BQ182+BQ184+BQ183</f>
        <v>2030320</v>
      </c>
      <c r="BR186" s="24" t="n">
        <f aca="false">BR177+BR180+BR182+BR184+BR183</f>
        <v>257062236.431572</v>
      </c>
      <c r="BS186" s="24" t="n">
        <f aca="false">BS177+BS180+BS182+BS184+BS183</f>
        <v>2030320</v>
      </c>
      <c r="BT186" s="24" t="n">
        <f aca="false">BT177+BT180+BT182+BT184+BT183</f>
        <v>-31381298.1715716</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5"/>
      <c r="B187" s="216"/>
      <c r="C187" s="2"/>
      <c r="D187" s="2"/>
      <c r="E187" s="2"/>
      <c r="F187" s="2"/>
      <c r="G187" s="2"/>
      <c r="H187" s="2"/>
      <c r="I187" s="2"/>
      <c r="J187" s="3"/>
      <c r="K187" s="2"/>
      <c r="L187" s="188"/>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9"/>
      <c r="M188" s="115"/>
      <c r="O188" s="115"/>
      <c r="Q188" s="115"/>
      <c r="S188" s="115"/>
      <c r="T188" s="115"/>
      <c r="U188" s="115"/>
      <c r="V188" s="115"/>
      <c r="X188" s="115"/>
      <c r="Z188" s="115"/>
      <c r="AB188" s="115"/>
      <c r="AD188" s="115"/>
      <c r="AH188" s="24"/>
      <c r="AI188" s="0"/>
      <c r="AJ188" s="24"/>
      <c r="BJ188" s="115"/>
      <c r="BK188" s="115"/>
      <c r="BM188" s="115"/>
      <c r="BN188" s="115"/>
      <c r="BO188" s="115"/>
      <c r="BU188" s="115"/>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30" t="s">
        <v>90</v>
      </c>
      <c r="B189" s="231"/>
      <c r="C189" s="130"/>
      <c r="D189" s="130"/>
      <c r="E189" s="130"/>
      <c r="F189" s="130"/>
      <c r="G189" s="130"/>
      <c r="H189" s="130"/>
      <c r="I189" s="130"/>
      <c r="J189" s="232"/>
      <c r="K189" s="130"/>
      <c r="L189" s="233"/>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0"/>
      <c r="AJ189" s="234"/>
      <c r="AL189" s="234"/>
      <c r="AN189" s="234"/>
      <c r="AO189" s="234"/>
      <c r="AP189" s="234"/>
      <c r="AQ189" s="234"/>
      <c r="AR189" s="234"/>
      <c r="AS189" s="234"/>
      <c r="AT189" s="234"/>
      <c r="AU189" s="234"/>
      <c r="AV189" s="234"/>
      <c r="AW189" s="234"/>
      <c r="AX189" s="234"/>
      <c r="AY189" s="234"/>
      <c r="AZ189" s="234"/>
      <c r="BA189" s="234"/>
      <c r="BB189" s="234"/>
      <c r="BC189" s="234"/>
      <c r="BD189" s="234"/>
      <c r="BE189" s="234"/>
      <c r="BF189" s="234"/>
      <c r="BG189" s="234"/>
      <c r="BH189" s="234"/>
      <c r="BI189" s="234"/>
      <c r="BJ189" s="234"/>
      <c r="BK189" s="234"/>
      <c r="BL189" s="234"/>
      <c r="BM189" s="234"/>
      <c r="BN189" s="234"/>
      <c r="BO189" s="234"/>
      <c r="BP189" s="234"/>
      <c r="BQ189" s="234"/>
      <c r="BR189" s="200"/>
      <c r="BS189" s="234"/>
      <c r="BT189" s="234"/>
      <c r="BU189" s="234"/>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260</v>
      </c>
      <c r="C190" s="0"/>
      <c r="D190" s="0"/>
      <c r="E190" s="0"/>
      <c r="F190" s="0"/>
      <c r="G190" s="0"/>
      <c r="H190" s="0"/>
      <c r="I190" s="0"/>
      <c r="J190" s="4"/>
      <c r="K190" s="0"/>
      <c r="L190" s="169" t="s">
        <v>249</v>
      </c>
      <c r="M190" s="115"/>
      <c r="N190" s="115" t="n">
        <v>0</v>
      </c>
      <c r="O190" s="115"/>
      <c r="P190" s="115" t="n">
        <v>220000</v>
      </c>
      <c r="Q190" s="115"/>
      <c r="R190" s="24"/>
      <c r="S190" s="115"/>
      <c r="T190" s="115"/>
      <c r="U190" s="115"/>
      <c r="V190" s="115"/>
      <c r="X190" s="115" t="n">
        <f aca="false">982.5+18746.43</f>
        <v>19728.93</v>
      </c>
      <c r="Z190" s="115" t="n">
        <v>0</v>
      </c>
      <c r="AB190" s="115"/>
      <c r="AD190" s="115" t="n">
        <v>12698.23</v>
      </c>
      <c r="AH190" s="115" t="n">
        <f aca="false">5134.27+591.18</f>
        <v>5725.45</v>
      </c>
      <c r="AI190" s="0"/>
      <c r="AL190" s="115" t="n">
        <v>591.45</v>
      </c>
      <c r="AR190" s="115" t="n">
        <v>1242.3</v>
      </c>
      <c r="BJ190" s="115"/>
      <c r="BK190" s="115"/>
      <c r="BL190" s="24" t="n">
        <f aca="false">SUM(T190:BK190)</f>
        <v>39986.36</v>
      </c>
      <c r="BM190" s="115"/>
      <c r="BN190" s="115"/>
      <c r="BO190" s="115"/>
      <c r="BP190" s="115" t="n">
        <f aca="false">IF(+R190-BL190+BN190&gt;0,R190-BL190+BN190,0)</f>
        <v>0</v>
      </c>
      <c r="BR190" s="24" t="n">
        <f aca="false">+BP190+BL190</f>
        <v>39986.36</v>
      </c>
      <c r="BT190" s="24" t="n">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261</v>
      </c>
      <c r="C191" s="0"/>
      <c r="D191" s="0"/>
      <c r="E191" s="0"/>
      <c r="F191" s="0"/>
      <c r="G191" s="0"/>
      <c r="H191" s="0"/>
      <c r="I191" s="0"/>
      <c r="J191" s="4"/>
      <c r="K191" s="0"/>
      <c r="L191" s="169" t="s">
        <v>249</v>
      </c>
      <c r="M191" s="115"/>
      <c r="N191" s="115" t="n">
        <v>0</v>
      </c>
      <c r="O191" s="115"/>
      <c r="P191" s="115" t="n">
        <v>30000</v>
      </c>
      <c r="Q191" s="115"/>
      <c r="R191" s="24"/>
      <c r="S191" s="115"/>
      <c r="T191" s="115"/>
      <c r="U191" s="115"/>
      <c r="V191" s="115" t="n">
        <v>1342.96</v>
      </c>
      <c r="X191" s="115" t="n">
        <f aca="false">24234.66+4681.29</f>
        <v>28915.95</v>
      </c>
      <c r="Z191" s="115" t="n">
        <f aca="false">18740.38+287.37+30.79+269.69</f>
        <v>19328.23</v>
      </c>
      <c r="AB191" s="115" t="n">
        <v>567.63</v>
      </c>
      <c r="AD191" s="115" t="n">
        <f aca="false">558.5+6000+11878.22+34085.81+15896.29</f>
        <v>68418.82</v>
      </c>
      <c r="AI191" s="0"/>
      <c r="BJ191" s="115"/>
      <c r="BK191" s="115"/>
      <c r="BL191" s="24" t="n">
        <f aca="false">SUM(T191:BK191)</f>
        <v>118573.59</v>
      </c>
      <c r="BM191" s="115"/>
      <c r="BN191" s="115"/>
      <c r="BO191" s="115"/>
      <c r="BP191" s="115" t="n">
        <f aca="false">IF(+R191-BL191+BN191&gt;0,R191-BL191+BN191,0)</f>
        <v>0</v>
      </c>
      <c r="BR191" s="24" t="n">
        <f aca="false">+BP191+BL191</f>
        <v>118573.59</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268</v>
      </c>
      <c r="C192" s="0"/>
      <c r="D192" s="0"/>
      <c r="E192" s="0"/>
      <c r="F192" s="0"/>
      <c r="G192" s="0"/>
      <c r="H192" s="0"/>
      <c r="I192" s="0"/>
      <c r="J192" s="4"/>
      <c r="K192" s="0"/>
      <c r="L192" s="169" t="s">
        <v>249</v>
      </c>
      <c r="M192" s="115"/>
      <c r="N192" s="115" t="n">
        <v>0</v>
      </c>
      <c r="O192" s="115"/>
      <c r="P192" s="115" t="n">
        <v>35000</v>
      </c>
      <c r="Q192" s="115"/>
      <c r="R192" s="24"/>
      <c r="S192" s="115"/>
      <c r="T192" s="115" t="n">
        <v>52133</v>
      </c>
      <c r="U192" s="115"/>
      <c r="V192" s="115"/>
      <c r="X192" s="115"/>
      <c r="Z192" s="115"/>
      <c r="AB192" s="115" t="n">
        <v>1331.32</v>
      </c>
      <c r="AD192" s="115"/>
      <c r="AI192" s="0"/>
      <c r="BJ192" s="115"/>
      <c r="BK192" s="115"/>
      <c r="BL192" s="24" t="n">
        <f aca="false">SUM(T192:BK192)</f>
        <v>53464.32</v>
      </c>
      <c r="BM192" s="115"/>
      <c r="BN192" s="115"/>
      <c r="BO192" s="115"/>
      <c r="BP192" s="115" t="n">
        <f aca="false">IF(+R192-BL192+BN192&gt;0,R192-BL192+BN192,0)</f>
        <v>0</v>
      </c>
      <c r="BR192" s="24" t="n">
        <f aca="false">+BP192+BL192</f>
        <v>53464.32</v>
      </c>
      <c r="BT192" s="24" t="n">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281</v>
      </c>
      <c r="C193" s="0"/>
      <c r="D193" s="0"/>
      <c r="E193" s="0"/>
      <c r="F193" s="0"/>
      <c r="G193" s="0"/>
      <c r="H193" s="0"/>
      <c r="I193" s="0"/>
      <c r="J193" s="4"/>
      <c r="K193" s="0"/>
      <c r="L193" s="169" t="s">
        <v>249</v>
      </c>
      <c r="M193" s="115"/>
      <c r="N193" s="115" t="n">
        <v>0</v>
      </c>
      <c r="O193" s="115"/>
      <c r="P193" s="115" t="n">
        <v>20000</v>
      </c>
      <c r="Q193" s="115"/>
      <c r="R193" s="24"/>
      <c r="S193" s="115"/>
      <c r="T193" s="115" t="n">
        <v>87500</v>
      </c>
      <c r="U193" s="115"/>
      <c r="V193" s="115"/>
      <c r="X193" s="115"/>
      <c r="Z193" s="115"/>
      <c r="AB193" s="115"/>
      <c r="AD193" s="115"/>
      <c r="AI193" s="0"/>
      <c r="AX193" s="115" t="n">
        <v>15000</v>
      </c>
      <c r="BJ193" s="115"/>
      <c r="BK193" s="115"/>
      <c r="BL193" s="24" t="n">
        <f aca="false">SUM(T193:BK193)</f>
        <v>102500</v>
      </c>
      <c r="BM193" s="115"/>
      <c r="BN193" s="115"/>
      <c r="BO193" s="115"/>
      <c r="BP193" s="115" t="n">
        <f aca="false">IF(+R193-BL193+BN193&gt;0,R193-BL193+BN193,0)</f>
        <v>0</v>
      </c>
      <c r="BR193" s="24" t="n">
        <f aca="false">+BP193+BL193</f>
        <v>102500</v>
      </c>
      <c r="BT193" s="24" t="n">
        <v>0</v>
      </c>
      <c r="BU193" s="115"/>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15"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5" t="s">
        <v>282</v>
      </c>
      <c r="B195" s="223"/>
      <c r="C195" s="197"/>
      <c r="D195" s="197"/>
      <c r="E195" s="197"/>
      <c r="F195" s="197"/>
      <c r="G195" s="197"/>
      <c r="H195" s="197"/>
      <c r="I195" s="197"/>
      <c r="J195" s="198"/>
      <c r="K195" s="197"/>
      <c r="L195" s="199"/>
      <c r="M195" s="200"/>
      <c r="N195" s="236" t="n">
        <f aca="false">SUM(N190:N194)</f>
        <v>0</v>
      </c>
      <c r="O195" s="200"/>
      <c r="P195" s="236" t="n">
        <f aca="false">SUM(P190:P194)</f>
        <v>305000</v>
      </c>
      <c r="Q195" s="200"/>
      <c r="R195" s="236" t="n">
        <f aca="false">SUM(R190:R194)</f>
        <v>0</v>
      </c>
      <c r="S195" s="200"/>
      <c r="T195" s="236" t="n">
        <f aca="false">SUM(T190:T194)</f>
        <v>139633</v>
      </c>
      <c r="U195" s="200"/>
      <c r="V195" s="236" t="n">
        <f aca="false">SUM(V190:V194)</f>
        <v>1342.96</v>
      </c>
      <c r="W195" s="200"/>
      <c r="X195" s="236" t="n">
        <f aca="false">SUM(X190:X194)</f>
        <v>48644.88</v>
      </c>
      <c r="Y195" s="200"/>
      <c r="Z195" s="236" t="n">
        <f aca="false">SUM(Z190:Z194)</f>
        <v>19328.23</v>
      </c>
      <c r="AA195" s="236" t="n">
        <f aca="false">SUM(AA190:AA194)</f>
        <v>0</v>
      </c>
      <c r="AB195" s="236" t="n">
        <f aca="false">SUM(AB190:AB194)</f>
        <v>1898.95</v>
      </c>
      <c r="AC195" s="236" t="n">
        <f aca="false">SUM(AC190:AC194)</f>
        <v>0</v>
      </c>
      <c r="AD195" s="236" t="n">
        <f aca="false">SUM(AD190:AD194)</f>
        <v>81117.05</v>
      </c>
      <c r="AE195" s="236"/>
      <c r="AF195" s="236" t="n">
        <f aca="false">SUM(AF190:AF194)</f>
        <v>0</v>
      </c>
      <c r="AG195" s="236"/>
      <c r="AH195" s="236" t="n">
        <f aca="false">SUM(AH190:AH194)</f>
        <v>5725.45</v>
      </c>
      <c r="AI195" s="236"/>
      <c r="AJ195" s="236" t="n">
        <f aca="false">SUM(AJ190:AJ194)</f>
        <v>0</v>
      </c>
      <c r="AL195" s="236" t="n">
        <f aca="false">SUM(AL190:AL194)</f>
        <v>591.45</v>
      </c>
      <c r="AN195" s="236" t="n">
        <f aca="false">SUM(AN190:AN194)</f>
        <v>0</v>
      </c>
      <c r="AO195" s="236" t="n">
        <f aca="false">SUM(AO190:AO194)</f>
        <v>0</v>
      </c>
      <c r="AP195" s="236" t="n">
        <f aca="false">SUM(AP190:AP194)</f>
        <v>0</v>
      </c>
      <c r="AQ195" s="236" t="n">
        <f aca="false">SUM(AQ190:AQ194)</f>
        <v>0</v>
      </c>
      <c r="AR195" s="236" t="n">
        <f aca="false">SUM(AR190:AR194)</f>
        <v>1242.3</v>
      </c>
      <c r="AS195" s="236" t="n">
        <f aca="false">SUM(AS190:AS194)</f>
        <v>0</v>
      </c>
      <c r="AT195" s="236" t="n">
        <f aca="false">SUM(AT190:AT194)</f>
        <v>0</v>
      </c>
      <c r="AU195" s="236" t="n">
        <f aca="false">SUM(AU190:AU194)</f>
        <v>0</v>
      </c>
      <c r="AV195" s="236" t="n">
        <f aca="false">SUM(AV190:AV194)</f>
        <v>0</v>
      </c>
      <c r="AW195" s="236" t="n">
        <f aca="false">SUM(AW190:AW194)</f>
        <v>0</v>
      </c>
      <c r="AX195" s="236" t="n">
        <f aca="false">SUM(AX190:AX194)</f>
        <v>15000</v>
      </c>
      <c r="AY195" s="236" t="n">
        <f aca="false">SUM(AY190:AY194)</f>
        <v>0</v>
      </c>
      <c r="AZ195" s="236" t="n">
        <f aca="false">SUM(AZ190:AZ194)</f>
        <v>0</v>
      </c>
      <c r="BA195" s="236" t="n">
        <f aca="false">SUM(BA190:BA194)</f>
        <v>0</v>
      </c>
      <c r="BB195" s="236" t="n">
        <f aca="false">SUM(BB190:BB194)</f>
        <v>0</v>
      </c>
      <c r="BC195" s="236" t="n">
        <f aca="false">SUM(BC190:BC194)</f>
        <v>0</v>
      </c>
      <c r="BD195" s="236" t="n">
        <f aca="false">SUM(BD190:BD194)</f>
        <v>0</v>
      </c>
      <c r="BE195" s="236" t="n">
        <f aca="false">SUM(BE190:BE194)</f>
        <v>0</v>
      </c>
      <c r="BF195" s="236" t="n">
        <f aca="false">SUM(BF190:BF194)</f>
        <v>0</v>
      </c>
      <c r="BG195" s="236" t="n">
        <f aca="false">SUM(BG190:BG194)</f>
        <v>0</v>
      </c>
      <c r="BH195" s="236" t="n">
        <f aca="false">SUM(BH190:BH194)</f>
        <v>0</v>
      </c>
      <c r="BI195" s="236" t="n">
        <f aca="false">SUM(BI190:BI194)</f>
        <v>0</v>
      </c>
      <c r="BJ195" s="236" t="n">
        <f aca="false">SUM(BJ190:BJ194)</f>
        <v>0</v>
      </c>
      <c r="BK195" s="236" t="n">
        <f aca="false">SUM(BK190:BK194)</f>
        <v>0</v>
      </c>
      <c r="BL195" s="236" t="n">
        <f aca="false">SUM(T195:BK195)</f>
        <v>314524.27</v>
      </c>
      <c r="BM195" s="200"/>
      <c r="BN195" s="236"/>
      <c r="BO195" s="200"/>
      <c r="BP195" s="236" t="n">
        <f aca="false">SUM(BP189:BP194)</f>
        <v>0</v>
      </c>
      <c r="BQ195" s="200"/>
      <c r="BR195" s="236" t="n">
        <f aca="false">+BP195+BL195</f>
        <v>314524.27</v>
      </c>
      <c r="BS195" s="200"/>
      <c r="BT195" s="236" t="n">
        <v>0</v>
      </c>
      <c r="BU195" s="20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7"/>
      <c r="DT195" s="197"/>
      <c r="DU195" s="197"/>
      <c r="DV195" s="197"/>
      <c r="DW195" s="197"/>
      <c r="DX195" s="197"/>
      <c r="DY195" s="197"/>
      <c r="DZ195" s="197"/>
      <c r="EA195" s="197"/>
      <c r="EB195" s="197"/>
      <c r="EC195" s="197"/>
      <c r="ED195" s="197"/>
      <c r="EE195" s="197"/>
      <c r="EF195" s="197"/>
      <c r="EG195" s="197"/>
      <c r="EH195" s="197"/>
      <c r="EI195" s="197"/>
      <c r="EJ195" s="197"/>
      <c r="EK195" s="197"/>
      <c r="EL195" s="197"/>
      <c r="EM195" s="197"/>
      <c r="EN195" s="197"/>
      <c r="EO195" s="197"/>
      <c r="EP195" s="197"/>
      <c r="EQ195" s="197"/>
      <c r="ER195" s="197"/>
      <c r="ES195" s="197"/>
      <c r="ET195" s="197"/>
      <c r="EU195" s="197"/>
      <c r="EV195" s="197"/>
      <c r="EW195" s="197"/>
      <c r="EX195" s="197"/>
      <c r="EY195" s="197"/>
      <c r="EZ195" s="197"/>
      <c r="FA195" s="197"/>
      <c r="FB195" s="197"/>
      <c r="FC195" s="197"/>
      <c r="FD195" s="197"/>
      <c r="FE195" s="197"/>
      <c r="FF195" s="197"/>
      <c r="FG195" s="197"/>
      <c r="FH195" s="197"/>
      <c r="FI195" s="197"/>
      <c r="FJ195" s="197"/>
      <c r="FK195" s="197"/>
      <c r="FL195" s="197"/>
      <c r="FM195" s="197"/>
      <c r="FN195" s="197"/>
      <c r="FO195" s="197"/>
      <c r="FP195" s="197"/>
      <c r="FQ195" s="197"/>
      <c r="FR195" s="197"/>
      <c r="FS195" s="197"/>
      <c r="FT195" s="197"/>
      <c r="FU195" s="197"/>
      <c r="FV195" s="197"/>
      <c r="FW195" s="197"/>
      <c r="FX195" s="197"/>
      <c r="FY195" s="197"/>
      <c r="FZ195" s="197"/>
      <c r="GA195" s="197"/>
      <c r="GB195" s="197"/>
      <c r="GC195" s="197"/>
      <c r="GD195" s="197"/>
      <c r="GE195" s="197"/>
      <c r="GF195" s="197"/>
      <c r="GG195" s="197"/>
      <c r="GH195" s="197"/>
      <c r="GI195" s="197"/>
      <c r="GJ195" s="197"/>
      <c r="GK195" s="197"/>
      <c r="GL195" s="197"/>
      <c r="GM195" s="197"/>
      <c r="GN195" s="197"/>
      <c r="GO195" s="197"/>
      <c r="GP195" s="197"/>
      <c r="GQ195" s="197"/>
      <c r="GR195" s="197"/>
      <c r="GS195" s="197"/>
      <c r="GT195" s="197"/>
      <c r="GU195" s="197"/>
      <c r="GV195" s="197"/>
      <c r="GW195" s="197"/>
      <c r="GX195" s="197"/>
      <c r="GY195" s="197"/>
      <c r="GZ195" s="197"/>
      <c r="HA195" s="197"/>
      <c r="HB195" s="197"/>
      <c r="HC195" s="197"/>
      <c r="HD195" s="197"/>
      <c r="HE195" s="197"/>
      <c r="HF195" s="197"/>
      <c r="HG195" s="197"/>
      <c r="HH195" s="197"/>
      <c r="HI195" s="197"/>
      <c r="HJ195" s="197"/>
      <c r="HK195" s="197"/>
      <c r="HL195" s="197"/>
      <c r="HM195" s="197"/>
      <c r="HN195" s="197"/>
      <c r="HO195" s="197"/>
      <c r="HP195" s="197"/>
      <c r="HQ195" s="197"/>
      <c r="HR195" s="197"/>
      <c r="HS195" s="197"/>
      <c r="HT195" s="197"/>
      <c r="HU195" s="197"/>
      <c r="HV195" s="197"/>
      <c r="HW195" s="197"/>
      <c r="HX195" s="197"/>
      <c r="HY195" s="197"/>
      <c r="HZ195" s="197"/>
      <c r="IA195" s="197"/>
      <c r="IB195" s="197"/>
      <c r="IC195" s="197"/>
      <c r="ID195" s="197"/>
      <c r="IE195" s="197"/>
      <c r="IF195" s="197"/>
      <c r="IG195" s="197"/>
      <c r="IH195" s="197"/>
      <c r="II195" s="197"/>
      <c r="IJ195" s="197"/>
      <c r="IK195" s="197"/>
      <c r="IL195" s="197"/>
      <c r="IM195" s="197"/>
      <c r="IN195" s="197"/>
      <c r="IO195" s="197"/>
      <c r="IP195" s="197"/>
      <c r="IQ195" s="197"/>
      <c r="IR195" s="197"/>
      <c r="IS195" s="197"/>
      <c r="IT195" s="197"/>
      <c r="IU195" s="197"/>
      <c r="IV195" s="197"/>
      <c r="IW195" s="197"/>
    </row>
    <row r="196" customFormat="false" ht="13.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15"/>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R197" s="24"/>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9"/>
      <c r="M198" s="115"/>
      <c r="O198" s="115"/>
      <c r="Q198" s="115"/>
      <c r="S198" s="115"/>
      <c r="T198" s="115"/>
      <c r="U198" s="115"/>
      <c r="V198" s="115"/>
      <c r="X198" s="115"/>
      <c r="Z198" s="115"/>
      <c r="AB198" s="115"/>
      <c r="AD198" s="115"/>
      <c r="BJ198" s="115"/>
      <c r="BK198" s="115"/>
      <c r="BM198" s="115"/>
      <c r="BN198" s="115"/>
      <c r="BO198" s="115"/>
      <c r="BU198" s="11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283</v>
      </c>
      <c r="B200" s="231"/>
      <c r="C200" s="130"/>
      <c r="D200" s="130"/>
      <c r="E200" s="130"/>
      <c r="F200" s="130"/>
      <c r="G200" s="130"/>
      <c r="H200" s="130"/>
      <c r="I200" s="130"/>
      <c r="J200" s="232"/>
      <c r="K200" s="130"/>
      <c r="L200" s="233"/>
      <c r="M200" s="234"/>
      <c r="N200" s="236" t="e">
        <f aca="false">#REF!+N197</f>
        <v>#REF!</v>
      </c>
      <c r="O200" s="236"/>
      <c r="P200" s="236" t="e">
        <f aca="false">#REF!+P197</f>
        <v>#REF!</v>
      </c>
      <c r="Q200" s="236"/>
      <c r="R200" s="236" t="n">
        <f aca="false">R186+R195</f>
        <v>239612890.75</v>
      </c>
      <c r="S200" s="236" t="n">
        <f aca="false">S186+S195</f>
        <v>0</v>
      </c>
      <c r="T200" s="236" t="n">
        <f aca="false">T186+T195</f>
        <v>7279633</v>
      </c>
      <c r="U200" s="236" t="n">
        <f aca="false">U186+U195</f>
        <v>0</v>
      </c>
      <c r="V200" s="236" t="n">
        <f aca="false">V186+V195</f>
        <v>1298988.96</v>
      </c>
      <c r="W200" s="236" t="n">
        <f aca="false">W186+W195</f>
        <v>0</v>
      </c>
      <c r="X200" s="236" t="n">
        <f aca="false">X186+X195</f>
        <v>33151937.88</v>
      </c>
      <c r="Y200" s="236" t="n">
        <f aca="false">Y186+Y195</f>
        <v>0</v>
      </c>
      <c r="Z200" s="236" t="n">
        <f aca="false">Z186+Z195</f>
        <v>290030.83</v>
      </c>
      <c r="AA200" s="236" t="n">
        <f aca="false">AA186+AA195</f>
        <v>0</v>
      </c>
      <c r="AB200" s="236" t="n">
        <f aca="false">AB186+AB195</f>
        <v>1733894.86</v>
      </c>
      <c r="AC200" s="236" t="n">
        <f aca="false">AC186+AC195</f>
        <v>0</v>
      </c>
      <c r="AD200" s="236" t="n">
        <f aca="false">AD186+AD195</f>
        <v>18881456.88</v>
      </c>
      <c r="AE200" s="236"/>
      <c r="AF200" s="236" t="n">
        <f aca="false">AF186+AF195</f>
        <v>8167701.14085417</v>
      </c>
      <c r="AG200" s="236"/>
      <c r="AH200" s="236" t="n">
        <f aca="false">AH186+AH195</f>
        <v>8854945.38746018</v>
      </c>
      <c r="AI200" s="236"/>
      <c r="AJ200" s="236" t="n">
        <f aca="false">AJ186+AJ195</f>
        <v>6988530.12538871</v>
      </c>
      <c r="AL200" s="236" t="n">
        <f aca="false">AL186+AL195</f>
        <v>7789829.60570277</v>
      </c>
      <c r="AN200" s="236" t="n">
        <f aca="false">AN186+AN195</f>
        <v>11652992.18</v>
      </c>
      <c r="AO200" s="236" t="n">
        <f aca="false">AO186+AO195</f>
        <v>0</v>
      </c>
      <c r="AP200" s="236" t="n">
        <f aca="false">AP186+AP195</f>
        <v>17627423.913877</v>
      </c>
      <c r="AQ200" s="236" t="n">
        <f aca="false">AQ186+AQ195</f>
        <v>0</v>
      </c>
      <c r="AR200" s="236" t="n">
        <f aca="false">AR186+AR195</f>
        <v>39305575.9952953</v>
      </c>
      <c r="AS200" s="236" t="n">
        <f aca="false">AS186+AS195</f>
        <v>0</v>
      </c>
      <c r="AT200" s="236" t="n">
        <f aca="false">AT186+AT195</f>
        <v>2943898.25590451</v>
      </c>
      <c r="AU200" s="236" t="n">
        <f aca="false">AU186+AU195</f>
        <v>0</v>
      </c>
      <c r="AV200" s="236" t="n">
        <f aca="false">AV186+AV195</f>
        <v>29327061.2587712</v>
      </c>
      <c r="AW200" s="236" t="n">
        <f aca="false">AW186+AW195</f>
        <v>0</v>
      </c>
      <c r="AX200" s="236" t="n">
        <f aca="false">AX186+AX195</f>
        <v>23471763.2844909</v>
      </c>
      <c r="AY200" s="236" t="n">
        <f aca="false">AY186+AY195</f>
        <v>0</v>
      </c>
      <c r="AZ200" s="236" t="n">
        <f aca="false">AZ186+AZ195</f>
        <v>22126233.53</v>
      </c>
      <c r="BA200" s="236" t="n">
        <f aca="false">BA186+BA195</f>
        <v>0</v>
      </c>
      <c r="BB200" s="236" t="n">
        <f aca="false">BB186+BB195</f>
        <v>6822314.51094722</v>
      </c>
      <c r="BC200" s="236" t="n">
        <f aca="false">BC186+BC195</f>
        <v>0</v>
      </c>
      <c r="BD200" s="236" t="n">
        <f aca="false">BD186+BD195</f>
        <v>0</v>
      </c>
      <c r="BE200" s="236" t="n">
        <f aca="false">BE186+BE195</f>
        <v>0</v>
      </c>
      <c r="BF200" s="236" t="n">
        <f aca="false">BF186+BF195</f>
        <v>0</v>
      </c>
      <c r="BG200" s="236" t="n">
        <f aca="false">BG186+BG195</f>
        <v>0</v>
      </c>
      <c r="BH200" s="236" t="n">
        <f aca="false">BH186+BH195</f>
        <v>0</v>
      </c>
      <c r="BI200" s="236" t="n">
        <f aca="false">BI186+BI195</f>
        <v>0</v>
      </c>
      <c r="BJ200" s="236" t="n">
        <f aca="false">BJ186+BJ195</f>
        <v>0</v>
      </c>
      <c r="BK200" s="236" t="n">
        <f aca="false">BK186+BK195</f>
        <v>0</v>
      </c>
      <c r="BL200" s="236" t="n">
        <f aca="false">BL186+BL195</f>
        <v>247794211.598692</v>
      </c>
      <c r="BM200" s="236" t="n">
        <f aca="false">BM186+BM195</f>
        <v>2030320</v>
      </c>
      <c r="BN200" s="236" t="n">
        <f aca="false">BN186+BN195</f>
        <v>29809740</v>
      </c>
      <c r="BO200" s="236" t="n">
        <f aca="false">BO186+BO195</f>
        <v>2030320</v>
      </c>
      <c r="BP200" s="236" t="n">
        <f aca="false">BP186+BP195</f>
        <v>24767178.1028796</v>
      </c>
      <c r="BQ200" s="236" t="n">
        <f aca="false">BQ186+BQ195</f>
        <v>2030320</v>
      </c>
      <c r="BR200" s="236" t="n">
        <f aca="false">BR186+BR195</f>
        <v>257376760.701572</v>
      </c>
      <c r="BS200" s="236" t="n">
        <f aca="false">BS186+BS195</f>
        <v>2030320</v>
      </c>
      <c r="BT200" s="236" t="n">
        <f aca="false">BT186+BT195</f>
        <v>-31381298.1715716</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L222" s="169"/>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190" activePane="bottomRight" state="frozen"/>
      <selection pane="topLeft" activeCell="A1" activeCellId="0" sqref="A1"/>
      <selection pane="topRight" activeCell="AO1" activeCellId="0" sqref="AO1"/>
      <selection pane="bottomLeft" activeCell="A190" activeCellId="0" sqref="A190"/>
      <selection pane="bottomRight" activeCell="BN214" activeCellId="0" sqref="BN214"/>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13"/>
    <col collapsed="false" customWidth="true" hidden="tru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0.13"/>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0.13"/>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1.99"/>
    <col collapsed="false" customWidth="true" hidden="true" outlineLevel="0" max="36" min="36" style="115" width="17.85"/>
    <col collapsed="false" customWidth="true" hidden="true" outlineLevel="0" max="37" min="37" style="115" width="0.85"/>
    <col collapsed="false" customWidth="true" hidden="true" outlineLevel="0" max="38" min="38" style="115" width="17.85"/>
    <col collapsed="false" customWidth="true" hidden="true" outlineLevel="0" max="39" min="39" style="115" width="0.85"/>
    <col collapsed="false" customWidth="true" hidden="true" outlineLevel="0" max="40" min="40" style="115" width="17.85"/>
    <col collapsed="false" customWidth="true" hidden="fals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0.13"/>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5.99"/>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fals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XML/filtered-attachments/xls/2000_Weekly_Report___0531-40bd6ef38d2d7305aad51e8252174a212a5645152e09152be9335e828a4365bf.xls'#$Calvert City</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284</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45926.9318743809</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238" t="s">
        <v>78</v>
      </c>
      <c r="K4" s="135"/>
      <c r="L4" s="149"/>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37"/>
      <c r="AV5" s="151" t="s">
        <v>134</v>
      </c>
      <c r="AW5" s="151"/>
      <c r="AX5" s="151" t="s">
        <v>134</v>
      </c>
      <c r="AY5" s="151"/>
      <c r="AZ5" s="151" t="s">
        <v>134</v>
      </c>
      <c r="BA5" s="151"/>
      <c r="BB5" s="151" t="s">
        <v>134</v>
      </c>
      <c r="BC5" s="151"/>
      <c r="BD5" s="151" t="s">
        <v>134</v>
      </c>
      <c r="BE5" s="151"/>
      <c r="BF5" s="151" t="s">
        <v>134</v>
      </c>
      <c r="BG5" s="151"/>
      <c r="BH5" s="151" t="s">
        <v>134</v>
      </c>
      <c r="BI5" s="151"/>
      <c r="BJ5" s="151" t="s">
        <v>134</v>
      </c>
      <c r="BK5" s="151"/>
      <c r="BL5" s="151" t="s">
        <v>134</v>
      </c>
      <c r="BM5" s="135"/>
      <c r="BN5" s="152" t="s">
        <v>72</v>
      </c>
      <c r="BO5" s="135"/>
      <c r="BP5" s="151" t="s">
        <v>133</v>
      </c>
      <c r="BQ5" s="135"/>
      <c r="BR5" s="152" t="s">
        <v>135</v>
      </c>
      <c r="BS5" s="135"/>
      <c r="BT5" s="152" t="s">
        <v>136</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286</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145</v>
      </c>
      <c r="BO6" s="135"/>
      <c r="BP6" s="157" t="s">
        <v>144</v>
      </c>
      <c r="BQ6" s="135"/>
      <c r="BR6" s="160" t="s">
        <v>146</v>
      </c>
      <c r="BS6" s="135"/>
      <c r="BT6" s="160" t="s">
        <v>147</v>
      </c>
      <c r="BU6" s="135"/>
      <c r="BV6" s="160" t="s">
        <v>148</v>
      </c>
      <c r="BW6" s="135"/>
      <c r="BX6" s="160" t="s">
        <v>149</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137"/>
      <c r="AJ7" s="151" t="str">
        <f aca="false">+Summary!$O$4</f>
        <v> As of 5/31/00</v>
      </c>
      <c r="AK7" s="137"/>
      <c r="AL7" s="151" t="str">
        <f aca="false">+Summary!$O$4</f>
        <v> As of 5/31/00</v>
      </c>
      <c r="AM7" s="137"/>
      <c r="AN7" s="151" t="str">
        <f aca="false">+Summary!$O$4</f>
        <v> As of 5/31/00</v>
      </c>
      <c r="AO7" s="137"/>
      <c r="AP7" s="151" t="str">
        <f aca="false">+Summary!$O$4</f>
        <v> As of 5/31/00</v>
      </c>
      <c r="AQ7" s="137"/>
      <c r="AR7" s="151" t="str">
        <f aca="false">+Summary!$O$4</f>
        <v> As of 5/31/00</v>
      </c>
      <c r="AS7" s="137"/>
      <c r="AT7" s="151" t="str">
        <f aca="false">+Summary!$O$4</f>
        <v> As of 5/31/00</v>
      </c>
      <c r="AU7" s="137"/>
      <c r="AV7" s="151" t="str">
        <f aca="false">+Summary!$O$4</f>
        <v> As of 5/31/00</v>
      </c>
      <c r="AW7" s="151"/>
      <c r="AX7" s="151" t="str">
        <f aca="false">+Summary!$O$4</f>
        <v> As of 5/31/00</v>
      </c>
      <c r="AY7" s="151"/>
      <c r="AZ7" s="151" t="str">
        <f aca="false">+Summary!$O$4</f>
        <v> As of 5/31/00</v>
      </c>
      <c r="BA7" s="151"/>
      <c r="BB7" s="151" t="str">
        <f aca="false">+Summary!$O$4</f>
        <v> As of 5/31/00</v>
      </c>
      <c r="BC7" s="151"/>
      <c r="BD7" s="151" t="str">
        <f aca="false">+Summary!$O$4</f>
        <v> As of 5/31/00</v>
      </c>
      <c r="BE7" s="151"/>
      <c r="BF7" s="151" t="str">
        <f aca="false">+Summary!$O$4</f>
        <v> As of 5/31/00</v>
      </c>
      <c r="BG7" s="151"/>
      <c r="BH7" s="151" t="str">
        <f aca="false">+Summary!$O$4</f>
        <v> As of 5/31/00</v>
      </c>
      <c r="BI7" s="151"/>
      <c r="BJ7" s="151" t="str">
        <f aca="false">+Summary!$O$4</f>
        <v> As of 5/31/00</v>
      </c>
      <c r="BK7" s="151"/>
      <c r="BL7" s="151" t="str">
        <f aca="false">+Summary!$O$4</f>
        <v> As of 5/31/00</v>
      </c>
      <c r="BM7" s="135"/>
      <c r="BN7" s="152" t="str">
        <f aca="false">+Summary!$O$4</f>
        <v> As of 5/31/00</v>
      </c>
      <c r="BO7" s="135"/>
      <c r="BP7" s="163" t="str">
        <f aca="false">+Summary!$O$4</f>
        <v> As of 5/31/00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132</v>
      </c>
      <c r="K9" s="0"/>
      <c r="L9" s="169" t="s">
        <v>142</v>
      </c>
      <c r="M9" s="115"/>
      <c r="N9" s="115" t="n">
        <v>0</v>
      </c>
      <c r="O9" s="115"/>
      <c r="P9" s="115" t="n">
        <v>0</v>
      </c>
      <c r="Q9" s="115"/>
      <c r="R9" s="115" t="n">
        <v>0</v>
      </c>
      <c r="S9" s="115"/>
      <c r="T9" s="115" t="n">
        <f aca="false">6170900+3056200+2997700</f>
        <v>12224800</v>
      </c>
      <c r="U9" s="115"/>
      <c r="V9" s="115" t="n">
        <f aca="false">31276400</f>
        <v>31276400</v>
      </c>
      <c r="X9" s="115" t="n">
        <f aca="false">3107550</f>
        <v>3107550</v>
      </c>
      <c r="Z9" s="115" t="n">
        <v>0</v>
      </c>
      <c r="AB9" s="115" t="n">
        <v>3107250</v>
      </c>
      <c r="AD9" s="115" t="n">
        <f aca="false">6240218.71</f>
        <v>6240218.71</v>
      </c>
      <c r="AF9" s="115" t="n">
        <v>0</v>
      </c>
      <c r="AH9" s="115" t="n">
        <v>0</v>
      </c>
      <c r="AJ9" s="115" t="n">
        <v>393210.9</v>
      </c>
      <c r="AL9" s="115" t="n">
        <v>-56349430</v>
      </c>
      <c r="AN9" s="115" t="n">
        <v>0</v>
      </c>
      <c r="AP9" s="115" t="n">
        <v>0</v>
      </c>
      <c r="AR9" s="115" t="n">
        <v>0</v>
      </c>
      <c r="AT9" s="115" t="n">
        <v>0</v>
      </c>
      <c r="AV9" s="115" t="n">
        <v>0</v>
      </c>
      <c r="AX9" s="115" t="n">
        <v>0</v>
      </c>
      <c r="AZ9" s="115" t="n">
        <v>0</v>
      </c>
      <c r="BB9" s="115" t="n">
        <v>0</v>
      </c>
      <c r="BF9" s="115" t="n">
        <v>0</v>
      </c>
      <c r="BH9" s="115" t="n">
        <v>0</v>
      </c>
      <c r="BJ9" s="115" t="n">
        <v>0</v>
      </c>
      <c r="BL9" s="115" t="n">
        <v>0</v>
      </c>
      <c r="BM9" s="115"/>
      <c r="BN9" s="115" t="n">
        <f aca="false">SUM(T9:BM9)</f>
        <v>-0.390000000596046</v>
      </c>
      <c r="BO9" s="115"/>
      <c r="BP9" s="115" t="n">
        <v>0</v>
      </c>
      <c r="BQ9" s="115"/>
      <c r="BR9" s="115" t="n">
        <f aca="false">IF(+R9-BN9+BP9&gt;0,R9-BN9+BP9,0)</f>
        <v>0.390000000596046</v>
      </c>
      <c r="BT9" s="115" t="n">
        <f aca="false">+BN9+BR9</f>
        <v>0</v>
      </c>
      <c r="BV9" s="115" t="n">
        <f aca="false">+R9-BT9</f>
        <v>0</v>
      </c>
      <c r="BW9" s="115"/>
    </row>
    <row r="10" customFormat="false" ht="12.75" hidden="false" customHeight="false" outlineLevel="0" collapsed="false">
      <c r="A10" s="168"/>
      <c r="B10" s="165" t="s">
        <v>288</v>
      </c>
      <c r="C10" s="0"/>
      <c r="D10" s="0"/>
      <c r="E10" s="0"/>
      <c r="F10" s="0"/>
      <c r="G10" s="0"/>
      <c r="H10" s="0"/>
      <c r="I10" s="0"/>
      <c r="J10" s="4" t="s">
        <v>132</v>
      </c>
      <c r="K10" s="0"/>
      <c r="L10" s="169" t="s">
        <v>142</v>
      </c>
      <c r="M10" s="115"/>
      <c r="N10" s="115" t="n">
        <v>0</v>
      </c>
      <c r="O10" s="115"/>
      <c r="P10" s="115" t="n">
        <v>0</v>
      </c>
      <c r="Q10" s="115"/>
      <c r="R10" s="115" t="n">
        <v>0</v>
      </c>
      <c r="S10" s="115"/>
      <c r="T10" s="115" t="n">
        <f aca="false">6237000+3030000+7884750</f>
        <v>17151750</v>
      </c>
      <c r="U10" s="115"/>
      <c r="V10" s="115" t="n">
        <v>12474000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0</v>
      </c>
      <c r="BO10" s="115"/>
      <c r="BP10" s="115" t="n">
        <v>0</v>
      </c>
      <c r="BQ10" s="115"/>
      <c r="BR10" s="115" t="n">
        <f aca="false">IF(+R10-BN10+BP10&gt;0,R10-BN10+BP10,0)</f>
        <v>0</v>
      </c>
      <c r="BT10" s="115" t="n">
        <f aca="false">+BN10+BR10</f>
        <v>0</v>
      </c>
      <c r="BV10" s="115" t="n">
        <f aca="false">+R10-BT10</f>
        <v>0</v>
      </c>
      <c r="BW10" s="115"/>
    </row>
    <row r="11" customFormat="false" ht="12.75" hidden="true" customHeight="false" outlineLevel="0" collapsed="false">
      <c r="A11" s="168"/>
      <c r="B11" s="165" t="s">
        <v>289</v>
      </c>
      <c r="C11" s="0"/>
      <c r="D11" s="0"/>
      <c r="E11" s="0"/>
      <c r="F11" s="0"/>
      <c r="G11" s="0"/>
      <c r="H11" s="0"/>
      <c r="I11" s="0"/>
      <c r="J11" s="4" t="s">
        <v>132</v>
      </c>
      <c r="K11" s="0"/>
      <c r="L11" s="169" t="s">
        <v>142</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132</v>
      </c>
      <c r="K12" s="0"/>
      <c r="L12" s="169" t="s">
        <v>142</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132</v>
      </c>
      <c r="K13" s="0"/>
      <c r="L13" s="169" t="s">
        <v>142</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152</v>
      </c>
      <c r="C14" s="0"/>
      <c r="D14" s="0"/>
      <c r="E14" s="0"/>
      <c r="F14" s="0"/>
      <c r="G14" s="0"/>
      <c r="H14" s="0"/>
      <c r="I14" s="0"/>
      <c r="J14" s="4" t="s">
        <v>132</v>
      </c>
      <c r="K14" s="0"/>
      <c r="L14" s="169" t="s">
        <v>142</v>
      </c>
      <c r="M14" s="115"/>
      <c r="N14" s="115" t="n">
        <v>93330000</v>
      </c>
      <c r="O14" s="115"/>
      <c r="P14" s="115" t="n">
        <v>0</v>
      </c>
      <c r="Q14" s="115"/>
      <c r="R14" s="115" t="n">
        <v>0</v>
      </c>
      <c r="S14" s="115"/>
      <c r="T14" s="115" t="n">
        <v>0</v>
      </c>
      <c r="U14" s="115"/>
      <c r="V14" s="115" t="n">
        <v>0</v>
      </c>
      <c r="X14" s="115" t="n">
        <v>0</v>
      </c>
      <c r="Z14" s="115" t="n">
        <v>0</v>
      </c>
      <c r="AB14" s="115" t="n">
        <v>0</v>
      </c>
      <c r="AD14" s="115" t="n">
        <v>0</v>
      </c>
      <c r="AF14" s="115" t="n">
        <v>0</v>
      </c>
      <c r="AH14" s="115" t="n">
        <v>107199.47</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0.470000000001164</v>
      </c>
      <c r="BO14" s="115"/>
      <c r="BP14" s="115" t="n">
        <v>0</v>
      </c>
      <c r="BQ14" s="115"/>
      <c r="BR14" s="115" t="n">
        <f aca="false">IF(+R14-BN14+BP14&gt;0,R14-BN14+BP14,0)</f>
        <v>0</v>
      </c>
      <c r="BT14" s="115" t="n">
        <f aca="false">+BN14+BR14</f>
        <v>0.470000000001164</v>
      </c>
      <c r="BV14" s="115" t="n">
        <f aca="false">+R14-BT14</f>
        <v>-0.470000000001164</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0</v>
      </c>
      <c r="S16" s="115"/>
      <c r="T16" s="170" t="n">
        <f aca="false">SUM(T9:T15)</f>
        <v>29376550</v>
      </c>
      <c r="U16" s="115"/>
      <c r="V16" s="170" t="n">
        <f aca="false">SUM(V9:V15)</f>
        <v>43750400</v>
      </c>
      <c r="X16" s="170" t="n">
        <f aca="false">SUM(X9:X15)</f>
        <v>3107550</v>
      </c>
      <c r="Z16" s="170" t="n">
        <f aca="false">SUM(Z9:Z15)</f>
        <v>0</v>
      </c>
      <c r="AB16" s="170" t="n">
        <f aca="false">SUM(AB9:AB15)</f>
        <v>3107250</v>
      </c>
      <c r="AD16" s="170" t="n">
        <f aca="false">SUM(AD9:AD15)</f>
        <v>6240218.71</v>
      </c>
      <c r="AF16" s="170" t="n">
        <f aca="false">SUM(AF9:AF15)</f>
        <v>0</v>
      </c>
      <c r="AH16" s="170" t="n">
        <f aca="false">SUM(AH9:AH15)</f>
        <v>107199.47</v>
      </c>
      <c r="AJ16" s="170" t="n">
        <f aca="false">SUM(AJ9:AJ15)</f>
        <v>393210.9</v>
      </c>
      <c r="AL16" s="170" t="n">
        <f aca="false">SUM(AL9:AL15)</f>
        <v>-86082379</v>
      </c>
      <c r="AM16" s="170"/>
      <c r="AN16" s="170" t="n">
        <f aca="false">SUM(AN9:AN15)</f>
        <v>0</v>
      </c>
      <c r="AP16" s="170" t="n">
        <f aca="false">SUM(AP9:AP15)</f>
        <v>0</v>
      </c>
      <c r="AR16" s="170" t="n">
        <f aca="false">SUM(AR9:AR15)</f>
        <v>0</v>
      </c>
      <c r="AT16" s="170" t="n">
        <f aca="false">SUM(AT9:AT15)</f>
        <v>0</v>
      </c>
      <c r="AV16" s="170" t="n">
        <f aca="false">SUM(AV9:AV15)</f>
        <v>0</v>
      </c>
      <c r="AX16" s="170" t="n">
        <f aca="false">SUM(AX9:AX15)</f>
        <v>0</v>
      </c>
      <c r="AZ16" s="170" t="n">
        <f aca="false">SUM(AZ9:AZ15)</f>
        <v>0</v>
      </c>
      <c r="BB16" s="170" t="n">
        <f aca="false">SUM(BB9:BB15)</f>
        <v>0</v>
      </c>
      <c r="BD16" s="170" t="n">
        <f aca="false">SUM(BD9:BD15)</f>
        <v>0</v>
      </c>
      <c r="BF16" s="170" t="n">
        <f aca="false">SUM(BF9:BF15)</f>
        <v>0</v>
      </c>
      <c r="BH16" s="170" t="n">
        <f aca="false">SUM(BH9:BH15)</f>
        <v>0</v>
      </c>
      <c r="BJ16" s="170" t="n">
        <f aca="false">SUM(BJ9:BJ15)</f>
        <v>0</v>
      </c>
      <c r="BL16" s="170" t="n">
        <f aca="false">SUM(BL9:BL15)</f>
        <v>0</v>
      </c>
      <c r="BM16" s="115"/>
      <c r="BN16" s="170" t="n">
        <f aca="false">SUM(BN9:BN15)</f>
        <v>0.0799999994051177</v>
      </c>
      <c r="BO16" s="115"/>
      <c r="BP16" s="170" t="n">
        <f aca="false">SUM(BP9:BP15)</f>
        <v>0</v>
      </c>
      <c r="BQ16" s="115"/>
      <c r="BR16" s="170" t="n">
        <f aca="false">SUM(BR9:BR15)</f>
        <v>0.390000000596046</v>
      </c>
      <c r="BT16" s="170" t="n">
        <f aca="false">SUM(BT9:BT15)</f>
        <v>0.470000000001164</v>
      </c>
      <c r="BV16" s="170" t="n">
        <f aca="false">SUM(BV9:BV15)</f>
        <v>-0.470000000001164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154</v>
      </c>
      <c r="C18" s="0"/>
      <c r="D18" s="0"/>
      <c r="E18" s="0"/>
      <c r="F18" s="0"/>
      <c r="G18" s="0"/>
      <c r="H18" s="0"/>
      <c r="I18" s="0"/>
      <c r="J18" s="4"/>
      <c r="K18" s="0"/>
      <c r="L18" s="169" t="s">
        <v>142</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155</v>
      </c>
      <c r="C19" s="0"/>
      <c r="D19" s="0"/>
      <c r="E19" s="0"/>
      <c r="F19" s="0"/>
      <c r="G19" s="0"/>
      <c r="H19" s="0"/>
      <c r="I19" s="0"/>
      <c r="J19" s="4" t="s">
        <v>132</v>
      </c>
      <c r="K19" s="0"/>
      <c r="L19" s="169" t="s">
        <v>142</v>
      </c>
      <c r="M19" s="115"/>
      <c r="N19" s="115" t="n">
        <v>0</v>
      </c>
      <c r="O19" s="115"/>
      <c r="P19" s="115" t="n">
        <v>0</v>
      </c>
      <c r="Q19" s="115"/>
      <c r="R19" s="115" t="n">
        <v>0</v>
      </c>
      <c r="S19" s="115"/>
      <c r="T19" s="115" t="n">
        <v>0</v>
      </c>
      <c r="U19" s="115"/>
      <c r="V19" s="115" t="n">
        <v>0</v>
      </c>
      <c r="X19" s="115" t="n">
        <v>0</v>
      </c>
      <c r="Z19" s="115" t="n">
        <v>0</v>
      </c>
      <c r="AB19" s="115" t="n">
        <v>0</v>
      </c>
      <c r="AD19" s="115" t="n">
        <v>0</v>
      </c>
      <c r="AF19" s="115" t="n">
        <v>0</v>
      </c>
      <c r="AH19" s="115" t="n">
        <v>293460.55</v>
      </c>
      <c r="AJ19" s="115" t="n">
        <v>883701.65</v>
      </c>
      <c r="AL19" s="115" t="n">
        <v>-1177162</v>
      </c>
      <c r="AN19" s="115" t="n">
        <v>0</v>
      </c>
      <c r="AP19" s="115" t="n">
        <v>0</v>
      </c>
      <c r="AR19" s="115" t="n">
        <v>0</v>
      </c>
      <c r="AT19" s="115" t="n">
        <v>0</v>
      </c>
      <c r="AV19" s="115" t="n">
        <v>0</v>
      </c>
      <c r="AX19" s="115" t="n">
        <v>0</v>
      </c>
      <c r="AZ19" s="115" t="n">
        <v>0</v>
      </c>
      <c r="BB19" s="115" t="n">
        <v>0</v>
      </c>
      <c r="BF19" s="115" t="n">
        <v>0</v>
      </c>
      <c r="BH19" s="115" t="n">
        <v>0</v>
      </c>
      <c r="BJ19" s="115" t="n">
        <v>0</v>
      </c>
      <c r="BL19" s="115" t="n">
        <v>0</v>
      </c>
      <c r="BM19" s="115"/>
      <c r="BN19" s="115" t="n">
        <f aca="false">SUM(T19:BM19)</f>
        <v>0.199999999953434</v>
      </c>
      <c r="BO19" s="115"/>
      <c r="BP19" s="115" t="n">
        <v>0</v>
      </c>
      <c r="BQ19" s="115"/>
      <c r="BR19" s="115" t="n">
        <f aca="false">IF(+R19-BN19+BP19&gt;0,R19-BN19+BP19,0)</f>
        <v>0</v>
      </c>
      <c r="BT19" s="115" t="n">
        <f aca="false">+BN19+BR19</f>
        <v>0.199999999953434</v>
      </c>
      <c r="BV19" s="115" t="n">
        <f aca="false">+R19-BT19</f>
        <v>-0.199999999953434</v>
      </c>
      <c r="BW19" s="115"/>
    </row>
    <row r="20" customFormat="false" ht="12.75" hidden="false" customHeight="false" outlineLevel="0" collapsed="false">
      <c r="A20" s="171"/>
      <c r="B20" s="165" t="s">
        <v>156</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BL20" s="115"/>
      <c r="BM20" s="115"/>
      <c r="BO20" s="115"/>
      <c r="BP20" s="115"/>
      <c r="BQ20" s="115"/>
      <c r="BR20" s="115" t="n">
        <f aca="false">IF(+R20-BN20+BP20&gt;0,R20-BN20+BP20,0)</f>
        <v>0</v>
      </c>
      <c r="BT20" s="115" t="n">
        <f aca="false">+BN20+BR20</f>
        <v>0</v>
      </c>
      <c r="BV20" s="115" t="n">
        <f aca="false">+R20-BT20</f>
        <v>0</v>
      </c>
      <c r="BW20" s="115"/>
    </row>
    <row r="21" customFormat="false" ht="12.75" hidden="false" customHeight="false" outlineLevel="0" collapsed="false">
      <c r="A21" s="171"/>
      <c r="B21" s="165" t="s">
        <v>157</v>
      </c>
      <c r="C21" s="0"/>
      <c r="D21" s="0"/>
      <c r="E21" s="0"/>
      <c r="F21" s="0"/>
      <c r="G21" s="0"/>
      <c r="H21" s="0"/>
      <c r="I21" s="0"/>
      <c r="J21" s="4" t="s">
        <v>132</v>
      </c>
      <c r="K21" s="0"/>
      <c r="L21" s="169" t="s">
        <v>142</v>
      </c>
      <c r="M21" s="115"/>
      <c r="O21" s="115"/>
      <c r="Q21" s="115"/>
      <c r="S21" s="115"/>
      <c r="T21" s="115"/>
      <c r="U21" s="115"/>
      <c r="V21" s="115"/>
      <c r="X21" s="115"/>
      <c r="Z21" s="115"/>
      <c r="AB21" s="115"/>
      <c r="AD21" s="115"/>
      <c r="BL21" s="115"/>
      <c r="BM21" s="115"/>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158</v>
      </c>
      <c r="C22" s="0"/>
      <c r="D22" s="0"/>
      <c r="E22" s="0"/>
      <c r="F22" s="0"/>
      <c r="G22" s="0"/>
      <c r="H22" s="0"/>
      <c r="I22" s="0"/>
      <c r="J22" s="4" t="s">
        <v>132</v>
      </c>
      <c r="K22" s="0"/>
      <c r="L22" s="169" t="s">
        <v>142</v>
      </c>
      <c r="M22" s="115"/>
      <c r="O22" s="115"/>
      <c r="Q22" s="115"/>
      <c r="S22" s="115"/>
      <c r="T22" s="115"/>
      <c r="U22" s="115"/>
      <c r="V22" s="115"/>
      <c r="X22" s="115"/>
      <c r="Z22" s="115"/>
      <c r="AB22" s="115"/>
      <c r="AD22" s="115"/>
      <c r="BL22" s="115"/>
      <c r="BM22" s="115"/>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159</v>
      </c>
      <c r="C23" s="0"/>
      <c r="D23" s="0"/>
      <c r="E23" s="0"/>
      <c r="F23" s="0"/>
      <c r="G23" s="0"/>
      <c r="H23" s="0"/>
      <c r="I23" s="0"/>
      <c r="J23" s="4" t="s">
        <v>132</v>
      </c>
      <c r="K23" s="0"/>
      <c r="L23" s="169" t="s">
        <v>142</v>
      </c>
      <c r="M23" s="115"/>
      <c r="O23" s="115"/>
      <c r="Q23" s="115"/>
      <c r="S23" s="115"/>
      <c r="T23" s="115"/>
      <c r="U23" s="115"/>
      <c r="V23" s="115"/>
      <c r="X23" s="115"/>
      <c r="Z23" s="115"/>
      <c r="AB23" s="115"/>
      <c r="AD23" s="115"/>
      <c r="BL23" s="115"/>
      <c r="BM23" s="115"/>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132</v>
      </c>
      <c r="K24" s="0"/>
      <c r="L24" s="169"/>
      <c r="M24" s="115"/>
      <c r="O24" s="115"/>
      <c r="Q24" s="115"/>
      <c r="S24" s="115"/>
      <c r="T24" s="115"/>
      <c r="U24" s="115"/>
      <c r="V24" s="115"/>
      <c r="X24" s="115"/>
      <c r="Z24" s="115"/>
      <c r="AB24" s="115"/>
      <c r="AD24" s="115"/>
      <c r="BL24" s="115"/>
      <c r="BM24" s="115"/>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160</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161</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162</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163</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164</v>
      </c>
      <c r="C29" s="0"/>
      <c r="D29" s="0"/>
      <c r="E29" s="0"/>
      <c r="F29" s="0"/>
      <c r="G29" s="0"/>
      <c r="H29" s="0"/>
      <c r="I29" s="0"/>
      <c r="J29" s="4" t="s">
        <v>132</v>
      </c>
      <c r="K29" s="0"/>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165</v>
      </c>
      <c r="C30" s="0"/>
      <c r="D30" s="0"/>
      <c r="E30" s="0"/>
      <c r="F30" s="0"/>
      <c r="G30" s="0"/>
      <c r="H30" s="0"/>
      <c r="I30" s="0"/>
      <c r="J30" s="4" t="s">
        <v>132</v>
      </c>
      <c r="K30" s="0"/>
      <c r="L30" s="169" t="s">
        <v>142</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166</v>
      </c>
      <c r="C31" s="0"/>
      <c r="D31" s="0"/>
      <c r="E31" s="0"/>
      <c r="F31" s="0"/>
      <c r="G31" s="0"/>
      <c r="H31" s="0"/>
      <c r="I31" s="0"/>
      <c r="J31" s="4" t="s">
        <v>132</v>
      </c>
      <c r="K31" s="0"/>
      <c r="L31" s="169" t="s">
        <v>142</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167</v>
      </c>
      <c r="C32" s="18"/>
      <c r="D32" s="18"/>
      <c r="E32" s="18"/>
      <c r="F32" s="18"/>
      <c r="G32" s="18"/>
      <c r="H32" s="18"/>
      <c r="I32" s="18"/>
      <c r="J32" s="4" t="s">
        <v>132</v>
      </c>
      <c r="K32" s="18"/>
      <c r="L32" s="169" t="s">
        <v>142</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152</v>
      </c>
      <c r="C33" s="0"/>
      <c r="D33" s="0"/>
      <c r="E33" s="0"/>
      <c r="F33" s="0"/>
      <c r="G33" s="0"/>
      <c r="H33" s="0"/>
      <c r="I33" s="0"/>
      <c r="J33" s="4" t="s">
        <v>132</v>
      </c>
      <c r="K33" s="0"/>
      <c r="L33" s="169" t="s">
        <v>142</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0</v>
      </c>
      <c r="AV33" s="115" t="n">
        <v>0</v>
      </c>
      <c r="AX33" s="115" t="n">
        <v>0</v>
      </c>
      <c r="AZ33" s="115" t="n">
        <v>0</v>
      </c>
      <c r="BB33" s="115" t="n">
        <v>0</v>
      </c>
      <c r="BD33" s="115" t="n">
        <v>0</v>
      </c>
      <c r="BF33" s="115" t="n">
        <v>0</v>
      </c>
      <c r="BH33" s="115" t="n">
        <v>0</v>
      </c>
      <c r="BJ33" s="115" t="n">
        <v>0</v>
      </c>
      <c r="BL33" s="115" t="n">
        <v>0</v>
      </c>
      <c r="BM33" s="115"/>
      <c r="BN33" s="115" t="n">
        <f aca="false">SUM(T33:BM33)</f>
        <v>0</v>
      </c>
      <c r="BO33" s="115"/>
      <c r="BP33" s="115" t="n">
        <v>0</v>
      </c>
      <c r="BQ33" s="115"/>
      <c r="BR33" s="115" t="n">
        <f aca="false">IF(+R33-BN33+BP33&gt;0,R33-BN33+BP33,0)</f>
        <v>0</v>
      </c>
      <c r="BT33" s="115" t="n">
        <f aca="false">+BN33+BR33</f>
        <v>0</v>
      </c>
      <c r="BV33" s="115" t="n">
        <f aca="false">+R33-BT33</f>
        <v>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168</v>
      </c>
      <c r="C35" s="0"/>
      <c r="D35" s="0"/>
      <c r="E35" s="0"/>
      <c r="F35" s="0"/>
      <c r="G35" s="0"/>
      <c r="H35" s="0"/>
      <c r="I35" s="0"/>
      <c r="J35" s="4"/>
      <c r="K35" s="0"/>
      <c r="L35" s="169"/>
      <c r="M35" s="115"/>
      <c r="N35" s="170" t="n">
        <f aca="false">SUM(N18:N34)</f>
        <v>0</v>
      </c>
      <c r="O35" s="115"/>
      <c r="P35" s="170" t="n">
        <f aca="false">SUM(P18:P34)</f>
        <v>0</v>
      </c>
      <c r="Q35" s="115"/>
      <c r="R35" s="170" t="n">
        <f aca="false">SUM(R18:R34)</f>
        <v>0</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293460.55</v>
      </c>
      <c r="AJ35" s="170" t="n">
        <f aca="false">SUM(AJ18:AJ34)</f>
        <v>883701.65</v>
      </c>
      <c r="AL35" s="170" t="n">
        <f aca="false">SUM(AL18:AL34)</f>
        <v>-1177162</v>
      </c>
      <c r="AM35" s="170"/>
      <c r="AN35" s="170" t="n">
        <f aca="false">SUM(AN18:AN34)</f>
        <v>0</v>
      </c>
      <c r="AP35" s="170" t="n">
        <f aca="false">SUM(AP18:AP34)</f>
        <v>0</v>
      </c>
      <c r="AR35" s="170" t="n">
        <f aca="false">SUM(AR18:AR34)</f>
        <v>0</v>
      </c>
      <c r="AT35" s="170" t="n">
        <f aca="false">SUM(AT18:AT34)</f>
        <v>0</v>
      </c>
      <c r="AV35" s="170" t="n">
        <f aca="false">SUM(AV18:AV34)</f>
        <v>0</v>
      </c>
      <c r="AX35" s="170" t="n">
        <f aca="false">SUM(AX18:AX34)</f>
        <v>0</v>
      </c>
      <c r="AZ35" s="170" t="n">
        <f aca="false">SUM(AZ18:AZ34)</f>
        <v>0</v>
      </c>
      <c r="BB35" s="170" t="n">
        <f aca="false">SUM(BB18:BB34)</f>
        <v>0</v>
      </c>
      <c r="BD35" s="170" t="n">
        <f aca="false">SUM(BD18:BD34)</f>
        <v>0</v>
      </c>
      <c r="BF35" s="170" t="n">
        <f aca="false">SUM(BF18:BF34)</f>
        <v>0</v>
      </c>
      <c r="BH35" s="170" t="n">
        <f aca="false">SUM(BH18:BH34)</f>
        <v>0</v>
      </c>
      <c r="BJ35" s="170" t="n">
        <f aca="false">SUM(BJ18:BJ34)</f>
        <v>0</v>
      </c>
      <c r="BL35" s="170" t="n">
        <f aca="false">SUM(BL18:BL34)</f>
        <v>0</v>
      </c>
      <c r="BM35" s="115"/>
      <c r="BN35" s="170" t="n">
        <f aca="false">SUM(BN18:BN34)</f>
        <v>0.199999999953434</v>
      </c>
      <c r="BO35" s="115"/>
      <c r="BP35" s="170" t="n">
        <f aca="false">SUM(BP18:BP34)</f>
        <v>0</v>
      </c>
      <c r="BQ35" s="115"/>
      <c r="BR35" s="170" t="n">
        <f aca="false">SUM(BR18:BR34)</f>
        <v>0</v>
      </c>
      <c r="BT35" s="170" t="n">
        <f aca="false">SUM(BT18:BT34)</f>
        <v>0.199999999953434</v>
      </c>
      <c r="BV35" s="170" t="n">
        <f aca="false">SUM(BV18:BV34)</f>
        <v>-0.199999999953434</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169</v>
      </c>
      <c r="C37" s="177"/>
      <c r="D37" s="177"/>
      <c r="E37" s="177"/>
      <c r="F37" s="177"/>
      <c r="G37" s="177"/>
      <c r="H37" s="177"/>
      <c r="I37" s="177"/>
      <c r="J37" s="178"/>
      <c r="K37" s="177"/>
      <c r="L37" s="179"/>
      <c r="M37" s="180"/>
      <c r="N37" s="180" t="n">
        <f aca="false">+N35+N16</f>
        <v>93330000</v>
      </c>
      <c r="O37" s="180"/>
      <c r="P37" s="180" t="n">
        <f aca="false">+P35+P16</f>
        <v>0</v>
      </c>
      <c r="Q37" s="180"/>
      <c r="R37" s="180" t="n">
        <f aca="false">+R35+R16</f>
        <v>0</v>
      </c>
      <c r="S37" s="180"/>
      <c r="T37" s="180" t="n">
        <f aca="false">+T35+T16</f>
        <v>29376550</v>
      </c>
      <c r="U37" s="180"/>
      <c r="V37" s="180" t="n">
        <f aca="false">+V35+V16</f>
        <v>43750400</v>
      </c>
      <c r="W37" s="180"/>
      <c r="X37" s="180" t="n">
        <f aca="false">+X35+X16</f>
        <v>3107550</v>
      </c>
      <c r="Y37" s="180"/>
      <c r="Z37" s="180" t="n">
        <f aca="false">+Z35+Z16</f>
        <v>0</v>
      </c>
      <c r="AA37" s="180"/>
      <c r="AB37" s="180" t="n">
        <f aca="false">+AB35+AB16</f>
        <v>3107250</v>
      </c>
      <c r="AC37" s="180"/>
      <c r="AD37" s="180" t="n">
        <f aca="false">+AD35+AD16</f>
        <v>6240218.71</v>
      </c>
      <c r="AE37" s="180"/>
      <c r="AF37" s="180" t="n">
        <f aca="false">+AF35+AF16</f>
        <v>0</v>
      </c>
      <c r="AG37" s="180"/>
      <c r="AH37" s="180" t="n">
        <f aca="false">+AH35+AH16</f>
        <v>400660.02</v>
      </c>
      <c r="AI37" s="180"/>
      <c r="AJ37" s="180" t="n">
        <f aca="false">+AJ35+AJ16</f>
        <v>1276912.55</v>
      </c>
      <c r="AK37" s="180"/>
      <c r="AL37" s="180" t="n">
        <f aca="false">+AL35+AL16</f>
        <v>-87259541</v>
      </c>
      <c r="AM37" s="180"/>
      <c r="AN37" s="180" t="n">
        <f aca="false">+AN35+AN16</f>
        <v>0</v>
      </c>
      <c r="AO37" s="180"/>
      <c r="AP37" s="180" t="n">
        <f aca="false">+AP35+AP16</f>
        <v>0</v>
      </c>
      <c r="AQ37" s="180"/>
      <c r="AR37" s="180" t="n">
        <f aca="false">+AR35+AR16</f>
        <v>0</v>
      </c>
      <c r="AS37" s="180"/>
      <c r="AT37" s="180" t="n">
        <f aca="false">+AT35+AT16</f>
        <v>0</v>
      </c>
      <c r="AU37" s="180"/>
      <c r="AV37" s="180" t="n">
        <f aca="false">+AV35+AV16</f>
        <v>0</v>
      </c>
      <c r="AW37" s="180"/>
      <c r="AX37" s="180" t="n">
        <f aca="false">+AX35+AX16</f>
        <v>0</v>
      </c>
      <c r="AY37" s="180"/>
      <c r="AZ37" s="180" t="n">
        <f aca="false">+AZ35+AZ16</f>
        <v>0</v>
      </c>
      <c r="BA37" s="180"/>
      <c r="BB37" s="180" t="n">
        <f aca="false">+BB35+BB16</f>
        <v>0</v>
      </c>
      <c r="BC37" s="180"/>
      <c r="BD37" s="180" t="n">
        <f aca="false">+BD35+BD16</f>
        <v>0</v>
      </c>
      <c r="BE37" s="180"/>
      <c r="BF37" s="180" t="n">
        <f aca="false">+BF35+BF16</f>
        <v>0</v>
      </c>
      <c r="BG37" s="180"/>
      <c r="BH37" s="180" t="n">
        <f aca="false">+BH35+BH16</f>
        <v>0</v>
      </c>
      <c r="BI37" s="180"/>
      <c r="BJ37" s="180" t="n">
        <f aca="false">+BJ35+BJ16</f>
        <v>0</v>
      </c>
      <c r="BK37" s="180"/>
      <c r="BL37" s="180" t="n">
        <f aca="false">+BL35+BL16</f>
        <v>0</v>
      </c>
      <c r="BM37" s="180"/>
      <c r="BN37" s="180" t="n">
        <f aca="false">+BN35+BN16</f>
        <v>0.279999999358552</v>
      </c>
      <c r="BO37" s="180"/>
      <c r="BP37" s="180" t="n">
        <f aca="false">+BP35+BP16</f>
        <v>0</v>
      </c>
      <c r="BQ37" s="180"/>
      <c r="BR37" s="180" t="n">
        <f aca="false">+BR35+BR16</f>
        <v>0.390000000596046</v>
      </c>
      <c r="BS37" s="180"/>
      <c r="BT37" s="180" t="n">
        <f aca="false">+BT35+BT16</f>
        <v>0.669999999954598</v>
      </c>
      <c r="BU37" s="180"/>
      <c r="BV37" s="180" t="n">
        <f aca="false">+BV35+BV16</f>
        <v>-0.669999999954598</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170</v>
      </c>
      <c r="B40" s="165"/>
      <c r="C40" s="0"/>
      <c r="D40" s="0"/>
      <c r="E40" s="0"/>
      <c r="F40" s="0"/>
      <c r="G40" s="0"/>
      <c r="H40" s="0"/>
      <c r="I40" s="0"/>
      <c r="J40" s="4"/>
      <c r="K40" s="0"/>
      <c r="L40" s="169"/>
      <c r="M40" s="115"/>
      <c r="O40" s="115"/>
      <c r="Q40" s="115"/>
      <c r="S40" s="115"/>
      <c r="T40" s="115"/>
      <c r="U40" s="115"/>
      <c r="V40" s="115"/>
      <c r="X40" s="115"/>
      <c r="Z40" s="115"/>
      <c r="AB40" s="115"/>
      <c r="AD40" s="115"/>
      <c r="BL40" s="115"/>
      <c r="BM40" s="115"/>
      <c r="BO40" s="115"/>
      <c r="BP40" s="115"/>
      <c r="BQ40" s="115"/>
      <c r="BW40" s="115"/>
    </row>
    <row r="41" customFormat="false" ht="12.75" hidden="false" customHeight="false" outlineLevel="0" collapsed="false">
      <c r="A41" s="171"/>
      <c r="B41" s="165" t="s">
        <v>293</v>
      </c>
      <c r="C41" s="0"/>
      <c r="D41" s="0"/>
      <c r="E41" s="0"/>
      <c r="F41" s="0"/>
      <c r="G41" s="0"/>
      <c r="H41" s="0"/>
      <c r="I41" s="0"/>
      <c r="J41" s="4" t="s">
        <v>173</v>
      </c>
      <c r="K41" s="0"/>
      <c r="L41" s="169" t="s">
        <v>142</v>
      </c>
      <c r="M41" s="115"/>
      <c r="N41" s="115" t="n">
        <v>0</v>
      </c>
      <c r="O41" s="115"/>
      <c r="P41" s="115" t="n">
        <v>0</v>
      </c>
      <c r="Q41" s="115"/>
      <c r="R41" s="115" t="n">
        <v>0</v>
      </c>
      <c r="S41" s="115"/>
      <c r="T41" s="115" t="n">
        <v>0</v>
      </c>
      <c r="U41" s="115"/>
      <c r="V41" s="115" t="n">
        <v>0</v>
      </c>
      <c r="X41" s="115" t="n">
        <v>0</v>
      </c>
      <c r="Z41" s="115" t="n">
        <v>0</v>
      </c>
      <c r="AB41" s="115" t="n">
        <v>0</v>
      </c>
      <c r="AD41" s="115" t="n">
        <v>0</v>
      </c>
      <c r="AF41" s="115" t="n">
        <v>0</v>
      </c>
      <c r="AH41" s="115" t="n">
        <v>0</v>
      </c>
      <c r="AJ41" s="115" t="n">
        <v>0</v>
      </c>
      <c r="AN41" s="115" t="n">
        <v>0</v>
      </c>
      <c r="AP41" s="115" t="n">
        <v>0</v>
      </c>
      <c r="AR41" s="115" t="n">
        <v>0</v>
      </c>
      <c r="AT41" s="115" t="n">
        <v>0</v>
      </c>
      <c r="AV41" s="115" t="n">
        <v>0</v>
      </c>
      <c r="AX41" s="115" t="n">
        <v>0</v>
      </c>
      <c r="AZ41" s="115" t="n">
        <v>0</v>
      </c>
      <c r="BB41" s="115" t="n">
        <v>0</v>
      </c>
      <c r="BD41" s="115" t="n">
        <v>0</v>
      </c>
      <c r="BF41" s="115" t="n">
        <v>0</v>
      </c>
      <c r="BH41" s="115" t="n">
        <v>0</v>
      </c>
      <c r="BJ41" s="115" t="n">
        <v>0</v>
      </c>
      <c r="BL41" s="115" t="n">
        <v>0</v>
      </c>
      <c r="BM41" s="115"/>
      <c r="BN41" s="115" t="n">
        <f aca="false">SUM(T41:BM41)</f>
        <v>0</v>
      </c>
      <c r="BO41" s="115"/>
      <c r="BP41" s="115" t="n">
        <v>0</v>
      </c>
      <c r="BQ41" s="115"/>
      <c r="BR41" s="115" t="n">
        <f aca="false">IF(+R41-BN41+BP41&gt;0,R41-BN41+BP41,0)</f>
        <v>0</v>
      </c>
      <c r="BT41" s="115" t="n">
        <f aca="false">+BN41+BR41</f>
        <v>0</v>
      </c>
      <c r="BV41" s="115" t="n">
        <f aca="false">+R41-BT41</f>
        <v>0</v>
      </c>
      <c r="BW41" s="115"/>
    </row>
    <row r="42" customFormat="false" ht="12.75" hidden="false" customHeight="false" outlineLevel="0" collapsed="false">
      <c r="A42" s="171"/>
      <c r="B42" s="165" t="s">
        <v>294</v>
      </c>
      <c r="C42" s="0"/>
      <c r="D42" s="0"/>
      <c r="E42" s="0"/>
      <c r="F42" s="0"/>
      <c r="G42" s="0"/>
      <c r="H42" s="0"/>
      <c r="I42" s="0"/>
      <c r="J42" s="4" t="s">
        <v>173</v>
      </c>
      <c r="K42" s="0"/>
      <c r="L42" s="169" t="s">
        <v>142</v>
      </c>
      <c r="M42" s="115"/>
      <c r="O42" s="115"/>
      <c r="Q42" s="115"/>
      <c r="R42" s="115" t="n">
        <v>0</v>
      </c>
      <c r="S42" s="115"/>
      <c r="T42" s="115"/>
      <c r="U42" s="115"/>
      <c r="V42" s="115"/>
      <c r="X42" s="115"/>
      <c r="Z42" s="115"/>
      <c r="AB42" s="115"/>
      <c r="AD42" s="115"/>
      <c r="BL42" s="115"/>
      <c r="BM42" s="115"/>
      <c r="BN42" s="115" t="n">
        <f aca="false">SUM(T42:BM42)</f>
        <v>0</v>
      </c>
      <c r="BO42" s="115"/>
      <c r="BP42" s="115" t="n">
        <v>0</v>
      </c>
      <c r="BQ42" s="115"/>
      <c r="BR42" s="115" t="n">
        <f aca="false">IF(+R42-BN42+BP42&gt;0,R42-BN42+BP42,0)</f>
        <v>0</v>
      </c>
      <c r="BT42" s="115" t="n">
        <f aca="false">+BN42+BR42</f>
        <v>0</v>
      </c>
      <c r="BV42" s="115" t="n">
        <f aca="false">+R42-BT42</f>
        <v>0</v>
      </c>
      <c r="BW42" s="115"/>
    </row>
    <row r="43" customFormat="false" ht="12.75" hidden="false" customHeight="false" outlineLevel="0" collapsed="false">
      <c r="A43" s="171"/>
      <c r="B43" s="165" t="s">
        <v>295</v>
      </c>
      <c r="C43" s="0"/>
      <c r="D43" s="0"/>
      <c r="E43" s="0"/>
      <c r="F43" s="0"/>
      <c r="G43" s="0"/>
      <c r="H43" s="0"/>
      <c r="I43" s="0"/>
      <c r="J43" s="4" t="s">
        <v>173</v>
      </c>
      <c r="K43" s="0"/>
      <c r="L43" s="169" t="s">
        <v>142</v>
      </c>
      <c r="M43" s="115"/>
      <c r="O43" s="115"/>
      <c r="Q43" s="115"/>
      <c r="R43" s="115" t="n">
        <v>0</v>
      </c>
      <c r="S43" s="115"/>
      <c r="T43" s="115"/>
      <c r="U43" s="115"/>
      <c r="V43" s="115"/>
      <c r="X43" s="115"/>
      <c r="Z43" s="115"/>
      <c r="AB43" s="115"/>
      <c r="AD43" s="115"/>
      <c r="BL43" s="115"/>
      <c r="BM43" s="115"/>
      <c r="BN43" s="115" t="n">
        <f aca="false">SUM(T43:BM43)</f>
        <v>0</v>
      </c>
      <c r="BO43" s="115"/>
      <c r="BP43" s="115" t="n">
        <v>0</v>
      </c>
      <c r="BQ43" s="115"/>
      <c r="BR43" s="115" t="n">
        <f aca="false">IF(+R43-BN43+BP43&gt;0,R43-BN43+BP43,0)</f>
        <v>0</v>
      </c>
      <c r="BT43" s="115" t="n">
        <f aca="false">+BN43+BR43</f>
        <v>0</v>
      </c>
      <c r="BV43" s="115" t="n">
        <f aca="false">+R43-BT43</f>
        <v>0</v>
      </c>
      <c r="BW43" s="115"/>
    </row>
    <row r="44" customFormat="false" ht="12.75" hidden="false" customHeight="false" outlineLevel="0" collapsed="false">
      <c r="A44" s="171"/>
      <c r="B44" s="165" t="s">
        <v>176</v>
      </c>
      <c r="C44" s="0"/>
      <c r="D44" s="0"/>
      <c r="E44" s="0"/>
      <c r="F44" s="0"/>
      <c r="G44" s="0"/>
      <c r="H44" s="0"/>
      <c r="I44" s="0"/>
      <c r="J44" s="4" t="s">
        <v>173</v>
      </c>
      <c r="K44" s="0"/>
      <c r="L44" s="169" t="s">
        <v>142</v>
      </c>
      <c r="M44" s="115"/>
      <c r="O44" s="115"/>
      <c r="Q44" s="115"/>
      <c r="R44" s="115" t="n">
        <v>0</v>
      </c>
      <c r="S44" s="115"/>
      <c r="T44" s="115"/>
      <c r="U44" s="115"/>
      <c r="V44" s="115"/>
      <c r="X44" s="115"/>
      <c r="Z44" s="115"/>
      <c r="AB44" s="115"/>
      <c r="AD44" s="115"/>
      <c r="BL44" s="115"/>
      <c r="BM44" s="115"/>
      <c r="BN44" s="115" t="n">
        <f aca="false">SUM(T44:BM44)</f>
        <v>0</v>
      </c>
      <c r="BO44" s="115"/>
      <c r="BP44" s="115" t="n">
        <v>0</v>
      </c>
      <c r="BQ44" s="115"/>
      <c r="BR44" s="115" t="n">
        <f aca="false">IF(+R44-BN44+BP44&gt;0,R44-BN44+BP44,0)</f>
        <v>0</v>
      </c>
      <c r="BT44" s="115" t="n">
        <f aca="false">+BN44+BR44</f>
        <v>0</v>
      </c>
      <c r="BV44" s="115" t="n">
        <f aca="false">+R44-BT44</f>
        <v>0</v>
      </c>
      <c r="BW44" s="115"/>
    </row>
    <row r="45" customFormat="false" ht="12.75" hidden="false" customHeight="false" outlineLevel="0" collapsed="false">
      <c r="A45" s="171"/>
      <c r="B45" s="165" t="s">
        <v>296</v>
      </c>
      <c r="C45" s="0"/>
      <c r="D45" s="0"/>
      <c r="E45" s="0"/>
      <c r="F45" s="0"/>
      <c r="G45" s="0"/>
      <c r="H45" s="0"/>
      <c r="I45" s="0"/>
      <c r="J45" s="4" t="s">
        <v>173</v>
      </c>
      <c r="K45" s="0"/>
      <c r="L45" s="169" t="s">
        <v>142</v>
      </c>
      <c r="M45" s="115"/>
      <c r="O45" s="115"/>
      <c r="Q45" s="115"/>
      <c r="R45" s="115" t="n">
        <v>0</v>
      </c>
      <c r="S45" s="115"/>
      <c r="T45" s="115"/>
      <c r="U45" s="115"/>
      <c r="V45" s="115"/>
      <c r="X45" s="115"/>
      <c r="Z45" s="115"/>
      <c r="AB45" s="115"/>
      <c r="AD45" s="115"/>
      <c r="BL45" s="115"/>
      <c r="BM45" s="115"/>
      <c r="BN45" s="115" t="n">
        <f aca="false">SUM(T45:BM45)</f>
        <v>0</v>
      </c>
      <c r="BO45" s="115"/>
      <c r="BP45" s="115" t="n">
        <v>0</v>
      </c>
      <c r="BQ45" s="115"/>
      <c r="BR45" s="115" t="n">
        <f aca="false">IF(+R45-BN45+BP45&gt;0,R45-BN45+BP45,0)</f>
        <v>0</v>
      </c>
      <c r="BT45" s="115" t="n">
        <f aca="false">+BN45+BR45</f>
        <v>0</v>
      </c>
      <c r="BV45" s="115" t="n">
        <f aca="false">+R45-BT45</f>
        <v>0</v>
      </c>
      <c r="BW45" s="115"/>
    </row>
    <row r="46" customFormat="false" ht="12.75" hidden="false" customHeight="false" outlineLevel="0" collapsed="false">
      <c r="A46" s="171"/>
      <c r="B46" s="165" t="s">
        <v>297</v>
      </c>
      <c r="C46" s="0"/>
      <c r="D46" s="0"/>
      <c r="E46" s="0"/>
      <c r="F46" s="0"/>
      <c r="G46" s="0"/>
      <c r="H46" s="0"/>
      <c r="I46" s="0"/>
      <c r="J46" s="4" t="s">
        <v>173</v>
      </c>
      <c r="K46" s="0"/>
      <c r="L46" s="169" t="s">
        <v>142</v>
      </c>
      <c r="M46" s="115"/>
      <c r="O46" s="115"/>
      <c r="Q46" s="115"/>
      <c r="R46" s="115" t="n">
        <v>0</v>
      </c>
      <c r="S46" s="115"/>
      <c r="T46" s="115"/>
      <c r="U46" s="115"/>
      <c r="V46" s="115"/>
      <c r="X46" s="115"/>
      <c r="Z46" s="115"/>
      <c r="AB46" s="115"/>
      <c r="AD46" s="115"/>
      <c r="BL46" s="115"/>
      <c r="BM46" s="115"/>
      <c r="BN46" s="115" t="n">
        <f aca="false">SUM(T46:BM46)</f>
        <v>0</v>
      </c>
      <c r="BO46" s="115"/>
      <c r="BP46" s="115" t="n">
        <v>0</v>
      </c>
      <c r="BQ46" s="115"/>
      <c r="BR46" s="115" t="n">
        <f aca="false">IF(+R46-BN46+BP46&gt;0,R46-BN46+BP46,0)</f>
        <v>0</v>
      </c>
      <c r="BT46" s="115" t="n">
        <f aca="false">+BN46+BR46</f>
        <v>0</v>
      </c>
      <c r="BV46" s="115" t="n">
        <f aca="false">+R46-BT46</f>
        <v>0</v>
      </c>
      <c r="BW46" s="115"/>
    </row>
    <row r="47" customFormat="false" ht="12.75" hidden="false" customHeight="false" outlineLevel="0" collapsed="false">
      <c r="A47" s="171"/>
      <c r="B47" s="165" t="s">
        <v>298</v>
      </c>
      <c r="C47" s="0"/>
      <c r="D47" s="0"/>
      <c r="E47" s="0"/>
      <c r="F47" s="0"/>
      <c r="G47" s="0"/>
      <c r="H47" s="0"/>
      <c r="I47" s="0"/>
      <c r="J47" s="4" t="s">
        <v>173</v>
      </c>
      <c r="K47" s="0"/>
      <c r="L47" s="169" t="s">
        <v>142</v>
      </c>
      <c r="M47" s="115"/>
      <c r="O47" s="115"/>
      <c r="Q47" s="115"/>
      <c r="R47" s="115" t="n">
        <v>0</v>
      </c>
      <c r="S47" s="115"/>
      <c r="T47" s="115"/>
      <c r="U47" s="115"/>
      <c r="V47" s="115"/>
      <c r="X47" s="115"/>
      <c r="Z47" s="115"/>
      <c r="AB47" s="115"/>
      <c r="AD47" s="115"/>
      <c r="BL47" s="115"/>
      <c r="BM47" s="115"/>
      <c r="BN47" s="115" t="n">
        <f aca="false">SUM(T47:BM47)</f>
        <v>0</v>
      </c>
      <c r="BO47" s="115"/>
      <c r="BP47" s="115" t="n">
        <v>0</v>
      </c>
      <c r="BQ47" s="115"/>
      <c r="BR47" s="115" t="n">
        <f aca="false">IF(+R47-BN47+BP47&gt;0,R47-BN47+BP47,0)</f>
        <v>0</v>
      </c>
      <c r="BT47" s="115" t="n">
        <f aca="false">+BN47+BR47</f>
        <v>0</v>
      </c>
      <c r="BV47" s="115" t="n">
        <f aca="false">+R47-BT47</f>
        <v>0</v>
      </c>
      <c r="BW47" s="115"/>
    </row>
    <row r="48" customFormat="false" ht="12.75" hidden="false" customHeight="false" outlineLevel="0" collapsed="false">
      <c r="A48" s="171"/>
      <c r="B48" s="165" t="s">
        <v>213</v>
      </c>
      <c r="C48" s="0"/>
      <c r="D48" s="0"/>
      <c r="E48" s="0"/>
      <c r="F48" s="0"/>
      <c r="G48" s="0"/>
      <c r="H48" s="0"/>
      <c r="I48" s="0"/>
      <c r="J48" s="4" t="s">
        <v>173</v>
      </c>
      <c r="K48" s="0"/>
      <c r="L48" s="169" t="s">
        <v>142</v>
      </c>
      <c r="M48" s="115"/>
      <c r="O48" s="115"/>
      <c r="Q48" s="115"/>
      <c r="R48" s="115" t="n">
        <v>0</v>
      </c>
      <c r="S48" s="115"/>
      <c r="T48" s="115"/>
      <c r="U48" s="115"/>
      <c r="V48" s="115"/>
      <c r="X48" s="115" t="n">
        <v>0</v>
      </c>
      <c r="Z48" s="115"/>
      <c r="AB48" s="115"/>
      <c r="AD48" s="115"/>
      <c r="BL48" s="115"/>
      <c r="BM48" s="115"/>
      <c r="BN48" s="115" t="n">
        <f aca="false">SUM(T48:BM48)</f>
        <v>0</v>
      </c>
      <c r="BO48" s="115"/>
      <c r="BP48" s="115" t="n">
        <v>0</v>
      </c>
      <c r="BQ48" s="115"/>
      <c r="BR48" s="115" t="n">
        <f aca="false">IF(+R48-BN48+BP48&gt;0,R48-BN48+BP48,0)</f>
        <v>0</v>
      </c>
      <c r="BT48" s="115" t="n">
        <f aca="false">+BN48+BR48</f>
        <v>0</v>
      </c>
      <c r="BV48" s="115" t="n">
        <f aca="false">+R48-BT48</f>
        <v>0</v>
      </c>
      <c r="BW48" s="115"/>
    </row>
    <row r="49" customFormat="false" ht="12.75" hidden="false" customHeight="false" outlineLevel="0" collapsed="false">
      <c r="A49" s="171"/>
      <c r="B49" s="165" t="s">
        <v>159</v>
      </c>
      <c r="C49" s="0"/>
      <c r="D49" s="0"/>
      <c r="E49" s="0"/>
      <c r="F49" s="0"/>
      <c r="G49" s="0"/>
      <c r="H49" s="0"/>
      <c r="I49" s="0"/>
      <c r="J49" s="4" t="s">
        <v>173</v>
      </c>
      <c r="K49" s="0"/>
      <c r="L49" s="169" t="s">
        <v>142</v>
      </c>
      <c r="M49" s="115"/>
      <c r="O49" s="115"/>
      <c r="Q49" s="115"/>
      <c r="R49" s="115" t="n">
        <v>0</v>
      </c>
      <c r="S49" s="115"/>
      <c r="T49" s="115"/>
      <c r="U49" s="115"/>
      <c r="V49" s="115"/>
      <c r="X49" s="115"/>
      <c r="Z49" s="115"/>
      <c r="AB49" s="115"/>
      <c r="AD49" s="115"/>
      <c r="BL49" s="115"/>
      <c r="BM49" s="115"/>
      <c r="BN49" s="115" t="n">
        <f aca="false">SUM(T49:BM49)</f>
        <v>0</v>
      </c>
      <c r="BO49" s="115"/>
      <c r="BP49" s="115" t="n">
        <v>0</v>
      </c>
      <c r="BQ49" s="115"/>
      <c r="BR49" s="115" t="n">
        <f aca="false">IF(+R49-BN49+BP49&gt;0,R49-BN49+BP49,0)</f>
        <v>0</v>
      </c>
      <c r="BT49" s="115" t="n">
        <f aca="false">+BN49+BR49</f>
        <v>0</v>
      </c>
      <c r="BV49" s="115" t="n">
        <f aca="false">+R49-BT49</f>
        <v>0</v>
      </c>
      <c r="BW49" s="115"/>
    </row>
    <row r="50" customFormat="false" ht="12.75" hidden="false" customHeight="false" outlineLevel="0" collapsed="false">
      <c r="A50" s="171"/>
      <c r="B50" s="165" t="s">
        <v>299</v>
      </c>
      <c r="C50" s="0"/>
      <c r="D50" s="0"/>
      <c r="E50" s="0"/>
      <c r="F50" s="0"/>
      <c r="G50" s="0"/>
      <c r="H50" s="0"/>
      <c r="I50" s="0"/>
      <c r="J50" s="4" t="s">
        <v>173</v>
      </c>
      <c r="K50" s="0"/>
      <c r="L50" s="169" t="s">
        <v>142</v>
      </c>
      <c r="M50" s="115"/>
      <c r="N50" s="115" t="n">
        <v>0</v>
      </c>
      <c r="O50" s="115"/>
      <c r="P50" s="115" t="n">
        <v>0</v>
      </c>
      <c r="Q50" s="115"/>
      <c r="R50" s="115" t="n">
        <v>0</v>
      </c>
      <c r="S50" s="115"/>
      <c r="T50" s="115" t="n">
        <v>0</v>
      </c>
      <c r="U50" s="115"/>
      <c r="V50" s="115" t="n">
        <v>0</v>
      </c>
      <c r="X50" s="115" t="n">
        <v>0</v>
      </c>
      <c r="Z50" s="115" t="n">
        <v>0</v>
      </c>
      <c r="AB50" s="115" t="n">
        <v>0</v>
      </c>
      <c r="AD50" s="115" t="n">
        <v>0</v>
      </c>
      <c r="AF50" s="115" t="n">
        <v>0</v>
      </c>
      <c r="AH50" s="115" t="n">
        <v>0</v>
      </c>
      <c r="AJ50" s="115" t="n">
        <v>0</v>
      </c>
      <c r="AN50" s="115" t="n">
        <v>0</v>
      </c>
      <c r="AP50" s="115" t="n">
        <v>0</v>
      </c>
      <c r="AR50" s="115" t="n">
        <v>0</v>
      </c>
      <c r="AT50" s="115" t="n">
        <v>0</v>
      </c>
      <c r="AV50" s="115" t="n">
        <v>0</v>
      </c>
      <c r="AX50" s="115" t="n">
        <v>0</v>
      </c>
      <c r="AZ50" s="115" t="n">
        <v>0</v>
      </c>
      <c r="BB50" s="115" t="n">
        <v>0</v>
      </c>
      <c r="BD50" s="115" t="n">
        <v>0</v>
      </c>
      <c r="BF50" s="115" t="n">
        <v>0</v>
      </c>
      <c r="BH50" s="115" t="n">
        <v>0</v>
      </c>
      <c r="BJ50" s="115" t="n">
        <v>0</v>
      </c>
      <c r="BL50" s="115" t="n">
        <v>0</v>
      </c>
      <c r="BM50" s="115"/>
      <c r="BN50" s="115" t="n">
        <f aca="false">SUM(T50:BM50)</f>
        <v>0</v>
      </c>
      <c r="BO50" s="115"/>
      <c r="BP50" s="115" t="n">
        <v>0</v>
      </c>
      <c r="BQ50" s="115"/>
      <c r="BR50" s="115" t="n">
        <f aca="false">IF(+R50-BN50+BP50&gt;0,R50-BN50+BP50,0)</f>
        <v>0</v>
      </c>
      <c r="BT50" s="115" t="n">
        <f aca="false">+BN50+BR50</f>
        <v>0</v>
      </c>
      <c r="BV50" s="115" t="n">
        <f aca="false">+R50-BT50</f>
        <v>0</v>
      </c>
      <c r="BW50" s="115"/>
    </row>
    <row r="51" customFormat="false" ht="12.75" hidden="true" customHeight="false" outlineLevel="0" collapsed="false">
      <c r="A51" s="171"/>
      <c r="B51" s="165" t="s">
        <v>300</v>
      </c>
      <c r="C51" s="0"/>
      <c r="D51" s="0"/>
      <c r="E51" s="0"/>
      <c r="F51" s="0"/>
      <c r="G51" s="0"/>
      <c r="H51" s="0"/>
      <c r="I51" s="0"/>
      <c r="J51" s="4" t="s">
        <v>173</v>
      </c>
      <c r="K51" s="0"/>
      <c r="L51" s="169" t="s">
        <v>142</v>
      </c>
      <c r="M51" s="115"/>
      <c r="N51" s="115" t="n">
        <v>0</v>
      </c>
      <c r="O51" s="115"/>
      <c r="P51" s="115" t="n">
        <v>0</v>
      </c>
      <c r="Q51" s="115"/>
      <c r="R51" s="115" t="n">
        <f aca="false">+N51+P51</f>
        <v>0</v>
      </c>
      <c r="S51" s="115"/>
      <c r="T51" s="115" t="n">
        <v>0</v>
      </c>
      <c r="U51" s="115"/>
      <c r="V51" s="115" t="n">
        <v>0</v>
      </c>
      <c r="X51" s="115" t="n">
        <v>0</v>
      </c>
      <c r="Z51" s="115" t="n">
        <v>0</v>
      </c>
      <c r="AB51" s="115" t="n">
        <v>0</v>
      </c>
      <c r="AD51" s="115" t="n">
        <v>0</v>
      </c>
      <c r="AF51" s="115" t="n">
        <v>0</v>
      </c>
      <c r="AH51" s="115" t="n">
        <v>0</v>
      </c>
      <c r="AJ51" s="115" t="n">
        <v>0</v>
      </c>
      <c r="AN51" s="115" t="n">
        <v>0</v>
      </c>
      <c r="AP51" s="115" t="n">
        <v>0</v>
      </c>
      <c r="AR51" s="115" t="n">
        <v>0</v>
      </c>
      <c r="AT51" s="115" t="n">
        <v>0</v>
      </c>
      <c r="AV51" s="115" t="n">
        <v>0</v>
      </c>
      <c r="AX51" s="115" t="n">
        <v>0</v>
      </c>
      <c r="AZ51" s="115" t="n">
        <v>0</v>
      </c>
      <c r="BB51" s="115" t="n">
        <v>0</v>
      </c>
      <c r="BD51" s="115" t="n">
        <v>0</v>
      </c>
      <c r="BF51" s="115" t="n">
        <v>0</v>
      </c>
      <c r="BH51" s="115" t="n">
        <v>0</v>
      </c>
      <c r="BJ51" s="115" t="n">
        <v>0</v>
      </c>
      <c r="BL51" s="115" t="n">
        <v>0</v>
      </c>
      <c r="BM51" s="115"/>
      <c r="BN51" s="115" t="n">
        <f aca="false">SUM(T51:BM51)</f>
        <v>0</v>
      </c>
      <c r="BO51" s="115"/>
      <c r="BP51" s="115" t="n">
        <v>0</v>
      </c>
      <c r="BQ51" s="115"/>
      <c r="BR51" s="115" t="n">
        <f aca="false">IF(+R51-BN51+BP51&gt;0,R51-BN51+BP51,0)</f>
        <v>0</v>
      </c>
      <c r="BT51" s="115" t="n">
        <f aca="false">+BN51+BR51</f>
        <v>0</v>
      </c>
      <c r="BV51" s="115" t="n">
        <f aca="false">+R51-BT51</f>
        <v>0</v>
      </c>
      <c r="BW51" s="115"/>
    </row>
    <row r="52" customFormat="false" ht="12.75" hidden="true" customHeight="false" outlineLevel="0" collapsed="false">
      <c r="A52" s="171"/>
      <c r="B52" s="165" t="s">
        <v>301</v>
      </c>
      <c r="C52" s="0"/>
      <c r="D52" s="0"/>
      <c r="E52" s="0"/>
      <c r="F52" s="0"/>
      <c r="G52" s="0"/>
      <c r="H52" s="0"/>
      <c r="I52" s="0"/>
      <c r="J52" s="4" t="s">
        <v>173</v>
      </c>
      <c r="K52" s="0"/>
      <c r="L52" s="169" t="s">
        <v>142</v>
      </c>
      <c r="M52" s="115"/>
      <c r="N52" s="115" t="n">
        <v>0</v>
      </c>
      <c r="O52" s="115"/>
      <c r="P52" s="115" t="n">
        <v>0</v>
      </c>
      <c r="Q52" s="115"/>
      <c r="R52" s="115" t="n">
        <f aca="false">+N52+P52</f>
        <v>0</v>
      </c>
      <c r="S52" s="115"/>
      <c r="T52" s="115" t="n">
        <v>0</v>
      </c>
      <c r="U52" s="115"/>
      <c r="V52" s="115" t="n">
        <v>0</v>
      </c>
      <c r="X52" s="115" t="n">
        <v>0</v>
      </c>
      <c r="Z52" s="115" t="n">
        <v>0</v>
      </c>
      <c r="AB52" s="115" t="n">
        <v>0</v>
      </c>
      <c r="AD52" s="115" t="n">
        <v>0</v>
      </c>
      <c r="AF52" s="115" t="n">
        <v>0</v>
      </c>
      <c r="AH52" s="115" t="n">
        <v>0</v>
      </c>
      <c r="AJ52" s="115" t="n">
        <v>0</v>
      </c>
      <c r="AN52" s="115" t="n">
        <v>0</v>
      </c>
      <c r="AP52" s="115" t="n">
        <v>0</v>
      </c>
      <c r="AR52" s="115" t="n">
        <v>0</v>
      </c>
      <c r="AT52" s="115" t="n">
        <v>0</v>
      </c>
      <c r="AV52" s="115" t="n">
        <v>0</v>
      </c>
      <c r="AX52" s="115" t="n">
        <v>0</v>
      </c>
      <c r="AZ52" s="115" t="n">
        <v>0</v>
      </c>
      <c r="BB52" s="115" t="n">
        <v>0</v>
      </c>
      <c r="BD52" s="115" t="n">
        <v>0</v>
      </c>
      <c r="BF52" s="115" t="n">
        <v>0</v>
      </c>
      <c r="BH52" s="115" t="n">
        <v>0</v>
      </c>
      <c r="BJ52" s="115" t="n">
        <v>0</v>
      </c>
      <c r="BL52" s="115" t="n">
        <v>0</v>
      </c>
      <c r="BM52" s="115"/>
      <c r="BN52" s="115" t="n">
        <f aca="false">SUM(T52:BM52)</f>
        <v>0</v>
      </c>
      <c r="BO52" s="115"/>
      <c r="BP52" s="115" t="n">
        <v>0</v>
      </c>
      <c r="BQ52" s="115"/>
      <c r="BR52" s="115" t="n">
        <f aca="false">IF(+R52-BN52+BP52&gt;0,R52-BN52+BP52,0)</f>
        <v>0</v>
      </c>
      <c r="BT52" s="115" t="n">
        <f aca="false">+BN52+BR52</f>
        <v>0</v>
      </c>
      <c r="BV52" s="115" t="n">
        <f aca="false">+R52-BT52</f>
        <v>0</v>
      </c>
      <c r="BW52" s="115"/>
    </row>
    <row r="53" customFormat="false" ht="12.75" hidden="true" customHeight="false" outlineLevel="0" collapsed="false">
      <c r="A53" s="171"/>
      <c r="B53" s="165" t="s">
        <v>302</v>
      </c>
      <c r="C53" s="0"/>
      <c r="D53" s="0"/>
      <c r="E53" s="0"/>
      <c r="F53" s="0"/>
      <c r="G53" s="0"/>
      <c r="H53" s="0"/>
      <c r="I53" s="0"/>
      <c r="J53" s="4" t="s">
        <v>173</v>
      </c>
      <c r="K53" s="0"/>
      <c r="L53" s="169" t="s">
        <v>142</v>
      </c>
      <c r="M53" s="115"/>
      <c r="N53" s="115" t="n">
        <v>0</v>
      </c>
      <c r="O53" s="115"/>
      <c r="P53" s="115" t="n">
        <v>0</v>
      </c>
      <c r="Q53" s="115"/>
      <c r="R53" s="115" t="n">
        <f aca="false">+N53+P53</f>
        <v>0</v>
      </c>
      <c r="S53" s="115"/>
      <c r="T53" s="115" t="n">
        <v>0</v>
      </c>
      <c r="U53" s="115"/>
      <c r="V53" s="115" t="n">
        <v>0</v>
      </c>
      <c r="X53" s="115" t="n">
        <v>0</v>
      </c>
      <c r="Z53" s="115" t="n">
        <v>0</v>
      </c>
      <c r="AB53" s="115" t="n">
        <v>0</v>
      </c>
      <c r="AD53" s="115" t="n">
        <v>0</v>
      </c>
      <c r="AF53" s="115" t="n">
        <v>0</v>
      </c>
      <c r="AH53" s="115" t="n">
        <v>0</v>
      </c>
      <c r="AJ53" s="115" t="n">
        <v>0</v>
      </c>
      <c r="AN53" s="115" t="n">
        <v>0</v>
      </c>
      <c r="AP53" s="115" t="n">
        <v>0</v>
      </c>
      <c r="AR53" s="115" t="n">
        <v>0</v>
      </c>
      <c r="AT53" s="115" t="n">
        <v>0</v>
      </c>
      <c r="AV53" s="115" t="n">
        <v>0</v>
      </c>
      <c r="AX53" s="115" t="n">
        <v>0</v>
      </c>
      <c r="AZ53" s="115" t="n">
        <v>0</v>
      </c>
      <c r="BB53" s="115" t="n">
        <v>0</v>
      </c>
      <c r="BD53" s="115" t="n">
        <v>0</v>
      </c>
      <c r="BF53" s="115" t="n">
        <v>0</v>
      </c>
      <c r="BH53" s="115" t="n">
        <v>0</v>
      </c>
      <c r="BJ53" s="115" t="n">
        <v>0</v>
      </c>
      <c r="BL53" s="115" t="n">
        <v>0</v>
      </c>
      <c r="BM53" s="115"/>
      <c r="BN53" s="115" t="n">
        <f aca="false">SUM(T53:BM53)</f>
        <v>0</v>
      </c>
      <c r="BO53" s="115"/>
      <c r="BP53" s="115" t="n">
        <v>0</v>
      </c>
      <c r="BQ53" s="115"/>
      <c r="BR53" s="115" t="n">
        <f aca="false">IF(+R53-BN53+BP53&gt;0,R53-BN53+BP53,0)</f>
        <v>0</v>
      </c>
      <c r="BT53" s="115" t="n">
        <f aca="false">+BN53+BR53</f>
        <v>0</v>
      </c>
      <c r="BV53" s="115" t="n">
        <f aca="false">+R53-BT53</f>
        <v>0</v>
      </c>
      <c r="BW53" s="115"/>
    </row>
    <row r="54" customFormat="false" ht="12.75" hidden="true" customHeight="false" outlineLevel="0" collapsed="false">
      <c r="A54" s="171"/>
      <c r="B54" s="165" t="s">
        <v>303</v>
      </c>
      <c r="C54" s="0"/>
      <c r="D54" s="0"/>
      <c r="E54" s="0"/>
      <c r="F54" s="0"/>
      <c r="G54" s="0"/>
      <c r="H54" s="0"/>
      <c r="I54" s="0"/>
      <c r="J54" s="4" t="s">
        <v>173</v>
      </c>
      <c r="K54" s="0"/>
      <c r="L54" s="169" t="s">
        <v>142</v>
      </c>
      <c r="M54" s="115"/>
      <c r="N54" s="115" t="n">
        <v>0</v>
      </c>
      <c r="O54" s="115"/>
      <c r="P54" s="115" t="n">
        <v>0</v>
      </c>
      <c r="Q54" s="115"/>
      <c r="R54" s="115" t="n">
        <f aca="false">+N54+P54</f>
        <v>0</v>
      </c>
      <c r="S54" s="115"/>
      <c r="T54" s="115" t="n">
        <v>0</v>
      </c>
      <c r="U54" s="115"/>
      <c r="V54" s="115" t="n">
        <v>0</v>
      </c>
      <c r="X54" s="115" t="n">
        <v>0</v>
      </c>
      <c r="Z54" s="115" t="n">
        <v>0</v>
      </c>
      <c r="AB54" s="115" t="n">
        <v>0</v>
      </c>
      <c r="AD54" s="115" t="n">
        <v>0</v>
      </c>
      <c r="AF54" s="115" t="n">
        <v>0</v>
      </c>
      <c r="AH54" s="115" t="n">
        <v>0</v>
      </c>
      <c r="AJ54" s="115" t="n">
        <v>0</v>
      </c>
      <c r="AN54" s="115" t="n">
        <v>0</v>
      </c>
      <c r="AP54" s="115" t="n">
        <v>0</v>
      </c>
      <c r="AR54" s="115" t="n">
        <v>0</v>
      </c>
      <c r="AT54" s="115" t="n">
        <v>0</v>
      </c>
      <c r="AV54" s="115" t="n">
        <v>0</v>
      </c>
      <c r="AX54" s="115" t="n">
        <v>0</v>
      </c>
      <c r="AZ54" s="115" t="n">
        <v>0</v>
      </c>
      <c r="BB54" s="115" t="n">
        <v>0</v>
      </c>
      <c r="BD54" s="115" t="n">
        <v>0</v>
      </c>
      <c r="BF54" s="115" t="n">
        <v>0</v>
      </c>
      <c r="BH54" s="115" t="n">
        <v>0</v>
      </c>
      <c r="BJ54" s="115" t="n">
        <v>0</v>
      </c>
      <c r="BL54" s="115" t="n">
        <v>0</v>
      </c>
      <c r="BM54" s="115"/>
      <c r="BN54" s="115" t="n">
        <f aca="false">SUM(T54:BM54)</f>
        <v>0</v>
      </c>
      <c r="BO54" s="115"/>
      <c r="BP54" s="115" t="n">
        <v>0</v>
      </c>
      <c r="BQ54" s="115"/>
      <c r="BR54" s="115" t="n">
        <f aca="false">IF(+R54-BN54+BP54&gt;0,R54-BN54+BP54,0)</f>
        <v>0</v>
      </c>
      <c r="BT54" s="115" t="n">
        <f aca="false">+BN54+BR54</f>
        <v>0</v>
      </c>
      <c r="BV54" s="115" t="n">
        <f aca="false">+R54-BT54</f>
        <v>0</v>
      </c>
      <c r="BW54" s="115"/>
    </row>
    <row r="55" customFormat="false" ht="12.75" hidden="true" customHeight="false" outlineLevel="0" collapsed="false">
      <c r="A55" s="171"/>
      <c r="B55" s="165" t="s">
        <v>304</v>
      </c>
      <c r="C55" s="0"/>
      <c r="D55" s="0"/>
      <c r="E55" s="0"/>
      <c r="F55" s="0"/>
      <c r="G55" s="0"/>
      <c r="H55" s="0"/>
      <c r="I55" s="0"/>
      <c r="J55" s="4" t="s">
        <v>173</v>
      </c>
      <c r="K55" s="0"/>
      <c r="L55" s="169" t="s">
        <v>142</v>
      </c>
      <c r="M55" s="115"/>
      <c r="N55" s="115" t="n">
        <v>0</v>
      </c>
      <c r="O55" s="115"/>
      <c r="P55" s="115" t="n">
        <v>0</v>
      </c>
      <c r="Q55" s="115"/>
      <c r="R55" s="115" t="n">
        <f aca="false">+N55+P55</f>
        <v>0</v>
      </c>
      <c r="S55" s="115"/>
      <c r="T55" s="115" t="n">
        <v>0</v>
      </c>
      <c r="U55" s="115"/>
      <c r="V55" s="115" t="n">
        <v>0</v>
      </c>
      <c r="X55" s="115" t="n">
        <v>0</v>
      </c>
      <c r="Z55" s="115" t="n">
        <v>0</v>
      </c>
      <c r="AB55" s="115" t="n">
        <v>0</v>
      </c>
      <c r="AD55" s="115" t="n">
        <v>0</v>
      </c>
      <c r="AF55" s="115" t="n">
        <v>0</v>
      </c>
      <c r="AH55" s="115" t="n">
        <v>0</v>
      </c>
      <c r="AJ55" s="115" t="n">
        <v>0</v>
      </c>
      <c r="AN55" s="115" t="n">
        <v>0</v>
      </c>
      <c r="AP55" s="115" t="n">
        <v>0</v>
      </c>
      <c r="AR55" s="115" t="n">
        <v>0</v>
      </c>
      <c r="AT55" s="115" t="n">
        <v>0</v>
      </c>
      <c r="AV55" s="115" t="n">
        <v>0</v>
      </c>
      <c r="AX55" s="115" t="n">
        <v>0</v>
      </c>
      <c r="AZ55" s="115" t="n">
        <v>0</v>
      </c>
      <c r="BB55" s="115" t="n">
        <v>0</v>
      </c>
      <c r="BD55" s="115" t="n">
        <v>0</v>
      </c>
      <c r="BF55" s="115" t="n">
        <v>0</v>
      </c>
      <c r="BH55" s="115" t="n">
        <v>0</v>
      </c>
      <c r="BJ55" s="115" t="n">
        <v>0</v>
      </c>
      <c r="BL55" s="115" t="n">
        <v>0</v>
      </c>
      <c r="BM55" s="115"/>
      <c r="BN55" s="115" t="n">
        <f aca="false">SUM(T55:BM55)</f>
        <v>0</v>
      </c>
      <c r="BO55" s="115"/>
      <c r="BP55" s="115" t="n">
        <v>0</v>
      </c>
      <c r="BQ55" s="115"/>
      <c r="BR55" s="115" t="n">
        <f aca="false">IF(+R55-BN55+BP55&gt;0,R55-BN55+BP55,0)</f>
        <v>0</v>
      </c>
      <c r="BT55" s="115" t="n">
        <f aca="false">+BN55+BR55</f>
        <v>0</v>
      </c>
      <c r="BV55" s="115" t="n">
        <f aca="false">+R55-BT55</f>
        <v>0</v>
      </c>
      <c r="BW55" s="115"/>
    </row>
    <row r="56" customFormat="false" ht="12.75" hidden="true" customHeight="false" outlineLevel="0" collapsed="false">
      <c r="A56" s="171"/>
      <c r="B56" s="165" t="s">
        <v>305</v>
      </c>
      <c r="C56" s="0"/>
      <c r="D56" s="0"/>
      <c r="E56" s="0"/>
      <c r="F56" s="0"/>
      <c r="G56" s="0"/>
      <c r="H56" s="0"/>
      <c r="I56" s="0"/>
      <c r="J56" s="4" t="s">
        <v>173</v>
      </c>
      <c r="K56" s="0"/>
      <c r="L56" s="169" t="s">
        <v>142</v>
      </c>
      <c r="M56" s="115"/>
      <c r="N56" s="115" t="n">
        <v>0</v>
      </c>
      <c r="O56" s="115"/>
      <c r="P56" s="115" t="n">
        <v>0</v>
      </c>
      <c r="Q56" s="115"/>
      <c r="R56" s="115" t="n">
        <f aca="false">+N56+P56</f>
        <v>0</v>
      </c>
      <c r="S56" s="115"/>
      <c r="T56" s="115" t="n">
        <v>0</v>
      </c>
      <c r="U56" s="115"/>
      <c r="V56" s="115" t="n">
        <v>0</v>
      </c>
      <c r="X56" s="115" t="n">
        <v>0</v>
      </c>
      <c r="Z56" s="115" t="n">
        <v>0</v>
      </c>
      <c r="AB56" s="115" t="n">
        <v>0</v>
      </c>
      <c r="AD56" s="115" t="n">
        <v>0</v>
      </c>
      <c r="AF56" s="115" t="n">
        <v>0</v>
      </c>
      <c r="AH56" s="115" t="n">
        <v>0</v>
      </c>
      <c r="AJ56" s="115" t="n">
        <v>0</v>
      </c>
      <c r="AN56" s="115" t="n">
        <v>0</v>
      </c>
      <c r="AP56" s="115" t="n">
        <v>0</v>
      </c>
      <c r="AR56" s="115" t="n">
        <v>0</v>
      </c>
      <c r="AT56" s="115" t="n">
        <v>0</v>
      </c>
      <c r="AV56" s="115" t="n">
        <v>0</v>
      </c>
      <c r="AX56" s="115" t="n">
        <v>0</v>
      </c>
      <c r="AZ56" s="115" t="n">
        <v>0</v>
      </c>
      <c r="BB56" s="115" t="n">
        <v>0</v>
      </c>
      <c r="BD56" s="115" t="n">
        <v>0</v>
      </c>
      <c r="BF56" s="115" t="n">
        <v>0</v>
      </c>
      <c r="BH56" s="115" t="n">
        <v>0</v>
      </c>
      <c r="BJ56" s="115" t="n">
        <v>0</v>
      </c>
      <c r="BL56" s="115" t="n">
        <v>0</v>
      </c>
      <c r="BM56" s="115"/>
      <c r="BN56" s="115" t="n">
        <f aca="false">SUM(T56:BM56)</f>
        <v>0</v>
      </c>
      <c r="BO56" s="115"/>
      <c r="BP56" s="115" t="n">
        <v>0</v>
      </c>
      <c r="BQ56" s="115"/>
      <c r="BR56" s="115" t="n">
        <f aca="false">IF(+R56-BN56+BP56&gt;0,R56-BN56+BP56,0)</f>
        <v>0</v>
      </c>
      <c r="BT56" s="115" t="n">
        <f aca="false">+BN56+BR56</f>
        <v>0</v>
      </c>
      <c r="BV56" s="115" t="n">
        <f aca="false">+R56-BT56</f>
        <v>0</v>
      </c>
      <c r="BW56" s="115"/>
    </row>
    <row r="57" customFormat="false" ht="12.75" hidden="true" customHeight="false" outlineLevel="0" collapsed="false">
      <c r="A57" s="171"/>
      <c r="B57" s="165" t="s">
        <v>306</v>
      </c>
      <c r="C57" s="0"/>
      <c r="D57" s="0"/>
      <c r="E57" s="0"/>
      <c r="F57" s="0"/>
      <c r="G57" s="0"/>
      <c r="H57" s="0"/>
      <c r="I57" s="0"/>
      <c r="J57" s="4" t="s">
        <v>173</v>
      </c>
      <c r="K57" s="0"/>
      <c r="L57" s="169" t="s">
        <v>142</v>
      </c>
      <c r="M57" s="115"/>
      <c r="N57" s="115" t="n">
        <v>0</v>
      </c>
      <c r="O57" s="115"/>
      <c r="P57" s="115" t="n">
        <v>0</v>
      </c>
      <c r="Q57" s="115"/>
      <c r="R57" s="115" t="n">
        <f aca="false">+N57+P57</f>
        <v>0</v>
      </c>
      <c r="S57" s="115"/>
      <c r="T57" s="115" t="n">
        <v>0</v>
      </c>
      <c r="U57" s="115"/>
      <c r="V57" s="115" t="n">
        <v>0</v>
      </c>
      <c r="X57" s="115" t="n">
        <v>0</v>
      </c>
      <c r="Z57" s="115" t="n">
        <v>0</v>
      </c>
      <c r="AB57" s="115" t="n">
        <v>0</v>
      </c>
      <c r="AD57" s="115" t="n">
        <v>0</v>
      </c>
      <c r="AF57" s="115" t="n">
        <v>0</v>
      </c>
      <c r="AH57" s="115" t="n">
        <v>0</v>
      </c>
      <c r="AJ57" s="115" t="n">
        <v>0</v>
      </c>
      <c r="AN57" s="115" t="n">
        <v>0</v>
      </c>
      <c r="AP57" s="115" t="n">
        <v>0</v>
      </c>
      <c r="AR57" s="115" t="n">
        <v>0</v>
      </c>
      <c r="AT57" s="115" t="n">
        <v>0</v>
      </c>
      <c r="AV57" s="115" t="n">
        <v>0</v>
      </c>
      <c r="AX57" s="115" t="n">
        <v>0</v>
      </c>
      <c r="AZ57" s="115" t="n">
        <v>0</v>
      </c>
      <c r="BB57" s="115" t="n">
        <v>0</v>
      </c>
      <c r="BD57" s="115" t="n">
        <v>0</v>
      </c>
      <c r="BF57" s="115" t="n">
        <v>0</v>
      </c>
      <c r="BH57" s="115" t="n">
        <v>0</v>
      </c>
      <c r="BJ57" s="115" t="n">
        <v>0</v>
      </c>
      <c r="BL57" s="115" t="n">
        <v>0</v>
      </c>
      <c r="BM57" s="115"/>
      <c r="BN57" s="115" t="n">
        <f aca="false">SUM(T57:BM57)</f>
        <v>0</v>
      </c>
      <c r="BO57" s="115"/>
      <c r="BP57" s="115" t="n">
        <v>0</v>
      </c>
      <c r="BQ57" s="115"/>
      <c r="BR57" s="115" t="n">
        <f aca="false">IF(+R57-BN57+BP57&gt;0,R57-BN57+BP57,0)</f>
        <v>0</v>
      </c>
      <c r="BT57" s="115" t="n">
        <f aca="false">+BN57+BR57</f>
        <v>0</v>
      </c>
      <c r="BV57" s="115" t="n">
        <f aca="false">+R57-BT57</f>
        <v>0</v>
      </c>
      <c r="BW57" s="115"/>
    </row>
    <row r="58" customFormat="false" ht="12.75" hidden="true" customHeight="false" outlineLevel="0" collapsed="false">
      <c r="A58" s="171"/>
      <c r="B58" s="165" t="s">
        <v>307</v>
      </c>
      <c r="C58" s="0"/>
      <c r="D58" s="0"/>
      <c r="E58" s="0"/>
      <c r="F58" s="0"/>
      <c r="G58" s="0"/>
      <c r="H58" s="0"/>
      <c r="I58" s="0"/>
      <c r="J58" s="4" t="s">
        <v>173</v>
      </c>
      <c r="K58" s="0"/>
      <c r="L58" s="169" t="s">
        <v>142</v>
      </c>
      <c r="M58" s="115"/>
      <c r="N58" s="115" t="n">
        <v>0</v>
      </c>
      <c r="O58" s="115"/>
      <c r="P58" s="115" t="n">
        <v>0</v>
      </c>
      <c r="Q58" s="115"/>
      <c r="R58" s="115" t="n">
        <f aca="false">+N58+P58</f>
        <v>0</v>
      </c>
      <c r="S58" s="115"/>
      <c r="T58" s="115" t="n">
        <v>0</v>
      </c>
      <c r="U58" s="115"/>
      <c r="V58" s="115" t="n">
        <v>0</v>
      </c>
      <c r="X58" s="115" t="n">
        <v>0</v>
      </c>
      <c r="Z58" s="115" t="n">
        <v>0</v>
      </c>
      <c r="AB58" s="115" t="n">
        <v>0</v>
      </c>
      <c r="AD58" s="115" t="n">
        <v>0</v>
      </c>
      <c r="AF58" s="115" t="n">
        <v>0</v>
      </c>
      <c r="AH58" s="115" t="n">
        <v>0</v>
      </c>
      <c r="AJ58" s="115" t="n">
        <v>0</v>
      </c>
      <c r="AN58" s="115" t="n">
        <v>0</v>
      </c>
      <c r="AP58" s="115" t="n">
        <v>0</v>
      </c>
      <c r="AR58" s="115" t="n">
        <v>0</v>
      </c>
      <c r="AT58" s="115" t="n">
        <v>0</v>
      </c>
      <c r="AV58" s="115" t="n">
        <v>0</v>
      </c>
      <c r="AX58" s="115" t="n">
        <v>0</v>
      </c>
      <c r="AZ58" s="115" t="n">
        <v>0</v>
      </c>
      <c r="BB58" s="115" t="n">
        <v>0</v>
      </c>
      <c r="BD58" s="115" t="n">
        <v>0</v>
      </c>
      <c r="BF58" s="115" t="n">
        <v>0</v>
      </c>
      <c r="BH58" s="115" t="n">
        <v>0</v>
      </c>
      <c r="BJ58" s="115" t="n">
        <v>0</v>
      </c>
      <c r="BL58" s="115" t="n">
        <v>0</v>
      </c>
      <c r="BM58" s="115"/>
      <c r="BN58" s="115" t="n">
        <f aca="false">SUM(T58:BM58)</f>
        <v>0</v>
      </c>
      <c r="BO58" s="115"/>
      <c r="BP58" s="115" t="n">
        <v>0</v>
      </c>
      <c r="BQ58" s="115"/>
      <c r="BR58" s="115" t="n">
        <f aca="false">IF(+R58-BN58+BP58&gt;0,R58-BN58+BP58,0)</f>
        <v>0</v>
      </c>
      <c r="BT58" s="115" t="n">
        <f aca="false">+BN58+BR58</f>
        <v>0</v>
      </c>
      <c r="BV58" s="115" t="n">
        <f aca="false">+R58-BT58</f>
        <v>0</v>
      </c>
      <c r="BW58" s="115"/>
    </row>
    <row r="59" customFormat="false" ht="12.75" hidden="true" customHeight="false" outlineLevel="0" collapsed="false">
      <c r="A59" s="171"/>
      <c r="B59" s="165" t="s">
        <v>308</v>
      </c>
      <c r="C59" s="0"/>
      <c r="D59" s="0"/>
      <c r="E59" s="0"/>
      <c r="F59" s="0"/>
      <c r="G59" s="0"/>
      <c r="H59" s="0"/>
      <c r="I59" s="0"/>
      <c r="J59" s="4" t="s">
        <v>173</v>
      </c>
      <c r="K59" s="0"/>
      <c r="L59" s="169" t="s">
        <v>142</v>
      </c>
      <c r="M59" s="115"/>
      <c r="N59" s="115" t="n">
        <v>0</v>
      </c>
      <c r="O59" s="115"/>
      <c r="P59" s="115" t="n">
        <v>0</v>
      </c>
      <c r="Q59" s="115"/>
      <c r="R59" s="115" t="n">
        <f aca="false">+N59+P59</f>
        <v>0</v>
      </c>
      <c r="S59" s="115"/>
      <c r="T59" s="115" t="n">
        <v>0</v>
      </c>
      <c r="U59" s="115"/>
      <c r="V59" s="115" t="n">
        <v>0</v>
      </c>
      <c r="X59" s="115" t="n">
        <v>0</v>
      </c>
      <c r="Z59" s="115" t="n">
        <v>0</v>
      </c>
      <c r="AB59" s="115" t="n">
        <v>0</v>
      </c>
      <c r="AD59" s="115" t="n">
        <v>0</v>
      </c>
      <c r="AF59" s="115" t="n">
        <v>0</v>
      </c>
      <c r="AH59" s="115" t="n">
        <v>0</v>
      </c>
      <c r="AJ59" s="115" t="n">
        <v>0</v>
      </c>
      <c r="AN59" s="115" t="n">
        <v>0</v>
      </c>
      <c r="AP59" s="115" t="n">
        <v>0</v>
      </c>
      <c r="AR59" s="115" t="n">
        <v>0</v>
      </c>
      <c r="AT59" s="115" t="n">
        <v>0</v>
      </c>
      <c r="AV59" s="115" t="n">
        <v>0</v>
      </c>
      <c r="AX59" s="115" t="n">
        <v>0</v>
      </c>
      <c r="AZ59" s="115" t="n">
        <v>0</v>
      </c>
      <c r="BB59" s="115" t="n">
        <v>0</v>
      </c>
      <c r="BD59" s="115" t="n">
        <v>0</v>
      </c>
      <c r="BF59" s="115" t="n">
        <v>0</v>
      </c>
      <c r="BH59" s="115" t="n">
        <v>0</v>
      </c>
      <c r="BJ59" s="115" t="n">
        <v>0</v>
      </c>
      <c r="BL59" s="115" t="n">
        <v>0</v>
      </c>
      <c r="BM59" s="115"/>
      <c r="BN59" s="115" t="n">
        <f aca="false">SUM(T59:BM59)</f>
        <v>0</v>
      </c>
      <c r="BO59" s="115"/>
      <c r="BP59" s="115" t="n">
        <v>0</v>
      </c>
      <c r="BQ59" s="115"/>
      <c r="BR59" s="115" t="n">
        <f aca="false">IF(+R59-BN59+BP59&gt;0,R59-BN59+BP59,0)</f>
        <v>0</v>
      </c>
      <c r="BT59" s="115" t="n">
        <f aca="false">+BN59+BR59</f>
        <v>0</v>
      </c>
      <c r="BV59" s="115" t="n">
        <f aca="false">+R59-BT59</f>
        <v>0</v>
      </c>
      <c r="BW59" s="115"/>
    </row>
    <row r="60" customFormat="false" ht="12.75" hidden="true" customHeight="false" outlineLevel="0" collapsed="false">
      <c r="A60" s="171"/>
      <c r="B60" s="165" t="s">
        <v>309</v>
      </c>
      <c r="C60" s="0"/>
      <c r="D60" s="0"/>
      <c r="E60" s="0"/>
      <c r="F60" s="0"/>
      <c r="G60" s="0"/>
      <c r="H60" s="0"/>
      <c r="I60" s="0"/>
      <c r="J60" s="4" t="s">
        <v>173</v>
      </c>
      <c r="K60" s="0"/>
      <c r="L60" s="169" t="s">
        <v>142</v>
      </c>
      <c r="M60" s="115"/>
      <c r="N60" s="115" t="n">
        <v>0</v>
      </c>
      <c r="O60" s="115"/>
      <c r="P60" s="115" t="n">
        <v>0</v>
      </c>
      <c r="Q60" s="115"/>
      <c r="R60" s="115" t="n">
        <f aca="false">+N60+P60</f>
        <v>0</v>
      </c>
      <c r="S60" s="115"/>
      <c r="T60" s="115" t="n">
        <v>0</v>
      </c>
      <c r="U60" s="115"/>
      <c r="V60" s="115" t="n">
        <v>0</v>
      </c>
      <c r="X60" s="115" t="n">
        <v>0</v>
      </c>
      <c r="Z60" s="115" t="n">
        <v>0</v>
      </c>
      <c r="AB60" s="115" t="n">
        <v>0</v>
      </c>
      <c r="AD60" s="115" t="n">
        <v>0</v>
      </c>
      <c r="AF60" s="115" t="n">
        <v>0</v>
      </c>
      <c r="AH60" s="115" t="n">
        <v>0</v>
      </c>
      <c r="AJ60" s="115" t="n">
        <v>0</v>
      </c>
      <c r="AN60" s="115" t="n">
        <v>0</v>
      </c>
      <c r="AP60" s="115" t="n">
        <v>0</v>
      </c>
      <c r="AR60" s="115" t="n">
        <v>0</v>
      </c>
      <c r="AT60" s="115" t="n">
        <v>0</v>
      </c>
      <c r="AV60" s="115" t="n">
        <v>0</v>
      </c>
      <c r="AX60" s="115" t="n">
        <v>0</v>
      </c>
      <c r="AZ60" s="115" t="n">
        <v>0</v>
      </c>
      <c r="BB60" s="115" t="n">
        <v>0</v>
      </c>
      <c r="BD60" s="115" t="n">
        <v>0</v>
      </c>
      <c r="BF60" s="115" t="n">
        <v>0</v>
      </c>
      <c r="BH60" s="115" t="n">
        <v>0</v>
      </c>
      <c r="BJ60" s="115" t="n">
        <v>0</v>
      </c>
      <c r="BL60" s="115" t="n">
        <v>0</v>
      </c>
      <c r="BM60" s="115"/>
      <c r="BN60" s="115" t="n">
        <f aca="false">SUM(T60:BM60)</f>
        <v>0</v>
      </c>
      <c r="BO60" s="115"/>
      <c r="BP60" s="115" t="n">
        <v>0</v>
      </c>
      <c r="BQ60" s="115"/>
      <c r="BR60" s="115" t="n">
        <f aca="false">IF(+R60-BN60+BP60&gt;0,R60-BN60+BP60,0)</f>
        <v>0</v>
      </c>
      <c r="BT60" s="115" t="n">
        <f aca="false">+BN60+BR60</f>
        <v>0</v>
      </c>
      <c r="BV60" s="115" t="n">
        <f aca="false">+R60-BT60</f>
        <v>0</v>
      </c>
      <c r="BW60" s="115"/>
    </row>
    <row r="61" customFormat="false" ht="12.75" hidden="true" customHeight="false" outlineLevel="0" collapsed="false">
      <c r="A61" s="171"/>
      <c r="B61" s="165" t="s">
        <v>310</v>
      </c>
      <c r="C61" s="0"/>
      <c r="D61" s="0"/>
      <c r="E61" s="0"/>
      <c r="F61" s="0"/>
      <c r="G61" s="0"/>
      <c r="H61" s="0"/>
      <c r="I61" s="0"/>
      <c r="J61" s="4" t="s">
        <v>173</v>
      </c>
      <c r="K61" s="0"/>
      <c r="L61" s="169" t="s">
        <v>142</v>
      </c>
      <c r="M61" s="115"/>
      <c r="N61" s="115" t="n">
        <v>0</v>
      </c>
      <c r="O61" s="115"/>
      <c r="P61" s="115" t="n">
        <v>0</v>
      </c>
      <c r="Q61" s="115"/>
      <c r="R61" s="115" t="n">
        <f aca="false">+N61+P61</f>
        <v>0</v>
      </c>
      <c r="S61" s="115"/>
      <c r="T61" s="115" t="n">
        <v>0</v>
      </c>
      <c r="U61" s="115"/>
      <c r="V61" s="115" t="n">
        <v>0</v>
      </c>
      <c r="X61" s="115" t="n">
        <v>0</v>
      </c>
      <c r="Z61" s="115" t="n">
        <v>0</v>
      </c>
      <c r="AB61" s="115" t="n">
        <v>0</v>
      </c>
      <c r="AD61" s="115" t="n">
        <v>0</v>
      </c>
      <c r="AF61" s="115" t="n">
        <v>0</v>
      </c>
      <c r="AH61" s="115" t="n">
        <v>0</v>
      </c>
      <c r="AJ61" s="115" t="n">
        <v>0</v>
      </c>
      <c r="AN61" s="115" t="n">
        <v>0</v>
      </c>
      <c r="AP61" s="115" t="n">
        <v>0</v>
      </c>
      <c r="AR61" s="115" t="n">
        <v>0</v>
      </c>
      <c r="AT61" s="115" t="n">
        <v>0</v>
      </c>
      <c r="AV61" s="115" t="n">
        <v>0</v>
      </c>
      <c r="AX61" s="115" t="n">
        <v>0</v>
      </c>
      <c r="AZ61" s="115" t="n">
        <v>0</v>
      </c>
      <c r="BB61" s="115" t="n">
        <v>0</v>
      </c>
      <c r="BD61" s="115" t="n">
        <v>0</v>
      </c>
      <c r="BF61" s="115" t="n">
        <v>0</v>
      </c>
      <c r="BH61" s="115" t="n">
        <v>0</v>
      </c>
      <c r="BJ61" s="115" t="n">
        <v>0</v>
      </c>
      <c r="BL61" s="115" t="n">
        <v>0</v>
      </c>
      <c r="BM61" s="115"/>
      <c r="BN61" s="115" t="n">
        <f aca="false">SUM(T61:BM61)</f>
        <v>0</v>
      </c>
      <c r="BO61" s="115"/>
      <c r="BP61" s="115" t="n">
        <v>0</v>
      </c>
      <c r="BQ61" s="115"/>
      <c r="BR61" s="115" t="n">
        <f aca="false">IF(+R61-BN61+BP61&gt;0,R61-BN61+BP61,0)</f>
        <v>0</v>
      </c>
      <c r="BT61" s="115" t="n">
        <f aca="false">+BN61+BR61</f>
        <v>0</v>
      </c>
      <c r="BV61" s="115" t="n">
        <f aca="false">+R61-BT61</f>
        <v>0</v>
      </c>
      <c r="BW61" s="115"/>
    </row>
    <row r="62" customFormat="false" ht="12.75" hidden="true" customHeight="false" outlineLevel="0" collapsed="false">
      <c r="A62" s="171"/>
      <c r="B62" s="165" t="s">
        <v>311</v>
      </c>
      <c r="C62" s="0"/>
      <c r="D62" s="0"/>
      <c r="E62" s="0"/>
      <c r="F62" s="0"/>
      <c r="G62" s="0"/>
      <c r="H62" s="0"/>
      <c r="I62" s="0"/>
      <c r="J62" s="4" t="s">
        <v>173</v>
      </c>
      <c r="K62" s="0"/>
      <c r="L62" s="169" t="s">
        <v>142</v>
      </c>
      <c r="M62" s="115"/>
      <c r="N62" s="115" t="n">
        <v>0</v>
      </c>
      <c r="O62" s="115"/>
      <c r="P62" s="115" t="n">
        <v>0</v>
      </c>
      <c r="Q62" s="115"/>
      <c r="R62" s="115" t="n">
        <f aca="false">+N62+P62</f>
        <v>0</v>
      </c>
      <c r="S62" s="115"/>
      <c r="T62" s="115" t="n">
        <v>0</v>
      </c>
      <c r="U62" s="115"/>
      <c r="V62" s="115" t="n">
        <v>0</v>
      </c>
      <c r="X62" s="115" t="n">
        <v>0</v>
      </c>
      <c r="Z62" s="115" t="n">
        <v>0</v>
      </c>
      <c r="AB62" s="115" t="n">
        <v>0</v>
      </c>
      <c r="AD62" s="115" t="n">
        <v>0</v>
      </c>
      <c r="AF62" s="115" t="n">
        <v>0</v>
      </c>
      <c r="AH62" s="115" t="n">
        <v>0</v>
      </c>
      <c r="AJ62" s="115" t="n">
        <v>0</v>
      </c>
      <c r="AN62" s="115" t="n">
        <v>0</v>
      </c>
      <c r="AP62" s="115" t="n">
        <v>0</v>
      </c>
      <c r="AR62" s="115" t="n">
        <v>0</v>
      </c>
      <c r="AT62" s="115" t="n">
        <v>0</v>
      </c>
      <c r="AV62" s="115" t="n">
        <v>0</v>
      </c>
      <c r="AX62" s="115" t="n">
        <v>0</v>
      </c>
      <c r="AZ62" s="115" t="n">
        <v>0</v>
      </c>
      <c r="BB62" s="115" t="n">
        <v>0</v>
      </c>
      <c r="BD62" s="115" t="n">
        <v>0</v>
      </c>
      <c r="BF62" s="115" t="n">
        <v>0</v>
      </c>
      <c r="BH62" s="115" t="n">
        <v>0</v>
      </c>
      <c r="BJ62" s="115" t="n">
        <v>0</v>
      </c>
      <c r="BL62" s="115" t="n">
        <v>0</v>
      </c>
      <c r="BM62" s="115"/>
      <c r="BN62" s="115" t="n">
        <f aca="false">SUM(T62:BM62)</f>
        <v>0</v>
      </c>
      <c r="BO62" s="115"/>
      <c r="BP62" s="115" t="n">
        <v>0</v>
      </c>
      <c r="BQ62" s="115"/>
      <c r="BR62" s="115" t="n">
        <f aca="false">IF(+R62-BN62+BP62&gt;0,R62-BN62+BP62,0)</f>
        <v>0</v>
      </c>
      <c r="BT62" s="115" t="n">
        <f aca="false">+BN62+BR62</f>
        <v>0</v>
      </c>
      <c r="BV62" s="115" t="n">
        <f aca="false">+R62-BT62</f>
        <v>0</v>
      </c>
      <c r="BW62" s="115"/>
    </row>
    <row r="63" customFormat="false" ht="12.75" hidden="true" customHeight="false" outlineLevel="0" collapsed="false">
      <c r="A63" s="171"/>
      <c r="B63" s="165" t="s">
        <v>312</v>
      </c>
      <c r="C63" s="0"/>
      <c r="D63" s="0"/>
      <c r="E63" s="0"/>
      <c r="F63" s="0"/>
      <c r="G63" s="0"/>
      <c r="H63" s="0"/>
      <c r="I63" s="0"/>
      <c r="J63" s="4" t="s">
        <v>173</v>
      </c>
      <c r="K63" s="0"/>
      <c r="L63" s="169" t="s">
        <v>142</v>
      </c>
      <c r="M63" s="115"/>
      <c r="N63" s="115" t="n">
        <v>0</v>
      </c>
      <c r="O63" s="115"/>
      <c r="P63" s="115" t="n">
        <v>0</v>
      </c>
      <c r="Q63" s="115"/>
      <c r="R63" s="115" t="n">
        <f aca="false">+N63+P63</f>
        <v>0</v>
      </c>
      <c r="S63" s="115"/>
      <c r="T63" s="115" t="n">
        <v>0</v>
      </c>
      <c r="U63" s="115"/>
      <c r="V63" s="115" t="n">
        <v>0</v>
      </c>
      <c r="X63" s="115" t="n">
        <v>0</v>
      </c>
      <c r="Z63" s="115" t="n">
        <v>0</v>
      </c>
      <c r="AB63" s="115" t="n">
        <v>0</v>
      </c>
      <c r="AD63" s="115" t="n">
        <v>0</v>
      </c>
      <c r="AF63" s="115" t="n">
        <v>0</v>
      </c>
      <c r="AH63" s="115" t="n">
        <v>0</v>
      </c>
      <c r="AJ63" s="115" t="n">
        <v>0</v>
      </c>
      <c r="AN63" s="115" t="n">
        <v>0</v>
      </c>
      <c r="AP63" s="115" t="n">
        <v>0</v>
      </c>
      <c r="AR63" s="115" t="n">
        <v>0</v>
      </c>
      <c r="AT63" s="115" t="n">
        <v>0</v>
      </c>
      <c r="AV63" s="115" t="n">
        <v>0</v>
      </c>
      <c r="AX63" s="115" t="n">
        <v>0</v>
      </c>
      <c r="AZ63" s="115" t="n">
        <v>0</v>
      </c>
      <c r="BB63" s="115" t="n">
        <v>0</v>
      </c>
      <c r="BD63" s="115" t="n">
        <v>0</v>
      </c>
      <c r="BF63" s="115" t="n">
        <v>0</v>
      </c>
      <c r="BH63" s="115" t="n">
        <v>0</v>
      </c>
      <c r="BJ63" s="115" t="n">
        <v>0</v>
      </c>
      <c r="BL63" s="115" t="n">
        <v>0</v>
      </c>
      <c r="BM63" s="115"/>
      <c r="BN63" s="115" t="n">
        <f aca="false">SUM(T63:BM63)</f>
        <v>0</v>
      </c>
      <c r="BO63" s="115"/>
      <c r="BP63" s="115" t="n">
        <v>0</v>
      </c>
      <c r="BQ63" s="115"/>
      <c r="BR63" s="115" t="n">
        <f aca="false">IF(+R63-BN63+BP63&gt;0,R63-BN63+BP63,0)</f>
        <v>0</v>
      </c>
      <c r="BT63" s="115" t="n">
        <f aca="false">+BN63+BR63</f>
        <v>0</v>
      </c>
      <c r="BV63" s="115" t="n">
        <f aca="false">+R63-BT63</f>
        <v>0</v>
      </c>
      <c r="BW63" s="115"/>
    </row>
    <row r="64" customFormat="false" ht="12.75" hidden="true" customHeight="false" outlineLevel="0" collapsed="false">
      <c r="A64" s="171"/>
      <c r="B64" s="165" t="s">
        <v>313</v>
      </c>
      <c r="C64" s="0"/>
      <c r="D64" s="0"/>
      <c r="E64" s="0"/>
      <c r="F64" s="0"/>
      <c r="G64" s="0"/>
      <c r="H64" s="0"/>
      <c r="I64" s="0"/>
      <c r="J64" s="4" t="s">
        <v>173</v>
      </c>
      <c r="K64" s="0"/>
      <c r="L64" s="169" t="s">
        <v>142</v>
      </c>
      <c r="M64" s="115"/>
      <c r="N64" s="115" t="n">
        <v>0</v>
      </c>
      <c r="O64" s="115"/>
      <c r="P64" s="115" t="n">
        <v>0</v>
      </c>
      <c r="Q64" s="115"/>
      <c r="R64" s="115" t="n">
        <f aca="false">+N64+P64</f>
        <v>0</v>
      </c>
      <c r="S64" s="115"/>
      <c r="T64" s="115" t="n">
        <v>0</v>
      </c>
      <c r="U64" s="115"/>
      <c r="V64" s="115" t="n">
        <v>0</v>
      </c>
      <c r="X64" s="115" t="n">
        <v>0</v>
      </c>
      <c r="Z64" s="115" t="n">
        <v>0</v>
      </c>
      <c r="AB64" s="115" t="n">
        <v>0</v>
      </c>
      <c r="AD64" s="115" t="n">
        <v>0</v>
      </c>
      <c r="AF64" s="115" t="n">
        <v>0</v>
      </c>
      <c r="AH64" s="115" t="n">
        <v>0</v>
      </c>
      <c r="AJ64" s="115" t="n">
        <v>0</v>
      </c>
      <c r="AN64" s="115" t="n">
        <v>0</v>
      </c>
      <c r="AP64" s="115" t="n">
        <v>0</v>
      </c>
      <c r="AR64" s="115" t="n">
        <v>0</v>
      </c>
      <c r="AT64" s="115" t="n">
        <v>0</v>
      </c>
      <c r="AV64" s="115" t="n">
        <v>0</v>
      </c>
      <c r="AX64" s="115" t="n">
        <v>0</v>
      </c>
      <c r="AZ64" s="115" t="n">
        <v>0</v>
      </c>
      <c r="BB64" s="115" t="n">
        <v>0</v>
      </c>
      <c r="BD64" s="115" t="n">
        <v>0</v>
      </c>
      <c r="BF64" s="115" t="n">
        <v>0</v>
      </c>
      <c r="BH64" s="115" t="n">
        <v>0</v>
      </c>
      <c r="BJ64" s="115" t="n">
        <v>0</v>
      </c>
      <c r="BL64" s="115" t="n">
        <v>0</v>
      </c>
      <c r="BM64" s="115"/>
      <c r="BN64" s="115" t="n">
        <f aca="false">SUM(T64:BM64)</f>
        <v>0</v>
      </c>
      <c r="BO64" s="115"/>
      <c r="BP64" s="115" t="n">
        <v>0</v>
      </c>
      <c r="BQ64" s="115"/>
      <c r="BR64" s="115" t="n">
        <f aca="false">IF(+R64-BN64+BP64&gt;0,R64-BN64+BP64,0)</f>
        <v>0</v>
      </c>
      <c r="BT64" s="115" t="n">
        <f aca="false">+BN64+BR64</f>
        <v>0</v>
      </c>
      <c r="BV64" s="115" t="n">
        <f aca="false">+R64-BT64</f>
        <v>0</v>
      </c>
      <c r="BW64" s="115"/>
    </row>
    <row r="65" customFormat="false" ht="12.75" hidden="true" customHeight="false" outlineLevel="0" collapsed="false">
      <c r="A65" s="171"/>
      <c r="B65" s="165" t="s">
        <v>314</v>
      </c>
      <c r="C65" s="0"/>
      <c r="D65" s="0"/>
      <c r="E65" s="0"/>
      <c r="F65" s="0"/>
      <c r="G65" s="0"/>
      <c r="H65" s="0"/>
      <c r="I65" s="0"/>
      <c r="J65" s="4" t="s">
        <v>173</v>
      </c>
      <c r="K65" s="0"/>
      <c r="L65" s="169" t="s">
        <v>142</v>
      </c>
      <c r="M65" s="115"/>
      <c r="N65" s="115" t="n">
        <v>0</v>
      </c>
      <c r="O65" s="115"/>
      <c r="P65" s="115" t="n">
        <v>0</v>
      </c>
      <c r="Q65" s="115"/>
      <c r="R65" s="115" t="n">
        <f aca="false">+N65+P65</f>
        <v>0</v>
      </c>
      <c r="S65" s="115"/>
      <c r="T65" s="115" t="n">
        <v>0</v>
      </c>
      <c r="U65" s="115"/>
      <c r="V65" s="115" t="n">
        <v>0</v>
      </c>
      <c r="X65" s="115" t="n">
        <v>0</v>
      </c>
      <c r="Z65" s="115" t="n">
        <v>0</v>
      </c>
      <c r="AB65" s="115" t="n">
        <v>0</v>
      </c>
      <c r="AD65" s="115" t="n">
        <v>0</v>
      </c>
      <c r="AF65" s="115" t="n">
        <v>0</v>
      </c>
      <c r="AH65" s="115" t="n">
        <v>0</v>
      </c>
      <c r="AJ65" s="115" t="n">
        <v>0</v>
      </c>
      <c r="AN65" s="115" t="n">
        <v>0</v>
      </c>
      <c r="AP65" s="115" t="n">
        <v>0</v>
      </c>
      <c r="AR65" s="115" t="n">
        <v>0</v>
      </c>
      <c r="AT65" s="115" t="n">
        <v>0</v>
      </c>
      <c r="AV65" s="115" t="n">
        <v>0</v>
      </c>
      <c r="AX65" s="115" t="n">
        <v>0</v>
      </c>
      <c r="AZ65" s="115" t="n">
        <v>0</v>
      </c>
      <c r="BB65" s="115" t="n">
        <v>0</v>
      </c>
      <c r="BD65" s="115" t="n">
        <v>0</v>
      </c>
      <c r="BF65" s="115" t="n">
        <v>0</v>
      </c>
      <c r="BH65" s="115" t="n">
        <v>0</v>
      </c>
      <c r="BJ65" s="115" t="n">
        <v>0</v>
      </c>
      <c r="BL65" s="115" t="n">
        <v>0</v>
      </c>
      <c r="BM65" s="115"/>
      <c r="BN65" s="115" t="n">
        <f aca="false">SUM(T65:BM65)</f>
        <v>0</v>
      </c>
      <c r="BO65" s="115"/>
      <c r="BP65" s="115" t="n">
        <v>0</v>
      </c>
      <c r="BQ65" s="115"/>
      <c r="BR65" s="115" t="n">
        <f aca="false">IF(+R65-BN65+BP65&gt;0,R65-BN65+BP65,0)</f>
        <v>0</v>
      </c>
      <c r="BT65" s="115" t="n">
        <f aca="false">+BN65+BR65</f>
        <v>0</v>
      </c>
      <c r="BV65" s="115" t="n">
        <f aca="false">+R65-BT65</f>
        <v>0</v>
      </c>
      <c r="BW65" s="115"/>
    </row>
    <row r="66" customFormat="false" ht="12.75" hidden="true" customHeight="false" outlineLevel="0" collapsed="false">
      <c r="A66" s="171"/>
      <c r="B66" s="165" t="s">
        <v>315</v>
      </c>
      <c r="C66" s="0"/>
      <c r="D66" s="0"/>
      <c r="E66" s="0"/>
      <c r="F66" s="0"/>
      <c r="G66" s="0"/>
      <c r="H66" s="0"/>
      <c r="I66" s="0"/>
      <c r="J66" s="4" t="s">
        <v>173</v>
      </c>
      <c r="K66" s="0"/>
      <c r="L66" s="169" t="s">
        <v>142</v>
      </c>
      <c r="M66" s="115"/>
      <c r="N66" s="115" t="n">
        <v>0</v>
      </c>
      <c r="O66" s="115"/>
      <c r="P66" s="115" t="n">
        <v>0</v>
      </c>
      <c r="Q66" s="115"/>
      <c r="R66" s="115" t="n">
        <f aca="false">+N66+P66</f>
        <v>0</v>
      </c>
      <c r="S66" s="115"/>
      <c r="T66" s="115" t="n">
        <v>0</v>
      </c>
      <c r="U66" s="115"/>
      <c r="V66" s="115" t="n">
        <v>0</v>
      </c>
      <c r="X66" s="115" t="n">
        <v>0</v>
      </c>
      <c r="Z66" s="115" t="n">
        <v>0</v>
      </c>
      <c r="AB66" s="115" t="n">
        <v>0</v>
      </c>
      <c r="AD66" s="115" t="n">
        <v>0</v>
      </c>
      <c r="AF66" s="115" t="n">
        <v>0</v>
      </c>
      <c r="AH66" s="115" t="n">
        <v>0</v>
      </c>
      <c r="AJ66" s="115" t="n">
        <v>0</v>
      </c>
      <c r="AN66" s="115" t="n">
        <v>0</v>
      </c>
      <c r="AP66" s="115" t="n">
        <v>0</v>
      </c>
      <c r="AR66" s="115" t="n">
        <v>0</v>
      </c>
      <c r="AT66" s="115" t="n">
        <v>0</v>
      </c>
      <c r="AV66" s="115" t="n">
        <v>0</v>
      </c>
      <c r="AX66" s="115" t="n">
        <v>0</v>
      </c>
      <c r="AZ66" s="115" t="n">
        <v>0</v>
      </c>
      <c r="BB66" s="115" t="n">
        <v>0</v>
      </c>
      <c r="BD66" s="115" t="n">
        <v>0</v>
      </c>
      <c r="BF66" s="115" t="n">
        <v>0</v>
      </c>
      <c r="BH66" s="115" t="n">
        <v>0</v>
      </c>
      <c r="BJ66" s="115" t="n">
        <v>0</v>
      </c>
      <c r="BL66" s="115" t="n">
        <v>0</v>
      </c>
      <c r="BM66" s="115"/>
      <c r="BN66" s="115" t="n">
        <f aca="false">SUM(T66:BM66)</f>
        <v>0</v>
      </c>
      <c r="BO66" s="115"/>
      <c r="BP66" s="115" t="n">
        <v>0</v>
      </c>
      <c r="BQ66" s="115"/>
      <c r="BR66" s="115" t="n">
        <f aca="false">IF(+R66-BN66+BP66&gt;0,R66-BN66+BP66,0)</f>
        <v>0</v>
      </c>
      <c r="BT66" s="115" t="n">
        <f aca="false">+BN66+BR66</f>
        <v>0</v>
      </c>
      <c r="BV66" s="115" t="n">
        <f aca="false">+R66-BT66</f>
        <v>0</v>
      </c>
      <c r="BW66" s="115"/>
    </row>
    <row r="67" customFormat="false" ht="12.75" hidden="true" customHeight="false" outlineLevel="0" collapsed="false">
      <c r="A67" s="171"/>
      <c r="B67" s="165" t="s">
        <v>316</v>
      </c>
      <c r="C67" s="0"/>
      <c r="D67" s="0"/>
      <c r="E67" s="0"/>
      <c r="F67" s="0"/>
      <c r="G67" s="0"/>
      <c r="H67" s="0"/>
      <c r="I67" s="0"/>
      <c r="J67" s="4" t="s">
        <v>173</v>
      </c>
      <c r="K67" s="0"/>
      <c r="L67" s="169" t="s">
        <v>142</v>
      </c>
      <c r="M67" s="115"/>
      <c r="N67" s="115" t="n">
        <v>0</v>
      </c>
      <c r="O67" s="115"/>
      <c r="P67" s="115" t="n">
        <v>0</v>
      </c>
      <c r="Q67" s="115"/>
      <c r="R67" s="115" t="n">
        <f aca="false">+N67+P67</f>
        <v>0</v>
      </c>
      <c r="S67" s="115"/>
      <c r="T67" s="115" t="n">
        <v>0</v>
      </c>
      <c r="U67" s="115"/>
      <c r="V67" s="115" t="n">
        <v>0</v>
      </c>
      <c r="X67" s="115" t="n">
        <v>0</v>
      </c>
      <c r="Z67" s="115" t="n">
        <v>0</v>
      </c>
      <c r="AB67" s="115" t="n">
        <v>0</v>
      </c>
      <c r="AD67" s="115" t="n">
        <v>0</v>
      </c>
      <c r="AF67" s="115" t="n">
        <v>0</v>
      </c>
      <c r="AH67" s="115" t="n">
        <v>0</v>
      </c>
      <c r="AJ67" s="115" t="n">
        <v>0</v>
      </c>
      <c r="AN67" s="115" t="n">
        <v>0</v>
      </c>
      <c r="AP67" s="115" t="n">
        <v>0</v>
      </c>
      <c r="AR67" s="115" t="n">
        <v>0</v>
      </c>
      <c r="AT67" s="115" t="n">
        <v>0</v>
      </c>
      <c r="AV67" s="115" t="n">
        <v>0</v>
      </c>
      <c r="AX67" s="115" t="n">
        <v>0</v>
      </c>
      <c r="AZ67" s="115" t="n">
        <v>0</v>
      </c>
      <c r="BB67" s="115" t="n">
        <v>0</v>
      </c>
      <c r="BD67" s="115" t="n">
        <v>0</v>
      </c>
      <c r="BF67" s="115" t="n">
        <v>0</v>
      </c>
      <c r="BH67" s="115" t="n">
        <v>0</v>
      </c>
      <c r="BJ67" s="115" t="n">
        <v>0</v>
      </c>
      <c r="BL67" s="115" t="n">
        <v>0</v>
      </c>
      <c r="BM67" s="115"/>
      <c r="BN67" s="115" t="n">
        <f aca="false">SUM(T67:BM67)</f>
        <v>0</v>
      </c>
      <c r="BO67" s="115"/>
      <c r="BP67" s="115" t="n">
        <v>0</v>
      </c>
      <c r="BQ67" s="115"/>
      <c r="BR67" s="115" t="n">
        <f aca="false">IF(+R67-BN67+BP67&gt;0,R67-BN67+BP67,0)</f>
        <v>0</v>
      </c>
      <c r="BT67" s="115" t="n">
        <f aca="false">+BN67+BR67</f>
        <v>0</v>
      </c>
      <c r="BV67" s="115" t="n">
        <f aca="false">+R67-BT67</f>
        <v>0</v>
      </c>
      <c r="BW67" s="115"/>
    </row>
    <row r="68" customFormat="false" ht="12.75" hidden="false" customHeight="false" outlineLevel="0" collapsed="false">
      <c r="A68" s="171"/>
      <c r="B68" s="165" t="s">
        <v>152</v>
      </c>
      <c r="C68" s="0"/>
      <c r="D68" s="0"/>
      <c r="E68" s="0"/>
      <c r="F68" s="0"/>
      <c r="G68" s="0"/>
      <c r="H68" s="0"/>
      <c r="I68" s="0"/>
      <c r="J68" s="4" t="s">
        <v>173</v>
      </c>
      <c r="K68" s="0"/>
      <c r="L68" s="169" t="s">
        <v>142</v>
      </c>
      <c r="M68" s="115"/>
      <c r="N68" s="115" t="n">
        <v>0</v>
      </c>
      <c r="O68" s="115"/>
      <c r="P68" s="115" t="n">
        <v>0</v>
      </c>
      <c r="Q68" s="115"/>
      <c r="R68" s="115" t="n">
        <f aca="false">+N68+P68</f>
        <v>0</v>
      </c>
      <c r="S68" s="115"/>
      <c r="T68" s="115" t="n">
        <v>0</v>
      </c>
      <c r="U68" s="115"/>
      <c r="V68" s="115" t="n">
        <v>0</v>
      </c>
      <c r="X68" s="115" t="n">
        <v>0</v>
      </c>
      <c r="Z68" s="115" t="n">
        <v>0</v>
      </c>
      <c r="AB68" s="115" t="n">
        <v>0</v>
      </c>
      <c r="AD68" s="115" t="n">
        <v>0</v>
      </c>
      <c r="AF68" s="115" t="n">
        <v>0</v>
      </c>
      <c r="AH68" s="115" t="n">
        <v>0</v>
      </c>
      <c r="AJ68" s="115" t="n">
        <v>0</v>
      </c>
      <c r="AN68" s="115" t="n">
        <v>0</v>
      </c>
      <c r="AP68" s="115" t="n">
        <v>0</v>
      </c>
      <c r="AR68" s="115" t="n">
        <v>0</v>
      </c>
      <c r="AT68" s="115" t="n">
        <v>0</v>
      </c>
      <c r="AV68" s="115" t="n">
        <v>0</v>
      </c>
      <c r="AX68" s="115" t="n">
        <v>0</v>
      </c>
      <c r="AZ68" s="115" t="n">
        <v>0</v>
      </c>
      <c r="BB68" s="115" t="n">
        <v>0</v>
      </c>
      <c r="BD68" s="115" t="n">
        <v>0</v>
      </c>
      <c r="BF68" s="115" t="n">
        <v>0</v>
      </c>
      <c r="BH68" s="115" t="n">
        <v>0</v>
      </c>
      <c r="BJ68" s="115" t="n">
        <v>0</v>
      </c>
      <c r="BL68" s="115" t="n">
        <v>0</v>
      </c>
      <c r="BM68" s="115"/>
      <c r="BN68" s="115" t="n">
        <f aca="false">SUM(T68:BM68)</f>
        <v>0</v>
      </c>
      <c r="BO68" s="115"/>
      <c r="BP68" s="115" t="n">
        <v>0</v>
      </c>
      <c r="BQ68" s="115"/>
      <c r="BR68" s="115" t="n">
        <f aca="false">IF(+R68-BN68+BP68&gt;0,R68-BN68+BP68,0)</f>
        <v>0</v>
      </c>
      <c r="BT68" s="115" t="n">
        <f aca="false">+BN68+BR68</f>
        <v>0</v>
      </c>
      <c r="BV68" s="115" t="n">
        <f aca="false">+R68-BT68</f>
        <v>0</v>
      </c>
      <c r="BW68" s="115"/>
    </row>
    <row r="69" customFormat="false" ht="12.75" hidden="false" customHeight="false" outlineLevel="0" collapsed="false">
      <c r="A69" s="173"/>
      <c r="B69" s="165"/>
      <c r="C69" s="18"/>
      <c r="D69" s="18"/>
      <c r="E69" s="18"/>
      <c r="F69" s="18"/>
      <c r="G69" s="18"/>
      <c r="H69" s="18"/>
      <c r="I69" s="18"/>
      <c r="J69" s="204"/>
      <c r="K69" s="18"/>
      <c r="L69" s="239"/>
      <c r="M69" s="115"/>
      <c r="O69" s="115"/>
      <c r="Q69" s="115"/>
      <c r="S69" s="115"/>
      <c r="T69" s="115"/>
      <c r="U69" s="115"/>
      <c r="V69" s="115"/>
      <c r="X69" s="115"/>
      <c r="Z69" s="115"/>
      <c r="AB69" s="115"/>
      <c r="AD69" s="115"/>
      <c r="BL69" s="115"/>
      <c r="BM69" s="115"/>
      <c r="BO69" s="115"/>
      <c r="BP69" s="115"/>
      <c r="BQ69" s="115"/>
      <c r="BR69" s="115" t="n">
        <f aca="false">IF(+R69-BN69+BP69&gt;0,R69-BN69+BP69,0)</f>
        <v>0</v>
      </c>
      <c r="BT69" s="115" t="n">
        <f aca="false">+BN69+BR69</f>
        <v>0</v>
      </c>
      <c r="BV69" s="115" t="n">
        <f aca="false">+R69-BT69</f>
        <v>0</v>
      </c>
      <c r="BW69" s="115"/>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c r="IW69" s="174"/>
    </row>
    <row r="70" customFormat="false" ht="12.75" hidden="false" customHeight="false" outlineLevel="0" collapsed="false">
      <c r="A70" s="240"/>
      <c r="B70" s="209" t="s">
        <v>218</v>
      </c>
      <c r="C70" s="2"/>
      <c r="D70" s="2"/>
      <c r="E70" s="2"/>
      <c r="F70" s="2"/>
      <c r="G70" s="2"/>
      <c r="H70" s="2"/>
      <c r="I70" s="2"/>
      <c r="J70" s="3"/>
      <c r="K70" s="2"/>
      <c r="L70" s="188"/>
      <c r="M70" s="24"/>
      <c r="N70" s="210" t="n">
        <f aca="false">SUM(N41:N69)</f>
        <v>0</v>
      </c>
      <c r="O70" s="24"/>
      <c r="P70" s="210" t="n">
        <f aca="false">SUM(P41:P69)</f>
        <v>0</v>
      </c>
      <c r="Q70" s="24"/>
      <c r="R70" s="210" t="n">
        <f aca="false">SUM(R41:R69)</f>
        <v>0</v>
      </c>
      <c r="S70" s="24"/>
      <c r="T70" s="210" t="n">
        <f aca="false">SUM(T41:T69)</f>
        <v>0</v>
      </c>
      <c r="U70" s="24"/>
      <c r="V70" s="210" t="n">
        <f aca="false">SUM(V41:V69)</f>
        <v>0</v>
      </c>
      <c r="W70" s="24"/>
      <c r="X70" s="210" t="n">
        <f aca="false">SUM(X41:X69)</f>
        <v>0</v>
      </c>
      <c r="Y70" s="24"/>
      <c r="Z70" s="210" t="n">
        <f aca="false">SUM(Z41:Z69)</f>
        <v>0</v>
      </c>
      <c r="AA70" s="24"/>
      <c r="AB70" s="210" t="n">
        <f aca="false">SUM(AB41:AB69)</f>
        <v>0</v>
      </c>
      <c r="AC70" s="24"/>
      <c r="AD70" s="210" t="n">
        <f aca="false">SUM(AD41:AD69)</f>
        <v>0</v>
      </c>
      <c r="AE70" s="24"/>
      <c r="AF70" s="210" t="n">
        <f aca="false">SUM(AF41:AF69)</f>
        <v>0</v>
      </c>
      <c r="AG70" s="24"/>
      <c r="AH70" s="210" t="n">
        <f aca="false">SUM(AH41:AH69)</f>
        <v>0</v>
      </c>
      <c r="AI70" s="24"/>
      <c r="AJ70" s="210" t="n">
        <f aca="false">SUM(AJ41:AJ69)</f>
        <v>0</v>
      </c>
      <c r="AK70" s="24"/>
      <c r="AL70" s="210" t="n">
        <f aca="false">SUM(AL41:AL69)</f>
        <v>0</v>
      </c>
      <c r="AM70" s="210"/>
      <c r="AN70" s="210" t="n">
        <f aca="false">SUM(AN41:AN69)</f>
        <v>0</v>
      </c>
      <c r="AO70" s="24"/>
      <c r="AP70" s="210" t="n">
        <f aca="false">SUM(AP41:AP69)</f>
        <v>0</v>
      </c>
      <c r="AQ70" s="24"/>
      <c r="AR70" s="210" t="n">
        <f aca="false">SUM(AR41:AR69)</f>
        <v>0</v>
      </c>
      <c r="AS70" s="24"/>
      <c r="AT70" s="210" t="n">
        <f aca="false">SUM(AT41:AT69)</f>
        <v>0</v>
      </c>
      <c r="AU70" s="24"/>
      <c r="AV70" s="210" t="n">
        <f aca="false">SUM(AV41:AV69)</f>
        <v>0</v>
      </c>
      <c r="AW70" s="24"/>
      <c r="AX70" s="210" t="n">
        <f aca="false">SUM(AX41:AX69)</f>
        <v>0</v>
      </c>
      <c r="AY70" s="24"/>
      <c r="AZ70" s="210" t="n">
        <f aca="false">SUM(AZ41:AZ69)</f>
        <v>0</v>
      </c>
      <c r="BA70" s="24"/>
      <c r="BB70" s="210" t="n">
        <f aca="false">SUM(BB41:BB69)</f>
        <v>0</v>
      </c>
      <c r="BC70" s="24"/>
      <c r="BD70" s="210" t="n">
        <f aca="false">SUM(BD41:BD69)</f>
        <v>0</v>
      </c>
      <c r="BE70" s="24"/>
      <c r="BF70" s="210" t="n">
        <f aca="false">SUM(BF41:BF69)</f>
        <v>0</v>
      </c>
      <c r="BG70" s="24"/>
      <c r="BH70" s="210" t="n">
        <f aca="false">SUM(BH41:BH69)</f>
        <v>0</v>
      </c>
      <c r="BI70" s="24"/>
      <c r="BJ70" s="210" t="n">
        <f aca="false">SUM(BJ41:BJ69)</f>
        <v>0</v>
      </c>
      <c r="BK70" s="24"/>
      <c r="BL70" s="210" t="n">
        <f aca="false">SUM(BL41:BL69)</f>
        <v>0</v>
      </c>
      <c r="BM70" s="24"/>
      <c r="BN70" s="210" t="n">
        <f aca="false">SUM(BN41:BN69)</f>
        <v>0</v>
      </c>
      <c r="BO70" s="24"/>
      <c r="BP70" s="210" t="n">
        <f aca="false">SUM(BP41:BP69)</f>
        <v>0</v>
      </c>
      <c r="BQ70" s="24"/>
      <c r="BR70" s="210" t="n">
        <f aca="false">SUM(BR41:BR69)</f>
        <v>0</v>
      </c>
      <c r="BS70" s="24"/>
      <c r="BT70" s="210" t="n">
        <f aca="false">SUM(BT41:BT69)</f>
        <v>0</v>
      </c>
      <c r="BU70" s="24"/>
      <c r="BV70" s="210"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71"/>
      <c r="B71" s="165"/>
      <c r="C71" s="0"/>
      <c r="D71" s="0"/>
      <c r="E71" s="0"/>
      <c r="F71" s="0"/>
      <c r="G71" s="0"/>
      <c r="H71" s="0"/>
      <c r="I71" s="0"/>
      <c r="J71" s="4"/>
      <c r="K71" s="0"/>
      <c r="L71" s="169"/>
      <c r="M71" s="115"/>
      <c r="O71" s="115"/>
      <c r="Q71" s="115"/>
      <c r="S71" s="115"/>
      <c r="T71" s="115"/>
      <c r="U71" s="115"/>
      <c r="V71" s="115"/>
      <c r="X71" s="115"/>
      <c r="Z71" s="115"/>
      <c r="AB71" s="115"/>
      <c r="AD71" s="115"/>
      <c r="BL71" s="115"/>
      <c r="BM71" s="115"/>
      <c r="BO71" s="115"/>
      <c r="BP71" s="115"/>
      <c r="BQ71" s="115"/>
      <c r="BW71" s="115"/>
    </row>
    <row r="72" customFormat="false" ht="12.75" hidden="false" customHeight="false" outlineLevel="0" collapsed="false">
      <c r="A72" s="182" t="s">
        <v>219</v>
      </c>
      <c r="B72" s="174"/>
      <c r="C72" s="0"/>
      <c r="D72" s="0"/>
      <c r="E72" s="0"/>
      <c r="F72" s="0"/>
      <c r="G72" s="0"/>
      <c r="H72" s="0"/>
      <c r="I72" s="0"/>
      <c r="J72" s="4"/>
      <c r="K72" s="0"/>
      <c r="L72" s="169"/>
      <c r="M72" s="115"/>
      <c r="O72" s="115"/>
      <c r="Q72" s="115"/>
      <c r="S72" s="115"/>
      <c r="T72" s="115"/>
      <c r="U72" s="115"/>
      <c r="V72" s="115"/>
      <c r="X72" s="115"/>
      <c r="Z72" s="115"/>
      <c r="AB72" s="115"/>
      <c r="AD72" s="115"/>
      <c r="BL72" s="115"/>
      <c r="BM72" s="115"/>
      <c r="BO72" s="115"/>
      <c r="BP72" s="115"/>
      <c r="BQ72" s="115"/>
      <c r="BW72" s="115"/>
    </row>
    <row r="73" customFormat="false" ht="12.75" hidden="false" customHeight="false" outlineLevel="0" collapsed="false">
      <c r="A73" s="202"/>
      <c r="B73" s="165" t="s">
        <v>220</v>
      </c>
      <c r="C73" s="0"/>
      <c r="D73" s="0"/>
      <c r="E73" s="0"/>
      <c r="F73" s="0"/>
      <c r="G73" s="0"/>
      <c r="H73" s="0"/>
      <c r="I73" s="0"/>
      <c r="J73" s="4" t="s">
        <v>221</v>
      </c>
      <c r="K73" s="0"/>
      <c r="L73" s="169" t="s">
        <v>142</v>
      </c>
      <c r="M73" s="115"/>
      <c r="N73" s="115" t="n">
        <v>0</v>
      </c>
      <c r="O73" s="115"/>
      <c r="P73" s="115" t="n">
        <v>0</v>
      </c>
      <c r="Q73" s="115"/>
      <c r="R73" s="115" t="n">
        <v>0</v>
      </c>
      <c r="S73" s="115"/>
      <c r="T73" s="115" t="n">
        <v>0</v>
      </c>
      <c r="U73" s="115"/>
      <c r="V73" s="115" t="n">
        <v>0</v>
      </c>
      <c r="X73" s="115" t="n">
        <v>0</v>
      </c>
      <c r="Z73" s="115" t="n">
        <v>0</v>
      </c>
      <c r="AB73" s="115" t="n">
        <v>0</v>
      </c>
      <c r="AD73" s="115" t="n">
        <v>0</v>
      </c>
      <c r="AF73" s="115" t="n">
        <v>0</v>
      </c>
      <c r="AH73" s="115" t="n">
        <f aca="false">929800/12</f>
        <v>77483.3333333333</v>
      </c>
      <c r="AJ73" s="115" t="n">
        <v>77483.33</v>
      </c>
      <c r="AL73" s="115" t="n">
        <v>-232450</v>
      </c>
      <c r="AN73" s="115" t="n">
        <v>77483.34</v>
      </c>
      <c r="AP73" s="115" t="n">
        <v>0</v>
      </c>
      <c r="AR73" s="115" t="n">
        <v>0</v>
      </c>
      <c r="AT73" s="115" t="n">
        <v>0</v>
      </c>
      <c r="AV73" s="115" t="n">
        <v>0</v>
      </c>
      <c r="AX73" s="115" t="n">
        <v>0</v>
      </c>
      <c r="AZ73" s="115" t="n">
        <v>0</v>
      </c>
      <c r="BB73" s="115" t="n">
        <v>0</v>
      </c>
      <c r="BF73" s="115" t="n">
        <v>0</v>
      </c>
      <c r="BH73" s="115" t="n">
        <v>0</v>
      </c>
      <c r="BJ73" s="115" t="n">
        <v>0</v>
      </c>
      <c r="BL73" s="115" t="n">
        <v>0</v>
      </c>
      <c r="BM73" s="115"/>
      <c r="BN73" s="115" t="n">
        <f aca="false">SUM(T73:BM73)</f>
        <v>0.00333333332673647</v>
      </c>
      <c r="BO73" s="115"/>
      <c r="BP73" s="115" t="n">
        <v>0</v>
      </c>
      <c r="BQ73" s="115"/>
      <c r="BR73" s="115" t="n">
        <f aca="false">IF(+R73-BN73+BP73&gt;0,R73-BN73+BP73,0)</f>
        <v>0</v>
      </c>
      <c r="BT73" s="115" t="n">
        <f aca="false">+BN73+BR73</f>
        <v>0.00333333332673647</v>
      </c>
      <c r="BV73" s="115" t="n">
        <f aca="false">+R73-BT73</f>
        <v>-0.00333333332673647</v>
      </c>
      <c r="BW73" s="115"/>
    </row>
    <row r="74" customFormat="false" ht="12.75" hidden="false" customHeight="false" outlineLevel="0" collapsed="false">
      <c r="A74" s="202"/>
      <c r="B74" s="165" t="s">
        <v>222</v>
      </c>
      <c r="C74" s="0"/>
      <c r="D74" s="0"/>
      <c r="E74" s="0"/>
      <c r="F74" s="0"/>
      <c r="G74" s="0"/>
      <c r="H74" s="0"/>
      <c r="I74" s="0"/>
      <c r="J74" s="4" t="s">
        <v>222</v>
      </c>
      <c r="K74" s="0"/>
      <c r="L74" s="169" t="s">
        <v>142</v>
      </c>
      <c r="M74" s="115"/>
      <c r="N74" s="115" t="n">
        <v>0</v>
      </c>
      <c r="O74" s="115"/>
      <c r="P74" s="115" t="n">
        <v>0</v>
      </c>
      <c r="Q74" s="115"/>
      <c r="R74" s="115" t="n">
        <v>0</v>
      </c>
      <c r="S74" s="115"/>
      <c r="T74" s="115" t="n">
        <v>0</v>
      </c>
      <c r="U74" s="115"/>
      <c r="V74" s="115" t="n">
        <v>0</v>
      </c>
      <c r="X74" s="115" t="n">
        <v>0</v>
      </c>
      <c r="Z74" s="115" t="n">
        <v>0</v>
      </c>
      <c r="AB74" s="115" t="n">
        <v>0</v>
      </c>
      <c r="AD74" s="115" t="n">
        <v>0</v>
      </c>
      <c r="AF74" s="115" t="n">
        <v>0</v>
      </c>
      <c r="AH74" s="115" t="n">
        <f aca="false">2840700/12</f>
        <v>236725</v>
      </c>
      <c r="AJ74" s="115" t="n">
        <v>236725</v>
      </c>
      <c r="AL74" s="115" t="n">
        <v>-710172</v>
      </c>
      <c r="AN74" s="115" t="n">
        <v>236722.33</v>
      </c>
      <c r="AP74" s="115" t="n">
        <v>0</v>
      </c>
      <c r="AR74" s="115" t="n">
        <v>0</v>
      </c>
      <c r="AT74" s="115" t="n">
        <v>0</v>
      </c>
      <c r="AV74" s="115" t="n">
        <v>0</v>
      </c>
      <c r="AX74" s="115" t="n">
        <v>0</v>
      </c>
      <c r="AZ74" s="115" t="n">
        <v>0</v>
      </c>
      <c r="BB74" s="115" t="n">
        <v>0</v>
      </c>
      <c r="BF74" s="115" t="n">
        <v>0</v>
      </c>
      <c r="BH74" s="115" t="n">
        <v>0</v>
      </c>
      <c r="BJ74" s="115" t="n">
        <v>0</v>
      </c>
      <c r="BL74" s="115" t="n">
        <v>0</v>
      </c>
      <c r="BM74" s="115"/>
      <c r="BN74" s="115" t="n">
        <f aca="false">SUM(T74:BM74)</f>
        <v>0.329999999987194</v>
      </c>
      <c r="BO74" s="115"/>
      <c r="BP74" s="115" t="n">
        <v>0</v>
      </c>
      <c r="BQ74" s="115"/>
      <c r="BR74" s="115" t="n">
        <f aca="false">IF(+R74-BN74+BP74&gt;0,R74-BN74+BP74,0)</f>
        <v>0</v>
      </c>
      <c r="BT74" s="115" t="n">
        <f aca="false">+BN74+BR74</f>
        <v>0.329999999987194</v>
      </c>
      <c r="BV74" s="115" t="n">
        <f aca="false">+R74-BT74</f>
        <v>-0.329999999987194</v>
      </c>
      <c r="BW74" s="115"/>
    </row>
    <row r="75" customFormat="false" ht="12.75" hidden="false" customHeight="false" outlineLevel="0" collapsed="false">
      <c r="A75" s="202"/>
      <c r="B75" s="165" t="s">
        <v>223</v>
      </c>
      <c r="C75" s="0"/>
      <c r="D75" s="0"/>
      <c r="E75" s="0"/>
      <c r="F75" s="0"/>
      <c r="G75" s="0"/>
      <c r="H75" s="0"/>
      <c r="I75" s="0"/>
      <c r="J75" s="4" t="s">
        <v>221</v>
      </c>
      <c r="K75" s="0"/>
      <c r="L75" s="169" t="s">
        <v>142</v>
      </c>
      <c r="M75" s="115"/>
      <c r="N75" s="115" t="n">
        <v>0</v>
      </c>
      <c r="O75" s="115"/>
      <c r="P75" s="115" t="n">
        <v>0</v>
      </c>
      <c r="Q75" s="115"/>
      <c r="R75" s="115" t="n">
        <v>0</v>
      </c>
      <c r="S75" s="115"/>
      <c r="T75" s="115" t="n">
        <v>0</v>
      </c>
      <c r="U75" s="115"/>
      <c r="V75" s="115" t="n">
        <v>0</v>
      </c>
      <c r="X75" s="115" t="n">
        <v>0</v>
      </c>
      <c r="Z75" s="115" t="n">
        <v>0</v>
      </c>
      <c r="AB75" s="115" t="n">
        <v>0</v>
      </c>
      <c r="AD75" s="115" t="n">
        <v>0</v>
      </c>
      <c r="AF75" s="115" t="n">
        <v>0</v>
      </c>
      <c r="AH75" s="115" t="n">
        <v>0</v>
      </c>
      <c r="AJ75" s="115" t="n">
        <v>0</v>
      </c>
      <c r="AN75" s="115" t="n">
        <v>0</v>
      </c>
      <c r="AP75" s="115" t="n">
        <v>0</v>
      </c>
      <c r="AR75" s="115" t="n">
        <v>0</v>
      </c>
      <c r="AT75" s="115" t="n">
        <v>0</v>
      </c>
      <c r="AV75" s="115" t="n">
        <v>0</v>
      </c>
      <c r="AX75" s="115" t="n">
        <v>0</v>
      </c>
      <c r="AZ75" s="115" t="n">
        <v>0</v>
      </c>
      <c r="BB75" s="115" t="n">
        <v>0</v>
      </c>
      <c r="BD75" s="115" t="n">
        <v>0</v>
      </c>
      <c r="BF75" s="115" t="n">
        <v>0</v>
      </c>
      <c r="BH75" s="115" t="n">
        <v>0</v>
      </c>
      <c r="BJ75" s="115" t="n">
        <v>0</v>
      </c>
      <c r="BL75" s="115" t="n">
        <v>0</v>
      </c>
      <c r="BM75" s="115"/>
      <c r="BN75" s="115" t="n">
        <f aca="false">SUM(T75:BM75)</f>
        <v>0</v>
      </c>
      <c r="BO75" s="115"/>
      <c r="BP75" s="115" t="n">
        <v>0</v>
      </c>
      <c r="BQ75" s="115"/>
      <c r="BR75" s="115" t="n">
        <f aca="false">IF(+R75-BN75+BP75&gt;0,R75-BN75+BP75,0)</f>
        <v>0</v>
      </c>
      <c r="BT75" s="115" t="n">
        <f aca="false">+BN75+BR75</f>
        <v>0</v>
      </c>
      <c r="BV75" s="115" t="n">
        <f aca="false">+R75-BT75</f>
        <v>0</v>
      </c>
      <c r="BW75" s="115"/>
    </row>
    <row r="76" customFormat="false" ht="12.75" hidden="false" customHeight="false" outlineLevel="0" collapsed="false">
      <c r="A76" s="202"/>
      <c r="B76" s="165" t="s">
        <v>224</v>
      </c>
      <c r="C76" s="0"/>
      <c r="D76" s="0"/>
      <c r="E76" s="0"/>
      <c r="F76" s="0"/>
      <c r="G76" s="0"/>
      <c r="H76" s="0"/>
      <c r="I76" s="0"/>
      <c r="J76" s="4" t="s">
        <v>221</v>
      </c>
      <c r="K76" s="0"/>
      <c r="L76" s="169" t="s">
        <v>142</v>
      </c>
      <c r="M76" s="115"/>
      <c r="N76" s="115" t="n">
        <v>0</v>
      </c>
      <c r="O76" s="115"/>
      <c r="P76" s="115" t="n">
        <v>0</v>
      </c>
      <c r="Q76" s="115"/>
      <c r="R76" s="115" t="n">
        <f aca="false">+N76+P76</f>
        <v>0</v>
      </c>
      <c r="S76" s="115"/>
      <c r="T76" s="115" t="n">
        <v>0</v>
      </c>
      <c r="U76" s="115"/>
      <c r="V76" s="115" t="n">
        <v>0</v>
      </c>
      <c r="X76" s="115" t="n">
        <v>0</v>
      </c>
      <c r="Z76" s="115" t="n">
        <v>0</v>
      </c>
      <c r="AB76" s="115" t="n">
        <v>0</v>
      </c>
      <c r="AD76" s="115" t="n">
        <v>0</v>
      </c>
      <c r="AF76" s="115" t="n">
        <v>0</v>
      </c>
      <c r="AH76" s="115" t="n">
        <v>0</v>
      </c>
      <c r="AJ76" s="115" t="n">
        <v>0</v>
      </c>
      <c r="AN76" s="115" t="n">
        <v>0</v>
      </c>
      <c r="AP76" s="115" t="n">
        <v>0</v>
      </c>
      <c r="AR76" s="115" t="n">
        <v>0</v>
      </c>
      <c r="AT76" s="115" t="n">
        <v>0</v>
      </c>
      <c r="AV76" s="115" t="n">
        <v>0</v>
      </c>
      <c r="AX76" s="115" t="n">
        <v>0</v>
      </c>
      <c r="AZ76" s="115" t="n">
        <v>0</v>
      </c>
      <c r="BB76" s="115" t="n">
        <v>0</v>
      </c>
      <c r="BD76" s="115" t="n">
        <v>0</v>
      </c>
      <c r="BF76" s="115" t="n">
        <v>0</v>
      </c>
      <c r="BH76" s="115" t="n">
        <v>0</v>
      </c>
      <c r="BJ76" s="115" t="n">
        <v>0</v>
      </c>
      <c r="BL76" s="115" t="n">
        <v>0</v>
      </c>
      <c r="BM76" s="115"/>
      <c r="BN76" s="115" t="n">
        <f aca="false">SUM(T76:BM76)</f>
        <v>0</v>
      </c>
      <c r="BO76" s="115"/>
      <c r="BP76" s="115" t="n">
        <v>0</v>
      </c>
      <c r="BQ76" s="115"/>
      <c r="BR76" s="115" t="n">
        <f aca="false">IF(+R76-BN76+BP76&gt;0,R76-BN76+BP76,0)</f>
        <v>0</v>
      </c>
      <c r="BT76" s="115" t="n">
        <f aca="false">+BN76+BR76</f>
        <v>0</v>
      </c>
      <c r="BV76" s="115" t="n">
        <f aca="false">+R76-BT76</f>
        <v>0</v>
      </c>
      <c r="BW76" s="115"/>
    </row>
    <row r="77" customFormat="false" ht="12.75" hidden="false" customHeight="false" outlineLevel="0" collapsed="false">
      <c r="A77" s="165"/>
      <c r="B77" s="165" t="s">
        <v>225</v>
      </c>
      <c r="C77" s="18"/>
      <c r="D77" s="18"/>
      <c r="E77" s="18"/>
      <c r="F77" s="18"/>
      <c r="G77" s="18"/>
      <c r="H77" s="18"/>
      <c r="I77" s="18"/>
      <c r="J77" s="204" t="s">
        <v>221</v>
      </c>
      <c r="K77" s="18"/>
      <c r="L77" s="169" t="s">
        <v>142</v>
      </c>
      <c r="M77" s="115"/>
      <c r="N77" s="115" t="n">
        <v>0</v>
      </c>
      <c r="O77" s="115"/>
      <c r="P77" s="115" t="n">
        <v>0</v>
      </c>
      <c r="Q77" s="115"/>
      <c r="R77" s="115" t="n">
        <f aca="false">+N77+P77</f>
        <v>0</v>
      </c>
      <c r="S77" s="115"/>
      <c r="T77" s="115" t="n">
        <v>0</v>
      </c>
      <c r="U77" s="115"/>
      <c r="V77" s="115" t="n">
        <v>0</v>
      </c>
      <c r="X77" s="115" t="n">
        <v>0</v>
      </c>
      <c r="Z77" s="115" t="n">
        <v>0</v>
      </c>
      <c r="AB77" s="115" t="n">
        <v>0</v>
      </c>
      <c r="AD77" s="115" t="n">
        <v>0</v>
      </c>
      <c r="AF77" s="115" t="n">
        <v>0</v>
      </c>
      <c r="AH77" s="115" t="n">
        <v>0</v>
      </c>
      <c r="AJ77" s="115" t="n">
        <v>0</v>
      </c>
      <c r="AN77" s="115" t="n">
        <v>0</v>
      </c>
      <c r="AP77" s="115" t="n">
        <v>0</v>
      </c>
      <c r="AR77" s="115" t="n">
        <v>0</v>
      </c>
      <c r="AT77" s="115" t="n">
        <v>0</v>
      </c>
      <c r="AV77" s="115" t="n">
        <v>0</v>
      </c>
      <c r="AX77" s="115" t="n">
        <v>0</v>
      </c>
      <c r="AZ77" s="115" t="n">
        <v>0</v>
      </c>
      <c r="BB77" s="115" t="n">
        <v>0</v>
      </c>
      <c r="BD77" s="115" t="n">
        <v>0</v>
      </c>
      <c r="BF77" s="115" t="n">
        <v>0</v>
      </c>
      <c r="BH77" s="115" t="n">
        <v>0</v>
      </c>
      <c r="BJ77" s="115" t="n">
        <v>0</v>
      </c>
      <c r="BL77" s="115" t="n">
        <v>0</v>
      </c>
      <c r="BM77" s="115"/>
      <c r="BN77" s="115" t="n">
        <f aca="false">SUM(T77:BM77)</f>
        <v>0</v>
      </c>
      <c r="BO77" s="115"/>
      <c r="BP77" s="115" t="n">
        <v>0</v>
      </c>
      <c r="BQ77" s="115"/>
      <c r="BR77" s="115" t="n">
        <f aca="false">IF(+R77-BN77+BP77&gt;0,R77-BN77+BP77,0)</f>
        <v>0</v>
      </c>
      <c r="BT77" s="115" t="n">
        <f aca="false">+BN77+BR77</f>
        <v>0</v>
      </c>
      <c r="BV77" s="115" t="n">
        <f aca="false">+R77-BT77</f>
        <v>0</v>
      </c>
      <c r="BW77" s="115"/>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c r="IO77" s="174"/>
      <c r="IP77" s="174"/>
      <c r="IQ77" s="174"/>
      <c r="IR77" s="174"/>
      <c r="IS77" s="174"/>
      <c r="IT77" s="174"/>
      <c r="IU77" s="174"/>
      <c r="IV77" s="174"/>
      <c r="IW77" s="174"/>
    </row>
    <row r="78" customFormat="false" ht="12.75" hidden="false" customHeight="false" outlineLevel="0" collapsed="false">
      <c r="A78" s="202"/>
      <c r="B78" s="165" t="s">
        <v>122</v>
      </c>
      <c r="C78" s="0"/>
      <c r="D78" s="0"/>
      <c r="E78" s="0"/>
      <c r="F78" s="0"/>
      <c r="G78" s="0"/>
      <c r="H78" s="0"/>
      <c r="I78" s="0"/>
      <c r="J78" s="4"/>
      <c r="K78" s="0"/>
      <c r="L78" s="169" t="s">
        <v>142</v>
      </c>
      <c r="M78" s="115"/>
      <c r="N78" s="115" t="n">
        <v>0</v>
      </c>
      <c r="O78" s="115"/>
      <c r="P78" s="115" t="n">
        <v>0</v>
      </c>
      <c r="Q78" s="115"/>
      <c r="R78" s="115" t="n">
        <f aca="false">+N78+P78</f>
        <v>0</v>
      </c>
      <c r="S78" s="115"/>
      <c r="T78" s="115" t="n">
        <v>0</v>
      </c>
      <c r="U78" s="115"/>
      <c r="V78" s="115" t="n">
        <v>0</v>
      </c>
      <c r="X78" s="115" t="n">
        <v>0</v>
      </c>
      <c r="Z78" s="115" t="n">
        <v>0</v>
      </c>
      <c r="AB78" s="115" t="n">
        <v>0</v>
      </c>
      <c r="AD78" s="115" t="n">
        <v>0</v>
      </c>
      <c r="AF78" s="115" t="n">
        <v>0</v>
      </c>
      <c r="AH78" s="115" t="n">
        <v>0</v>
      </c>
      <c r="AJ78" s="115" t="n">
        <v>0</v>
      </c>
      <c r="AN78" s="115" t="n">
        <v>0</v>
      </c>
      <c r="AP78" s="115" t="n">
        <v>0</v>
      </c>
      <c r="AR78" s="115" t="n">
        <v>0</v>
      </c>
      <c r="AT78" s="115" t="n">
        <v>250000</v>
      </c>
      <c r="AV78" s="115" t="n">
        <v>0</v>
      </c>
      <c r="AX78" s="115" t="n">
        <v>0</v>
      </c>
      <c r="AZ78" s="115" t="n">
        <v>0</v>
      </c>
      <c r="BB78" s="115" t="n">
        <v>0</v>
      </c>
      <c r="BD78" s="115" t="n">
        <v>0</v>
      </c>
      <c r="BF78" s="115" t="n">
        <v>0</v>
      </c>
      <c r="BH78" s="115" t="n">
        <v>0</v>
      </c>
      <c r="BJ78" s="115" t="n">
        <v>0</v>
      </c>
      <c r="BL78" s="115" t="n">
        <v>0</v>
      </c>
      <c r="BM78" s="115"/>
      <c r="BN78" s="115" t="n">
        <f aca="false">SUM(T78:BM78)</f>
        <v>250000</v>
      </c>
      <c r="BO78" s="115"/>
      <c r="BP78" s="115" t="n">
        <v>0</v>
      </c>
      <c r="BQ78" s="115"/>
      <c r="BR78" s="115" t="n">
        <f aca="false">IF(+R78-BN78+BP78&gt;0,R78-BN78+BP78,0)</f>
        <v>0</v>
      </c>
      <c r="BT78" s="115" t="n">
        <f aca="false">+BN78+BR78</f>
        <v>250000</v>
      </c>
      <c r="BV78" s="115" t="n">
        <f aca="false">+R78-BT78</f>
        <v>-250000</v>
      </c>
      <c r="BW78" s="115"/>
    </row>
    <row r="79" customFormat="false" ht="12.75" hidden="false" customHeight="false" outlineLevel="0" collapsed="false">
      <c r="A79" s="202"/>
      <c r="B79" s="165"/>
      <c r="C79" s="0"/>
      <c r="D79" s="0"/>
      <c r="E79" s="0"/>
      <c r="F79" s="0"/>
      <c r="G79" s="0"/>
      <c r="H79" s="0"/>
      <c r="I79" s="0"/>
      <c r="J79" s="4"/>
      <c r="K79" s="0"/>
      <c r="L79" s="169"/>
      <c r="M79" s="115"/>
      <c r="O79" s="115"/>
      <c r="Q79" s="115"/>
      <c r="S79" s="115"/>
      <c r="T79" s="115"/>
      <c r="U79" s="115"/>
      <c r="V79" s="115"/>
      <c r="X79" s="115"/>
      <c r="Z79" s="115"/>
      <c r="AB79" s="115"/>
      <c r="AD79" s="115"/>
      <c r="BL79" s="115"/>
      <c r="BM79" s="115"/>
      <c r="BO79" s="115"/>
      <c r="BP79" s="115"/>
      <c r="BQ79" s="115"/>
      <c r="BR79" s="115" t="n">
        <f aca="false">IF(+R79-BN79+BP79&gt;0,R79-BN79+BP79,0)</f>
        <v>0</v>
      </c>
      <c r="BW79" s="115"/>
    </row>
    <row r="80" customFormat="false" ht="12.75" hidden="false" customHeight="false" outlineLevel="0" collapsed="false">
      <c r="A80" s="175"/>
      <c r="B80" s="176" t="s">
        <v>226</v>
      </c>
      <c r="C80" s="177"/>
      <c r="D80" s="177"/>
      <c r="E80" s="177"/>
      <c r="F80" s="177"/>
      <c r="G80" s="177"/>
      <c r="H80" s="177"/>
      <c r="I80" s="177"/>
      <c r="J80" s="178"/>
      <c r="K80" s="177"/>
      <c r="L80" s="179"/>
      <c r="M80" s="180"/>
      <c r="N80" s="205" t="n">
        <f aca="false">SUM(N73:N79)</f>
        <v>0</v>
      </c>
      <c r="O80" s="180"/>
      <c r="P80" s="205" t="n">
        <f aca="false">SUM(P73:P79)</f>
        <v>0</v>
      </c>
      <c r="Q80" s="180"/>
      <c r="R80" s="205" t="n">
        <f aca="false">SUM(R73:R79)</f>
        <v>0</v>
      </c>
      <c r="S80" s="180"/>
      <c r="T80" s="205" t="n">
        <f aca="false">SUM(T73:T79)</f>
        <v>0</v>
      </c>
      <c r="U80" s="180"/>
      <c r="V80" s="205" t="n">
        <f aca="false">SUM(V73:V79)</f>
        <v>0</v>
      </c>
      <c r="W80" s="180"/>
      <c r="X80" s="205" t="n">
        <f aca="false">SUM(X73:X79)</f>
        <v>0</v>
      </c>
      <c r="Y80" s="180"/>
      <c r="Z80" s="205" t="n">
        <f aca="false">SUM(Z73:Z79)</f>
        <v>0</v>
      </c>
      <c r="AA80" s="180"/>
      <c r="AB80" s="205" t="n">
        <f aca="false">SUM(AB73:AB79)</f>
        <v>0</v>
      </c>
      <c r="AC80" s="180"/>
      <c r="AD80" s="205" t="n">
        <f aca="false">SUM(AD73:AD79)</f>
        <v>0</v>
      </c>
      <c r="AE80" s="180"/>
      <c r="AF80" s="205" t="n">
        <f aca="false">SUM(AF73:AF79)</f>
        <v>0</v>
      </c>
      <c r="AG80" s="180"/>
      <c r="AH80" s="205" t="n">
        <f aca="false">SUM(AH73:AH79)</f>
        <v>314208.333333333</v>
      </c>
      <c r="AI80" s="180"/>
      <c r="AJ80" s="205" t="n">
        <f aca="false">SUM(AJ73:AJ79)</f>
        <v>314208.33</v>
      </c>
      <c r="AK80" s="180"/>
      <c r="AL80" s="205" t="n">
        <f aca="false">SUM(AL73:AL79)</f>
        <v>-942622</v>
      </c>
      <c r="AM80" s="205"/>
      <c r="AN80" s="205" t="n">
        <f aca="false">SUM(AN73:AN79)</f>
        <v>314205.67</v>
      </c>
      <c r="AO80" s="180"/>
      <c r="AP80" s="205" t="n">
        <f aca="false">SUM(AP73:AP79)</f>
        <v>0</v>
      </c>
      <c r="AQ80" s="180"/>
      <c r="AR80" s="205" t="n">
        <f aca="false">SUM(AR73:AR79)</f>
        <v>0</v>
      </c>
      <c r="AS80" s="180"/>
      <c r="AT80" s="205" t="n">
        <f aca="false">SUM(AT73:AT79)</f>
        <v>250000</v>
      </c>
      <c r="AU80" s="180"/>
      <c r="AV80" s="205" t="n">
        <f aca="false">SUM(AV73:AV79)</f>
        <v>0</v>
      </c>
      <c r="AW80" s="180"/>
      <c r="AX80" s="205" t="n">
        <f aca="false">SUM(AX73:AX79)</f>
        <v>0</v>
      </c>
      <c r="AY80" s="180"/>
      <c r="AZ80" s="205" t="n">
        <f aca="false">SUM(AZ73:AZ79)</f>
        <v>0</v>
      </c>
      <c r="BA80" s="180"/>
      <c r="BB80" s="205" t="n">
        <f aca="false">SUM(BB73:BB79)</f>
        <v>0</v>
      </c>
      <c r="BC80" s="180"/>
      <c r="BD80" s="205" t="n">
        <f aca="false">SUM(BD73:BD79)</f>
        <v>0</v>
      </c>
      <c r="BE80" s="180"/>
      <c r="BF80" s="205" t="n">
        <f aca="false">SUM(BF73:BF79)</f>
        <v>0</v>
      </c>
      <c r="BG80" s="180"/>
      <c r="BH80" s="205" t="n">
        <f aca="false">SUM(BH73:BH79)</f>
        <v>0</v>
      </c>
      <c r="BI80" s="180"/>
      <c r="BJ80" s="205" t="n">
        <f aca="false">SUM(BJ73:BJ79)</f>
        <v>0</v>
      </c>
      <c r="BK80" s="180"/>
      <c r="BL80" s="205" t="n">
        <f aca="false">SUM(BL73:BL79)</f>
        <v>0</v>
      </c>
      <c r="BM80" s="180"/>
      <c r="BN80" s="205" t="n">
        <f aca="false">SUM(BN73:BN79)</f>
        <v>250000.333333333</v>
      </c>
      <c r="BO80" s="180"/>
      <c r="BP80" s="205" t="n">
        <f aca="false">SUM(BP73:BP79)</f>
        <v>0</v>
      </c>
      <c r="BQ80" s="180"/>
      <c r="BR80" s="205" t="n">
        <f aca="false">SUM(BR73:BR79)</f>
        <v>0</v>
      </c>
      <c r="BS80" s="180"/>
      <c r="BT80" s="205" t="n">
        <f aca="false">SUM(BT73:BT79)</f>
        <v>250000.333333333</v>
      </c>
      <c r="BU80" s="180"/>
      <c r="BV80" s="205" t="n">
        <f aca="false">SUM(BV73:BV79)</f>
        <v>-250000.333333333</v>
      </c>
      <c r="BW80" s="180"/>
      <c r="BX80" s="177"/>
      <c r="BY80" s="177"/>
      <c r="BZ80" s="177"/>
      <c r="CA80" s="177"/>
      <c r="CB80" s="177"/>
      <c r="CC80" s="177"/>
      <c r="CD80" s="177"/>
      <c r="CE80" s="177"/>
      <c r="CF80" s="177"/>
      <c r="CG80" s="177"/>
      <c r="CH80" s="177"/>
      <c r="CI80" s="177"/>
      <c r="CJ80" s="177"/>
      <c r="CK80" s="177"/>
      <c r="CL80" s="177"/>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77"/>
      <c r="GT80" s="177"/>
      <c r="GU80" s="177"/>
      <c r="GV80" s="177"/>
      <c r="GW80" s="177"/>
      <c r="GX80" s="177"/>
      <c r="GY80" s="177"/>
      <c r="GZ80" s="177"/>
      <c r="HA80" s="177"/>
      <c r="HB80" s="177"/>
      <c r="HC80" s="177"/>
      <c r="HD80" s="177"/>
      <c r="HE80" s="177"/>
      <c r="HF80" s="177"/>
      <c r="HG80" s="177"/>
      <c r="HH80" s="177"/>
      <c r="HI80" s="177"/>
      <c r="HJ80" s="177"/>
      <c r="HK80" s="177"/>
      <c r="HL80" s="177"/>
      <c r="HM80" s="177"/>
      <c r="HN80" s="177"/>
      <c r="HO80" s="177"/>
      <c r="HP80" s="177"/>
      <c r="HQ80" s="177"/>
      <c r="HR80" s="177"/>
      <c r="HS80" s="177"/>
      <c r="HT80" s="177"/>
      <c r="HU80" s="177"/>
      <c r="HV80" s="177"/>
      <c r="HW80" s="177"/>
      <c r="HX80" s="177"/>
      <c r="HY80" s="177"/>
      <c r="HZ80" s="177"/>
      <c r="IA80" s="177"/>
      <c r="IB80" s="177"/>
      <c r="IC80" s="177"/>
      <c r="ID80" s="177"/>
      <c r="IE80" s="177"/>
      <c r="IF80" s="177"/>
      <c r="IG80" s="177"/>
      <c r="IH80" s="177"/>
      <c r="II80" s="177"/>
      <c r="IJ80" s="177"/>
      <c r="IK80" s="177"/>
      <c r="IL80" s="177"/>
      <c r="IM80" s="177"/>
      <c r="IN80" s="177"/>
      <c r="IO80" s="177"/>
      <c r="IP80" s="177"/>
      <c r="IQ80" s="177"/>
      <c r="IR80" s="177"/>
      <c r="IS80" s="177"/>
      <c r="IT80" s="177"/>
      <c r="IU80" s="177"/>
      <c r="IV80" s="177"/>
      <c r="IW80" s="177"/>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6" t="s">
        <v>227</v>
      </c>
      <c r="B82" s="165"/>
      <c r="C82" s="0"/>
      <c r="D82" s="0"/>
      <c r="E82" s="0"/>
      <c r="F82" s="0"/>
      <c r="G82" s="0"/>
      <c r="H82" s="0"/>
      <c r="I82" s="0"/>
      <c r="J82" s="4"/>
      <c r="K82" s="0"/>
      <c r="L82" s="169" t="s">
        <v>142</v>
      </c>
      <c r="M82" s="115"/>
      <c r="O82" s="115"/>
      <c r="Q82" s="115"/>
      <c r="S82" s="115"/>
      <c r="T82" s="115"/>
      <c r="U82" s="115"/>
      <c r="V82" s="115"/>
      <c r="X82" s="115"/>
      <c r="Z82" s="115"/>
      <c r="AB82" s="115"/>
      <c r="AD82" s="115"/>
      <c r="BL82" s="115"/>
      <c r="BM82" s="115"/>
      <c r="BO82" s="115"/>
      <c r="BP82" s="115"/>
      <c r="BQ82" s="115"/>
      <c r="BW82" s="115"/>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row>
    <row r="83" customFormat="false" ht="12.75" hidden="true" customHeight="false" outlineLevel="0" collapsed="false">
      <c r="A83" s="186"/>
      <c r="B83" s="165" t="s">
        <v>317</v>
      </c>
      <c r="C83" s="0"/>
      <c r="D83" s="0"/>
      <c r="E83" s="0"/>
      <c r="F83" s="0"/>
      <c r="G83" s="0"/>
      <c r="H83" s="0"/>
      <c r="I83" s="0"/>
      <c r="J83" s="4"/>
      <c r="K83" s="0"/>
      <c r="L83" s="169" t="s">
        <v>142</v>
      </c>
      <c r="M83" s="115"/>
      <c r="N83" s="115" t="n">
        <v>0</v>
      </c>
      <c r="O83" s="115"/>
      <c r="P83" s="115" t="n">
        <v>0</v>
      </c>
      <c r="Q83" s="115"/>
      <c r="R83" s="115" t="n">
        <f aca="false">+N83+P83</f>
        <v>0</v>
      </c>
      <c r="S83" s="115"/>
      <c r="T83" s="115" t="n">
        <v>0</v>
      </c>
      <c r="U83" s="115"/>
      <c r="V83" s="115" t="n">
        <v>0</v>
      </c>
      <c r="X83" s="115" t="n">
        <v>0</v>
      </c>
      <c r="Z83" s="115" t="n">
        <v>0</v>
      </c>
      <c r="AB83" s="115" t="n">
        <v>0</v>
      </c>
      <c r="AD83" s="115" t="n">
        <v>0</v>
      </c>
      <c r="AF83" s="115" t="n">
        <v>0</v>
      </c>
      <c r="AH83" s="115" t="n">
        <v>0</v>
      </c>
      <c r="AJ83" s="115" t="n">
        <v>0</v>
      </c>
      <c r="AN83" s="115" t="n">
        <v>0</v>
      </c>
      <c r="AP83" s="115" t="n">
        <v>0</v>
      </c>
      <c r="AR83" s="115" t="n">
        <v>0</v>
      </c>
      <c r="AT83" s="115" t="n">
        <v>0</v>
      </c>
      <c r="AV83" s="115" t="n">
        <v>0</v>
      </c>
      <c r="AX83" s="115" t="n">
        <v>0</v>
      </c>
      <c r="AZ83" s="115" t="n">
        <v>0</v>
      </c>
      <c r="BB83" s="115" t="n">
        <v>0</v>
      </c>
      <c r="BD83" s="115" t="n">
        <v>0</v>
      </c>
      <c r="BF83" s="115" t="n">
        <v>0</v>
      </c>
      <c r="BH83" s="115" t="n">
        <v>0</v>
      </c>
      <c r="BJ83" s="115" t="n">
        <v>0</v>
      </c>
      <c r="BL83" s="115" t="n">
        <v>0</v>
      </c>
      <c r="BM83" s="115"/>
      <c r="BN83" s="115" t="n">
        <f aca="false">SUM(T83:BM83)</f>
        <v>0</v>
      </c>
      <c r="BO83" s="115"/>
      <c r="BP83" s="115" t="n">
        <v>0</v>
      </c>
      <c r="BQ83" s="115"/>
      <c r="BR83" s="115" t="n">
        <f aca="false">+R83-BN83+BP83</f>
        <v>0</v>
      </c>
      <c r="BT83" s="115" t="n">
        <f aca="false">+BN83+BR83</f>
        <v>0</v>
      </c>
      <c r="BV83" s="115" t="n">
        <f aca="false">+R83-BT83</f>
        <v>0</v>
      </c>
      <c r="BW83" s="115"/>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row>
    <row r="84" customFormat="false" ht="12.75" hidden="true" customHeight="false" outlineLevel="0" collapsed="false">
      <c r="A84" s="186"/>
      <c r="B84" s="165" t="s">
        <v>318</v>
      </c>
      <c r="C84" s="0"/>
      <c r="D84" s="0"/>
      <c r="E84" s="0"/>
      <c r="F84" s="0"/>
      <c r="G84" s="0"/>
      <c r="H84" s="0"/>
      <c r="I84" s="0"/>
      <c r="J84" s="4"/>
      <c r="K84" s="0"/>
      <c r="L84" s="169" t="s">
        <v>142</v>
      </c>
      <c r="M84" s="115"/>
      <c r="N84" s="115" t="n">
        <v>0</v>
      </c>
      <c r="O84" s="115"/>
      <c r="P84" s="115" t="n">
        <v>0</v>
      </c>
      <c r="Q84" s="115"/>
      <c r="R84" s="115" t="n">
        <f aca="false">+N84+P84</f>
        <v>0</v>
      </c>
      <c r="S84" s="115"/>
      <c r="T84" s="115" t="n">
        <v>0</v>
      </c>
      <c r="U84" s="115"/>
      <c r="V84" s="115" t="n">
        <v>0</v>
      </c>
      <c r="X84" s="115" t="n">
        <v>0</v>
      </c>
      <c r="Z84" s="115" t="n">
        <v>0</v>
      </c>
      <c r="AB84" s="115" t="n">
        <v>0</v>
      </c>
      <c r="AD84" s="115" t="n">
        <v>0</v>
      </c>
      <c r="AF84" s="115" t="n">
        <v>0</v>
      </c>
      <c r="AH84" s="115" t="n">
        <v>0</v>
      </c>
      <c r="AJ84" s="115" t="n">
        <v>0</v>
      </c>
      <c r="AN84" s="115" t="n">
        <v>0</v>
      </c>
      <c r="AP84" s="115" t="n">
        <v>0</v>
      </c>
      <c r="AR84" s="115" t="n">
        <v>0</v>
      </c>
      <c r="AT84" s="115" t="n">
        <v>0</v>
      </c>
      <c r="AV84" s="115" t="n">
        <v>0</v>
      </c>
      <c r="AX84" s="115" t="n">
        <v>0</v>
      </c>
      <c r="AZ84" s="115" t="n">
        <v>0</v>
      </c>
      <c r="BB84" s="115" t="n">
        <v>0</v>
      </c>
      <c r="BD84" s="115" t="n">
        <v>0</v>
      </c>
      <c r="BF84" s="115" t="n">
        <v>0</v>
      </c>
      <c r="BH84" s="115" t="n">
        <v>0</v>
      </c>
      <c r="BJ84" s="115" t="n">
        <v>0</v>
      </c>
      <c r="BL84" s="115" t="n">
        <v>0</v>
      </c>
      <c r="BM84" s="115"/>
      <c r="BN84" s="115" t="n">
        <f aca="false">SUM(T84:BM84)</f>
        <v>0</v>
      </c>
      <c r="BO84" s="115"/>
      <c r="BP84" s="115" t="n">
        <v>0</v>
      </c>
      <c r="BQ84" s="115"/>
      <c r="BR84" s="115" t="n">
        <f aca="false">+R84-BN84+BP84</f>
        <v>0</v>
      </c>
      <c r="BT84" s="115" t="n">
        <f aca="false">+BN84+BR84</f>
        <v>0</v>
      </c>
      <c r="BV84" s="115" t="n">
        <f aca="false">+R84-BT84</f>
        <v>0</v>
      </c>
      <c r="BW84" s="115"/>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row>
    <row r="85" customFormat="false" ht="12.75" hidden="true" customHeight="false" outlineLevel="0" collapsed="false">
      <c r="A85" s="171"/>
      <c r="B85" s="165" t="s">
        <v>319</v>
      </c>
      <c r="C85" s="0"/>
      <c r="D85" s="0"/>
      <c r="E85" s="0"/>
      <c r="F85" s="0"/>
      <c r="G85" s="0"/>
      <c r="H85" s="0"/>
      <c r="I85" s="0"/>
      <c r="J85" s="4"/>
      <c r="K85" s="0"/>
      <c r="L85" s="169" t="s">
        <v>142</v>
      </c>
      <c r="M85" s="115"/>
      <c r="N85" s="115" t="n">
        <v>0</v>
      </c>
      <c r="O85" s="115"/>
      <c r="P85" s="115" t="n">
        <v>0</v>
      </c>
      <c r="Q85" s="115"/>
      <c r="R85" s="115" t="n">
        <f aca="false">+N85+P85</f>
        <v>0</v>
      </c>
      <c r="S85" s="115"/>
      <c r="T85" s="115" t="n">
        <v>0</v>
      </c>
      <c r="U85" s="115"/>
      <c r="V85" s="115" t="n">
        <v>0</v>
      </c>
      <c r="X85" s="115" t="n">
        <v>0</v>
      </c>
      <c r="Z85" s="115" t="n">
        <v>0</v>
      </c>
      <c r="AB85" s="115" t="n">
        <v>0</v>
      </c>
      <c r="AD85" s="115" t="n">
        <v>0</v>
      </c>
      <c r="AF85" s="115" t="n">
        <v>0</v>
      </c>
      <c r="AH85" s="115" t="n">
        <v>0</v>
      </c>
      <c r="AJ85" s="115" t="n">
        <v>0</v>
      </c>
      <c r="AN85" s="115" t="n">
        <v>0</v>
      </c>
      <c r="AP85" s="115" t="n">
        <v>0</v>
      </c>
      <c r="AR85" s="115" t="n">
        <v>0</v>
      </c>
      <c r="AT85" s="115" t="n">
        <v>0</v>
      </c>
      <c r="AV85" s="115" t="n">
        <v>0</v>
      </c>
      <c r="AX85" s="115" t="n">
        <v>0</v>
      </c>
      <c r="AZ85" s="115" t="n">
        <v>0</v>
      </c>
      <c r="BB85" s="115" t="n">
        <v>0</v>
      </c>
      <c r="BD85" s="115" t="n">
        <v>0</v>
      </c>
      <c r="BF85" s="115" t="n">
        <v>0</v>
      </c>
      <c r="BH85" s="115" t="n">
        <v>0</v>
      </c>
      <c r="BJ85" s="115" t="n">
        <v>0</v>
      </c>
      <c r="BL85" s="115" t="n">
        <v>0</v>
      </c>
      <c r="BM85" s="115"/>
      <c r="BN85" s="115" t="n">
        <f aca="false">SUM(T85:BM85)</f>
        <v>0</v>
      </c>
      <c r="BO85" s="115"/>
      <c r="BP85" s="115" t="n">
        <v>0</v>
      </c>
      <c r="BQ85" s="115"/>
      <c r="BR85" s="115" t="n">
        <f aca="false">+R85-BN85+BP85</f>
        <v>0</v>
      </c>
      <c r="BT85" s="115" t="n">
        <f aca="false">+BN85+BR85</f>
        <v>0</v>
      </c>
      <c r="BV85" s="115" t="n">
        <f aca="false">+R85-BT85</f>
        <v>0</v>
      </c>
      <c r="BW85" s="115"/>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row>
    <row r="86" customFormat="false" ht="12.75" hidden="true" customHeight="false" outlineLevel="0" collapsed="false">
      <c r="A86" s="173"/>
      <c r="B86" s="165" t="s">
        <v>184</v>
      </c>
      <c r="C86" s="18"/>
      <c r="D86" s="18"/>
      <c r="E86" s="18"/>
      <c r="F86" s="18"/>
      <c r="G86" s="18"/>
      <c r="H86" s="18"/>
      <c r="I86" s="18"/>
      <c r="J86" s="204"/>
      <c r="K86" s="18"/>
      <c r="L86" s="169" t="s">
        <v>142</v>
      </c>
      <c r="M86" s="115"/>
      <c r="N86" s="115" t="n">
        <v>0</v>
      </c>
      <c r="O86" s="115"/>
      <c r="P86" s="115" t="n">
        <v>0</v>
      </c>
      <c r="Q86" s="115"/>
      <c r="R86" s="115" t="n">
        <f aca="false">+N86+P86</f>
        <v>0</v>
      </c>
      <c r="S86" s="115"/>
      <c r="T86" s="115" t="n">
        <v>0</v>
      </c>
      <c r="U86" s="115"/>
      <c r="V86" s="115" t="n">
        <v>0</v>
      </c>
      <c r="X86" s="115" t="n">
        <v>0</v>
      </c>
      <c r="Z86" s="115" t="n">
        <v>0</v>
      </c>
      <c r="AB86" s="115" t="n">
        <v>0</v>
      </c>
      <c r="AD86" s="115" t="n">
        <v>0</v>
      </c>
      <c r="AF86" s="115" t="n">
        <v>0</v>
      </c>
      <c r="AH86" s="115" t="n">
        <v>0</v>
      </c>
      <c r="AJ86" s="115" t="n">
        <v>0</v>
      </c>
      <c r="AN86" s="115" t="n">
        <v>0</v>
      </c>
      <c r="AP86" s="115" t="n">
        <v>0</v>
      </c>
      <c r="AR86" s="115" t="n">
        <v>0</v>
      </c>
      <c r="AT86" s="115" t="n">
        <v>0</v>
      </c>
      <c r="AV86" s="115" t="n">
        <v>0</v>
      </c>
      <c r="AX86" s="115" t="n">
        <v>0</v>
      </c>
      <c r="AZ86" s="115" t="n">
        <v>0</v>
      </c>
      <c r="BB86" s="115" t="n">
        <v>0</v>
      </c>
      <c r="BD86" s="115" t="n">
        <v>0</v>
      </c>
      <c r="BF86" s="115" t="n">
        <v>0</v>
      </c>
      <c r="BH86" s="115" t="n">
        <v>0</v>
      </c>
      <c r="BJ86" s="115" t="n">
        <v>0</v>
      </c>
      <c r="BL86" s="115" t="n">
        <v>0</v>
      </c>
      <c r="BM86" s="115"/>
      <c r="BN86" s="115" t="n">
        <f aca="false">SUM(T86:BM86)</f>
        <v>0</v>
      </c>
      <c r="BO86" s="115"/>
      <c r="BP86" s="115" t="n">
        <v>0</v>
      </c>
      <c r="BQ86" s="115"/>
      <c r="BR86" s="115" t="n">
        <f aca="false">+R86-BN86+BP86</f>
        <v>0</v>
      </c>
      <c r="BT86" s="115" t="n">
        <f aca="false">+BN86+BR86</f>
        <v>0</v>
      </c>
      <c r="BV86" s="115" t="n">
        <f aca="false">+R86-BT86</f>
        <v>0</v>
      </c>
      <c r="BW86" s="115"/>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row>
    <row r="87" customFormat="false" ht="12.75" hidden="false" customHeight="false" outlineLevel="0" collapsed="false">
      <c r="A87" s="171"/>
      <c r="B87" s="165" t="s">
        <v>152</v>
      </c>
      <c r="C87" s="0"/>
      <c r="D87" s="0"/>
      <c r="E87" s="0"/>
      <c r="F87" s="0"/>
      <c r="G87" s="0"/>
      <c r="H87" s="0"/>
      <c r="I87" s="0"/>
      <c r="J87" s="4" t="s">
        <v>132</v>
      </c>
      <c r="K87" s="0"/>
      <c r="L87" s="169" t="s">
        <v>142</v>
      </c>
      <c r="M87" s="115"/>
      <c r="N87" s="115" t="n">
        <v>0</v>
      </c>
      <c r="O87" s="115"/>
      <c r="P87" s="115" t="n">
        <v>0</v>
      </c>
      <c r="Q87" s="115"/>
      <c r="R87" s="115" t="n">
        <f aca="false">+N87+P87</f>
        <v>0</v>
      </c>
      <c r="S87" s="115"/>
      <c r="T87" s="115" t="n">
        <v>0</v>
      </c>
      <c r="U87" s="115"/>
      <c r="V87" s="115" t="n">
        <v>0</v>
      </c>
      <c r="X87" s="115" t="n">
        <v>0</v>
      </c>
      <c r="Z87" s="115" t="n">
        <v>0</v>
      </c>
      <c r="AB87" s="115" t="n">
        <v>0</v>
      </c>
      <c r="AD87" s="115" t="n">
        <v>0</v>
      </c>
      <c r="AF87" s="115" t="n">
        <v>0</v>
      </c>
      <c r="AH87" s="115" t="n">
        <v>0</v>
      </c>
      <c r="AJ87" s="115" t="n">
        <v>0</v>
      </c>
      <c r="AN87" s="115" t="n">
        <v>0</v>
      </c>
      <c r="AP87" s="115" t="n">
        <v>0</v>
      </c>
      <c r="AR87" s="115" t="n">
        <v>0</v>
      </c>
      <c r="AT87" s="115" t="n">
        <v>0</v>
      </c>
      <c r="AV87" s="115" t="n">
        <v>0</v>
      </c>
      <c r="AX87" s="115" t="n">
        <v>0</v>
      </c>
      <c r="AZ87" s="115" t="n">
        <v>0</v>
      </c>
      <c r="BB87" s="115" t="n">
        <v>0</v>
      </c>
      <c r="BD87" s="115" t="n">
        <v>0</v>
      </c>
      <c r="BF87" s="115" t="n">
        <v>0</v>
      </c>
      <c r="BH87" s="115" t="n">
        <v>0</v>
      </c>
      <c r="BJ87" s="115" t="n">
        <v>0</v>
      </c>
      <c r="BL87" s="115" t="n">
        <v>0</v>
      </c>
      <c r="BM87" s="115"/>
      <c r="BN87" s="115" t="n">
        <f aca="false">SUM(T87:BM87)</f>
        <v>0</v>
      </c>
      <c r="BO87" s="115"/>
      <c r="BP87" s="115" t="n">
        <v>0</v>
      </c>
      <c r="BQ87" s="115"/>
      <c r="BR87" s="115" t="n">
        <f aca="false">IF(+R87-BN87+BP87&gt;0,R87-BN87+BP87,0)</f>
        <v>0</v>
      </c>
      <c r="BT87" s="115" t="n">
        <f aca="false">+BN87+BR87</f>
        <v>0</v>
      </c>
      <c r="BV87" s="115" t="n">
        <f aca="false">+R87-BT87</f>
        <v>0</v>
      </c>
      <c r="BW87" s="115"/>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row>
    <row r="88" customFormat="false" ht="12.75" hidden="false" customHeight="false" outlineLevel="0" collapsed="false">
      <c r="A88" s="171"/>
      <c r="B88" s="165"/>
      <c r="C88" s="0"/>
      <c r="D88" s="0"/>
      <c r="E88" s="0"/>
      <c r="F88" s="0"/>
      <c r="G88" s="0"/>
      <c r="H88" s="0"/>
      <c r="I88" s="0"/>
      <c r="J88" s="4"/>
      <c r="K88" s="0"/>
      <c r="L88" s="169"/>
      <c r="M88" s="115"/>
      <c r="O88" s="115"/>
      <c r="Q88" s="115"/>
      <c r="S88" s="115"/>
      <c r="T88" s="115"/>
      <c r="U88" s="115"/>
      <c r="V88" s="115"/>
      <c r="X88" s="115"/>
      <c r="Z88" s="115"/>
      <c r="AB88" s="115"/>
      <c r="AD88" s="115"/>
      <c r="BL88" s="115"/>
      <c r="BM88" s="115"/>
      <c r="BO88" s="115"/>
      <c r="BP88" s="115"/>
      <c r="BQ88" s="115"/>
      <c r="BW88" s="115"/>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c r="FL88" s="206"/>
      <c r="FM88" s="206"/>
      <c r="FN88" s="206"/>
      <c r="FO88" s="206"/>
      <c r="FP88" s="206"/>
      <c r="FQ88" s="206"/>
      <c r="FR88" s="206"/>
      <c r="FS88" s="206"/>
      <c r="FT88" s="206"/>
      <c r="FU88" s="206"/>
      <c r="FV88" s="206"/>
      <c r="FW88" s="206"/>
      <c r="FX88" s="206"/>
      <c r="FY88" s="206"/>
      <c r="FZ88" s="206"/>
      <c r="GA88" s="206"/>
      <c r="GB88" s="206"/>
      <c r="GC88" s="206"/>
      <c r="GD88" s="206"/>
      <c r="GE88" s="206"/>
      <c r="GF88" s="206"/>
      <c r="GG88" s="206"/>
      <c r="GH88" s="206"/>
      <c r="GI88" s="206"/>
      <c r="GJ88" s="206"/>
      <c r="GK88" s="206"/>
      <c r="GL88" s="206"/>
      <c r="GM88" s="206"/>
      <c r="GN88" s="206"/>
      <c r="GO88" s="206"/>
      <c r="GP88" s="206"/>
      <c r="GQ88" s="206"/>
      <c r="GR88" s="206"/>
      <c r="GS88" s="206"/>
      <c r="GT88" s="206"/>
      <c r="GU88" s="206"/>
      <c r="GV88" s="206"/>
      <c r="GW88" s="206"/>
      <c r="GX88" s="206"/>
      <c r="GY88" s="206"/>
      <c r="GZ88" s="206"/>
      <c r="HA88" s="206"/>
      <c r="HB88" s="206"/>
      <c r="HC88" s="206"/>
      <c r="HD88" s="206"/>
      <c r="HE88" s="206"/>
      <c r="HF88" s="206"/>
      <c r="HG88" s="206"/>
      <c r="HH88" s="206"/>
      <c r="HI88" s="206"/>
      <c r="HJ88" s="206"/>
      <c r="HK88" s="206"/>
      <c r="HL88" s="206"/>
      <c r="HM88" s="206"/>
      <c r="HN88" s="206"/>
      <c r="HO88" s="206"/>
      <c r="HP88" s="206"/>
      <c r="HQ88" s="206"/>
      <c r="HR88" s="206"/>
      <c r="HS88" s="206"/>
      <c r="HT88" s="206"/>
      <c r="HU88" s="206"/>
      <c r="HV88" s="206"/>
      <c r="HW88" s="206"/>
      <c r="HX88" s="206"/>
      <c r="HY88" s="206"/>
      <c r="HZ88" s="206"/>
      <c r="IA88" s="206"/>
      <c r="IB88" s="206"/>
      <c r="IC88" s="206"/>
      <c r="ID88" s="206"/>
      <c r="IE88" s="206"/>
      <c r="IF88" s="206"/>
      <c r="IG88" s="206"/>
      <c r="IH88" s="206"/>
      <c r="II88" s="206"/>
      <c r="IJ88" s="206"/>
      <c r="IK88" s="206"/>
      <c r="IL88" s="206"/>
      <c r="IM88" s="206"/>
      <c r="IN88" s="206"/>
      <c r="IO88" s="206"/>
      <c r="IP88" s="206"/>
      <c r="IQ88" s="206"/>
      <c r="IR88" s="206"/>
      <c r="IS88" s="206"/>
      <c r="IT88" s="206"/>
      <c r="IU88" s="206"/>
      <c r="IV88" s="206"/>
      <c r="IW88" s="206"/>
    </row>
    <row r="89" customFormat="false" ht="12.75" hidden="false" customHeight="false" outlineLevel="0" collapsed="false">
      <c r="A89" s="208"/>
      <c r="B89" s="209" t="s">
        <v>233</v>
      </c>
      <c r="C89" s="2"/>
      <c r="D89" s="2"/>
      <c r="E89" s="2"/>
      <c r="F89" s="2"/>
      <c r="G89" s="2"/>
      <c r="H89" s="2"/>
      <c r="I89" s="2"/>
      <c r="J89" s="3"/>
      <c r="K89" s="2"/>
      <c r="L89" s="188"/>
      <c r="M89" s="24"/>
      <c r="N89" s="210" t="n">
        <f aca="false">SUM(N83:N88)</f>
        <v>0</v>
      </c>
      <c r="O89" s="24"/>
      <c r="P89" s="210" t="n">
        <f aca="false">SUM(P83:P88)</f>
        <v>0</v>
      </c>
      <c r="Q89" s="24"/>
      <c r="R89" s="210" t="n">
        <f aca="false">SUM(R83:R88)</f>
        <v>0</v>
      </c>
      <c r="S89" s="24"/>
      <c r="T89" s="210" t="n">
        <f aca="false">SUM(T83:T88)</f>
        <v>0</v>
      </c>
      <c r="U89" s="24"/>
      <c r="V89" s="210" t="n">
        <f aca="false">SUM(V83:V88)</f>
        <v>0</v>
      </c>
      <c r="W89" s="24"/>
      <c r="X89" s="210" t="n">
        <f aca="false">SUM(X83:X88)</f>
        <v>0</v>
      </c>
      <c r="Y89" s="24"/>
      <c r="Z89" s="210" t="n">
        <f aca="false">SUM(Z83:Z88)</f>
        <v>0</v>
      </c>
      <c r="AA89" s="24"/>
      <c r="AB89" s="210" t="n">
        <f aca="false">SUM(AB83:AB88)</f>
        <v>0</v>
      </c>
      <c r="AC89" s="24"/>
      <c r="AD89" s="210" t="n">
        <f aca="false">SUM(AD83:AD88)</f>
        <v>0</v>
      </c>
      <c r="AE89" s="24"/>
      <c r="AF89" s="210" t="n">
        <f aca="false">SUM(AF83:AF88)</f>
        <v>0</v>
      </c>
      <c r="AG89" s="24"/>
      <c r="AH89" s="210" t="n">
        <f aca="false">SUM(AH83:AH88)</f>
        <v>0</v>
      </c>
      <c r="AI89" s="24"/>
      <c r="AJ89" s="210" t="n">
        <f aca="false">SUM(AJ83:AJ88)</f>
        <v>0</v>
      </c>
      <c r="AK89" s="24"/>
      <c r="AL89" s="210" t="n">
        <f aca="false">SUM(AL83:AL88)</f>
        <v>0</v>
      </c>
      <c r="AM89" s="210"/>
      <c r="AN89" s="210" t="n">
        <f aca="false">SUM(AN83:AN88)</f>
        <v>0</v>
      </c>
      <c r="AO89" s="24"/>
      <c r="AP89" s="210" t="n">
        <f aca="false">SUM(AP83:AP88)</f>
        <v>0</v>
      </c>
      <c r="AQ89" s="24"/>
      <c r="AR89" s="210" t="n">
        <f aca="false">SUM(AR83:AR88)</f>
        <v>0</v>
      </c>
      <c r="AS89" s="24"/>
      <c r="AT89" s="210" t="n">
        <f aca="false">SUM(AT83:AT88)</f>
        <v>0</v>
      </c>
      <c r="AU89" s="24"/>
      <c r="AV89" s="210" t="n">
        <f aca="false">SUM(AV83:AV88)</f>
        <v>0</v>
      </c>
      <c r="AW89" s="24"/>
      <c r="AX89" s="210" t="n">
        <f aca="false">SUM(AX83:AX88)</f>
        <v>0</v>
      </c>
      <c r="AY89" s="24"/>
      <c r="AZ89" s="210" t="n">
        <f aca="false">SUM(AZ83:AZ88)</f>
        <v>0</v>
      </c>
      <c r="BA89" s="24"/>
      <c r="BB89" s="210" t="n">
        <f aca="false">SUM(BB83:BB88)</f>
        <v>0</v>
      </c>
      <c r="BC89" s="24"/>
      <c r="BD89" s="210" t="n">
        <f aca="false">SUM(BD83:BD88)</f>
        <v>0</v>
      </c>
      <c r="BE89" s="24"/>
      <c r="BF89" s="210" t="n">
        <f aca="false">SUM(BF83:BF88)</f>
        <v>0</v>
      </c>
      <c r="BG89" s="24"/>
      <c r="BH89" s="210" t="n">
        <f aca="false">SUM(BH83:BH88)</f>
        <v>0</v>
      </c>
      <c r="BI89" s="24"/>
      <c r="BJ89" s="210" t="n">
        <f aca="false">SUM(BJ83:BJ88)</f>
        <v>0</v>
      </c>
      <c r="BK89" s="24"/>
      <c r="BL89" s="210" t="n">
        <f aca="false">SUM(BL83:BL88)</f>
        <v>0</v>
      </c>
      <c r="BM89" s="24"/>
      <c r="BN89" s="210" t="n">
        <f aca="false">SUM(BN83:BN88)</f>
        <v>0</v>
      </c>
      <c r="BO89" s="24"/>
      <c r="BP89" s="210" t="n">
        <f aca="false">SUM(BP83:BP88)</f>
        <v>0</v>
      </c>
      <c r="BQ89" s="24"/>
      <c r="BR89" s="210" t="n">
        <f aca="false">SUM(BR83:BR88)</f>
        <v>0</v>
      </c>
      <c r="BS89" s="24"/>
      <c r="BT89" s="210" t="n">
        <f aca="false">SUM(BT83:BT88)</f>
        <v>0</v>
      </c>
      <c r="BU89" s="24"/>
      <c r="BV89" s="210" t="n">
        <f aca="false">SUM(BV83:BV88)</f>
        <v>0</v>
      </c>
      <c r="BW89" s="24"/>
      <c r="BX89" s="211"/>
      <c r="BY89" s="211"/>
      <c r="BZ89" s="211"/>
      <c r="CA89" s="211"/>
      <c r="CB89" s="211"/>
      <c r="CC89" s="211"/>
      <c r="CD89" s="211"/>
      <c r="CE89" s="211"/>
      <c r="CF89" s="211"/>
      <c r="CG89" s="211"/>
      <c r="CH89" s="211"/>
      <c r="CI89" s="211"/>
      <c r="CJ89" s="211"/>
      <c r="CK89" s="211"/>
      <c r="CL89" s="211"/>
      <c r="CM89" s="211"/>
      <c r="CN89" s="211"/>
      <c r="CO89" s="211"/>
      <c r="CP89" s="211"/>
      <c r="CQ89" s="211"/>
      <c r="CR89" s="211"/>
      <c r="CS89" s="211"/>
      <c r="CT89" s="211"/>
      <c r="CU89" s="211"/>
      <c r="CV89" s="211"/>
      <c r="CW89" s="211"/>
      <c r="CX89" s="211"/>
      <c r="CY89" s="211"/>
      <c r="CZ89" s="211"/>
      <c r="DA89" s="211"/>
      <c r="DB89" s="211"/>
      <c r="DC89" s="211"/>
      <c r="DD89" s="211"/>
      <c r="DE89" s="211"/>
      <c r="DF89" s="211"/>
      <c r="DG89" s="211"/>
      <c r="DH89" s="211"/>
      <c r="DI89" s="211"/>
      <c r="DJ89" s="211"/>
      <c r="DK89" s="211"/>
      <c r="DL89" s="211"/>
      <c r="DM89" s="211"/>
      <c r="DN89" s="211"/>
      <c r="DO89" s="211"/>
      <c r="DP89" s="211"/>
      <c r="DQ89" s="211"/>
      <c r="DR89" s="211"/>
      <c r="DS89" s="211"/>
      <c r="DT89" s="211"/>
      <c r="DU89" s="211"/>
      <c r="DV89" s="211"/>
      <c r="DW89" s="211"/>
      <c r="DX89" s="211"/>
      <c r="DY89" s="211"/>
      <c r="DZ89" s="211"/>
      <c r="EA89" s="211"/>
      <c r="EB89" s="211"/>
      <c r="EC89" s="211"/>
      <c r="ED89" s="211"/>
      <c r="EE89" s="211"/>
      <c r="EF89" s="211"/>
      <c r="EG89" s="211"/>
      <c r="EH89" s="211"/>
      <c r="EI89" s="211"/>
      <c r="EJ89" s="211"/>
      <c r="EK89" s="211"/>
      <c r="EL89" s="211"/>
      <c r="EM89" s="211"/>
      <c r="EN89" s="211"/>
      <c r="EO89" s="211"/>
      <c r="EP89" s="211"/>
      <c r="EQ89" s="211"/>
      <c r="ER89" s="211"/>
      <c r="ES89" s="211"/>
      <c r="ET89" s="211"/>
      <c r="EU89" s="211"/>
      <c r="EV89" s="211"/>
      <c r="EW89" s="211"/>
      <c r="EX89" s="211"/>
      <c r="EY89" s="211"/>
      <c r="EZ89" s="211"/>
      <c r="FA89" s="211"/>
      <c r="FB89" s="211"/>
      <c r="FC89" s="211"/>
      <c r="FD89" s="211"/>
      <c r="FE89" s="211"/>
      <c r="FF89" s="211"/>
      <c r="FG89" s="211"/>
      <c r="FH89" s="211"/>
      <c r="FI89" s="211"/>
      <c r="FJ89" s="211"/>
      <c r="FK89" s="211"/>
      <c r="FL89" s="211"/>
      <c r="FM89" s="211"/>
      <c r="FN89" s="211"/>
      <c r="FO89" s="211"/>
      <c r="FP89" s="211"/>
      <c r="FQ89" s="211"/>
      <c r="FR89" s="211"/>
      <c r="FS89" s="211"/>
      <c r="FT89" s="211"/>
      <c r="FU89" s="211"/>
      <c r="FV89" s="211"/>
      <c r="FW89" s="211"/>
      <c r="FX89" s="211"/>
      <c r="FY89" s="211"/>
      <c r="FZ89" s="211"/>
      <c r="GA89" s="211"/>
      <c r="GB89" s="211"/>
      <c r="GC89" s="211"/>
      <c r="GD89" s="211"/>
      <c r="GE89" s="211"/>
      <c r="GF89" s="211"/>
      <c r="GG89" s="211"/>
      <c r="GH89" s="211"/>
      <c r="GI89" s="211"/>
      <c r="GJ89" s="211"/>
      <c r="GK89" s="211"/>
      <c r="GL89" s="211"/>
      <c r="GM89" s="211"/>
      <c r="GN89" s="211"/>
      <c r="GO89" s="211"/>
      <c r="GP89" s="211"/>
      <c r="GQ89" s="211"/>
      <c r="GR89" s="211"/>
      <c r="GS89" s="211"/>
      <c r="GT89" s="211"/>
      <c r="GU89" s="211"/>
      <c r="GV89" s="211"/>
      <c r="GW89" s="211"/>
      <c r="GX89" s="211"/>
      <c r="GY89" s="211"/>
      <c r="GZ89" s="211"/>
      <c r="HA89" s="211"/>
      <c r="HB89" s="211"/>
      <c r="HC89" s="211"/>
      <c r="HD89" s="211"/>
      <c r="HE89" s="211"/>
      <c r="HF89" s="211"/>
      <c r="HG89" s="211"/>
      <c r="HH89" s="211"/>
      <c r="HI89" s="211"/>
      <c r="HJ89" s="211"/>
      <c r="HK89" s="211"/>
      <c r="HL89" s="211"/>
      <c r="HM89" s="211"/>
      <c r="HN89" s="211"/>
      <c r="HO89" s="211"/>
      <c r="HP89" s="211"/>
      <c r="HQ89" s="211"/>
      <c r="HR89" s="211"/>
      <c r="HS89" s="211"/>
      <c r="HT89" s="211"/>
      <c r="HU89" s="211"/>
      <c r="HV89" s="211"/>
      <c r="HW89" s="211"/>
      <c r="HX89" s="211"/>
      <c r="HY89" s="211"/>
      <c r="HZ89" s="211"/>
      <c r="IA89" s="211"/>
      <c r="IB89" s="211"/>
      <c r="IC89" s="211"/>
      <c r="ID89" s="211"/>
      <c r="IE89" s="211"/>
      <c r="IF89" s="211"/>
      <c r="IG89" s="211"/>
      <c r="IH89" s="211"/>
      <c r="II89" s="211"/>
      <c r="IJ89" s="211"/>
      <c r="IK89" s="211"/>
      <c r="IL89" s="211"/>
      <c r="IM89" s="211"/>
      <c r="IN89" s="211"/>
      <c r="IO89" s="211"/>
      <c r="IP89" s="211"/>
      <c r="IQ89" s="211"/>
      <c r="IR89" s="211"/>
      <c r="IS89" s="211"/>
      <c r="IT89" s="211"/>
      <c r="IU89" s="211"/>
      <c r="IV89" s="211"/>
      <c r="IW89" s="211"/>
    </row>
    <row r="90" customFormat="false" ht="12.75" hidden="false" customHeight="false" outlineLevel="0" collapsed="false">
      <c r="A90" s="171"/>
      <c r="B90" s="165"/>
      <c r="C90" s="0"/>
      <c r="D90" s="0"/>
      <c r="E90" s="0"/>
      <c r="F90" s="0"/>
      <c r="G90" s="0"/>
      <c r="H90" s="0"/>
      <c r="I90" s="0"/>
      <c r="J90" s="4"/>
      <c r="K90" s="0"/>
      <c r="L90" s="169"/>
      <c r="M90" s="115"/>
      <c r="O90" s="115"/>
      <c r="Q90" s="115"/>
      <c r="S90" s="115"/>
      <c r="T90" s="115"/>
      <c r="U90" s="115"/>
      <c r="V90" s="115"/>
      <c r="X90" s="115"/>
      <c r="Z90" s="115"/>
      <c r="AB90" s="115"/>
      <c r="AD90" s="115"/>
      <c r="BL90" s="115"/>
      <c r="BM90" s="115"/>
      <c r="BO90" s="115"/>
      <c r="BP90" s="115"/>
      <c r="BQ90" s="115"/>
      <c r="BW90" s="115"/>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c r="FL90" s="206"/>
      <c r="FM90" s="206"/>
      <c r="FN90" s="206"/>
      <c r="FO90" s="206"/>
      <c r="FP90" s="206"/>
      <c r="FQ90" s="206"/>
      <c r="FR90" s="206"/>
      <c r="FS90" s="206"/>
      <c r="FT90" s="206"/>
      <c r="FU90" s="206"/>
      <c r="FV90" s="206"/>
      <c r="FW90" s="206"/>
      <c r="FX90" s="206"/>
      <c r="FY90" s="206"/>
      <c r="FZ90" s="206"/>
      <c r="GA90" s="206"/>
      <c r="GB90" s="206"/>
      <c r="GC90" s="206"/>
      <c r="GD90" s="206"/>
      <c r="GE90" s="206"/>
      <c r="GF90" s="206"/>
      <c r="GG90" s="206"/>
      <c r="GH90" s="206"/>
      <c r="GI90" s="206"/>
      <c r="GJ90" s="206"/>
      <c r="GK90" s="206"/>
      <c r="GL90" s="206"/>
      <c r="GM90" s="206"/>
      <c r="GN90" s="206"/>
      <c r="GO90" s="206"/>
      <c r="GP90" s="206"/>
      <c r="GQ90" s="206"/>
      <c r="GR90" s="206"/>
      <c r="GS90" s="206"/>
      <c r="GT90" s="206"/>
      <c r="GU90" s="206"/>
      <c r="GV90" s="206"/>
      <c r="GW90" s="206"/>
      <c r="GX90" s="206"/>
      <c r="GY90" s="206"/>
      <c r="GZ90" s="206"/>
      <c r="HA90" s="206"/>
      <c r="HB90" s="206"/>
      <c r="HC90" s="206"/>
      <c r="HD90" s="206"/>
      <c r="HE90" s="206"/>
      <c r="HF90" s="206"/>
      <c r="HG90" s="206"/>
      <c r="HH90" s="206"/>
      <c r="HI90" s="206"/>
      <c r="HJ90" s="206"/>
      <c r="HK90" s="206"/>
      <c r="HL90" s="206"/>
      <c r="HM90" s="206"/>
      <c r="HN90" s="206"/>
      <c r="HO90" s="206"/>
      <c r="HP90" s="206"/>
      <c r="HQ90" s="206"/>
      <c r="HR90" s="206"/>
      <c r="HS90" s="206"/>
      <c r="HT90" s="206"/>
      <c r="HU90" s="206"/>
      <c r="HV90" s="206"/>
      <c r="HW90" s="206"/>
      <c r="HX90" s="206"/>
      <c r="HY90" s="206"/>
      <c r="HZ90" s="206"/>
      <c r="IA90" s="206"/>
      <c r="IB90" s="206"/>
      <c r="IC90" s="206"/>
      <c r="ID90" s="206"/>
      <c r="IE90" s="206"/>
      <c r="IF90" s="206"/>
      <c r="IG90" s="206"/>
      <c r="IH90" s="206"/>
      <c r="II90" s="206"/>
      <c r="IJ90" s="206"/>
      <c r="IK90" s="206"/>
      <c r="IL90" s="206"/>
      <c r="IM90" s="206"/>
      <c r="IN90" s="206"/>
      <c r="IO90" s="206"/>
      <c r="IP90" s="206"/>
      <c r="IQ90" s="206"/>
      <c r="IR90" s="206"/>
      <c r="IS90" s="206"/>
      <c r="IT90" s="206"/>
      <c r="IU90" s="206"/>
      <c r="IV90" s="206"/>
      <c r="IW90" s="206"/>
    </row>
    <row r="91" customFormat="false" ht="12.75" hidden="true" customHeight="false" outlineLevel="0" collapsed="false">
      <c r="A91" s="186" t="s">
        <v>320</v>
      </c>
      <c r="B91" s="165"/>
      <c r="C91" s="0"/>
      <c r="D91" s="0"/>
      <c r="E91" s="0"/>
      <c r="F91" s="0"/>
      <c r="G91" s="0"/>
      <c r="H91" s="0"/>
      <c r="I91" s="0"/>
      <c r="J91" s="4"/>
      <c r="K91" s="0"/>
      <c r="L91" s="169"/>
      <c r="M91" s="115"/>
      <c r="O91" s="115"/>
      <c r="Q91" s="115"/>
      <c r="S91" s="115"/>
      <c r="T91" s="115"/>
      <c r="U91" s="115"/>
      <c r="V91" s="115"/>
      <c r="X91" s="115"/>
      <c r="Z91" s="115"/>
      <c r="AB91" s="115"/>
      <c r="AD91" s="115"/>
      <c r="BL91" s="115"/>
      <c r="BM91" s="115"/>
      <c r="BO91" s="115"/>
      <c r="BP91" s="115"/>
      <c r="BQ91" s="115"/>
      <c r="BW91" s="115"/>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c r="FL91" s="206"/>
      <c r="FM91" s="206"/>
      <c r="FN91" s="206"/>
      <c r="FO91" s="206"/>
      <c r="FP91" s="206"/>
      <c r="FQ91" s="206"/>
      <c r="FR91" s="206"/>
      <c r="FS91" s="206"/>
      <c r="FT91" s="206"/>
      <c r="FU91" s="206"/>
      <c r="FV91" s="206"/>
      <c r="FW91" s="206"/>
      <c r="FX91" s="206"/>
      <c r="FY91" s="206"/>
      <c r="FZ91" s="206"/>
      <c r="GA91" s="206"/>
      <c r="GB91" s="206"/>
      <c r="GC91" s="206"/>
      <c r="GD91" s="206"/>
      <c r="GE91" s="206"/>
      <c r="GF91" s="206"/>
      <c r="GG91" s="206"/>
      <c r="GH91" s="206"/>
      <c r="GI91" s="206"/>
      <c r="GJ91" s="206"/>
      <c r="GK91" s="206"/>
      <c r="GL91" s="206"/>
      <c r="GM91" s="206"/>
      <c r="GN91" s="206"/>
      <c r="GO91" s="206"/>
      <c r="GP91" s="206"/>
      <c r="GQ91" s="206"/>
      <c r="GR91" s="206"/>
      <c r="GS91" s="206"/>
      <c r="GT91" s="206"/>
      <c r="GU91" s="206"/>
      <c r="GV91" s="206"/>
      <c r="GW91" s="206"/>
      <c r="GX91" s="206"/>
      <c r="GY91" s="206"/>
      <c r="GZ91" s="206"/>
      <c r="HA91" s="206"/>
      <c r="HB91" s="206"/>
      <c r="HC91" s="206"/>
      <c r="HD91" s="206"/>
      <c r="HE91" s="206"/>
      <c r="HF91" s="206"/>
      <c r="HG91" s="206"/>
      <c r="HH91" s="206"/>
      <c r="HI91" s="206"/>
      <c r="HJ91" s="206"/>
      <c r="HK91" s="206"/>
      <c r="HL91" s="206"/>
      <c r="HM91" s="206"/>
      <c r="HN91" s="206"/>
      <c r="HO91" s="206"/>
      <c r="HP91" s="206"/>
      <c r="HQ91" s="206"/>
      <c r="HR91" s="206"/>
      <c r="HS91" s="206"/>
      <c r="HT91" s="206"/>
      <c r="HU91" s="206"/>
      <c r="HV91" s="206"/>
      <c r="HW91" s="206"/>
      <c r="HX91" s="206"/>
      <c r="HY91" s="206"/>
      <c r="HZ91" s="206"/>
      <c r="IA91" s="206"/>
      <c r="IB91" s="206"/>
      <c r="IC91" s="206"/>
      <c r="ID91" s="206"/>
      <c r="IE91" s="206"/>
      <c r="IF91" s="206"/>
      <c r="IG91" s="206"/>
      <c r="IH91" s="206"/>
      <c r="II91" s="206"/>
      <c r="IJ91" s="206"/>
      <c r="IK91" s="206"/>
      <c r="IL91" s="206"/>
      <c r="IM91" s="206"/>
      <c r="IN91" s="206"/>
      <c r="IO91" s="206"/>
      <c r="IP91" s="206"/>
      <c r="IQ91" s="206"/>
      <c r="IR91" s="206"/>
      <c r="IS91" s="206"/>
      <c r="IT91" s="206"/>
      <c r="IU91" s="206"/>
      <c r="IV91" s="206"/>
      <c r="IW91" s="206"/>
    </row>
    <row r="92" customFormat="false" ht="12.75" hidden="true" customHeight="false" outlineLevel="0" collapsed="false">
      <c r="A92" s="186"/>
      <c r="B92" s="165" t="s">
        <v>321</v>
      </c>
      <c r="C92" s="0"/>
      <c r="D92" s="0"/>
      <c r="E92" s="0"/>
      <c r="F92" s="0"/>
      <c r="G92" s="0"/>
      <c r="H92" s="0"/>
      <c r="I92" s="0"/>
      <c r="J92" s="4"/>
      <c r="K92" s="0"/>
      <c r="L92" s="169" t="s">
        <v>142</v>
      </c>
      <c r="M92" s="115"/>
      <c r="N92" s="115" t="n">
        <v>0</v>
      </c>
      <c r="O92" s="115"/>
      <c r="P92" s="115" t="n">
        <v>0</v>
      </c>
      <c r="Q92" s="115"/>
      <c r="R92" s="115" t="n">
        <f aca="false">+N92+P92</f>
        <v>0</v>
      </c>
      <c r="S92" s="115"/>
      <c r="T92" s="115" t="n">
        <v>0</v>
      </c>
      <c r="U92" s="115"/>
      <c r="V92" s="115" t="n">
        <v>0</v>
      </c>
      <c r="X92" s="115" t="n">
        <v>0</v>
      </c>
      <c r="Z92" s="115" t="n">
        <v>0</v>
      </c>
      <c r="AB92" s="115" t="n">
        <v>0</v>
      </c>
      <c r="AD92" s="115" t="n">
        <v>0</v>
      </c>
      <c r="AF92" s="115" t="n">
        <v>0</v>
      </c>
      <c r="AH92" s="115" t="n">
        <v>0</v>
      </c>
      <c r="AJ92" s="115" t="n">
        <v>0</v>
      </c>
      <c r="AN92" s="115" t="n">
        <v>0</v>
      </c>
      <c r="AP92" s="115" t="n">
        <v>0</v>
      </c>
      <c r="AR92" s="115" t="n">
        <v>0</v>
      </c>
      <c r="AT92" s="115" t="n">
        <v>0</v>
      </c>
      <c r="AV92" s="115" t="n">
        <v>0</v>
      </c>
      <c r="AX92" s="115" t="n">
        <v>0</v>
      </c>
      <c r="AZ92" s="115" t="n">
        <v>0</v>
      </c>
      <c r="BB92" s="115" t="n">
        <v>0</v>
      </c>
      <c r="BD92" s="115" t="n">
        <v>0</v>
      </c>
      <c r="BF92" s="115" t="n">
        <v>0</v>
      </c>
      <c r="BH92" s="115" t="n">
        <v>0</v>
      </c>
      <c r="BJ92" s="115" t="n">
        <v>0</v>
      </c>
      <c r="BL92" s="115" t="n">
        <v>0</v>
      </c>
      <c r="BM92" s="115"/>
      <c r="BN92" s="115" t="n">
        <f aca="false">SUM(T92:BM92)</f>
        <v>0</v>
      </c>
      <c r="BO92" s="115"/>
      <c r="BP92" s="115" t="n">
        <v>0</v>
      </c>
      <c r="BQ92" s="115"/>
      <c r="BR92" s="115" t="n">
        <f aca="false">+R92-BN92+BP92</f>
        <v>0</v>
      </c>
      <c r="BT92" s="115" t="n">
        <f aca="false">+BN92+BR92</f>
        <v>0</v>
      </c>
      <c r="BV92" s="115" t="n">
        <f aca="false">+R92-BT92</f>
        <v>0</v>
      </c>
      <c r="BW92" s="115"/>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c r="FL92" s="206"/>
      <c r="FM92" s="206"/>
      <c r="FN92" s="206"/>
      <c r="FO92" s="206"/>
      <c r="FP92" s="206"/>
      <c r="FQ92" s="206"/>
      <c r="FR92" s="206"/>
      <c r="FS92" s="206"/>
      <c r="FT92" s="206"/>
      <c r="FU92" s="206"/>
      <c r="FV92" s="206"/>
      <c r="FW92" s="206"/>
      <c r="FX92" s="206"/>
      <c r="FY92" s="206"/>
      <c r="FZ92" s="206"/>
      <c r="GA92" s="206"/>
      <c r="GB92" s="206"/>
      <c r="GC92" s="206"/>
      <c r="GD92" s="206"/>
      <c r="GE92" s="206"/>
      <c r="GF92" s="206"/>
      <c r="GG92" s="206"/>
      <c r="GH92" s="206"/>
      <c r="GI92" s="206"/>
      <c r="GJ92" s="206"/>
      <c r="GK92" s="206"/>
      <c r="GL92" s="206"/>
      <c r="GM92" s="206"/>
      <c r="GN92" s="206"/>
      <c r="GO92" s="206"/>
      <c r="GP92" s="206"/>
      <c r="GQ92" s="206"/>
      <c r="GR92" s="206"/>
      <c r="GS92" s="206"/>
      <c r="GT92" s="206"/>
      <c r="GU92" s="206"/>
      <c r="GV92" s="206"/>
      <c r="GW92" s="206"/>
      <c r="GX92" s="206"/>
      <c r="GY92" s="206"/>
      <c r="GZ92" s="206"/>
      <c r="HA92" s="206"/>
      <c r="HB92" s="206"/>
      <c r="HC92" s="206"/>
      <c r="HD92" s="206"/>
      <c r="HE92" s="206"/>
      <c r="HF92" s="206"/>
      <c r="HG92" s="206"/>
      <c r="HH92" s="206"/>
      <c r="HI92" s="206"/>
      <c r="HJ92" s="206"/>
      <c r="HK92" s="206"/>
      <c r="HL92" s="206"/>
      <c r="HM92" s="206"/>
      <c r="HN92" s="206"/>
      <c r="HO92" s="206"/>
      <c r="HP92" s="206"/>
      <c r="HQ92" s="206"/>
      <c r="HR92" s="206"/>
      <c r="HS92" s="206"/>
      <c r="HT92" s="206"/>
      <c r="HU92" s="206"/>
      <c r="HV92" s="206"/>
      <c r="HW92" s="206"/>
      <c r="HX92" s="206"/>
      <c r="HY92" s="206"/>
      <c r="HZ92" s="206"/>
      <c r="IA92" s="206"/>
      <c r="IB92" s="206"/>
      <c r="IC92" s="206"/>
      <c r="ID92" s="206"/>
      <c r="IE92" s="206"/>
      <c r="IF92" s="206"/>
      <c r="IG92" s="206"/>
      <c r="IH92" s="206"/>
      <c r="II92" s="206"/>
      <c r="IJ92" s="206"/>
      <c r="IK92" s="206"/>
      <c r="IL92" s="206"/>
      <c r="IM92" s="206"/>
      <c r="IN92" s="206"/>
      <c r="IO92" s="206"/>
      <c r="IP92" s="206"/>
      <c r="IQ92" s="206"/>
      <c r="IR92" s="206"/>
      <c r="IS92" s="206"/>
      <c r="IT92" s="206"/>
      <c r="IU92" s="206"/>
      <c r="IV92" s="206"/>
      <c r="IW92" s="206"/>
    </row>
    <row r="93" customFormat="false" ht="12.75" hidden="true" customHeight="false" outlineLevel="0" collapsed="false">
      <c r="A93" s="186"/>
      <c r="B93" s="165" t="s">
        <v>322</v>
      </c>
      <c r="C93" s="0"/>
      <c r="D93" s="0"/>
      <c r="E93" s="0"/>
      <c r="F93" s="0"/>
      <c r="G93" s="0"/>
      <c r="H93" s="0"/>
      <c r="I93" s="0"/>
      <c r="J93" s="4"/>
      <c r="K93" s="0"/>
      <c r="L93" s="169" t="s">
        <v>142</v>
      </c>
      <c r="M93" s="115"/>
      <c r="N93" s="115" t="n">
        <v>0</v>
      </c>
      <c r="O93" s="115"/>
      <c r="P93" s="115" t="n">
        <v>0</v>
      </c>
      <c r="Q93" s="115"/>
      <c r="R93" s="115" t="n">
        <f aca="false">+N93+P93</f>
        <v>0</v>
      </c>
      <c r="S93" s="115"/>
      <c r="T93" s="115" t="n">
        <v>0</v>
      </c>
      <c r="U93" s="115"/>
      <c r="V93" s="115" t="n">
        <v>0</v>
      </c>
      <c r="X93" s="115" t="n">
        <v>0</v>
      </c>
      <c r="Z93" s="115" t="n">
        <v>0</v>
      </c>
      <c r="AB93" s="115" t="n">
        <v>0</v>
      </c>
      <c r="AD93" s="115" t="n">
        <v>0</v>
      </c>
      <c r="AF93" s="115" t="n">
        <v>0</v>
      </c>
      <c r="AH93" s="115" t="n">
        <v>0</v>
      </c>
      <c r="AJ93" s="115" t="n">
        <v>0</v>
      </c>
      <c r="AN93" s="115" t="n">
        <v>0</v>
      </c>
      <c r="AP93" s="115" t="n">
        <v>0</v>
      </c>
      <c r="AR93" s="115" t="n">
        <v>0</v>
      </c>
      <c r="AT93" s="115" t="n">
        <v>0</v>
      </c>
      <c r="AV93" s="115" t="n">
        <v>0</v>
      </c>
      <c r="AX93" s="115" t="n">
        <v>0</v>
      </c>
      <c r="AZ93" s="115" t="n">
        <v>0</v>
      </c>
      <c r="BB93" s="115" t="n">
        <v>0</v>
      </c>
      <c r="BD93" s="115" t="n">
        <v>0</v>
      </c>
      <c r="BF93" s="115" t="n">
        <v>0</v>
      </c>
      <c r="BH93" s="115" t="n">
        <v>0</v>
      </c>
      <c r="BJ93" s="115" t="n">
        <v>0</v>
      </c>
      <c r="BL93" s="115" t="n">
        <v>0</v>
      </c>
      <c r="BM93" s="115"/>
      <c r="BN93" s="115" t="n">
        <f aca="false">SUM(T93:BM93)</f>
        <v>0</v>
      </c>
      <c r="BO93" s="115"/>
      <c r="BP93" s="115" t="n">
        <v>0</v>
      </c>
      <c r="BQ93" s="115"/>
      <c r="BR93" s="115" t="n">
        <f aca="false">+R93-BN93+BP93</f>
        <v>0</v>
      </c>
      <c r="BT93" s="115" t="n">
        <f aca="false">+BN93+BR93</f>
        <v>0</v>
      </c>
      <c r="BV93" s="115" t="n">
        <f aca="false">+R93-BT93</f>
        <v>0</v>
      </c>
      <c r="BW93" s="115"/>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c r="FL93" s="206"/>
      <c r="FM93" s="206"/>
      <c r="FN93" s="206"/>
      <c r="FO93" s="206"/>
      <c r="FP93" s="206"/>
      <c r="FQ93" s="206"/>
      <c r="FR93" s="206"/>
      <c r="FS93" s="206"/>
      <c r="FT93" s="206"/>
      <c r="FU93" s="206"/>
      <c r="FV93" s="206"/>
      <c r="FW93" s="206"/>
      <c r="FX93" s="206"/>
      <c r="FY93" s="206"/>
      <c r="FZ93" s="206"/>
      <c r="GA93" s="206"/>
      <c r="GB93" s="206"/>
      <c r="GC93" s="206"/>
      <c r="GD93" s="206"/>
      <c r="GE93" s="206"/>
      <c r="GF93" s="206"/>
      <c r="GG93" s="206"/>
      <c r="GH93" s="206"/>
      <c r="GI93" s="206"/>
      <c r="GJ93" s="206"/>
      <c r="GK93" s="206"/>
      <c r="GL93" s="206"/>
      <c r="GM93" s="206"/>
      <c r="GN93" s="206"/>
      <c r="GO93" s="206"/>
      <c r="GP93" s="206"/>
      <c r="GQ93" s="206"/>
      <c r="GR93" s="206"/>
      <c r="GS93" s="206"/>
      <c r="GT93" s="206"/>
      <c r="GU93" s="206"/>
      <c r="GV93" s="206"/>
      <c r="GW93" s="206"/>
      <c r="GX93" s="206"/>
      <c r="GY93" s="206"/>
      <c r="GZ93" s="206"/>
      <c r="HA93" s="206"/>
      <c r="HB93" s="206"/>
      <c r="HC93" s="206"/>
      <c r="HD93" s="206"/>
      <c r="HE93" s="206"/>
      <c r="HF93" s="206"/>
      <c r="HG93" s="206"/>
      <c r="HH93" s="206"/>
      <c r="HI93" s="206"/>
      <c r="HJ93" s="206"/>
      <c r="HK93" s="206"/>
      <c r="HL93" s="206"/>
      <c r="HM93" s="206"/>
      <c r="HN93" s="206"/>
      <c r="HO93" s="206"/>
      <c r="HP93" s="206"/>
      <c r="HQ93" s="206"/>
      <c r="HR93" s="206"/>
      <c r="HS93" s="206"/>
      <c r="HT93" s="206"/>
      <c r="HU93" s="206"/>
      <c r="HV93" s="206"/>
      <c r="HW93" s="206"/>
      <c r="HX93" s="206"/>
      <c r="HY93" s="206"/>
      <c r="HZ93" s="206"/>
      <c r="IA93" s="206"/>
      <c r="IB93" s="206"/>
      <c r="IC93" s="206"/>
      <c r="ID93" s="206"/>
      <c r="IE93" s="206"/>
      <c r="IF93" s="206"/>
      <c r="IG93" s="206"/>
      <c r="IH93" s="206"/>
      <c r="II93" s="206"/>
      <c r="IJ93" s="206"/>
      <c r="IK93" s="206"/>
      <c r="IL93" s="206"/>
      <c r="IM93" s="206"/>
      <c r="IN93" s="206"/>
      <c r="IO93" s="206"/>
      <c r="IP93" s="206"/>
      <c r="IQ93" s="206"/>
      <c r="IR93" s="206"/>
      <c r="IS93" s="206"/>
      <c r="IT93" s="206"/>
      <c r="IU93" s="206"/>
      <c r="IV93" s="206"/>
      <c r="IW93" s="206"/>
    </row>
    <row r="94" customFormat="false" ht="12.75" hidden="true" customHeight="false" outlineLevel="0" collapsed="false">
      <c r="A94" s="186"/>
      <c r="B94" s="165" t="s">
        <v>323</v>
      </c>
      <c r="C94" s="0"/>
      <c r="D94" s="0"/>
      <c r="E94" s="0"/>
      <c r="F94" s="0"/>
      <c r="G94" s="0"/>
      <c r="H94" s="0"/>
      <c r="I94" s="0"/>
      <c r="J94" s="4"/>
      <c r="K94" s="0"/>
      <c r="L94" s="169" t="s">
        <v>142</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J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L94" s="115" t="n">
        <v>0</v>
      </c>
      <c r="BM94" s="115"/>
      <c r="BN94" s="115" t="n">
        <f aca="false">SUM(T94:BM94)</f>
        <v>0</v>
      </c>
      <c r="BO94" s="115"/>
      <c r="BP94" s="115" t="n">
        <v>0</v>
      </c>
      <c r="BQ94" s="115"/>
      <c r="BR94" s="115" t="n">
        <f aca="false">+R94-BN94+BP94</f>
        <v>0</v>
      </c>
      <c r="BT94" s="115" t="n">
        <f aca="false">+BN94+BR94</f>
        <v>0</v>
      </c>
      <c r="BV94" s="115" t="n">
        <f aca="false">+R94-BT94</f>
        <v>0</v>
      </c>
      <c r="BW94" s="115"/>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c r="FL94" s="206"/>
      <c r="FM94" s="206"/>
      <c r="FN94" s="206"/>
      <c r="FO94" s="206"/>
      <c r="FP94" s="206"/>
      <c r="FQ94" s="206"/>
      <c r="FR94" s="206"/>
      <c r="FS94" s="206"/>
      <c r="FT94" s="206"/>
      <c r="FU94" s="206"/>
      <c r="FV94" s="206"/>
      <c r="FW94" s="206"/>
      <c r="FX94" s="206"/>
      <c r="FY94" s="206"/>
      <c r="FZ94" s="206"/>
      <c r="GA94" s="206"/>
      <c r="GB94" s="206"/>
      <c r="GC94" s="206"/>
      <c r="GD94" s="206"/>
      <c r="GE94" s="206"/>
      <c r="GF94" s="206"/>
      <c r="GG94" s="206"/>
      <c r="GH94" s="206"/>
      <c r="GI94" s="206"/>
      <c r="GJ94" s="206"/>
      <c r="GK94" s="206"/>
      <c r="GL94" s="206"/>
      <c r="GM94" s="206"/>
      <c r="GN94" s="206"/>
      <c r="GO94" s="206"/>
      <c r="GP94" s="206"/>
      <c r="GQ94" s="206"/>
      <c r="GR94" s="206"/>
      <c r="GS94" s="206"/>
      <c r="GT94" s="206"/>
      <c r="GU94" s="206"/>
      <c r="GV94" s="206"/>
      <c r="GW94" s="206"/>
      <c r="GX94" s="206"/>
      <c r="GY94" s="206"/>
      <c r="GZ94" s="206"/>
      <c r="HA94" s="206"/>
      <c r="HB94" s="206"/>
      <c r="HC94" s="206"/>
      <c r="HD94" s="206"/>
      <c r="HE94" s="206"/>
      <c r="HF94" s="206"/>
      <c r="HG94" s="206"/>
      <c r="HH94" s="206"/>
      <c r="HI94" s="206"/>
      <c r="HJ94" s="206"/>
      <c r="HK94" s="206"/>
      <c r="HL94" s="206"/>
      <c r="HM94" s="206"/>
      <c r="HN94" s="206"/>
      <c r="HO94" s="206"/>
      <c r="HP94" s="206"/>
      <c r="HQ94" s="206"/>
      <c r="HR94" s="206"/>
      <c r="HS94" s="206"/>
      <c r="HT94" s="206"/>
      <c r="HU94" s="206"/>
      <c r="HV94" s="206"/>
      <c r="HW94" s="206"/>
      <c r="HX94" s="206"/>
      <c r="HY94" s="206"/>
      <c r="HZ94" s="206"/>
      <c r="IA94" s="206"/>
      <c r="IB94" s="206"/>
      <c r="IC94" s="206"/>
      <c r="ID94" s="206"/>
      <c r="IE94" s="206"/>
      <c r="IF94" s="206"/>
      <c r="IG94" s="206"/>
      <c r="IH94" s="206"/>
      <c r="II94" s="206"/>
      <c r="IJ94" s="206"/>
      <c r="IK94" s="206"/>
      <c r="IL94" s="206"/>
      <c r="IM94" s="206"/>
      <c r="IN94" s="206"/>
      <c r="IO94" s="206"/>
      <c r="IP94" s="206"/>
      <c r="IQ94" s="206"/>
      <c r="IR94" s="206"/>
      <c r="IS94" s="206"/>
      <c r="IT94" s="206"/>
      <c r="IU94" s="206"/>
      <c r="IV94" s="206"/>
      <c r="IW94" s="206"/>
    </row>
    <row r="95" customFormat="false" ht="12.75" hidden="true" customHeight="false" outlineLevel="0" collapsed="false">
      <c r="A95" s="186"/>
      <c r="B95" s="165" t="s">
        <v>324</v>
      </c>
      <c r="C95" s="0"/>
      <c r="D95" s="0"/>
      <c r="E95" s="0"/>
      <c r="F95" s="0"/>
      <c r="G95" s="0"/>
      <c r="H95" s="0"/>
      <c r="I95" s="0"/>
      <c r="J95" s="4"/>
      <c r="K95" s="0"/>
      <c r="L95" s="169" t="s">
        <v>142</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J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L95" s="115" t="n">
        <v>0</v>
      </c>
      <c r="BM95" s="115"/>
      <c r="BN95" s="115" t="n">
        <f aca="false">SUM(T95:BM95)</f>
        <v>0</v>
      </c>
      <c r="BO95" s="115"/>
      <c r="BP95" s="115" t="n">
        <v>0</v>
      </c>
      <c r="BQ95" s="115"/>
      <c r="BR95" s="115" t="n">
        <f aca="false">+R95-BN95+BP95</f>
        <v>0</v>
      </c>
      <c r="BT95" s="115" t="n">
        <f aca="false">+BN95+BR95</f>
        <v>0</v>
      </c>
      <c r="BV95" s="115" t="n">
        <f aca="false">+R95-BT95</f>
        <v>0</v>
      </c>
      <c r="BW95" s="115"/>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c r="EL95" s="206"/>
      <c r="EM95" s="206"/>
      <c r="EN95" s="206"/>
      <c r="EO95" s="206"/>
      <c r="EP95" s="206"/>
      <c r="EQ95" s="206"/>
      <c r="ER95" s="206"/>
      <c r="ES95" s="206"/>
      <c r="ET95" s="206"/>
      <c r="EU95" s="206"/>
      <c r="EV95" s="206"/>
      <c r="EW95" s="206"/>
      <c r="EX95" s="206"/>
      <c r="EY95" s="206"/>
      <c r="EZ95" s="206"/>
      <c r="FA95" s="206"/>
      <c r="FB95" s="206"/>
      <c r="FC95" s="206"/>
      <c r="FD95" s="206"/>
      <c r="FE95" s="206"/>
      <c r="FF95" s="206"/>
      <c r="FG95" s="206"/>
      <c r="FH95" s="206"/>
      <c r="FI95" s="206"/>
      <c r="FJ95" s="206"/>
      <c r="FK95" s="206"/>
      <c r="FL95" s="206"/>
      <c r="FM95" s="206"/>
      <c r="FN95" s="206"/>
      <c r="FO95" s="206"/>
      <c r="FP95" s="206"/>
      <c r="FQ95" s="206"/>
      <c r="FR95" s="206"/>
      <c r="FS95" s="206"/>
      <c r="FT95" s="206"/>
      <c r="FU95" s="206"/>
      <c r="FV95" s="206"/>
      <c r="FW95" s="206"/>
      <c r="FX95" s="206"/>
      <c r="FY95" s="206"/>
      <c r="FZ95" s="206"/>
      <c r="GA95" s="206"/>
      <c r="GB95" s="206"/>
      <c r="GC95" s="206"/>
      <c r="GD95" s="206"/>
      <c r="GE95" s="206"/>
      <c r="GF95" s="206"/>
      <c r="GG95" s="206"/>
      <c r="GH95" s="206"/>
      <c r="GI95" s="206"/>
      <c r="GJ95" s="206"/>
      <c r="GK95" s="206"/>
      <c r="GL95" s="206"/>
      <c r="GM95" s="206"/>
      <c r="GN95" s="206"/>
      <c r="GO95" s="206"/>
      <c r="GP95" s="206"/>
      <c r="GQ95" s="206"/>
      <c r="GR95" s="206"/>
      <c r="GS95" s="206"/>
      <c r="GT95" s="206"/>
      <c r="GU95" s="206"/>
      <c r="GV95" s="206"/>
      <c r="GW95" s="206"/>
      <c r="GX95" s="206"/>
      <c r="GY95" s="206"/>
      <c r="GZ95" s="206"/>
      <c r="HA95" s="206"/>
      <c r="HB95" s="206"/>
      <c r="HC95" s="206"/>
      <c r="HD95" s="206"/>
      <c r="HE95" s="206"/>
      <c r="HF95" s="206"/>
      <c r="HG95" s="206"/>
      <c r="HH95" s="206"/>
      <c r="HI95" s="206"/>
      <c r="HJ95" s="206"/>
      <c r="HK95" s="206"/>
      <c r="HL95" s="206"/>
      <c r="HM95" s="206"/>
      <c r="HN95" s="206"/>
      <c r="HO95" s="206"/>
      <c r="HP95" s="206"/>
      <c r="HQ95" s="206"/>
      <c r="HR95" s="206"/>
      <c r="HS95" s="206"/>
      <c r="HT95" s="206"/>
      <c r="HU95" s="206"/>
      <c r="HV95" s="206"/>
      <c r="HW95" s="206"/>
      <c r="HX95" s="206"/>
      <c r="HY95" s="206"/>
      <c r="HZ95" s="206"/>
      <c r="IA95" s="206"/>
      <c r="IB95" s="206"/>
      <c r="IC95" s="206"/>
      <c r="ID95" s="206"/>
      <c r="IE95" s="206"/>
      <c r="IF95" s="206"/>
      <c r="IG95" s="206"/>
      <c r="IH95" s="206"/>
      <c r="II95" s="206"/>
      <c r="IJ95" s="206"/>
      <c r="IK95" s="206"/>
      <c r="IL95" s="206"/>
      <c r="IM95" s="206"/>
      <c r="IN95" s="206"/>
      <c r="IO95" s="206"/>
      <c r="IP95" s="206"/>
      <c r="IQ95" s="206"/>
      <c r="IR95" s="206"/>
      <c r="IS95" s="206"/>
      <c r="IT95" s="206"/>
      <c r="IU95" s="206"/>
      <c r="IV95" s="206"/>
      <c r="IW95" s="206"/>
    </row>
    <row r="96" customFormat="false" ht="12.75" hidden="true" customHeight="false" outlineLevel="0" collapsed="false">
      <c r="A96" s="186"/>
      <c r="B96" s="165" t="s">
        <v>325</v>
      </c>
      <c r="C96" s="0"/>
      <c r="D96" s="0"/>
      <c r="E96" s="0"/>
      <c r="F96" s="0"/>
      <c r="G96" s="0"/>
      <c r="H96" s="0"/>
      <c r="I96" s="0"/>
      <c r="J96" s="4"/>
      <c r="K96" s="0"/>
      <c r="L96" s="169" t="s">
        <v>142</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J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L96" s="115" t="n">
        <v>0</v>
      </c>
      <c r="BM96" s="115"/>
      <c r="BN96" s="115" t="n">
        <f aca="false">SUM(T96:BM96)</f>
        <v>0</v>
      </c>
      <c r="BO96" s="115"/>
      <c r="BP96" s="115" t="n">
        <v>0</v>
      </c>
      <c r="BQ96" s="115"/>
      <c r="BR96" s="115" t="n">
        <f aca="false">+R96-BN96+BP96</f>
        <v>0</v>
      </c>
      <c r="BT96" s="115" t="n">
        <f aca="false">+BN96+BR96</f>
        <v>0</v>
      </c>
      <c r="BV96" s="115" t="n">
        <f aca="false">+R96-BT96</f>
        <v>0</v>
      </c>
      <c r="BW96" s="115"/>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c r="FL96" s="206"/>
      <c r="FM96" s="206"/>
      <c r="FN96" s="206"/>
      <c r="FO96" s="206"/>
      <c r="FP96" s="206"/>
      <c r="FQ96" s="206"/>
      <c r="FR96" s="206"/>
      <c r="FS96" s="206"/>
      <c r="FT96" s="206"/>
      <c r="FU96" s="206"/>
      <c r="FV96" s="206"/>
      <c r="FW96" s="206"/>
      <c r="FX96" s="206"/>
      <c r="FY96" s="206"/>
      <c r="FZ96" s="206"/>
      <c r="GA96" s="206"/>
      <c r="GB96" s="206"/>
      <c r="GC96" s="206"/>
      <c r="GD96" s="206"/>
      <c r="GE96" s="206"/>
      <c r="GF96" s="206"/>
      <c r="GG96" s="206"/>
      <c r="GH96" s="206"/>
      <c r="GI96" s="206"/>
      <c r="GJ96" s="206"/>
      <c r="GK96" s="206"/>
      <c r="GL96" s="206"/>
      <c r="GM96" s="206"/>
      <c r="GN96" s="206"/>
      <c r="GO96" s="206"/>
      <c r="GP96" s="206"/>
      <c r="GQ96" s="206"/>
      <c r="GR96" s="206"/>
      <c r="GS96" s="206"/>
      <c r="GT96" s="206"/>
      <c r="GU96" s="206"/>
      <c r="GV96" s="206"/>
      <c r="GW96" s="206"/>
      <c r="GX96" s="206"/>
      <c r="GY96" s="206"/>
      <c r="GZ96" s="206"/>
      <c r="HA96" s="206"/>
      <c r="HB96" s="206"/>
      <c r="HC96" s="206"/>
      <c r="HD96" s="206"/>
      <c r="HE96" s="206"/>
      <c r="HF96" s="206"/>
      <c r="HG96" s="206"/>
      <c r="HH96" s="206"/>
      <c r="HI96" s="206"/>
      <c r="HJ96" s="206"/>
      <c r="HK96" s="206"/>
      <c r="HL96" s="206"/>
      <c r="HM96" s="206"/>
      <c r="HN96" s="206"/>
      <c r="HO96" s="206"/>
      <c r="HP96" s="206"/>
      <c r="HQ96" s="206"/>
      <c r="HR96" s="206"/>
      <c r="HS96" s="206"/>
      <c r="HT96" s="206"/>
      <c r="HU96" s="206"/>
      <c r="HV96" s="206"/>
      <c r="HW96" s="206"/>
      <c r="HX96" s="206"/>
      <c r="HY96" s="206"/>
      <c r="HZ96" s="206"/>
      <c r="IA96" s="206"/>
      <c r="IB96" s="206"/>
      <c r="IC96" s="206"/>
      <c r="ID96" s="206"/>
      <c r="IE96" s="206"/>
      <c r="IF96" s="206"/>
      <c r="IG96" s="206"/>
      <c r="IH96" s="206"/>
      <c r="II96" s="206"/>
      <c r="IJ96" s="206"/>
      <c r="IK96" s="206"/>
      <c r="IL96" s="206"/>
      <c r="IM96" s="206"/>
      <c r="IN96" s="206"/>
      <c r="IO96" s="206"/>
      <c r="IP96" s="206"/>
      <c r="IQ96" s="206"/>
      <c r="IR96" s="206"/>
      <c r="IS96" s="206"/>
      <c r="IT96" s="206"/>
      <c r="IU96" s="206"/>
      <c r="IV96" s="206"/>
      <c r="IW96" s="206"/>
    </row>
    <row r="97" customFormat="false" ht="12.75" hidden="true" customHeight="false" outlineLevel="0" collapsed="false">
      <c r="A97" s="186"/>
      <c r="B97" s="165" t="s">
        <v>326</v>
      </c>
      <c r="C97" s="0"/>
      <c r="D97" s="0"/>
      <c r="E97" s="0"/>
      <c r="F97" s="0"/>
      <c r="G97" s="0"/>
      <c r="H97" s="0"/>
      <c r="I97" s="0"/>
      <c r="J97" s="4"/>
      <c r="K97" s="0"/>
      <c r="L97" s="169" t="s">
        <v>142</v>
      </c>
      <c r="M97" s="115"/>
      <c r="N97" s="115" t="n">
        <v>0</v>
      </c>
      <c r="O97" s="115"/>
      <c r="P97" s="115" t="n">
        <v>0</v>
      </c>
      <c r="Q97" s="115"/>
      <c r="R97" s="115" t="n">
        <f aca="false">+N97+P97</f>
        <v>0</v>
      </c>
      <c r="S97" s="115"/>
      <c r="T97" s="115" t="n">
        <v>0</v>
      </c>
      <c r="U97" s="115"/>
      <c r="V97" s="115" t="n">
        <v>0</v>
      </c>
      <c r="X97" s="115" t="n">
        <v>0</v>
      </c>
      <c r="Z97" s="115" t="n">
        <v>0</v>
      </c>
      <c r="AB97" s="115" t="n">
        <v>0</v>
      </c>
      <c r="AD97" s="115" t="n">
        <v>0</v>
      </c>
      <c r="AF97" s="115" t="n">
        <v>0</v>
      </c>
      <c r="AH97" s="115" t="n">
        <v>0</v>
      </c>
      <c r="AJ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L97" s="115" t="n">
        <v>0</v>
      </c>
      <c r="BM97" s="115"/>
      <c r="BN97" s="115" t="n">
        <f aca="false">SUM(T97:BM97)</f>
        <v>0</v>
      </c>
      <c r="BO97" s="115"/>
      <c r="BP97" s="115" t="n">
        <v>0</v>
      </c>
      <c r="BQ97" s="115"/>
      <c r="BR97" s="115" t="n">
        <f aca="false">+R97-BN97+BP97</f>
        <v>0</v>
      </c>
      <c r="BT97" s="115" t="n">
        <f aca="false">+BN97+BR97</f>
        <v>0</v>
      </c>
      <c r="BV97" s="115" t="n">
        <f aca="false">+R97-BT97</f>
        <v>0</v>
      </c>
      <c r="BW97" s="115"/>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c r="FL97" s="206"/>
      <c r="FM97" s="206"/>
      <c r="FN97" s="206"/>
      <c r="FO97" s="206"/>
      <c r="FP97" s="206"/>
      <c r="FQ97" s="206"/>
      <c r="FR97" s="206"/>
      <c r="FS97" s="206"/>
      <c r="FT97" s="206"/>
      <c r="FU97" s="206"/>
      <c r="FV97" s="206"/>
      <c r="FW97" s="206"/>
      <c r="FX97" s="206"/>
      <c r="FY97" s="206"/>
      <c r="FZ97" s="206"/>
      <c r="GA97" s="206"/>
      <c r="GB97" s="206"/>
      <c r="GC97" s="206"/>
      <c r="GD97" s="206"/>
      <c r="GE97" s="206"/>
      <c r="GF97" s="206"/>
      <c r="GG97" s="206"/>
      <c r="GH97" s="206"/>
      <c r="GI97" s="206"/>
      <c r="GJ97" s="206"/>
      <c r="GK97" s="206"/>
      <c r="GL97" s="206"/>
      <c r="GM97" s="206"/>
      <c r="GN97" s="206"/>
      <c r="GO97" s="206"/>
      <c r="GP97" s="206"/>
      <c r="GQ97" s="206"/>
      <c r="GR97" s="206"/>
      <c r="GS97" s="206"/>
      <c r="GT97" s="206"/>
      <c r="GU97" s="206"/>
      <c r="GV97" s="206"/>
      <c r="GW97" s="206"/>
      <c r="GX97" s="206"/>
      <c r="GY97" s="206"/>
      <c r="GZ97" s="206"/>
      <c r="HA97" s="206"/>
      <c r="HB97" s="206"/>
      <c r="HC97" s="206"/>
      <c r="HD97" s="206"/>
      <c r="HE97" s="206"/>
      <c r="HF97" s="206"/>
      <c r="HG97" s="206"/>
      <c r="HH97" s="206"/>
      <c r="HI97" s="206"/>
      <c r="HJ97" s="206"/>
      <c r="HK97" s="206"/>
      <c r="HL97" s="206"/>
      <c r="HM97" s="206"/>
      <c r="HN97" s="206"/>
      <c r="HO97" s="206"/>
      <c r="HP97" s="206"/>
      <c r="HQ97" s="206"/>
      <c r="HR97" s="206"/>
      <c r="HS97" s="206"/>
      <c r="HT97" s="206"/>
      <c r="HU97" s="206"/>
      <c r="HV97" s="206"/>
      <c r="HW97" s="206"/>
      <c r="HX97" s="206"/>
      <c r="HY97" s="206"/>
      <c r="HZ97" s="206"/>
      <c r="IA97" s="206"/>
      <c r="IB97" s="206"/>
      <c r="IC97" s="206"/>
      <c r="ID97" s="206"/>
      <c r="IE97" s="206"/>
      <c r="IF97" s="206"/>
      <c r="IG97" s="206"/>
      <c r="IH97" s="206"/>
      <c r="II97" s="206"/>
      <c r="IJ97" s="206"/>
      <c r="IK97" s="206"/>
      <c r="IL97" s="206"/>
      <c r="IM97" s="206"/>
      <c r="IN97" s="206"/>
      <c r="IO97" s="206"/>
      <c r="IP97" s="206"/>
      <c r="IQ97" s="206"/>
      <c r="IR97" s="206"/>
      <c r="IS97" s="206"/>
      <c r="IT97" s="206"/>
      <c r="IU97" s="206"/>
      <c r="IV97" s="206"/>
      <c r="IW97" s="206"/>
    </row>
    <row r="98" customFormat="false" ht="12.75" hidden="true" customHeight="false" outlineLevel="0" collapsed="false">
      <c r="A98" s="186"/>
      <c r="B98" s="165" t="s">
        <v>327</v>
      </c>
      <c r="C98" s="0"/>
      <c r="D98" s="0"/>
      <c r="E98" s="0"/>
      <c r="F98" s="0"/>
      <c r="G98" s="0"/>
      <c r="H98" s="0"/>
      <c r="I98" s="0"/>
      <c r="J98" s="4"/>
      <c r="K98" s="0"/>
      <c r="L98" s="169" t="s">
        <v>142</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L98" s="115" t="n">
        <v>0</v>
      </c>
      <c r="BM98" s="115"/>
      <c r="BN98" s="115" t="n">
        <f aca="false">SUM(T98:BM98)</f>
        <v>0</v>
      </c>
      <c r="BO98" s="115"/>
      <c r="BP98" s="115" t="n">
        <v>0</v>
      </c>
      <c r="BQ98" s="115"/>
      <c r="BR98" s="115" t="n">
        <f aca="false">+R98-BN98+BP98</f>
        <v>0</v>
      </c>
      <c r="BT98" s="115" t="n">
        <f aca="false">+BN98+BR98</f>
        <v>0</v>
      </c>
      <c r="BV98" s="115" t="n">
        <f aca="false">+R98-BT98</f>
        <v>0</v>
      </c>
      <c r="BW98" s="115"/>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c r="FL98" s="206"/>
      <c r="FM98" s="206"/>
      <c r="FN98" s="206"/>
      <c r="FO98" s="206"/>
      <c r="FP98" s="206"/>
      <c r="FQ98" s="206"/>
      <c r="FR98" s="206"/>
      <c r="FS98" s="206"/>
      <c r="FT98" s="206"/>
      <c r="FU98" s="206"/>
      <c r="FV98" s="206"/>
      <c r="FW98" s="206"/>
      <c r="FX98" s="206"/>
      <c r="FY98" s="206"/>
      <c r="FZ98" s="206"/>
      <c r="GA98" s="206"/>
      <c r="GB98" s="206"/>
      <c r="GC98" s="206"/>
      <c r="GD98" s="206"/>
      <c r="GE98" s="206"/>
      <c r="GF98" s="206"/>
      <c r="GG98" s="206"/>
      <c r="GH98" s="206"/>
      <c r="GI98" s="206"/>
      <c r="GJ98" s="206"/>
      <c r="GK98" s="206"/>
      <c r="GL98" s="206"/>
      <c r="GM98" s="206"/>
      <c r="GN98" s="206"/>
      <c r="GO98" s="206"/>
      <c r="GP98" s="206"/>
      <c r="GQ98" s="206"/>
      <c r="GR98" s="206"/>
      <c r="GS98" s="206"/>
      <c r="GT98" s="206"/>
      <c r="GU98" s="206"/>
      <c r="GV98" s="206"/>
      <c r="GW98" s="206"/>
      <c r="GX98" s="206"/>
      <c r="GY98" s="206"/>
      <c r="GZ98" s="206"/>
      <c r="HA98" s="206"/>
      <c r="HB98" s="206"/>
      <c r="HC98" s="206"/>
      <c r="HD98" s="206"/>
      <c r="HE98" s="206"/>
      <c r="HF98" s="206"/>
      <c r="HG98" s="206"/>
      <c r="HH98" s="206"/>
      <c r="HI98" s="206"/>
      <c r="HJ98" s="206"/>
      <c r="HK98" s="206"/>
      <c r="HL98" s="206"/>
      <c r="HM98" s="206"/>
      <c r="HN98" s="206"/>
      <c r="HO98" s="206"/>
      <c r="HP98" s="206"/>
      <c r="HQ98" s="206"/>
      <c r="HR98" s="206"/>
      <c r="HS98" s="206"/>
      <c r="HT98" s="206"/>
      <c r="HU98" s="206"/>
      <c r="HV98" s="206"/>
      <c r="HW98" s="206"/>
      <c r="HX98" s="206"/>
      <c r="HY98" s="206"/>
      <c r="HZ98" s="206"/>
      <c r="IA98" s="206"/>
      <c r="IB98" s="206"/>
      <c r="IC98" s="206"/>
      <c r="ID98" s="206"/>
      <c r="IE98" s="206"/>
      <c r="IF98" s="206"/>
      <c r="IG98" s="206"/>
      <c r="IH98" s="206"/>
      <c r="II98" s="206"/>
      <c r="IJ98" s="206"/>
      <c r="IK98" s="206"/>
      <c r="IL98" s="206"/>
      <c r="IM98" s="206"/>
      <c r="IN98" s="206"/>
      <c r="IO98" s="206"/>
      <c r="IP98" s="206"/>
      <c r="IQ98" s="206"/>
      <c r="IR98" s="206"/>
      <c r="IS98" s="206"/>
      <c r="IT98" s="206"/>
      <c r="IU98" s="206"/>
      <c r="IV98" s="206"/>
      <c r="IW98" s="206"/>
    </row>
    <row r="99" customFormat="false" ht="12.75" hidden="true" customHeight="false" outlineLevel="0" collapsed="false">
      <c r="A99" s="186"/>
      <c r="B99" s="165" t="s">
        <v>328</v>
      </c>
      <c r="C99" s="0"/>
      <c r="D99" s="0"/>
      <c r="E99" s="0"/>
      <c r="F99" s="0"/>
      <c r="G99" s="0"/>
      <c r="H99" s="0"/>
      <c r="I99" s="0"/>
      <c r="J99" s="4"/>
      <c r="K99" s="0"/>
      <c r="L99" s="169" t="s">
        <v>142</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L99" s="115" t="n">
        <v>0</v>
      </c>
      <c r="BM99" s="115"/>
      <c r="BN99" s="115" t="n">
        <f aca="false">SUM(T99:BM99)</f>
        <v>0</v>
      </c>
      <c r="BO99" s="115"/>
      <c r="BP99" s="115" t="n">
        <v>0</v>
      </c>
      <c r="BQ99" s="115"/>
      <c r="BR99" s="115" t="n">
        <f aca="false">+R99-BN99+BP99</f>
        <v>0</v>
      </c>
      <c r="BT99" s="115" t="n">
        <f aca="false">+BN99+BR99</f>
        <v>0</v>
      </c>
      <c r="BV99" s="115" t="n">
        <f aca="false">+R99-BT99</f>
        <v>0</v>
      </c>
      <c r="BW99" s="115"/>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c r="FL99" s="206"/>
      <c r="FM99" s="206"/>
      <c r="FN99" s="206"/>
      <c r="FO99" s="206"/>
      <c r="FP99" s="206"/>
      <c r="FQ99" s="206"/>
      <c r="FR99" s="206"/>
      <c r="FS99" s="206"/>
      <c r="FT99" s="206"/>
      <c r="FU99" s="206"/>
      <c r="FV99" s="206"/>
      <c r="FW99" s="206"/>
      <c r="FX99" s="206"/>
      <c r="FY99" s="206"/>
      <c r="FZ99" s="206"/>
      <c r="GA99" s="206"/>
      <c r="GB99" s="206"/>
      <c r="GC99" s="206"/>
      <c r="GD99" s="206"/>
      <c r="GE99" s="206"/>
      <c r="GF99" s="206"/>
      <c r="GG99" s="206"/>
      <c r="GH99" s="206"/>
      <c r="GI99" s="206"/>
      <c r="GJ99" s="206"/>
      <c r="GK99" s="206"/>
      <c r="GL99" s="206"/>
      <c r="GM99" s="206"/>
      <c r="GN99" s="206"/>
      <c r="GO99" s="206"/>
      <c r="GP99" s="206"/>
      <c r="GQ99" s="206"/>
      <c r="GR99" s="206"/>
      <c r="GS99" s="206"/>
      <c r="GT99" s="206"/>
      <c r="GU99" s="206"/>
      <c r="GV99" s="206"/>
      <c r="GW99" s="206"/>
      <c r="GX99" s="206"/>
      <c r="GY99" s="206"/>
      <c r="GZ99" s="206"/>
      <c r="HA99" s="206"/>
      <c r="HB99" s="206"/>
      <c r="HC99" s="206"/>
      <c r="HD99" s="206"/>
      <c r="HE99" s="206"/>
      <c r="HF99" s="206"/>
      <c r="HG99" s="206"/>
      <c r="HH99" s="206"/>
      <c r="HI99" s="206"/>
      <c r="HJ99" s="206"/>
      <c r="HK99" s="206"/>
      <c r="HL99" s="206"/>
      <c r="HM99" s="206"/>
      <c r="HN99" s="206"/>
      <c r="HO99" s="206"/>
      <c r="HP99" s="206"/>
      <c r="HQ99" s="206"/>
      <c r="HR99" s="206"/>
      <c r="HS99" s="206"/>
      <c r="HT99" s="206"/>
      <c r="HU99" s="206"/>
      <c r="HV99" s="206"/>
      <c r="HW99" s="206"/>
      <c r="HX99" s="206"/>
      <c r="HY99" s="206"/>
      <c r="HZ99" s="206"/>
      <c r="IA99" s="206"/>
      <c r="IB99" s="206"/>
      <c r="IC99" s="206"/>
      <c r="ID99" s="206"/>
      <c r="IE99" s="206"/>
      <c r="IF99" s="206"/>
      <c r="IG99" s="206"/>
      <c r="IH99" s="206"/>
      <c r="II99" s="206"/>
      <c r="IJ99" s="206"/>
      <c r="IK99" s="206"/>
      <c r="IL99" s="206"/>
      <c r="IM99" s="206"/>
      <c r="IN99" s="206"/>
      <c r="IO99" s="206"/>
      <c r="IP99" s="206"/>
      <c r="IQ99" s="206"/>
      <c r="IR99" s="206"/>
      <c r="IS99" s="206"/>
      <c r="IT99" s="206"/>
      <c r="IU99" s="206"/>
      <c r="IV99" s="206"/>
      <c r="IW99" s="206"/>
    </row>
    <row r="100" customFormat="false" ht="12.75" hidden="true" customHeight="false" outlineLevel="0" collapsed="false">
      <c r="A100" s="186"/>
      <c r="B100" s="165" t="s">
        <v>329</v>
      </c>
      <c r="C100" s="0"/>
      <c r="D100" s="0"/>
      <c r="E100" s="0"/>
      <c r="F100" s="0"/>
      <c r="G100" s="0"/>
      <c r="H100" s="0"/>
      <c r="I100" s="0"/>
      <c r="J100" s="4"/>
      <c r="K100" s="0"/>
      <c r="L100" s="169" t="s">
        <v>142</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L100" s="115" t="n">
        <v>0</v>
      </c>
      <c r="BM100" s="115"/>
      <c r="BN100" s="115" t="n">
        <f aca="false">SUM(T100:BM100)</f>
        <v>0</v>
      </c>
      <c r="BO100" s="115"/>
      <c r="BP100" s="115" t="n">
        <v>0</v>
      </c>
      <c r="BQ100" s="115"/>
      <c r="BR100" s="115" t="n">
        <f aca="false">+R100-BN100+BP100</f>
        <v>0</v>
      </c>
      <c r="BT100" s="115" t="n">
        <f aca="false">+BN100+BR100</f>
        <v>0</v>
      </c>
      <c r="BV100" s="115" t="n">
        <f aca="false">+R100-BT100</f>
        <v>0</v>
      </c>
      <c r="BW100" s="115"/>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true" customHeight="false" outlineLevel="0" collapsed="false">
      <c r="A101" s="186"/>
      <c r="B101" s="165" t="s">
        <v>330</v>
      </c>
      <c r="C101" s="0"/>
      <c r="D101" s="0"/>
      <c r="E101" s="0"/>
      <c r="F101" s="0"/>
      <c r="G101" s="0"/>
      <c r="H101" s="0"/>
      <c r="I101" s="0"/>
      <c r="J101" s="4"/>
      <c r="K101" s="0"/>
      <c r="L101" s="169" t="s">
        <v>142</v>
      </c>
      <c r="M101" s="115"/>
      <c r="O101" s="115"/>
      <c r="Q101" s="115"/>
      <c r="S101" s="115"/>
      <c r="T101" s="115"/>
      <c r="U101" s="115"/>
      <c r="V101" s="115"/>
      <c r="X101" s="115"/>
      <c r="Z101" s="115"/>
      <c r="AB101" s="115"/>
      <c r="AD101" s="115"/>
      <c r="BL101" s="115"/>
      <c r="BM101" s="115"/>
      <c r="BO101" s="115"/>
      <c r="BP101" s="115"/>
      <c r="BQ101" s="115"/>
      <c r="BT101" s="115" t="n">
        <f aca="false">+BN101+BR101</f>
        <v>0</v>
      </c>
      <c r="BV101" s="115" t="n">
        <f aca="false">+R101-BT101</f>
        <v>0</v>
      </c>
      <c r="BW101" s="115"/>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true" customHeight="false" outlineLevel="0" collapsed="false">
      <c r="A102" s="186"/>
      <c r="B102" s="241" t="s">
        <v>331</v>
      </c>
      <c r="C102" s="0"/>
      <c r="D102" s="0"/>
      <c r="E102" s="0"/>
      <c r="F102" s="0"/>
      <c r="G102" s="0"/>
      <c r="H102" s="0"/>
      <c r="I102" s="0"/>
      <c r="J102" s="4"/>
      <c r="K102" s="0"/>
      <c r="L102" s="169" t="s">
        <v>142</v>
      </c>
      <c r="M102" s="115"/>
      <c r="N102" s="115" t="n">
        <v>0</v>
      </c>
      <c r="O102" s="115"/>
      <c r="P102" s="115" t="n">
        <v>0</v>
      </c>
      <c r="Q102" s="115"/>
      <c r="R102" s="115" t="n">
        <f aca="false">+N102+P102</f>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+R102-BN102+BP102</f>
        <v>0</v>
      </c>
      <c r="BT102" s="115" t="n">
        <f aca="false">+BN102+BR102</f>
        <v>0</v>
      </c>
      <c r="BV102" s="115" t="n">
        <f aca="false">+R102-BT102</f>
        <v>0</v>
      </c>
      <c r="BW102" s="115"/>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true" customHeight="false" outlineLevel="0" collapsed="false">
      <c r="A103" s="186"/>
      <c r="B103" s="241" t="s">
        <v>332</v>
      </c>
      <c r="C103" s="0"/>
      <c r="D103" s="0"/>
      <c r="E103" s="0"/>
      <c r="F103" s="0"/>
      <c r="G103" s="0"/>
      <c r="H103" s="0"/>
      <c r="I103" s="0"/>
      <c r="J103" s="4"/>
      <c r="K103" s="0"/>
      <c r="L103" s="169" t="s">
        <v>142</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+R103-BN103+BP103</f>
        <v>0</v>
      </c>
      <c r="BT103" s="115" t="n">
        <f aca="false">+BN103+BR103</f>
        <v>0</v>
      </c>
      <c r="BV103" s="115" t="n">
        <f aca="false">+R103-BT103</f>
        <v>0</v>
      </c>
      <c r="BW103" s="115"/>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true" customHeight="false" outlineLevel="0" collapsed="false">
      <c r="A104" s="186"/>
      <c r="B104" s="241" t="s">
        <v>333</v>
      </c>
      <c r="C104" s="0"/>
      <c r="D104" s="0"/>
      <c r="E104" s="0"/>
      <c r="F104" s="0"/>
      <c r="G104" s="0"/>
      <c r="H104" s="0"/>
      <c r="I104" s="0"/>
      <c r="J104" s="4"/>
      <c r="K104" s="0"/>
      <c r="L104" s="169" t="s">
        <v>142</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+R104-BN104+BP104</f>
        <v>0</v>
      </c>
      <c r="BT104" s="115" t="n">
        <f aca="false">+BN104+BR104</f>
        <v>0</v>
      </c>
      <c r="BV104" s="115" t="n">
        <f aca="false">+R104-BT104</f>
        <v>0</v>
      </c>
      <c r="BW104" s="115"/>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true" customHeight="false" outlineLevel="0" collapsed="false">
      <c r="A105" s="186"/>
      <c r="B105" s="165" t="s">
        <v>334</v>
      </c>
      <c r="C105" s="0"/>
      <c r="D105" s="0"/>
      <c r="E105" s="0"/>
      <c r="F105" s="0"/>
      <c r="G105" s="0"/>
      <c r="H105" s="0"/>
      <c r="I105" s="0"/>
      <c r="J105" s="4"/>
      <c r="K105" s="0"/>
      <c r="L105" s="169" t="s">
        <v>142</v>
      </c>
      <c r="M105" s="115"/>
      <c r="O105" s="115"/>
      <c r="Q105" s="115"/>
      <c r="S105" s="115"/>
      <c r="T105" s="115"/>
      <c r="U105" s="115"/>
      <c r="V105" s="115"/>
      <c r="X105" s="115"/>
      <c r="Z105" s="115"/>
      <c r="AB105" s="115"/>
      <c r="AD105" s="115"/>
      <c r="BL105" s="115"/>
      <c r="BM105" s="115"/>
      <c r="BO105" s="115"/>
      <c r="BP105" s="115"/>
      <c r="BQ105" s="115"/>
      <c r="BT105" s="115" t="n">
        <f aca="false">+BN105+BR105</f>
        <v>0</v>
      </c>
      <c r="BV105" s="115" t="n">
        <f aca="false">+R105-BT105</f>
        <v>0</v>
      </c>
      <c r="BW105" s="115"/>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true" customHeight="false" outlineLevel="0" collapsed="false">
      <c r="A106" s="186"/>
      <c r="B106" s="241" t="s">
        <v>331</v>
      </c>
      <c r="C106" s="0"/>
      <c r="D106" s="0"/>
      <c r="E106" s="0"/>
      <c r="F106" s="0"/>
      <c r="G106" s="0"/>
      <c r="H106" s="0"/>
      <c r="I106" s="0"/>
      <c r="J106" s="4"/>
      <c r="K106" s="0"/>
      <c r="L106" s="169" t="s">
        <v>142</v>
      </c>
      <c r="M106" s="115"/>
      <c r="N106" s="115" t="n">
        <v>0</v>
      </c>
      <c r="O106" s="115"/>
      <c r="P106" s="115" t="n">
        <v>0</v>
      </c>
      <c r="Q106" s="115"/>
      <c r="R106" s="115" t="n">
        <f aca="false">+N106+P106</f>
        <v>0</v>
      </c>
      <c r="S106" s="115"/>
      <c r="T106" s="115" t="n">
        <v>0</v>
      </c>
      <c r="U106" s="115"/>
      <c r="V106" s="115" t="n">
        <v>0</v>
      </c>
      <c r="X106" s="115" t="n">
        <v>0</v>
      </c>
      <c r="Z106" s="115" t="n">
        <v>0</v>
      </c>
      <c r="AB106" s="115" t="n">
        <v>0</v>
      </c>
      <c r="AD106" s="115" t="n">
        <v>0</v>
      </c>
      <c r="AF106" s="115" t="n">
        <v>0</v>
      </c>
      <c r="AH106" s="115" t="n">
        <v>0</v>
      </c>
      <c r="AJ106" s="115" t="n">
        <v>0</v>
      </c>
      <c r="AN106" s="115" t="n">
        <v>0</v>
      </c>
      <c r="AP106" s="115" t="n">
        <v>0</v>
      </c>
      <c r="AR106" s="115" t="n">
        <v>0</v>
      </c>
      <c r="AT106" s="115" t="n">
        <v>0</v>
      </c>
      <c r="AV106" s="115" t="n">
        <v>0</v>
      </c>
      <c r="AX106" s="115" t="n">
        <v>0</v>
      </c>
      <c r="AZ106" s="115" t="n">
        <v>0</v>
      </c>
      <c r="BB106" s="115" t="n">
        <v>0</v>
      </c>
      <c r="BD106" s="115" t="n">
        <v>0</v>
      </c>
      <c r="BF106" s="115" t="n">
        <v>0</v>
      </c>
      <c r="BH106" s="115" t="n">
        <v>0</v>
      </c>
      <c r="BJ106" s="115" t="n">
        <v>0</v>
      </c>
      <c r="BL106" s="115" t="n">
        <v>0</v>
      </c>
      <c r="BM106" s="115"/>
      <c r="BN106" s="115" t="n">
        <f aca="false">SUM(T106:BM106)</f>
        <v>0</v>
      </c>
      <c r="BO106" s="115"/>
      <c r="BP106" s="115" t="n">
        <v>0</v>
      </c>
      <c r="BQ106" s="115"/>
      <c r="BR106" s="115" t="n">
        <f aca="false">+R106-BN106+BP106</f>
        <v>0</v>
      </c>
      <c r="BT106" s="115" t="n">
        <f aca="false">+BN106+BR106</f>
        <v>0</v>
      </c>
      <c r="BV106" s="115" t="n">
        <f aca="false">+R106-BT106</f>
        <v>0</v>
      </c>
      <c r="BW106" s="115"/>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true" customHeight="false" outlineLevel="0" collapsed="false">
      <c r="A107" s="186"/>
      <c r="B107" s="241" t="s">
        <v>332</v>
      </c>
      <c r="C107" s="0"/>
      <c r="D107" s="0"/>
      <c r="E107" s="0"/>
      <c r="F107" s="0"/>
      <c r="G107" s="0"/>
      <c r="H107" s="0"/>
      <c r="I107" s="0"/>
      <c r="J107" s="4"/>
      <c r="K107" s="0"/>
      <c r="L107" s="169" t="s">
        <v>142</v>
      </c>
      <c r="M107" s="115"/>
      <c r="N107" s="115" t="n">
        <v>0</v>
      </c>
      <c r="O107" s="115"/>
      <c r="P107" s="115" t="n">
        <v>0</v>
      </c>
      <c r="Q107" s="115"/>
      <c r="R107" s="115" t="n">
        <f aca="false">+N107+P107</f>
        <v>0</v>
      </c>
      <c r="S107" s="115"/>
      <c r="T107" s="115" t="n">
        <v>0</v>
      </c>
      <c r="U107" s="115"/>
      <c r="V107" s="115" t="n">
        <v>0</v>
      </c>
      <c r="X107" s="115" t="n">
        <v>0</v>
      </c>
      <c r="Z107" s="115" t="n">
        <v>0</v>
      </c>
      <c r="AB107" s="115" t="n">
        <v>0</v>
      </c>
      <c r="AD107" s="115" t="n">
        <v>0</v>
      </c>
      <c r="AF107" s="115" t="n">
        <v>0</v>
      </c>
      <c r="AH107" s="115" t="n">
        <v>0</v>
      </c>
      <c r="AJ107" s="115" t="n">
        <v>0</v>
      </c>
      <c r="AN107" s="115" t="n">
        <v>0</v>
      </c>
      <c r="AP107" s="115" t="n">
        <v>0</v>
      </c>
      <c r="AR107" s="115" t="n">
        <v>0</v>
      </c>
      <c r="AT107" s="115" t="n">
        <v>0</v>
      </c>
      <c r="AV107" s="115" t="n">
        <v>0</v>
      </c>
      <c r="AX107" s="115" t="n">
        <v>0</v>
      </c>
      <c r="AZ107" s="115" t="n">
        <v>0</v>
      </c>
      <c r="BB107" s="115" t="n">
        <v>0</v>
      </c>
      <c r="BD107" s="115" t="n">
        <v>0</v>
      </c>
      <c r="BF107" s="115" t="n">
        <v>0</v>
      </c>
      <c r="BH107" s="115" t="n">
        <v>0</v>
      </c>
      <c r="BJ107" s="115" t="n">
        <v>0</v>
      </c>
      <c r="BL107" s="115" t="n">
        <v>0</v>
      </c>
      <c r="BM107" s="115"/>
      <c r="BN107" s="115" t="n">
        <f aca="false">SUM(T107:BM107)</f>
        <v>0</v>
      </c>
      <c r="BO107" s="115"/>
      <c r="BP107" s="115" t="n">
        <v>0</v>
      </c>
      <c r="BQ107" s="115"/>
      <c r="BR107" s="115" t="n">
        <f aca="false">+R107-BN107+BP107</f>
        <v>0</v>
      </c>
      <c r="BT107" s="115" t="n">
        <f aca="false">+BN107+BR107</f>
        <v>0</v>
      </c>
      <c r="BV107" s="115" t="n">
        <f aca="false">+R107-BT107</f>
        <v>0</v>
      </c>
      <c r="BW107" s="115"/>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c r="FL107" s="206"/>
      <c r="FM107" s="206"/>
      <c r="FN107" s="206"/>
      <c r="FO107" s="206"/>
      <c r="FP107" s="206"/>
      <c r="FQ107" s="206"/>
      <c r="FR107" s="206"/>
      <c r="FS107" s="206"/>
      <c r="FT107" s="206"/>
      <c r="FU107" s="206"/>
      <c r="FV107" s="206"/>
      <c r="FW107" s="206"/>
      <c r="FX107" s="206"/>
      <c r="FY107" s="206"/>
      <c r="FZ107" s="206"/>
      <c r="GA107" s="206"/>
      <c r="GB107" s="206"/>
      <c r="GC107" s="206"/>
      <c r="GD107" s="206"/>
      <c r="GE107" s="206"/>
      <c r="GF107" s="206"/>
      <c r="GG107" s="206"/>
      <c r="GH107" s="206"/>
      <c r="GI107" s="206"/>
      <c r="GJ107" s="206"/>
      <c r="GK107" s="206"/>
      <c r="GL107" s="206"/>
      <c r="GM107" s="206"/>
      <c r="GN107" s="206"/>
      <c r="GO107" s="206"/>
      <c r="GP107" s="206"/>
      <c r="GQ107" s="206"/>
      <c r="GR107" s="206"/>
      <c r="GS107" s="206"/>
      <c r="GT107" s="206"/>
      <c r="GU107" s="206"/>
      <c r="GV107" s="206"/>
      <c r="GW107" s="206"/>
      <c r="GX107" s="206"/>
      <c r="GY107" s="206"/>
      <c r="GZ107" s="206"/>
      <c r="HA107" s="206"/>
      <c r="HB107" s="206"/>
      <c r="HC107" s="206"/>
      <c r="HD107" s="206"/>
      <c r="HE107" s="206"/>
      <c r="HF107" s="206"/>
      <c r="HG107" s="206"/>
      <c r="HH107" s="206"/>
      <c r="HI107" s="206"/>
      <c r="HJ107" s="206"/>
      <c r="HK107" s="206"/>
      <c r="HL107" s="206"/>
      <c r="HM107" s="206"/>
      <c r="HN107" s="206"/>
      <c r="HO107" s="206"/>
      <c r="HP107" s="206"/>
      <c r="HQ107" s="206"/>
      <c r="HR107" s="206"/>
      <c r="HS107" s="206"/>
      <c r="HT107" s="206"/>
      <c r="HU107" s="206"/>
      <c r="HV107" s="206"/>
      <c r="HW107" s="206"/>
      <c r="HX107" s="206"/>
      <c r="HY107" s="206"/>
      <c r="HZ107" s="206"/>
      <c r="IA107" s="206"/>
      <c r="IB107" s="206"/>
      <c r="IC107" s="206"/>
      <c r="ID107" s="206"/>
      <c r="IE107" s="206"/>
      <c r="IF107" s="206"/>
      <c r="IG107" s="206"/>
      <c r="IH107" s="206"/>
      <c r="II107" s="206"/>
      <c r="IJ107" s="206"/>
      <c r="IK107" s="206"/>
      <c r="IL107" s="206"/>
      <c r="IM107" s="206"/>
      <c r="IN107" s="206"/>
      <c r="IO107" s="206"/>
      <c r="IP107" s="206"/>
      <c r="IQ107" s="206"/>
      <c r="IR107" s="206"/>
      <c r="IS107" s="206"/>
      <c r="IT107" s="206"/>
      <c r="IU107" s="206"/>
      <c r="IV107" s="206"/>
      <c r="IW107" s="206"/>
    </row>
    <row r="108" customFormat="false" ht="12.75" hidden="true" customHeight="false" outlineLevel="0" collapsed="false">
      <c r="A108" s="186"/>
      <c r="B108" s="241" t="s">
        <v>333</v>
      </c>
      <c r="C108" s="0"/>
      <c r="D108" s="0"/>
      <c r="E108" s="0"/>
      <c r="F108" s="0"/>
      <c r="G108" s="0"/>
      <c r="H108" s="0"/>
      <c r="I108" s="0"/>
      <c r="J108" s="4"/>
      <c r="K108" s="0"/>
      <c r="L108" s="169" t="s">
        <v>142</v>
      </c>
      <c r="M108" s="115"/>
      <c r="N108" s="115" t="n">
        <v>0</v>
      </c>
      <c r="O108" s="115"/>
      <c r="P108" s="115" t="n">
        <v>0</v>
      </c>
      <c r="Q108" s="115"/>
      <c r="R108" s="115" t="n">
        <f aca="false">+N108+P108</f>
        <v>0</v>
      </c>
      <c r="S108" s="115"/>
      <c r="T108" s="115" t="n">
        <v>0</v>
      </c>
      <c r="U108" s="115"/>
      <c r="V108" s="115" t="n">
        <v>0</v>
      </c>
      <c r="X108" s="115" t="n">
        <v>0</v>
      </c>
      <c r="Z108" s="115" t="n">
        <v>0</v>
      </c>
      <c r="AB108" s="115" t="n">
        <v>0</v>
      </c>
      <c r="AD108" s="115" t="n">
        <v>0</v>
      </c>
      <c r="AF108" s="115" t="n">
        <v>0</v>
      </c>
      <c r="AH108" s="115" t="n">
        <v>0</v>
      </c>
      <c r="AJ108" s="115" t="n">
        <v>0</v>
      </c>
      <c r="AN108" s="115" t="n">
        <v>0</v>
      </c>
      <c r="AP108" s="115" t="n">
        <v>0</v>
      </c>
      <c r="AR108" s="115" t="n">
        <v>0</v>
      </c>
      <c r="AT108" s="115" t="n">
        <v>0</v>
      </c>
      <c r="AV108" s="115" t="n">
        <v>0</v>
      </c>
      <c r="AX108" s="115" t="n">
        <v>0</v>
      </c>
      <c r="AZ108" s="115" t="n">
        <v>0</v>
      </c>
      <c r="BB108" s="115" t="n">
        <v>0</v>
      </c>
      <c r="BD108" s="115" t="n">
        <v>0</v>
      </c>
      <c r="BF108" s="115" t="n">
        <v>0</v>
      </c>
      <c r="BH108" s="115" t="n">
        <v>0</v>
      </c>
      <c r="BJ108" s="115" t="n">
        <v>0</v>
      </c>
      <c r="BL108" s="115" t="n">
        <v>0</v>
      </c>
      <c r="BM108" s="115"/>
      <c r="BN108" s="115" t="n">
        <f aca="false">SUM(T108:BM108)</f>
        <v>0</v>
      </c>
      <c r="BO108" s="115"/>
      <c r="BP108" s="115" t="n">
        <v>0</v>
      </c>
      <c r="BQ108" s="115"/>
      <c r="BR108" s="115" t="n">
        <f aca="false">+R108-BN108+BP108</f>
        <v>0</v>
      </c>
      <c r="BT108" s="115" t="n">
        <f aca="false">+BN108+BR108</f>
        <v>0</v>
      </c>
      <c r="BV108" s="115" t="n">
        <f aca="false">+R108-BT108</f>
        <v>0</v>
      </c>
      <c r="BW108" s="115"/>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true" customHeight="false" outlineLevel="0" collapsed="false">
      <c r="A109" s="186"/>
      <c r="B109" s="165" t="s">
        <v>184</v>
      </c>
      <c r="C109" s="0"/>
      <c r="D109" s="0"/>
      <c r="E109" s="0"/>
      <c r="F109" s="0"/>
      <c r="G109" s="0"/>
      <c r="H109" s="0"/>
      <c r="I109" s="0"/>
      <c r="J109" s="4"/>
      <c r="K109" s="0"/>
      <c r="L109" s="169" t="s">
        <v>142</v>
      </c>
      <c r="M109" s="115"/>
      <c r="N109" s="115" t="n">
        <v>0</v>
      </c>
      <c r="O109" s="115"/>
      <c r="P109" s="115" t="n">
        <v>0</v>
      </c>
      <c r="Q109" s="115"/>
      <c r="R109" s="115" t="n">
        <f aca="false">+N109+P109</f>
        <v>0</v>
      </c>
      <c r="S109" s="115"/>
      <c r="T109" s="115" t="n">
        <v>0</v>
      </c>
      <c r="U109" s="115"/>
      <c r="V109" s="115" t="n">
        <v>0</v>
      </c>
      <c r="X109" s="115" t="n">
        <v>0</v>
      </c>
      <c r="Z109" s="115" t="n">
        <v>0</v>
      </c>
      <c r="AB109" s="115" t="n">
        <v>0</v>
      </c>
      <c r="AD109" s="115" t="n">
        <v>0</v>
      </c>
      <c r="AF109" s="115" t="n">
        <v>0</v>
      </c>
      <c r="AH109" s="115" t="n">
        <v>0</v>
      </c>
      <c r="AJ109" s="115" t="n">
        <v>0</v>
      </c>
      <c r="AN109" s="115" t="n">
        <v>0</v>
      </c>
      <c r="AP109" s="115" t="n">
        <v>0</v>
      </c>
      <c r="AR109" s="115" t="n">
        <v>0</v>
      </c>
      <c r="AT109" s="115" t="n">
        <v>0</v>
      </c>
      <c r="AV109" s="115" t="n">
        <v>0</v>
      </c>
      <c r="AX109" s="115" t="n">
        <v>0</v>
      </c>
      <c r="AZ109" s="115" t="n">
        <v>0</v>
      </c>
      <c r="BB109" s="115" t="n">
        <v>0</v>
      </c>
      <c r="BD109" s="115" t="n">
        <v>0</v>
      </c>
      <c r="BF109" s="115" t="n">
        <v>0</v>
      </c>
      <c r="BH109" s="115" t="n">
        <v>0</v>
      </c>
      <c r="BJ109" s="115" t="n">
        <v>0</v>
      </c>
      <c r="BL109" s="115" t="n">
        <v>0</v>
      </c>
      <c r="BM109" s="115"/>
      <c r="BN109" s="115" t="n">
        <f aca="false">SUM(T109:BM109)</f>
        <v>0</v>
      </c>
      <c r="BO109" s="115"/>
      <c r="BP109" s="115" t="n">
        <v>0</v>
      </c>
      <c r="BQ109" s="115"/>
      <c r="BR109" s="115" t="n">
        <f aca="false">+R109-BN109+BP109</f>
        <v>0</v>
      </c>
      <c r="BT109" s="115" t="n">
        <f aca="false">+BN109+BR109</f>
        <v>0</v>
      </c>
      <c r="BV109" s="115" t="n">
        <f aca="false">+R109-BT109</f>
        <v>0</v>
      </c>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true" customHeight="false" outlineLevel="0" collapsed="false">
      <c r="A110" s="186"/>
      <c r="B110" s="165" t="s">
        <v>335</v>
      </c>
      <c r="C110" s="0"/>
      <c r="D110" s="0"/>
      <c r="E110" s="0"/>
      <c r="F110" s="0"/>
      <c r="G110" s="0"/>
      <c r="H110" s="0"/>
      <c r="I110" s="0"/>
      <c r="J110" s="4"/>
      <c r="K110" s="0"/>
      <c r="L110" s="169" t="s">
        <v>142</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+R110-BN110+BP110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true" customHeight="false" outlineLevel="0" collapsed="false">
      <c r="A111" s="186"/>
      <c r="B111" s="165" t="s">
        <v>336</v>
      </c>
      <c r="C111" s="0"/>
      <c r="D111" s="0"/>
      <c r="E111" s="0"/>
      <c r="F111" s="0"/>
      <c r="G111" s="0"/>
      <c r="H111" s="0"/>
      <c r="I111" s="0"/>
      <c r="J111" s="4"/>
      <c r="K111" s="0"/>
      <c r="L111" s="169" t="s">
        <v>142</v>
      </c>
      <c r="M111" s="115"/>
      <c r="N111" s="115" t="n">
        <v>0</v>
      </c>
      <c r="O111" s="115"/>
      <c r="P111" s="115" t="n">
        <v>0</v>
      </c>
      <c r="Q111" s="115"/>
      <c r="R111" s="115" t="n">
        <f aca="false">+N111+P111</f>
        <v>0</v>
      </c>
      <c r="S111" s="115"/>
      <c r="T111" s="115" t="n">
        <v>0</v>
      </c>
      <c r="U111" s="115"/>
      <c r="V111" s="115" t="n">
        <v>0</v>
      </c>
      <c r="X111" s="115" t="n">
        <v>0</v>
      </c>
      <c r="Z111" s="115" t="n">
        <v>0</v>
      </c>
      <c r="AB111" s="115" t="n">
        <v>0</v>
      </c>
      <c r="AD111" s="115" t="n">
        <v>0</v>
      </c>
      <c r="AF111" s="115" t="n">
        <v>0</v>
      </c>
      <c r="AH111" s="115" t="n">
        <v>0</v>
      </c>
      <c r="AJ111" s="115" t="n">
        <v>0</v>
      </c>
      <c r="AN111" s="115" t="n">
        <v>0</v>
      </c>
      <c r="AP111" s="115" t="n">
        <v>0</v>
      </c>
      <c r="AR111" s="115" t="n">
        <v>0</v>
      </c>
      <c r="AT111" s="115" t="n">
        <v>0</v>
      </c>
      <c r="AV111" s="115" t="n">
        <v>0</v>
      </c>
      <c r="AX111" s="115" t="n">
        <v>0</v>
      </c>
      <c r="AZ111" s="115" t="n">
        <v>0</v>
      </c>
      <c r="BB111" s="115" t="n">
        <v>0</v>
      </c>
      <c r="BD111" s="115" t="n">
        <v>0</v>
      </c>
      <c r="BF111" s="115" t="n">
        <v>0</v>
      </c>
      <c r="BH111" s="115" t="n">
        <v>0</v>
      </c>
      <c r="BJ111" s="115" t="n">
        <v>0</v>
      </c>
      <c r="BL111" s="115" t="n">
        <v>0</v>
      </c>
      <c r="BM111" s="115"/>
      <c r="BN111" s="115" t="n">
        <f aca="false">SUM(T111:BM111)</f>
        <v>0</v>
      </c>
      <c r="BO111" s="115"/>
      <c r="BP111" s="115" t="n">
        <v>0</v>
      </c>
      <c r="BQ111" s="115"/>
      <c r="BR111" s="115" t="n">
        <f aca="false">+R111-BN111+BP111</f>
        <v>0</v>
      </c>
      <c r="BT111" s="115" t="n">
        <f aca="false">+BN111+BR111</f>
        <v>0</v>
      </c>
      <c r="BV111" s="115" t="n">
        <f aca="false">+R111-BT111</f>
        <v>0</v>
      </c>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true" customHeight="false" outlineLevel="0" collapsed="false">
      <c r="A112" s="186"/>
      <c r="B112" s="165" t="s">
        <v>337</v>
      </c>
      <c r="C112" s="0"/>
      <c r="D112" s="0"/>
      <c r="E112" s="0"/>
      <c r="F112" s="0"/>
      <c r="G112" s="0"/>
      <c r="H112" s="0"/>
      <c r="I112" s="0"/>
      <c r="J112" s="4"/>
      <c r="K112" s="0"/>
      <c r="L112" s="169" t="s">
        <v>142</v>
      </c>
      <c r="M112" s="115"/>
      <c r="N112" s="115" t="n">
        <v>0</v>
      </c>
      <c r="O112" s="115"/>
      <c r="P112" s="115" t="n">
        <v>0</v>
      </c>
      <c r="Q112" s="115"/>
      <c r="R112" s="115" t="n">
        <f aca="false">+N112+P112</f>
        <v>0</v>
      </c>
      <c r="S112" s="115"/>
      <c r="T112" s="115" t="n">
        <v>0</v>
      </c>
      <c r="U112" s="115"/>
      <c r="V112" s="115" t="n">
        <v>0</v>
      </c>
      <c r="X112" s="115" t="n">
        <v>0</v>
      </c>
      <c r="Z112" s="115" t="n">
        <v>0</v>
      </c>
      <c r="AB112" s="115" t="n">
        <v>0</v>
      </c>
      <c r="AD112" s="115" t="n">
        <v>0</v>
      </c>
      <c r="AF112" s="115" t="n">
        <v>0</v>
      </c>
      <c r="AH112" s="115" t="n">
        <v>0</v>
      </c>
      <c r="AJ112" s="115" t="n">
        <v>0</v>
      </c>
      <c r="AN112" s="115" t="n">
        <v>0</v>
      </c>
      <c r="AP112" s="115" t="n">
        <v>0</v>
      </c>
      <c r="AR112" s="115" t="n">
        <v>0</v>
      </c>
      <c r="AT112" s="115" t="n">
        <v>0</v>
      </c>
      <c r="AV112" s="115" t="n">
        <v>0</v>
      </c>
      <c r="AX112" s="115" t="n">
        <v>0</v>
      </c>
      <c r="AZ112" s="115" t="n">
        <v>0</v>
      </c>
      <c r="BB112" s="115" t="n">
        <v>0</v>
      </c>
      <c r="BD112" s="115" t="n">
        <v>0</v>
      </c>
      <c r="BF112" s="115" t="n">
        <v>0</v>
      </c>
      <c r="BH112" s="115" t="n">
        <v>0</v>
      </c>
      <c r="BJ112" s="115" t="n">
        <v>0</v>
      </c>
      <c r="BL112" s="115" t="n">
        <v>0</v>
      </c>
      <c r="BM112" s="115"/>
      <c r="BN112" s="115" t="n">
        <f aca="false">SUM(T112:BM112)</f>
        <v>0</v>
      </c>
      <c r="BO112" s="115"/>
      <c r="BP112" s="115" t="n">
        <v>0</v>
      </c>
      <c r="BQ112" s="115"/>
      <c r="BR112" s="115" t="n">
        <f aca="false">+R112-BN112+BP112</f>
        <v>0</v>
      </c>
      <c r="BT112" s="115" t="n">
        <f aca="false">+BN112+BR112</f>
        <v>0</v>
      </c>
      <c r="BV112" s="115" t="n">
        <f aca="false">+R112-BT112</f>
        <v>0</v>
      </c>
      <c r="BW112" s="115"/>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c r="GE112" s="206"/>
      <c r="GF112" s="206"/>
      <c r="GG112" s="206"/>
      <c r="GH112" s="206"/>
      <c r="GI112" s="206"/>
      <c r="GJ112" s="206"/>
      <c r="GK112" s="206"/>
      <c r="GL112" s="206"/>
      <c r="GM112" s="206"/>
      <c r="GN112" s="206"/>
      <c r="GO112" s="206"/>
      <c r="GP112" s="206"/>
      <c r="GQ112" s="206"/>
      <c r="GR112" s="206"/>
      <c r="GS112" s="206"/>
      <c r="GT112" s="206"/>
      <c r="GU112" s="206"/>
      <c r="GV112" s="206"/>
      <c r="GW112" s="206"/>
      <c r="GX112" s="206"/>
      <c r="GY112" s="206"/>
      <c r="GZ112" s="206"/>
      <c r="HA112" s="206"/>
      <c r="HB112" s="206"/>
      <c r="HC112" s="206"/>
      <c r="HD112" s="206"/>
      <c r="HE112" s="206"/>
      <c r="HF112" s="206"/>
      <c r="HG112" s="206"/>
      <c r="HH112" s="206"/>
      <c r="HI112" s="206"/>
      <c r="HJ112" s="206"/>
      <c r="HK112" s="206"/>
      <c r="HL112" s="206"/>
      <c r="HM112" s="206"/>
      <c r="HN112" s="206"/>
      <c r="HO112" s="206"/>
      <c r="HP112" s="206"/>
      <c r="HQ112" s="206"/>
      <c r="HR112" s="206"/>
      <c r="HS112" s="206"/>
      <c r="HT112" s="206"/>
      <c r="HU112" s="206"/>
      <c r="HV112" s="206"/>
      <c r="HW112" s="206"/>
      <c r="HX112" s="206"/>
      <c r="HY112" s="206"/>
      <c r="HZ112" s="206"/>
      <c r="IA112" s="206"/>
      <c r="IB112" s="206"/>
      <c r="IC112" s="206"/>
      <c r="ID112" s="206"/>
      <c r="IE112" s="206"/>
      <c r="IF112" s="206"/>
      <c r="IG112" s="206"/>
      <c r="IH112" s="206"/>
      <c r="II112" s="206"/>
      <c r="IJ112" s="206"/>
      <c r="IK112" s="206"/>
      <c r="IL112" s="206"/>
      <c r="IM112" s="206"/>
      <c r="IN112" s="206"/>
      <c r="IO112" s="206"/>
      <c r="IP112" s="206"/>
      <c r="IQ112" s="206"/>
      <c r="IR112" s="206"/>
      <c r="IS112" s="206"/>
      <c r="IT112" s="206"/>
      <c r="IU112" s="206"/>
      <c r="IV112" s="206"/>
      <c r="IW112" s="206"/>
    </row>
    <row r="113" customFormat="false" ht="12.75" hidden="true" customHeight="false" outlineLevel="0" collapsed="false">
      <c r="A113" s="186"/>
      <c r="B113" s="165" t="s">
        <v>338</v>
      </c>
      <c r="C113" s="0"/>
      <c r="D113" s="0"/>
      <c r="E113" s="0"/>
      <c r="F113" s="0"/>
      <c r="G113" s="0"/>
      <c r="H113" s="0"/>
      <c r="I113" s="0"/>
      <c r="J113" s="4"/>
      <c r="K113" s="0"/>
      <c r="L113" s="169" t="s">
        <v>142</v>
      </c>
      <c r="M113" s="115"/>
      <c r="N113" s="115" t="n">
        <v>0</v>
      </c>
      <c r="O113" s="115"/>
      <c r="P113" s="115" t="n">
        <v>0</v>
      </c>
      <c r="Q113" s="115"/>
      <c r="R113" s="115" t="n">
        <f aca="false">+N113+P113</f>
        <v>0</v>
      </c>
      <c r="S113" s="115"/>
      <c r="T113" s="115" t="n">
        <v>0</v>
      </c>
      <c r="U113" s="115"/>
      <c r="V113" s="115" t="n">
        <v>0</v>
      </c>
      <c r="X113" s="115" t="n">
        <v>0</v>
      </c>
      <c r="Z113" s="115" t="n">
        <v>0</v>
      </c>
      <c r="AB113" s="115" t="n">
        <v>0</v>
      </c>
      <c r="AD113" s="115" t="n">
        <v>0</v>
      </c>
      <c r="AF113" s="115" t="n">
        <v>0</v>
      </c>
      <c r="AH113" s="115" t="n">
        <v>0</v>
      </c>
      <c r="AJ113" s="115" t="n">
        <v>0</v>
      </c>
      <c r="AN113" s="115" t="n">
        <v>0</v>
      </c>
      <c r="AP113" s="115" t="n">
        <v>0</v>
      </c>
      <c r="AR113" s="115" t="n">
        <v>0</v>
      </c>
      <c r="AT113" s="115" t="n">
        <v>0</v>
      </c>
      <c r="AV113" s="115" t="n">
        <v>0</v>
      </c>
      <c r="AX113" s="115" t="n">
        <v>0</v>
      </c>
      <c r="AZ113" s="115" t="n">
        <v>0</v>
      </c>
      <c r="BB113" s="115" t="n">
        <v>0</v>
      </c>
      <c r="BD113" s="115" t="n">
        <v>0</v>
      </c>
      <c r="BF113" s="115" t="n">
        <v>0</v>
      </c>
      <c r="BH113" s="115" t="n">
        <v>0</v>
      </c>
      <c r="BJ113" s="115" t="n">
        <v>0</v>
      </c>
      <c r="BL113" s="115" t="n">
        <v>0</v>
      </c>
      <c r="BM113" s="115"/>
      <c r="BN113" s="115" t="n">
        <f aca="false">SUM(T113:BM113)</f>
        <v>0</v>
      </c>
      <c r="BO113" s="115"/>
      <c r="BP113" s="115" t="n">
        <v>0</v>
      </c>
      <c r="BQ113" s="115"/>
      <c r="BR113" s="115" t="n">
        <f aca="false">+R113-BN113+BP113</f>
        <v>0</v>
      </c>
      <c r="BT113" s="115" t="n">
        <f aca="false">+BN113+BR113</f>
        <v>0</v>
      </c>
      <c r="BV113" s="115" t="n">
        <f aca="false">+R113-BT113</f>
        <v>0</v>
      </c>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true" customHeight="false" outlineLevel="0" collapsed="false">
      <c r="A114" s="171"/>
      <c r="B114" s="165" t="s">
        <v>213</v>
      </c>
      <c r="C114" s="0"/>
      <c r="D114" s="0"/>
      <c r="E114" s="0"/>
      <c r="F114" s="0"/>
      <c r="G114" s="0"/>
      <c r="H114" s="0"/>
      <c r="I114" s="0"/>
      <c r="J114" s="4"/>
      <c r="K114" s="0"/>
      <c r="L114" s="169" t="s">
        <v>142</v>
      </c>
      <c r="M114" s="115"/>
      <c r="N114" s="115" t="n">
        <v>0</v>
      </c>
      <c r="O114" s="115"/>
      <c r="P114" s="115" t="n">
        <v>0</v>
      </c>
      <c r="Q114" s="115"/>
      <c r="R114" s="115" t="n">
        <f aca="false">+N114+P114</f>
        <v>0</v>
      </c>
      <c r="S114" s="115"/>
      <c r="T114" s="115" t="n">
        <v>0</v>
      </c>
      <c r="U114" s="115"/>
      <c r="V114" s="115" t="n">
        <v>0</v>
      </c>
      <c r="X114" s="115" t="n">
        <v>0</v>
      </c>
      <c r="Z114" s="115" t="n">
        <v>0</v>
      </c>
      <c r="AB114" s="115" t="n">
        <v>0</v>
      </c>
      <c r="AD114" s="115" t="n">
        <v>0</v>
      </c>
      <c r="AF114" s="115" t="n">
        <v>0</v>
      </c>
      <c r="AH114" s="115" t="n">
        <v>0</v>
      </c>
      <c r="AJ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L114" s="115" t="n">
        <v>0</v>
      </c>
      <c r="BM114" s="115"/>
      <c r="BN114" s="115" t="n">
        <f aca="false">SUM(T114:BM114)</f>
        <v>0</v>
      </c>
      <c r="BO114" s="115"/>
      <c r="BP114" s="115" t="n">
        <v>0</v>
      </c>
      <c r="BQ114" s="115"/>
      <c r="BR114" s="115" t="n">
        <f aca="false">+R114-BN114+BP114</f>
        <v>0</v>
      </c>
      <c r="BT114" s="115" t="n">
        <f aca="false">+BN114+BR114</f>
        <v>0</v>
      </c>
      <c r="BV114" s="115" t="n">
        <f aca="false">+R114-BT114</f>
        <v>0</v>
      </c>
      <c r="BW114" s="115"/>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c r="FL114" s="206"/>
      <c r="FM114" s="206"/>
      <c r="FN114" s="206"/>
      <c r="FO114" s="206"/>
      <c r="FP114" s="206"/>
      <c r="FQ114" s="206"/>
      <c r="FR114" s="206"/>
      <c r="FS114" s="206"/>
      <c r="FT114" s="206"/>
      <c r="FU114" s="206"/>
      <c r="FV114" s="206"/>
      <c r="FW114" s="206"/>
      <c r="FX114" s="206"/>
      <c r="FY114" s="206"/>
      <c r="FZ114" s="206"/>
      <c r="GA114" s="206"/>
      <c r="GB114" s="206"/>
      <c r="GC114" s="206"/>
      <c r="GD114" s="206"/>
      <c r="GE114" s="206"/>
      <c r="GF114" s="206"/>
      <c r="GG114" s="206"/>
      <c r="GH114" s="206"/>
      <c r="GI114" s="206"/>
      <c r="GJ114" s="206"/>
      <c r="GK114" s="206"/>
      <c r="GL114" s="206"/>
      <c r="GM114" s="206"/>
      <c r="GN114" s="206"/>
      <c r="GO114" s="206"/>
      <c r="GP114" s="206"/>
      <c r="GQ114" s="206"/>
      <c r="GR114" s="206"/>
      <c r="GS114" s="206"/>
      <c r="GT114" s="206"/>
      <c r="GU114" s="206"/>
      <c r="GV114" s="206"/>
      <c r="GW114" s="206"/>
      <c r="GX114" s="206"/>
      <c r="GY114" s="206"/>
      <c r="GZ114" s="206"/>
      <c r="HA114" s="206"/>
      <c r="HB114" s="206"/>
      <c r="HC114" s="206"/>
      <c r="HD114" s="206"/>
      <c r="HE114" s="206"/>
      <c r="HF114" s="206"/>
      <c r="HG114" s="206"/>
      <c r="HH114" s="206"/>
      <c r="HI114" s="206"/>
      <c r="HJ114" s="206"/>
      <c r="HK114" s="206"/>
      <c r="HL114" s="206"/>
      <c r="HM114" s="206"/>
      <c r="HN114" s="206"/>
      <c r="HO114" s="206"/>
      <c r="HP114" s="206"/>
      <c r="HQ114" s="206"/>
      <c r="HR114" s="206"/>
      <c r="HS114" s="206"/>
      <c r="HT114" s="206"/>
      <c r="HU114" s="206"/>
      <c r="HV114" s="206"/>
      <c r="HW114" s="206"/>
      <c r="HX114" s="206"/>
      <c r="HY114" s="206"/>
      <c r="HZ114" s="206"/>
      <c r="IA114" s="206"/>
      <c r="IB114" s="206"/>
      <c r="IC114" s="206"/>
      <c r="ID114" s="206"/>
      <c r="IE114" s="206"/>
      <c r="IF114" s="206"/>
      <c r="IG114" s="206"/>
      <c r="IH114" s="206"/>
      <c r="II114" s="206"/>
      <c r="IJ114" s="206"/>
      <c r="IK114" s="206"/>
      <c r="IL114" s="206"/>
      <c r="IM114" s="206"/>
      <c r="IN114" s="206"/>
      <c r="IO114" s="206"/>
      <c r="IP114" s="206"/>
      <c r="IQ114" s="206"/>
      <c r="IR114" s="206"/>
      <c r="IS114" s="206"/>
      <c r="IT114" s="206"/>
      <c r="IU114" s="206"/>
      <c r="IV114" s="206"/>
      <c r="IW114" s="206"/>
    </row>
    <row r="115" customFormat="false" ht="12.75" hidden="true" customHeight="false" outlineLevel="0" collapsed="false">
      <c r="A115" s="173"/>
      <c r="B115" s="165" t="s">
        <v>152</v>
      </c>
      <c r="C115" s="18"/>
      <c r="D115" s="18"/>
      <c r="E115" s="18"/>
      <c r="F115" s="18"/>
      <c r="G115" s="18"/>
      <c r="H115" s="18"/>
      <c r="I115" s="18"/>
      <c r="J115" s="204"/>
      <c r="K115" s="18"/>
      <c r="L115" s="169" t="s">
        <v>142</v>
      </c>
      <c r="M115" s="115"/>
      <c r="N115" s="115" t="n">
        <v>0</v>
      </c>
      <c r="O115" s="115"/>
      <c r="P115" s="115" t="n">
        <v>0</v>
      </c>
      <c r="Q115" s="115"/>
      <c r="R115" s="115" t="n">
        <f aca="false">+N115+P115</f>
        <v>0</v>
      </c>
      <c r="S115" s="115"/>
      <c r="T115" s="115" t="n">
        <v>0</v>
      </c>
      <c r="U115" s="115"/>
      <c r="V115" s="115" t="n">
        <v>0</v>
      </c>
      <c r="X115" s="115" t="n">
        <v>0</v>
      </c>
      <c r="Z115" s="115" t="n">
        <v>0</v>
      </c>
      <c r="AB115" s="115" t="n">
        <v>0</v>
      </c>
      <c r="AD115" s="115" t="n">
        <v>0</v>
      </c>
      <c r="AF115" s="115" t="n">
        <v>0</v>
      </c>
      <c r="AH115" s="115" t="n">
        <v>0</v>
      </c>
      <c r="AJ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L115" s="115" t="n">
        <v>0</v>
      </c>
      <c r="BM115" s="115"/>
      <c r="BN115" s="115" t="n">
        <f aca="false">SUM(T115:BM115)</f>
        <v>0</v>
      </c>
      <c r="BO115" s="115"/>
      <c r="BP115" s="115" t="n">
        <v>0</v>
      </c>
      <c r="BQ115" s="115"/>
      <c r="BR115" s="115" t="n">
        <f aca="false">+R115-BN115+BP115</f>
        <v>0</v>
      </c>
      <c r="BT115" s="115" t="n">
        <f aca="false">+BN115+BR115</f>
        <v>0</v>
      </c>
      <c r="BV115" s="115" t="n">
        <f aca="false">+R115-BT115</f>
        <v>0</v>
      </c>
      <c r="BW115" s="115"/>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c r="IW115" s="174"/>
    </row>
    <row r="116" customFormat="false" ht="12.75" hidden="true" customHeight="false" outlineLevel="0" collapsed="false">
      <c r="A116" s="171"/>
      <c r="B116" s="165"/>
      <c r="C116" s="0"/>
      <c r="D116" s="0"/>
      <c r="E116" s="0"/>
      <c r="F116" s="0"/>
      <c r="G116" s="0"/>
      <c r="H116" s="0"/>
      <c r="I116" s="0"/>
      <c r="J116" s="4"/>
      <c r="K116" s="0"/>
      <c r="L116" s="169"/>
      <c r="M116" s="115"/>
      <c r="O116" s="115"/>
      <c r="Q116" s="115"/>
      <c r="S116" s="115"/>
      <c r="T116" s="115"/>
      <c r="U116" s="115"/>
      <c r="V116" s="115"/>
      <c r="X116" s="115"/>
      <c r="Z116" s="115"/>
      <c r="AB116" s="115"/>
      <c r="AD116" s="115"/>
      <c r="BL116" s="115"/>
      <c r="BM116" s="115"/>
      <c r="BO116" s="115"/>
      <c r="BP116" s="115"/>
      <c r="BQ116" s="115"/>
      <c r="BW116" s="115"/>
    </row>
    <row r="117" customFormat="false" ht="12.75" hidden="true" customHeight="false" outlineLevel="0" collapsed="false">
      <c r="A117" s="240"/>
      <c r="B117" s="209" t="s">
        <v>339</v>
      </c>
      <c r="C117" s="2"/>
      <c r="D117" s="2"/>
      <c r="E117" s="2"/>
      <c r="F117" s="2"/>
      <c r="G117" s="2"/>
      <c r="H117" s="2"/>
      <c r="I117" s="2"/>
      <c r="J117" s="3"/>
      <c r="K117" s="2"/>
      <c r="L117" s="188"/>
      <c r="M117" s="24"/>
      <c r="N117" s="210" t="n">
        <f aca="false">SUM(N92:N116)</f>
        <v>0</v>
      </c>
      <c r="O117" s="24"/>
      <c r="P117" s="210" t="n">
        <f aca="false">SUM(P92:P116)</f>
        <v>0</v>
      </c>
      <c r="Q117" s="24"/>
      <c r="R117" s="210" t="n">
        <f aca="false">SUM(R92:R116)</f>
        <v>0</v>
      </c>
      <c r="S117" s="24"/>
      <c r="T117" s="210" t="n">
        <f aca="false">SUM(T92:T116)</f>
        <v>0</v>
      </c>
      <c r="U117" s="24"/>
      <c r="V117" s="210" t="n">
        <f aca="false">SUM(V92:V116)</f>
        <v>0</v>
      </c>
      <c r="W117" s="24"/>
      <c r="X117" s="210" t="n">
        <f aca="false">SUM(X92:X116)</f>
        <v>0</v>
      </c>
      <c r="Y117" s="24"/>
      <c r="Z117" s="210" t="n">
        <f aca="false">SUM(Z92:Z116)</f>
        <v>0</v>
      </c>
      <c r="AA117" s="24"/>
      <c r="AB117" s="210" t="n">
        <f aca="false">SUM(AB92:AB116)</f>
        <v>0</v>
      </c>
      <c r="AC117" s="24"/>
      <c r="AD117" s="210" t="n">
        <f aca="false">SUM(AD92:AD116)</f>
        <v>0</v>
      </c>
      <c r="AE117" s="24"/>
      <c r="AF117" s="210" t="n">
        <f aca="false">SUM(AF92:AF116)</f>
        <v>0</v>
      </c>
      <c r="AG117" s="24"/>
      <c r="AH117" s="210" t="n">
        <f aca="false">SUM(AH92:AH116)</f>
        <v>0</v>
      </c>
      <c r="AI117" s="24"/>
      <c r="AJ117" s="210" t="n">
        <f aca="false">SUM(AJ92:AJ116)</f>
        <v>0</v>
      </c>
      <c r="AK117" s="24"/>
      <c r="AL117" s="210"/>
      <c r="AM117" s="24"/>
      <c r="AN117" s="210" t="n">
        <f aca="false">SUM(AN92:AN116)</f>
        <v>0</v>
      </c>
      <c r="AO117" s="24"/>
      <c r="AP117" s="210" t="n">
        <f aca="false">SUM(AP92:AP116)</f>
        <v>0</v>
      </c>
      <c r="AQ117" s="24"/>
      <c r="AR117" s="210" t="n">
        <f aca="false">SUM(AR92:AR116)</f>
        <v>0</v>
      </c>
      <c r="AS117" s="24"/>
      <c r="AT117" s="210" t="n">
        <f aca="false">SUM(AT92:AT116)</f>
        <v>0</v>
      </c>
      <c r="AU117" s="24"/>
      <c r="AV117" s="210" t="n">
        <f aca="false">SUM(AV92:AV116)</f>
        <v>0</v>
      </c>
      <c r="AW117" s="24"/>
      <c r="AX117" s="210" t="n">
        <f aca="false">SUM(AX92:AX116)</f>
        <v>0</v>
      </c>
      <c r="AY117" s="24"/>
      <c r="AZ117" s="210" t="n">
        <f aca="false">SUM(AZ92:AZ116)</f>
        <v>0</v>
      </c>
      <c r="BA117" s="24"/>
      <c r="BB117" s="210" t="n">
        <f aca="false">SUM(BB92:BB116)</f>
        <v>0</v>
      </c>
      <c r="BC117" s="24"/>
      <c r="BD117" s="210" t="n">
        <f aca="false">SUM(BD92:BD116)</f>
        <v>0</v>
      </c>
      <c r="BE117" s="24"/>
      <c r="BF117" s="210" t="n">
        <f aca="false">SUM(BF92:BF116)</f>
        <v>0</v>
      </c>
      <c r="BG117" s="24"/>
      <c r="BH117" s="210" t="n">
        <f aca="false">SUM(BH92:BH116)</f>
        <v>0</v>
      </c>
      <c r="BI117" s="24"/>
      <c r="BJ117" s="210" t="n">
        <f aca="false">SUM(BJ92:BJ116)</f>
        <v>0</v>
      </c>
      <c r="BK117" s="24"/>
      <c r="BL117" s="210" t="n">
        <f aca="false">SUM(BL92:BL116)</f>
        <v>0</v>
      </c>
      <c r="BM117" s="24"/>
      <c r="BN117" s="210" t="n">
        <f aca="false">SUM(BN92:BN116)</f>
        <v>0</v>
      </c>
      <c r="BO117" s="24"/>
      <c r="BP117" s="210" t="n">
        <f aca="false">SUM(BP92:BP116)</f>
        <v>0</v>
      </c>
      <c r="BQ117" s="24"/>
      <c r="BR117" s="210" t="n">
        <f aca="false">SUM(BR92:BR116)</f>
        <v>0</v>
      </c>
      <c r="BS117" s="24"/>
      <c r="BT117" s="210" t="n">
        <f aca="false">SUM(BT92:BT116)</f>
        <v>0</v>
      </c>
      <c r="BU117" s="24"/>
      <c r="BV117" s="210"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2" t="s">
        <v>234</v>
      </c>
      <c r="B118" s="213"/>
      <c r="C118" s="197"/>
      <c r="D118" s="197"/>
      <c r="E118" s="197"/>
      <c r="F118" s="197"/>
      <c r="G118" s="197"/>
      <c r="H118" s="197"/>
      <c r="I118" s="197"/>
      <c r="J118" s="198"/>
      <c r="K118" s="197"/>
      <c r="L118" s="199"/>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BT118" s="200"/>
      <c r="BU118" s="200"/>
      <c r="BV118" s="200"/>
      <c r="BW118" s="200"/>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197"/>
      <c r="ES118" s="197"/>
      <c r="ET118" s="197"/>
      <c r="EU118" s="197"/>
      <c r="EV118" s="197"/>
      <c r="EW118" s="197"/>
      <c r="EX118" s="197"/>
      <c r="EY118" s="197"/>
      <c r="EZ118" s="197"/>
      <c r="FA118" s="197"/>
      <c r="FB118" s="197"/>
      <c r="FC118" s="197"/>
      <c r="FD118" s="197"/>
      <c r="FE118" s="197"/>
      <c r="FF118" s="197"/>
      <c r="FG118" s="197"/>
      <c r="FH118" s="197"/>
      <c r="FI118" s="197"/>
      <c r="FJ118" s="197"/>
      <c r="FK118" s="197"/>
      <c r="FL118" s="197"/>
      <c r="FM118" s="197"/>
      <c r="FN118" s="197"/>
      <c r="FO118" s="197"/>
      <c r="FP118" s="197"/>
      <c r="FQ118" s="197"/>
      <c r="FR118" s="197"/>
      <c r="FS118" s="197"/>
      <c r="FT118" s="197"/>
      <c r="FU118" s="197"/>
      <c r="FV118" s="197"/>
      <c r="FW118" s="197"/>
      <c r="FX118" s="197"/>
      <c r="FY118" s="197"/>
      <c r="FZ118" s="197"/>
      <c r="GA118" s="197"/>
      <c r="GB118" s="197"/>
      <c r="GC118" s="197"/>
      <c r="GD118" s="197"/>
      <c r="GE118" s="197"/>
      <c r="GF118" s="197"/>
      <c r="GG118" s="197"/>
      <c r="GH118" s="197"/>
      <c r="GI118" s="197"/>
      <c r="GJ118" s="197"/>
      <c r="GK118" s="197"/>
      <c r="GL118" s="197"/>
      <c r="GM118" s="197"/>
      <c r="GN118" s="197"/>
      <c r="GO118" s="197"/>
      <c r="GP118" s="197"/>
      <c r="GQ118" s="197"/>
      <c r="GR118" s="197"/>
      <c r="GS118" s="197"/>
      <c r="GT118" s="197"/>
      <c r="GU118" s="197"/>
      <c r="GV118" s="197"/>
      <c r="GW118" s="197"/>
      <c r="GX118" s="197"/>
      <c r="GY118" s="197"/>
      <c r="GZ118" s="197"/>
      <c r="HA118" s="197"/>
      <c r="HB118" s="197"/>
      <c r="HC118" s="197"/>
      <c r="HD118" s="197"/>
      <c r="HE118" s="197"/>
      <c r="HF118" s="197"/>
      <c r="HG118" s="197"/>
      <c r="HH118" s="197"/>
      <c r="HI118" s="197"/>
      <c r="HJ118" s="197"/>
      <c r="HK118" s="197"/>
      <c r="HL118" s="197"/>
      <c r="HM118" s="197"/>
      <c r="HN118" s="197"/>
      <c r="HO118" s="197"/>
      <c r="HP118" s="197"/>
      <c r="HQ118" s="197"/>
      <c r="HR118" s="197"/>
      <c r="HS118" s="197"/>
      <c r="HT118" s="197"/>
      <c r="HU118" s="197"/>
      <c r="HV118" s="197"/>
      <c r="HW118" s="197"/>
      <c r="HX118" s="197"/>
      <c r="HY118" s="197"/>
      <c r="HZ118" s="197"/>
      <c r="IA118" s="197"/>
      <c r="IB118" s="197"/>
      <c r="IC118" s="197"/>
      <c r="ID118" s="197"/>
      <c r="IE118" s="197"/>
      <c r="IF118" s="197"/>
      <c r="IG118" s="197"/>
      <c r="IH118" s="197"/>
      <c r="II118" s="197"/>
      <c r="IJ118" s="197"/>
      <c r="IK118" s="197"/>
      <c r="IL118" s="197"/>
      <c r="IM118" s="197"/>
      <c r="IN118" s="197"/>
      <c r="IO118" s="197"/>
      <c r="IP118" s="197"/>
      <c r="IQ118" s="197"/>
      <c r="IR118" s="197"/>
      <c r="IS118" s="197"/>
      <c r="IT118" s="197"/>
      <c r="IU118" s="197"/>
      <c r="IV118" s="197"/>
      <c r="IW118" s="197"/>
    </row>
    <row r="119" customFormat="false" ht="12.75" hidden="true" customHeight="false" outlineLevel="0" collapsed="false">
      <c r="A119" s="186" t="s">
        <v>176</v>
      </c>
      <c r="B119" s="165"/>
      <c r="C119" s="0"/>
      <c r="D119" s="0"/>
      <c r="E119" s="0"/>
      <c r="F119" s="0"/>
      <c r="G119" s="0"/>
      <c r="H119" s="0"/>
      <c r="I119" s="0"/>
      <c r="J119" s="4"/>
      <c r="K119" s="0"/>
      <c r="L119" s="169"/>
      <c r="M119" s="115"/>
      <c r="O119" s="115"/>
      <c r="Q119" s="115"/>
      <c r="S119" s="115"/>
      <c r="T119" s="115"/>
      <c r="U119" s="115"/>
      <c r="V119" s="115"/>
      <c r="X119" s="115"/>
      <c r="Z119" s="115"/>
      <c r="AB119" s="115"/>
      <c r="AD119" s="115"/>
      <c r="BL119" s="115"/>
      <c r="BM119" s="115"/>
      <c r="BO119" s="115"/>
      <c r="BP119" s="115"/>
      <c r="BQ119" s="115"/>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340</v>
      </c>
      <c r="C120" s="0"/>
      <c r="D120" s="0"/>
      <c r="E120" s="0"/>
      <c r="F120" s="0"/>
      <c r="G120" s="0"/>
      <c r="H120" s="0"/>
      <c r="I120" s="0"/>
      <c r="J120" s="4"/>
      <c r="K120" s="0"/>
      <c r="L120" s="169" t="s">
        <v>142</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341</v>
      </c>
      <c r="C121" s="0"/>
      <c r="D121" s="0"/>
      <c r="E121" s="0"/>
      <c r="F121" s="0"/>
      <c r="G121" s="0"/>
      <c r="H121" s="0"/>
      <c r="I121" s="0"/>
      <c r="J121" s="4"/>
      <c r="K121" s="0"/>
      <c r="L121" s="169" t="s">
        <v>142</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342</v>
      </c>
      <c r="C122" s="0"/>
      <c r="D122" s="0"/>
      <c r="E122" s="0"/>
      <c r="F122" s="0"/>
      <c r="G122" s="0"/>
      <c r="H122" s="0"/>
      <c r="I122" s="0"/>
      <c r="J122" s="4"/>
      <c r="K122" s="0"/>
      <c r="L122" s="169" t="s">
        <v>142</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343</v>
      </c>
      <c r="C123" s="0"/>
      <c r="D123" s="0"/>
      <c r="E123" s="0"/>
      <c r="F123" s="0"/>
      <c r="G123" s="0"/>
      <c r="H123" s="0"/>
      <c r="I123" s="0"/>
      <c r="J123" s="4"/>
      <c r="K123" s="0"/>
      <c r="L123" s="169" t="s">
        <v>142</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186"/>
      <c r="B124" s="165" t="s">
        <v>344</v>
      </c>
      <c r="C124" s="0"/>
      <c r="D124" s="0"/>
      <c r="E124" s="0"/>
      <c r="F124" s="0"/>
      <c r="G124" s="0"/>
      <c r="H124" s="0"/>
      <c r="I124" s="0"/>
      <c r="J124" s="4"/>
      <c r="K124" s="0"/>
      <c r="L124" s="169" t="s">
        <v>142</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c r="FL124" s="206"/>
      <c r="FM124" s="206"/>
      <c r="FN124" s="206"/>
      <c r="FO124" s="206"/>
      <c r="FP124" s="206"/>
      <c r="FQ124" s="206"/>
      <c r="FR124" s="206"/>
      <c r="FS124" s="206"/>
      <c r="FT124" s="206"/>
      <c r="FU124" s="206"/>
      <c r="FV124" s="206"/>
      <c r="FW124" s="206"/>
      <c r="FX124" s="206"/>
      <c r="FY124" s="206"/>
      <c r="FZ124" s="206"/>
      <c r="GA124" s="206"/>
      <c r="GB124" s="206"/>
      <c r="GC124" s="206"/>
      <c r="GD124" s="206"/>
      <c r="GE124" s="206"/>
      <c r="GF124" s="206"/>
      <c r="GG124" s="206"/>
      <c r="GH124" s="206"/>
      <c r="GI124" s="206"/>
      <c r="GJ124" s="206"/>
      <c r="GK124" s="206"/>
      <c r="GL124" s="206"/>
      <c r="GM124" s="206"/>
      <c r="GN124" s="206"/>
      <c r="GO124" s="206"/>
      <c r="GP124" s="206"/>
      <c r="GQ124" s="206"/>
      <c r="GR124" s="206"/>
      <c r="GS124" s="206"/>
      <c r="GT124" s="206"/>
      <c r="GU124" s="206"/>
      <c r="GV124" s="206"/>
      <c r="GW124" s="206"/>
      <c r="GX124" s="206"/>
      <c r="GY124" s="206"/>
      <c r="GZ124" s="206"/>
      <c r="HA124" s="206"/>
      <c r="HB124" s="206"/>
      <c r="HC124" s="206"/>
      <c r="HD124" s="206"/>
      <c r="HE124" s="206"/>
      <c r="HF124" s="206"/>
      <c r="HG124" s="206"/>
      <c r="HH124" s="206"/>
      <c r="HI124" s="206"/>
      <c r="HJ124" s="206"/>
      <c r="HK124" s="206"/>
      <c r="HL124" s="206"/>
      <c r="HM124" s="206"/>
      <c r="HN124" s="206"/>
      <c r="HO124" s="206"/>
      <c r="HP124" s="206"/>
      <c r="HQ124" s="206"/>
      <c r="HR124" s="206"/>
      <c r="HS124" s="206"/>
      <c r="HT124" s="206"/>
      <c r="HU124" s="206"/>
      <c r="HV124" s="206"/>
      <c r="HW124" s="206"/>
      <c r="HX124" s="206"/>
      <c r="HY124" s="206"/>
      <c r="HZ124" s="206"/>
      <c r="IA124" s="206"/>
      <c r="IB124" s="206"/>
      <c r="IC124" s="206"/>
      <c r="ID124" s="206"/>
      <c r="IE124" s="206"/>
      <c r="IF124" s="206"/>
      <c r="IG124" s="206"/>
      <c r="IH124" s="206"/>
      <c r="II124" s="206"/>
      <c r="IJ124" s="206"/>
      <c r="IK124" s="206"/>
      <c r="IL124" s="206"/>
      <c r="IM124" s="206"/>
      <c r="IN124" s="206"/>
      <c r="IO124" s="206"/>
      <c r="IP124" s="206"/>
      <c r="IQ124" s="206"/>
      <c r="IR124" s="206"/>
      <c r="IS124" s="206"/>
      <c r="IT124" s="206"/>
      <c r="IU124" s="206"/>
      <c r="IV124" s="206"/>
      <c r="IW124" s="206"/>
    </row>
    <row r="125" customFormat="false" ht="12.75" hidden="true" customHeight="false" outlineLevel="0" collapsed="false">
      <c r="A125" s="186"/>
      <c r="B125" s="165" t="s">
        <v>345</v>
      </c>
      <c r="C125" s="0"/>
      <c r="D125" s="0"/>
      <c r="E125" s="0"/>
      <c r="F125" s="0"/>
      <c r="G125" s="0"/>
      <c r="H125" s="0"/>
      <c r="I125" s="0"/>
      <c r="J125" s="4"/>
      <c r="K125" s="0"/>
      <c r="L125" s="169" t="s">
        <v>142</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c r="GE125" s="206"/>
      <c r="GF125" s="206"/>
      <c r="GG125" s="206"/>
      <c r="GH125" s="206"/>
      <c r="GI125" s="206"/>
      <c r="GJ125" s="206"/>
      <c r="GK125" s="206"/>
      <c r="GL125" s="206"/>
      <c r="GM125" s="206"/>
      <c r="GN125" s="206"/>
      <c r="GO125" s="206"/>
      <c r="GP125" s="206"/>
      <c r="GQ125" s="206"/>
      <c r="GR125" s="206"/>
      <c r="GS125" s="206"/>
      <c r="GT125" s="206"/>
      <c r="GU125" s="206"/>
      <c r="GV125" s="206"/>
      <c r="GW125" s="206"/>
      <c r="GX125" s="206"/>
      <c r="GY125" s="206"/>
      <c r="GZ125" s="206"/>
      <c r="HA125" s="206"/>
      <c r="HB125" s="206"/>
      <c r="HC125" s="206"/>
      <c r="HD125" s="206"/>
      <c r="HE125" s="206"/>
      <c r="HF125" s="206"/>
      <c r="HG125" s="206"/>
      <c r="HH125" s="206"/>
      <c r="HI125" s="206"/>
      <c r="HJ125" s="206"/>
      <c r="HK125" s="206"/>
      <c r="HL125" s="206"/>
      <c r="HM125" s="206"/>
      <c r="HN125" s="206"/>
      <c r="HO125" s="206"/>
      <c r="HP125" s="206"/>
      <c r="HQ125" s="206"/>
      <c r="HR125" s="206"/>
      <c r="HS125" s="206"/>
      <c r="HT125" s="206"/>
      <c r="HU125" s="206"/>
      <c r="HV125" s="206"/>
      <c r="HW125" s="206"/>
      <c r="HX125" s="206"/>
      <c r="HY125" s="206"/>
      <c r="HZ125" s="206"/>
      <c r="IA125" s="206"/>
      <c r="IB125" s="206"/>
      <c r="IC125" s="206"/>
      <c r="ID125" s="206"/>
      <c r="IE125" s="206"/>
      <c r="IF125" s="206"/>
      <c r="IG125" s="206"/>
      <c r="IH125" s="206"/>
      <c r="II125" s="206"/>
      <c r="IJ125" s="206"/>
      <c r="IK125" s="206"/>
      <c r="IL125" s="206"/>
      <c r="IM125" s="206"/>
      <c r="IN125" s="206"/>
      <c r="IO125" s="206"/>
      <c r="IP125" s="206"/>
      <c r="IQ125" s="206"/>
      <c r="IR125" s="206"/>
      <c r="IS125" s="206"/>
      <c r="IT125" s="206"/>
      <c r="IU125" s="206"/>
      <c r="IV125" s="206"/>
      <c r="IW125" s="206"/>
    </row>
    <row r="126" customFormat="false" ht="12.75" hidden="true" customHeight="false" outlineLevel="0" collapsed="false">
      <c r="A126" s="186"/>
      <c r="B126" s="165" t="s">
        <v>346</v>
      </c>
      <c r="C126" s="0"/>
      <c r="D126" s="0"/>
      <c r="E126" s="0"/>
      <c r="F126" s="0"/>
      <c r="G126" s="0"/>
      <c r="H126" s="0"/>
      <c r="I126" s="0"/>
      <c r="J126" s="4"/>
      <c r="K126" s="0"/>
      <c r="L126" s="169" t="s">
        <v>142</v>
      </c>
      <c r="M126" s="115"/>
      <c r="N126" s="115" t="n">
        <v>0</v>
      </c>
      <c r="O126" s="115"/>
      <c r="P126" s="115" t="n">
        <v>0</v>
      </c>
      <c r="Q126" s="115"/>
      <c r="R126" s="115" t="n">
        <f aca="false">+N126+P126</f>
        <v>0</v>
      </c>
      <c r="S126" s="115"/>
      <c r="T126" s="115" t="n">
        <v>0</v>
      </c>
      <c r="U126" s="115"/>
      <c r="V126" s="115" t="n">
        <v>0</v>
      </c>
      <c r="X126" s="115" t="n">
        <v>0</v>
      </c>
      <c r="Z126" s="115" t="n">
        <v>0</v>
      </c>
      <c r="AB126" s="115" t="n">
        <v>0</v>
      </c>
      <c r="AD126" s="115" t="n">
        <v>0</v>
      </c>
      <c r="AF126" s="115" t="n">
        <v>0</v>
      </c>
      <c r="AH126" s="115" t="n">
        <v>0</v>
      </c>
      <c r="AJ126" s="115" t="n">
        <v>0</v>
      </c>
      <c r="AN126" s="115" t="n">
        <v>0</v>
      </c>
      <c r="AP126" s="115" t="n">
        <v>0</v>
      </c>
      <c r="AR126" s="115" t="n">
        <v>0</v>
      </c>
      <c r="AT126" s="115" t="n">
        <v>0</v>
      </c>
      <c r="AV126" s="115" t="n">
        <v>0</v>
      </c>
      <c r="AX126" s="115" t="n">
        <v>0</v>
      </c>
      <c r="AZ126" s="115" t="n">
        <v>0</v>
      </c>
      <c r="BB126" s="115" t="n">
        <v>0</v>
      </c>
      <c r="BD126" s="115" t="n">
        <v>0</v>
      </c>
      <c r="BF126" s="115" t="n">
        <v>0</v>
      </c>
      <c r="BH126" s="115" t="n">
        <v>0</v>
      </c>
      <c r="BJ126" s="115" t="n">
        <v>0</v>
      </c>
      <c r="BL126" s="115" t="n">
        <v>0</v>
      </c>
      <c r="BM126" s="115"/>
      <c r="BN126" s="115" t="n">
        <f aca="false">SUM(T126:BM126)</f>
        <v>0</v>
      </c>
      <c r="BO126" s="115"/>
      <c r="BP126" s="115" t="n">
        <v>0</v>
      </c>
      <c r="BQ126" s="115"/>
      <c r="BR126" s="115" t="n">
        <f aca="false">+R126-BN126+BP126</f>
        <v>0</v>
      </c>
      <c r="BT126" s="115" t="n">
        <f aca="false">+BN126+BR126</f>
        <v>0</v>
      </c>
      <c r="BV126" s="115" t="n">
        <f aca="false">+R126-BT126</f>
        <v>0</v>
      </c>
      <c r="BW126" s="115"/>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c r="FL126" s="206"/>
      <c r="FM126" s="206"/>
      <c r="FN126" s="206"/>
      <c r="FO126" s="206"/>
      <c r="FP126" s="206"/>
      <c r="FQ126" s="206"/>
      <c r="FR126" s="206"/>
      <c r="FS126" s="206"/>
      <c r="FT126" s="206"/>
      <c r="FU126" s="206"/>
      <c r="FV126" s="206"/>
      <c r="FW126" s="206"/>
      <c r="FX126" s="206"/>
      <c r="FY126" s="206"/>
      <c r="FZ126" s="206"/>
      <c r="GA126" s="206"/>
      <c r="GB126" s="206"/>
      <c r="GC126" s="206"/>
      <c r="GD126" s="206"/>
      <c r="GE126" s="206"/>
      <c r="GF126" s="206"/>
      <c r="GG126" s="206"/>
      <c r="GH126" s="206"/>
      <c r="GI126" s="206"/>
      <c r="GJ126" s="206"/>
      <c r="GK126" s="206"/>
      <c r="GL126" s="206"/>
      <c r="GM126" s="206"/>
      <c r="GN126" s="206"/>
      <c r="GO126" s="206"/>
      <c r="GP126" s="206"/>
      <c r="GQ126" s="206"/>
      <c r="GR126" s="206"/>
      <c r="GS126" s="206"/>
      <c r="GT126" s="206"/>
      <c r="GU126" s="206"/>
      <c r="GV126" s="206"/>
      <c r="GW126" s="206"/>
      <c r="GX126" s="206"/>
      <c r="GY126" s="206"/>
      <c r="GZ126" s="206"/>
      <c r="HA126" s="206"/>
      <c r="HB126" s="206"/>
      <c r="HC126" s="206"/>
      <c r="HD126" s="206"/>
      <c r="HE126" s="206"/>
      <c r="HF126" s="206"/>
      <c r="HG126" s="206"/>
      <c r="HH126" s="206"/>
      <c r="HI126" s="206"/>
      <c r="HJ126" s="206"/>
      <c r="HK126" s="206"/>
      <c r="HL126" s="206"/>
      <c r="HM126" s="206"/>
      <c r="HN126" s="206"/>
      <c r="HO126" s="206"/>
      <c r="HP126" s="206"/>
      <c r="HQ126" s="206"/>
      <c r="HR126" s="206"/>
      <c r="HS126" s="206"/>
      <c r="HT126" s="206"/>
      <c r="HU126" s="206"/>
      <c r="HV126" s="206"/>
      <c r="HW126" s="206"/>
      <c r="HX126" s="206"/>
      <c r="HY126" s="206"/>
      <c r="HZ126" s="206"/>
      <c r="IA126" s="206"/>
      <c r="IB126" s="206"/>
      <c r="IC126" s="206"/>
      <c r="ID126" s="206"/>
      <c r="IE126" s="206"/>
      <c r="IF126" s="206"/>
      <c r="IG126" s="206"/>
      <c r="IH126" s="206"/>
      <c r="II126" s="206"/>
      <c r="IJ126" s="206"/>
      <c r="IK126" s="206"/>
      <c r="IL126" s="206"/>
      <c r="IM126" s="206"/>
      <c r="IN126" s="206"/>
      <c r="IO126" s="206"/>
      <c r="IP126" s="206"/>
      <c r="IQ126" s="206"/>
      <c r="IR126" s="206"/>
      <c r="IS126" s="206"/>
      <c r="IT126" s="206"/>
      <c r="IU126" s="206"/>
      <c r="IV126" s="206"/>
      <c r="IW126" s="206"/>
    </row>
    <row r="127" customFormat="false" ht="12.75" hidden="true" customHeight="false" outlineLevel="0" collapsed="false">
      <c r="A127" s="186"/>
      <c r="B127" s="165" t="s">
        <v>347</v>
      </c>
      <c r="C127" s="0"/>
      <c r="D127" s="0"/>
      <c r="E127" s="0"/>
      <c r="F127" s="0"/>
      <c r="G127" s="0"/>
      <c r="H127" s="0"/>
      <c r="I127" s="0"/>
      <c r="J127" s="4"/>
      <c r="K127" s="0"/>
      <c r="L127" s="169" t="s">
        <v>142</v>
      </c>
      <c r="M127" s="115"/>
      <c r="N127" s="115" t="n">
        <v>0</v>
      </c>
      <c r="O127" s="115"/>
      <c r="P127" s="115" t="n">
        <v>0</v>
      </c>
      <c r="Q127" s="115"/>
      <c r="R127" s="115" t="n">
        <f aca="false">+N127+P127</f>
        <v>0</v>
      </c>
      <c r="S127" s="115"/>
      <c r="T127" s="115" t="n">
        <v>0</v>
      </c>
      <c r="U127" s="115"/>
      <c r="V127" s="115" t="n">
        <v>0</v>
      </c>
      <c r="X127" s="115" t="n">
        <v>0</v>
      </c>
      <c r="Z127" s="115" t="n">
        <v>0</v>
      </c>
      <c r="AB127" s="115" t="n">
        <v>0</v>
      </c>
      <c r="AD127" s="115" t="n">
        <v>0</v>
      </c>
      <c r="AF127" s="115" t="n">
        <v>0</v>
      </c>
      <c r="AH127" s="115" t="n">
        <v>0</v>
      </c>
      <c r="AJ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L127" s="115" t="n">
        <v>0</v>
      </c>
      <c r="BM127" s="115"/>
      <c r="BN127" s="115" t="n">
        <f aca="false">SUM(T127:BM127)</f>
        <v>0</v>
      </c>
      <c r="BO127" s="115"/>
      <c r="BP127" s="115" t="n">
        <v>0</v>
      </c>
      <c r="BQ127" s="115"/>
      <c r="BR127" s="115" t="n">
        <f aca="false">+R127-BN127+BP127</f>
        <v>0</v>
      </c>
      <c r="BT127" s="115" t="n">
        <f aca="false">+BN127+BR127</f>
        <v>0</v>
      </c>
      <c r="BV127" s="115" t="n">
        <f aca="false">+R127-BT127</f>
        <v>0</v>
      </c>
      <c r="BW127" s="115"/>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c r="FL127" s="206"/>
      <c r="FM127" s="206"/>
      <c r="FN127" s="206"/>
      <c r="FO127" s="206"/>
      <c r="FP127" s="206"/>
      <c r="FQ127" s="206"/>
      <c r="FR127" s="206"/>
      <c r="FS127" s="206"/>
      <c r="FT127" s="206"/>
      <c r="FU127" s="206"/>
      <c r="FV127" s="206"/>
      <c r="FW127" s="206"/>
      <c r="FX127" s="206"/>
      <c r="FY127" s="206"/>
      <c r="FZ127" s="206"/>
      <c r="GA127" s="206"/>
      <c r="GB127" s="206"/>
      <c r="GC127" s="206"/>
      <c r="GD127" s="206"/>
      <c r="GE127" s="206"/>
      <c r="GF127" s="206"/>
      <c r="GG127" s="206"/>
      <c r="GH127" s="206"/>
      <c r="GI127" s="206"/>
      <c r="GJ127" s="206"/>
      <c r="GK127" s="206"/>
      <c r="GL127" s="206"/>
      <c r="GM127" s="206"/>
      <c r="GN127" s="206"/>
      <c r="GO127" s="206"/>
      <c r="GP127" s="206"/>
      <c r="GQ127" s="206"/>
      <c r="GR127" s="206"/>
      <c r="GS127" s="206"/>
      <c r="GT127" s="206"/>
      <c r="GU127" s="206"/>
      <c r="GV127" s="206"/>
      <c r="GW127" s="206"/>
      <c r="GX127" s="206"/>
      <c r="GY127" s="206"/>
      <c r="GZ127" s="206"/>
      <c r="HA127" s="206"/>
      <c r="HB127" s="206"/>
      <c r="HC127" s="206"/>
      <c r="HD127" s="206"/>
      <c r="HE127" s="206"/>
      <c r="HF127" s="206"/>
      <c r="HG127" s="206"/>
      <c r="HH127" s="206"/>
      <c r="HI127" s="206"/>
      <c r="HJ127" s="206"/>
      <c r="HK127" s="206"/>
      <c r="HL127" s="206"/>
      <c r="HM127" s="206"/>
      <c r="HN127" s="206"/>
      <c r="HO127" s="206"/>
      <c r="HP127" s="206"/>
      <c r="HQ127" s="206"/>
      <c r="HR127" s="206"/>
      <c r="HS127" s="206"/>
      <c r="HT127" s="206"/>
      <c r="HU127" s="206"/>
      <c r="HV127" s="206"/>
      <c r="HW127" s="206"/>
      <c r="HX127" s="206"/>
      <c r="HY127" s="206"/>
      <c r="HZ127" s="206"/>
      <c r="IA127" s="206"/>
      <c r="IB127" s="206"/>
      <c r="IC127" s="206"/>
      <c r="ID127" s="206"/>
      <c r="IE127" s="206"/>
      <c r="IF127" s="206"/>
      <c r="IG127" s="206"/>
      <c r="IH127" s="206"/>
      <c r="II127" s="206"/>
      <c r="IJ127" s="206"/>
      <c r="IK127" s="206"/>
      <c r="IL127" s="206"/>
      <c r="IM127" s="206"/>
      <c r="IN127" s="206"/>
      <c r="IO127" s="206"/>
      <c r="IP127" s="206"/>
      <c r="IQ127" s="206"/>
      <c r="IR127" s="206"/>
      <c r="IS127" s="206"/>
      <c r="IT127" s="206"/>
      <c r="IU127" s="206"/>
      <c r="IV127" s="206"/>
      <c r="IW127" s="206"/>
    </row>
    <row r="128" customFormat="false" ht="12.75" hidden="true" customHeight="false" outlineLevel="0" collapsed="false">
      <c r="A128" s="209"/>
      <c r="B128" s="165" t="s">
        <v>348</v>
      </c>
      <c r="C128" s="18"/>
      <c r="D128" s="18"/>
      <c r="E128" s="18"/>
      <c r="F128" s="18"/>
      <c r="G128" s="18"/>
      <c r="H128" s="18"/>
      <c r="I128" s="18"/>
      <c r="J128" s="204"/>
      <c r="K128" s="18"/>
      <c r="L128" s="169" t="s">
        <v>142</v>
      </c>
      <c r="M128" s="115"/>
      <c r="N128" s="115" t="n">
        <v>0</v>
      </c>
      <c r="O128" s="115"/>
      <c r="P128" s="115" t="n">
        <v>0</v>
      </c>
      <c r="Q128" s="115"/>
      <c r="R128" s="115" t="n">
        <f aca="false">+N128+P128</f>
        <v>0</v>
      </c>
      <c r="S128" s="115"/>
      <c r="T128" s="115" t="n">
        <v>0</v>
      </c>
      <c r="U128" s="115"/>
      <c r="V128" s="115" t="n">
        <v>0</v>
      </c>
      <c r="X128" s="115" t="n">
        <v>0</v>
      </c>
      <c r="Z128" s="115" t="n">
        <v>0</v>
      </c>
      <c r="AB128" s="115" t="n">
        <v>0</v>
      </c>
      <c r="AD128" s="115" t="n">
        <v>0</v>
      </c>
      <c r="AF128" s="115" t="n">
        <v>0</v>
      </c>
      <c r="AH128" s="115" t="n">
        <v>0</v>
      </c>
      <c r="AJ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L128" s="115" t="n">
        <v>0</v>
      </c>
      <c r="BM128" s="115"/>
      <c r="BN128" s="115" t="n">
        <f aca="false">SUM(T128:BM128)</f>
        <v>0</v>
      </c>
      <c r="BO128" s="115"/>
      <c r="BP128" s="115" t="n">
        <v>0</v>
      </c>
      <c r="BQ128" s="115"/>
      <c r="BR128" s="115" t="n">
        <f aca="false">+R128-BN128+BP128</f>
        <v>0</v>
      </c>
      <c r="BT128" s="115" t="n">
        <f aca="false">+BN128+BR128</f>
        <v>0</v>
      </c>
      <c r="BV128" s="115" t="n">
        <f aca="false">+R128-BT128</f>
        <v>0</v>
      </c>
      <c r="BW128" s="115"/>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c r="FG128" s="207"/>
      <c r="FH128" s="207"/>
      <c r="FI128" s="207"/>
      <c r="FJ128" s="207"/>
      <c r="FK128" s="207"/>
      <c r="FL128" s="207"/>
      <c r="FM128" s="207"/>
      <c r="FN128" s="207"/>
      <c r="FO128" s="207"/>
      <c r="FP128" s="207"/>
      <c r="FQ128" s="207"/>
      <c r="FR128" s="207"/>
      <c r="FS128" s="207"/>
      <c r="FT128" s="207"/>
      <c r="FU128" s="207"/>
      <c r="FV128" s="207"/>
      <c r="FW128" s="207"/>
      <c r="FX128" s="207"/>
      <c r="FY128" s="207"/>
      <c r="FZ128" s="207"/>
      <c r="GA128" s="207"/>
      <c r="GB128" s="207"/>
      <c r="GC128" s="207"/>
      <c r="GD128" s="207"/>
      <c r="GE128" s="207"/>
      <c r="GF128" s="207"/>
      <c r="GG128" s="207"/>
      <c r="GH128" s="207"/>
      <c r="GI128" s="207"/>
      <c r="GJ128" s="207"/>
      <c r="GK128" s="207"/>
      <c r="GL128" s="207"/>
      <c r="GM128" s="207"/>
      <c r="GN128" s="207"/>
      <c r="GO128" s="207"/>
      <c r="GP128" s="207"/>
      <c r="GQ128" s="207"/>
      <c r="GR128" s="207"/>
      <c r="GS128" s="207"/>
      <c r="GT128" s="207"/>
      <c r="GU128" s="207"/>
      <c r="GV128" s="207"/>
      <c r="GW128" s="207"/>
      <c r="GX128" s="207"/>
      <c r="GY128" s="207"/>
      <c r="GZ128" s="207"/>
      <c r="HA128" s="207"/>
      <c r="HB128" s="207"/>
      <c r="HC128" s="207"/>
      <c r="HD128" s="207"/>
      <c r="HE128" s="207"/>
      <c r="HF128" s="207"/>
      <c r="HG128" s="207"/>
      <c r="HH128" s="207"/>
      <c r="HI128" s="207"/>
      <c r="HJ128" s="207"/>
      <c r="HK128" s="207"/>
      <c r="HL128" s="207"/>
      <c r="HM128" s="207"/>
      <c r="HN128" s="207"/>
      <c r="HO128" s="207"/>
      <c r="HP128" s="207"/>
      <c r="HQ128" s="207"/>
      <c r="HR128" s="207"/>
      <c r="HS128" s="207"/>
      <c r="HT128" s="207"/>
      <c r="HU128" s="207"/>
      <c r="HV128" s="207"/>
      <c r="HW128" s="207"/>
      <c r="HX128" s="207"/>
      <c r="HY128" s="207"/>
      <c r="HZ128" s="207"/>
      <c r="IA128" s="207"/>
      <c r="IB128" s="207"/>
      <c r="IC128" s="207"/>
      <c r="ID128" s="207"/>
      <c r="IE128" s="207"/>
      <c r="IF128" s="207"/>
      <c r="IG128" s="207"/>
      <c r="IH128" s="207"/>
      <c r="II128" s="207"/>
      <c r="IJ128" s="207"/>
      <c r="IK128" s="207"/>
      <c r="IL128" s="207"/>
      <c r="IM128" s="207"/>
      <c r="IN128" s="207"/>
      <c r="IO128" s="207"/>
      <c r="IP128" s="207"/>
      <c r="IQ128" s="207"/>
      <c r="IR128" s="207"/>
      <c r="IS128" s="207"/>
      <c r="IT128" s="207"/>
      <c r="IU128" s="207"/>
      <c r="IV128" s="207"/>
      <c r="IW128" s="207"/>
    </row>
    <row r="129" customFormat="false" ht="12.75" hidden="true" customHeight="false" outlineLevel="0" collapsed="false">
      <c r="A129" s="209"/>
      <c r="B129" s="165" t="s">
        <v>152</v>
      </c>
      <c r="C129" s="18"/>
      <c r="D129" s="18"/>
      <c r="E129" s="18"/>
      <c r="F129" s="18"/>
      <c r="G129" s="18"/>
      <c r="H129" s="18"/>
      <c r="I129" s="18"/>
      <c r="J129" s="204"/>
      <c r="K129" s="18"/>
      <c r="L129" s="169" t="s">
        <v>142</v>
      </c>
      <c r="M129" s="115"/>
      <c r="N129" s="115" t="n">
        <v>0</v>
      </c>
      <c r="O129" s="115"/>
      <c r="P129" s="115" t="n">
        <v>0</v>
      </c>
      <c r="Q129" s="115"/>
      <c r="R129" s="115" t="n">
        <f aca="false">+N129+P129</f>
        <v>0</v>
      </c>
      <c r="S129" s="115"/>
      <c r="T129" s="115" t="n">
        <v>0</v>
      </c>
      <c r="U129" s="115"/>
      <c r="V129" s="115" t="n">
        <v>0</v>
      </c>
      <c r="X129" s="115" t="n">
        <v>0</v>
      </c>
      <c r="Z129" s="115" t="n">
        <v>0</v>
      </c>
      <c r="AB129" s="115" t="n">
        <v>0</v>
      </c>
      <c r="AD129" s="115" t="n">
        <v>0</v>
      </c>
      <c r="AF129" s="115" t="n">
        <v>0</v>
      </c>
      <c r="AH129" s="115" t="n">
        <v>0</v>
      </c>
      <c r="AJ129" s="115" t="n">
        <v>0</v>
      </c>
      <c r="AN129" s="115" t="n">
        <v>0</v>
      </c>
      <c r="AP129" s="115" t="n">
        <v>0</v>
      </c>
      <c r="AR129" s="115" t="n">
        <v>0</v>
      </c>
      <c r="AT129" s="115" t="n">
        <v>0</v>
      </c>
      <c r="AV129" s="115" t="n">
        <v>0</v>
      </c>
      <c r="AX129" s="115" t="n">
        <v>0</v>
      </c>
      <c r="AZ129" s="115" t="n">
        <v>0</v>
      </c>
      <c r="BB129" s="115" t="n">
        <v>0</v>
      </c>
      <c r="BD129" s="115" t="n">
        <v>0</v>
      </c>
      <c r="BF129" s="115" t="n">
        <v>0</v>
      </c>
      <c r="BH129" s="115" t="n">
        <v>0</v>
      </c>
      <c r="BJ129" s="115" t="n">
        <v>0</v>
      </c>
      <c r="BL129" s="115" t="n">
        <v>0</v>
      </c>
      <c r="BM129" s="115"/>
      <c r="BN129" s="115" t="n">
        <f aca="false">SUM(T129:BM129)</f>
        <v>0</v>
      </c>
      <c r="BO129" s="115"/>
      <c r="BP129" s="115" t="n">
        <v>0</v>
      </c>
      <c r="BQ129" s="115"/>
      <c r="BR129" s="115" t="n">
        <f aca="false">+R129-BN129+BP129</f>
        <v>0</v>
      </c>
      <c r="BT129" s="115" t="n">
        <f aca="false">+BN129+BR129</f>
        <v>0</v>
      </c>
      <c r="BV129" s="115" t="n">
        <f aca="false">+R129-BT129</f>
        <v>0</v>
      </c>
      <c r="BW129" s="115"/>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c r="FG129" s="207"/>
      <c r="FH129" s="207"/>
      <c r="FI129" s="207"/>
      <c r="FJ129" s="207"/>
      <c r="FK129" s="207"/>
      <c r="FL129" s="207"/>
      <c r="FM129" s="207"/>
      <c r="FN129" s="207"/>
      <c r="FO129" s="207"/>
      <c r="FP129" s="207"/>
      <c r="FQ129" s="207"/>
      <c r="FR129" s="207"/>
      <c r="FS129" s="207"/>
      <c r="FT129" s="207"/>
      <c r="FU129" s="207"/>
      <c r="FV129" s="207"/>
      <c r="FW129" s="207"/>
      <c r="FX129" s="207"/>
      <c r="FY129" s="207"/>
      <c r="FZ129" s="207"/>
      <c r="GA129" s="207"/>
      <c r="GB129" s="207"/>
      <c r="GC129" s="207"/>
      <c r="GD129" s="207"/>
      <c r="GE129" s="207"/>
      <c r="GF129" s="207"/>
      <c r="GG129" s="207"/>
      <c r="GH129" s="207"/>
      <c r="GI129" s="207"/>
      <c r="GJ129" s="207"/>
      <c r="GK129" s="207"/>
      <c r="GL129" s="207"/>
      <c r="GM129" s="207"/>
      <c r="GN129" s="207"/>
      <c r="GO129" s="207"/>
      <c r="GP129" s="207"/>
      <c r="GQ129" s="207"/>
      <c r="GR129" s="207"/>
      <c r="GS129" s="207"/>
      <c r="GT129" s="207"/>
      <c r="GU129" s="207"/>
      <c r="GV129" s="207"/>
      <c r="GW129" s="207"/>
      <c r="GX129" s="207"/>
      <c r="GY129" s="207"/>
      <c r="GZ129" s="207"/>
      <c r="HA129" s="207"/>
      <c r="HB129" s="207"/>
      <c r="HC129" s="207"/>
      <c r="HD129" s="207"/>
      <c r="HE129" s="207"/>
      <c r="HF129" s="207"/>
      <c r="HG129" s="207"/>
      <c r="HH129" s="207"/>
      <c r="HI129" s="207"/>
      <c r="HJ129" s="207"/>
      <c r="HK129" s="207"/>
      <c r="HL129" s="207"/>
      <c r="HM129" s="207"/>
      <c r="HN129" s="207"/>
      <c r="HO129" s="207"/>
      <c r="HP129" s="207"/>
      <c r="HQ129" s="207"/>
      <c r="HR129" s="207"/>
      <c r="HS129" s="207"/>
      <c r="HT129" s="207"/>
      <c r="HU129" s="207"/>
      <c r="HV129" s="207"/>
      <c r="HW129" s="207"/>
      <c r="HX129" s="207"/>
      <c r="HY129" s="207"/>
      <c r="HZ129" s="207"/>
      <c r="IA129" s="207"/>
      <c r="IB129" s="207"/>
      <c r="IC129" s="207"/>
      <c r="ID129" s="207"/>
      <c r="IE129" s="207"/>
      <c r="IF129" s="207"/>
      <c r="IG129" s="207"/>
      <c r="IH129" s="207"/>
      <c r="II129" s="207"/>
      <c r="IJ129" s="207"/>
      <c r="IK129" s="207"/>
      <c r="IL129" s="207"/>
      <c r="IM129" s="207"/>
      <c r="IN129" s="207"/>
      <c r="IO129" s="207"/>
      <c r="IP129" s="207"/>
      <c r="IQ129" s="207"/>
      <c r="IR129" s="207"/>
      <c r="IS129" s="207"/>
      <c r="IT129" s="207"/>
      <c r="IU129" s="207"/>
      <c r="IV129" s="207"/>
      <c r="IW129" s="207"/>
    </row>
    <row r="130" customFormat="false" ht="12.75" hidden="true" customHeight="false" outlineLevel="0" collapsed="false">
      <c r="A130" s="209"/>
      <c r="B130" s="165"/>
      <c r="C130" s="18"/>
      <c r="D130" s="18"/>
      <c r="E130" s="18"/>
      <c r="F130" s="18"/>
      <c r="G130" s="18"/>
      <c r="H130" s="18"/>
      <c r="I130" s="18"/>
      <c r="J130" s="204"/>
      <c r="K130" s="18"/>
      <c r="L130" s="239"/>
      <c r="M130" s="115"/>
      <c r="O130" s="115"/>
      <c r="Q130" s="115"/>
      <c r="S130" s="115"/>
      <c r="T130" s="115"/>
      <c r="U130" s="115"/>
      <c r="V130" s="115"/>
      <c r="X130" s="115"/>
      <c r="Z130" s="115"/>
      <c r="AB130" s="115"/>
      <c r="AD130" s="115"/>
      <c r="BL130" s="115"/>
      <c r="BM130" s="115"/>
      <c r="BO130" s="115"/>
      <c r="BP130" s="115"/>
      <c r="BQ130" s="115"/>
      <c r="BW130" s="115"/>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CR130" s="207"/>
      <c r="CS130" s="207"/>
      <c r="CT130" s="207"/>
      <c r="CU130" s="207"/>
      <c r="CV130" s="207"/>
      <c r="CW130" s="207"/>
      <c r="CX130" s="207"/>
      <c r="CY130" s="207"/>
      <c r="CZ130" s="207"/>
      <c r="DA130" s="207"/>
      <c r="DB130" s="207"/>
      <c r="DC130" s="207"/>
      <c r="DD130" s="207"/>
      <c r="DE130" s="207"/>
      <c r="DF130" s="207"/>
      <c r="DG130" s="207"/>
      <c r="DH130" s="207"/>
      <c r="DI130" s="207"/>
      <c r="DJ130" s="207"/>
      <c r="DK130" s="207"/>
      <c r="DL130" s="207"/>
      <c r="DM130" s="207"/>
      <c r="DN130" s="207"/>
      <c r="DO130" s="207"/>
      <c r="DP130" s="207"/>
      <c r="DQ130" s="207"/>
      <c r="DR130" s="207"/>
      <c r="DS130" s="207"/>
      <c r="DT130" s="207"/>
      <c r="DU130" s="207"/>
      <c r="DV130" s="207"/>
      <c r="DW130" s="207"/>
      <c r="DX130" s="207"/>
      <c r="DY130" s="207"/>
      <c r="DZ130" s="207"/>
      <c r="EA130" s="207"/>
      <c r="EB130" s="207"/>
      <c r="EC130" s="207"/>
      <c r="ED130" s="207"/>
      <c r="EE130" s="207"/>
      <c r="EF130" s="207"/>
      <c r="EG130" s="207"/>
      <c r="EH130" s="207"/>
      <c r="EI130" s="207"/>
      <c r="EJ130" s="207"/>
      <c r="EK130" s="207"/>
      <c r="EL130" s="207"/>
      <c r="EM130" s="207"/>
      <c r="EN130" s="207"/>
      <c r="EO130" s="207"/>
      <c r="EP130" s="207"/>
      <c r="EQ130" s="207"/>
      <c r="ER130" s="207"/>
      <c r="ES130" s="207"/>
      <c r="ET130" s="207"/>
      <c r="EU130" s="207"/>
      <c r="EV130" s="207"/>
      <c r="EW130" s="207"/>
      <c r="EX130" s="207"/>
      <c r="EY130" s="207"/>
      <c r="EZ130" s="207"/>
      <c r="FA130" s="207"/>
      <c r="FB130" s="207"/>
      <c r="FC130" s="207"/>
      <c r="FD130" s="207"/>
      <c r="FE130" s="207"/>
      <c r="FF130" s="207"/>
      <c r="FG130" s="207"/>
      <c r="FH130" s="207"/>
      <c r="FI130" s="207"/>
      <c r="FJ130" s="207"/>
      <c r="FK130" s="207"/>
      <c r="FL130" s="207"/>
      <c r="FM130" s="207"/>
      <c r="FN130" s="207"/>
      <c r="FO130" s="207"/>
      <c r="FP130" s="207"/>
      <c r="FQ130" s="207"/>
      <c r="FR130" s="207"/>
      <c r="FS130" s="207"/>
      <c r="FT130" s="207"/>
      <c r="FU130" s="207"/>
      <c r="FV130" s="207"/>
      <c r="FW130" s="207"/>
      <c r="FX130" s="207"/>
      <c r="FY130" s="207"/>
      <c r="FZ130" s="207"/>
      <c r="GA130" s="207"/>
      <c r="GB130" s="207"/>
      <c r="GC130" s="207"/>
      <c r="GD130" s="207"/>
      <c r="GE130" s="207"/>
      <c r="GF130" s="207"/>
      <c r="GG130" s="207"/>
      <c r="GH130" s="207"/>
      <c r="GI130" s="207"/>
      <c r="GJ130" s="207"/>
      <c r="GK130" s="207"/>
      <c r="GL130" s="207"/>
      <c r="GM130" s="207"/>
      <c r="GN130" s="207"/>
      <c r="GO130" s="207"/>
      <c r="GP130" s="207"/>
      <c r="GQ130" s="207"/>
      <c r="GR130" s="207"/>
      <c r="GS130" s="207"/>
      <c r="GT130" s="207"/>
      <c r="GU130" s="207"/>
      <c r="GV130" s="207"/>
      <c r="GW130" s="207"/>
      <c r="GX130" s="207"/>
      <c r="GY130" s="207"/>
      <c r="GZ130" s="207"/>
      <c r="HA130" s="207"/>
      <c r="HB130" s="207"/>
      <c r="HC130" s="207"/>
      <c r="HD130" s="207"/>
      <c r="HE130" s="207"/>
      <c r="HF130" s="207"/>
      <c r="HG130" s="207"/>
      <c r="HH130" s="207"/>
      <c r="HI130" s="207"/>
      <c r="HJ130" s="207"/>
      <c r="HK130" s="207"/>
      <c r="HL130" s="207"/>
      <c r="HM130" s="207"/>
      <c r="HN130" s="207"/>
      <c r="HO130" s="207"/>
      <c r="HP130" s="207"/>
      <c r="HQ130" s="207"/>
      <c r="HR130" s="207"/>
      <c r="HS130" s="207"/>
      <c r="HT130" s="207"/>
      <c r="HU130" s="207"/>
      <c r="HV130" s="207"/>
      <c r="HW130" s="207"/>
      <c r="HX130" s="207"/>
      <c r="HY130" s="207"/>
      <c r="HZ130" s="207"/>
      <c r="IA130" s="207"/>
      <c r="IB130" s="207"/>
      <c r="IC130" s="207"/>
      <c r="ID130" s="207"/>
      <c r="IE130" s="207"/>
      <c r="IF130" s="207"/>
      <c r="IG130" s="207"/>
      <c r="IH130" s="207"/>
      <c r="II130" s="207"/>
      <c r="IJ130" s="207"/>
      <c r="IK130" s="207"/>
      <c r="IL130" s="207"/>
      <c r="IM130" s="207"/>
      <c r="IN130" s="207"/>
      <c r="IO130" s="207"/>
      <c r="IP130" s="207"/>
      <c r="IQ130" s="207"/>
      <c r="IR130" s="207"/>
      <c r="IS130" s="207"/>
      <c r="IT130" s="207"/>
      <c r="IU130" s="207"/>
      <c r="IV130" s="207"/>
      <c r="IW130" s="207"/>
    </row>
    <row r="131" customFormat="false" ht="12.75" hidden="true" customHeight="false" outlineLevel="0" collapsed="false">
      <c r="A131" s="208"/>
      <c r="B131" s="209" t="s">
        <v>349</v>
      </c>
      <c r="C131" s="2"/>
      <c r="D131" s="2"/>
      <c r="E131" s="2"/>
      <c r="F131" s="2"/>
      <c r="G131" s="2"/>
      <c r="H131" s="2"/>
      <c r="I131" s="2"/>
      <c r="J131" s="3"/>
      <c r="K131" s="2"/>
      <c r="L131" s="188"/>
      <c r="M131" s="24"/>
      <c r="N131" s="210" t="n">
        <f aca="false">SUM(N120:N130)</f>
        <v>0</v>
      </c>
      <c r="O131" s="24"/>
      <c r="P131" s="210" t="n">
        <f aca="false">SUM(P120:P130)</f>
        <v>0</v>
      </c>
      <c r="Q131" s="24"/>
      <c r="R131" s="210" t="n">
        <f aca="false">SUM(R120:R130)</f>
        <v>0</v>
      </c>
      <c r="S131" s="24"/>
      <c r="T131" s="210" t="n">
        <f aca="false">SUM(T120:T130)</f>
        <v>0</v>
      </c>
      <c r="U131" s="24"/>
      <c r="V131" s="210" t="n">
        <f aca="false">SUM(V120:V130)</f>
        <v>0</v>
      </c>
      <c r="W131" s="24"/>
      <c r="X131" s="210" t="n">
        <f aca="false">SUM(X120:X130)</f>
        <v>0</v>
      </c>
      <c r="Y131" s="24"/>
      <c r="Z131" s="210" t="n">
        <f aca="false">SUM(Z120:Z130)</f>
        <v>0</v>
      </c>
      <c r="AA131" s="24"/>
      <c r="AB131" s="210" t="n">
        <f aca="false">SUM(AB120:AB130)</f>
        <v>0</v>
      </c>
      <c r="AC131" s="24"/>
      <c r="AD131" s="210" t="n">
        <f aca="false">SUM(AD120:AD130)</f>
        <v>0</v>
      </c>
      <c r="AE131" s="24"/>
      <c r="AF131" s="210" t="n">
        <f aca="false">SUM(AF120:AF130)</f>
        <v>0</v>
      </c>
      <c r="AG131" s="24"/>
      <c r="AH131" s="210" t="n">
        <f aca="false">SUM(AH120:AH130)</f>
        <v>0</v>
      </c>
      <c r="AI131" s="24"/>
      <c r="AJ131" s="210" t="n">
        <f aca="false">SUM(AJ120:AJ130)</f>
        <v>0</v>
      </c>
      <c r="AK131" s="24"/>
      <c r="AL131" s="210"/>
      <c r="AM131" s="24"/>
      <c r="AN131" s="210" t="n">
        <f aca="false">SUM(AN120:AN130)</f>
        <v>0</v>
      </c>
      <c r="AO131" s="24"/>
      <c r="AP131" s="210" t="n">
        <f aca="false">SUM(AP120:AP130)</f>
        <v>0</v>
      </c>
      <c r="AQ131" s="24"/>
      <c r="AR131" s="210" t="n">
        <f aca="false">SUM(AR120:AR130)</f>
        <v>0</v>
      </c>
      <c r="AS131" s="24"/>
      <c r="AT131" s="210" t="n">
        <f aca="false">SUM(AT120:AT130)</f>
        <v>0</v>
      </c>
      <c r="AU131" s="24"/>
      <c r="AV131" s="210" t="n">
        <f aca="false">SUM(AV120:AV130)</f>
        <v>0</v>
      </c>
      <c r="AW131" s="24"/>
      <c r="AX131" s="210" t="n">
        <f aca="false">SUM(AX120:AX130)</f>
        <v>0</v>
      </c>
      <c r="AY131" s="24"/>
      <c r="AZ131" s="210" t="n">
        <f aca="false">SUM(AZ120:AZ130)</f>
        <v>0</v>
      </c>
      <c r="BA131" s="24"/>
      <c r="BB131" s="210" t="n">
        <f aca="false">SUM(BB120:BB130)</f>
        <v>0</v>
      </c>
      <c r="BC131" s="24"/>
      <c r="BD131" s="210" t="n">
        <f aca="false">SUM(BD120:BD130)</f>
        <v>0</v>
      </c>
      <c r="BE131" s="24"/>
      <c r="BF131" s="210" t="n">
        <f aca="false">SUM(BF120:BF130)</f>
        <v>0</v>
      </c>
      <c r="BG131" s="24"/>
      <c r="BH131" s="210" t="n">
        <f aca="false">SUM(BH120:BH130)</f>
        <v>0</v>
      </c>
      <c r="BI131" s="24"/>
      <c r="BJ131" s="210" t="n">
        <f aca="false">SUM(BJ120:BJ130)</f>
        <v>0</v>
      </c>
      <c r="BK131" s="24"/>
      <c r="BL131" s="210" t="n">
        <f aca="false">SUM(BL120:BL130)</f>
        <v>0</v>
      </c>
      <c r="BM131" s="24"/>
      <c r="BN131" s="210" t="n">
        <f aca="false">SUM(BN120:BN130)</f>
        <v>0</v>
      </c>
      <c r="BO131" s="24"/>
      <c r="BP131" s="210" t="n">
        <f aca="false">SUM(BP120:BP130)</f>
        <v>0</v>
      </c>
      <c r="BQ131" s="24"/>
      <c r="BR131" s="210" t="n">
        <f aca="false">SUM(BR120:BR130)</f>
        <v>0</v>
      </c>
      <c r="BS131" s="24"/>
      <c r="BT131" s="210" t="n">
        <f aca="false">SUM(BT120:BT130)</f>
        <v>0</v>
      </c>
      <c r="BU131" s="24"/>
      <c r="BV131" s="210" t="n">
        <f aca="false">SUM(BV120:BV130)</f>
        <v>0</v>
      </c>
      <c r="BW131" s="24"/>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11"/>
      <c r="DQ131" s="211"/>
      <c r="DR131" s="211"/>
      <c r="DS131" s="211"/>
      <c r="DT131" s="211"/>
      <c r="DU131" s="211"/>
      <c r="DV131" s="211"/>
      <c r="DW131" s="211"/>
      <c r="DX131" s="211"/>
      <c r="DY131" s="211"/>
      <c r="DZ131" s="211"/>
      <c r="EA131" s="211"/>
      <c r="EB131" s="211"/>
      <c r="EC131" s="211"/>
      <c r="ED131" s="211"/>
      <c r="EE131" s="211"/>
      <c r="EF131" s="211"/>
      <c r="EG131" s="211"/>
      <c r="EH131" s="211"/>
      <c r="EI131" s="211"/>
      <c r="EJ131" s="211"/>
      <c r="EK131" s="211"/>
      <c r="EL131" s="211"/>
      <c r="EM131" s="211"/>
      <c r="EN131" s="211"/>
      <c r="EO131" s="211"/>
      <c r="EP131" s="211"/>
      <c r="EQ131" s="211"/>
      <c r="ER131" s="211"/>
      <c r="ES131" s="211"/>
      <c r="ET131" s="211"/>
      <c r="EU131" s="211"/>
      <c r="EV131" s="211"/>
      <c r="EW131" s="211"/>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1"/>
      <c r="FS131" s="211"/>
      <c r="FT131" s="211"/>
      <c r="FU131" s="211"/>
      <c r="FV131" s="211"/>
      <c r="FW131" s="211"/>
      <c r="FX131" s="211"/>
      <c r="FY131" s="211"/>
      <c r="FZ131" s="211"/>
      <c r="GA131" s="211"/>
      <c r="GB131" s="211"/>
      <c r="GC131" s="211"/>
      <c r="GD131" s="211"/>
      <c r="GE131" s="211"/>
      <c r="GF131" s="211"/>
      <c r="GG131" s="211"/>
      <c r="GH131" s="211"/>
      <c r="GI131" s="211"/>
      <c r="GJ131" s="211"/>
      <c r="GK131" s="211"/>
      <c r="GL131" s="211"/>
      <c r="GM131" s="211"/>
      <c r="GN131" s="211"/>
      <c r="GO131" s="211"/>
      <c r="GP131" s="211"/>
      <c r="GQ131" s="211"/>
      <c r="GR131" s="211"/>
      <c r="GS131" s="211"/>
      <c r="GT131" s="211"/>
      <c r="GU131" s="211"/>
      <c r="GV131" s="211"/>
      <c r="GW131" s="211"/>
      <c r="GX131" s="211"/>
      <c r="GY131" s="211"/>
      <c r="GZ131" s="211"/>
      <c r="HA131" s="211"/>
      <c r="HB131" s="211"/>
      <c r="HC131" s="211"/>
      <c r="HD131" s="211"/>
      <c r="HE131" s="211"/>
      <c r="HF131" s="211"/>
      <c r="HG131" s="211"/>
      <c r="HH131" s="211"/>
      <c r="HI131" s="211"/>
      <c r="HJ131" s="211"/>
      <c r="HK131" s="211"/>
      <c r="HL131" s="211"/>
      <c r="HM131" s="211"/>
      <c r="HN131" s="211"/>
      <c r="HO131" s="211"/>
      <c r="HP131" s="211"/>
      <c r="HQ131" s="211"/>
      <c r="HR131" s="211"/>
      <c r="HS131" s="211"/>
      <c r="HT131" s="211"/>
      <c r="HU131" s="211"/>
      <c r="HV131" s="211"/>
      <c r="HW131" s="211"/>
      <c r="HX131" s="211"/>
      <c r="HY131" s="211"/>
      <c r="HZ131" s="211"/>
      <c r="IA131" s="211"/>
      <c r="IB131" s="211"/>
      <c r="IC131" s="211"/>
      <c r="ID131" s="211"/>
      <c r="IE131" s="211"/>
      <c r="IF131" s="211"/>
      <c r="IG131" s="211"/>
      <c r="IH131" s="211"/>
      <c r="II131" s="211"/>
      <c r="IJ131" s="211"/>
      <c r="IK131" s="211"/>
      <c r="IL131" s="211"/>
      <c r="IM131" s="211"/>
      <c r="IN131" s="211"/>
      <c r="IO131" s="211"/>
      <c r="IP131" s="211"/>
      <c r="IQ131" s="211"/>
      <c r="IR131" s="211"/>
      <c r="IS131" s="211"/>
      <c r="IT131" s="211"/>
      <c r="IU131" s="211"/>
      <c r="IV131" s="211"/>
      <c r="IW131" s="211"/>
    </row>
    <row r="132" customFormat="false" ht="12.75" hidden="true" customHeight="false" outlineLevel="0" collapsed="false">
      <c r="A132" s="214"/>
      <c r="B132" s="173"/>
      <c r="C132" s="0"/>
      <c r="D132" s="0"/>
      <c r="E132" s="0"/>
      <c r="F132" s="0"/>
      <c r="G132" s="0"/>
      <c r="H132" s="0"/>
      <c r="I132" s="0"/>
      <c r="J132" s="4"/>
      <c r="K132" s="0"/>
      <c r="L132" s="169"/>
      <c r="M132" s="115"/>
      <c r="O132" s="115"/>
      <c r="Q132" s="115"/>
      <c r="S132" s="115"/>
      <c r="T132" s="115"/>
      <c r="U132" s="115"/>
      <c r="V132" s="115"/>
      <c r="X132" s="115"/>
      <c r="Z132" s="115"/>
      <c r="AB132" s="115"/>
      <c r="AD132" s="115"/>
      <c r="BL132" s="115"/>
      <c r="BM132" s="115"/>
      <c r="BO132" s="115"/>
      <c r="BP132" s="115"/>
      <c r="BQ132" s="115"/>
      <c r="BW132" s="115"/>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c r="FI132" s="206"/>
      <c r="FJ132" s="206"/>
      <c r="FK132" s="206"/>
      <c r="FL132" s="206"/>
      <c r="FM132" s="206"/>
      <c r="FN132" s="206"/>
      <c r="FO132" s="206"/>
      <c r="FP132" s="206"/>
      <c r="FQ132" s="206"/>
      <c r="FR132" s="206"/>
      <c r="FS132" s="206"/>
      <c r="FT132" s="206"/>
      <c r="FU132" s="206"/>
      <c r="FV132" s="206"/>
      <c r="FW132" s="206"/>
      <c r="FX132" s="206"/>
      <c r="FY132" s="206"/>
      <c r="FZ132" s="206"/>
      <c r="GA132" s="206"/>
      <c r="GB132" s="206"/>
      <c r="GC132" s="206"/>
      <c r="GD132" s="206"/>
      <c r="GE132" s="206"/>
      <c r="GF132" s="206"/>
      <c r="GG132" s="206"/>
      <c r="GH132" s="206"/>
      <c r="GI132" s="206"/>
      <c r="GJ132" s="206"/>
      <c r="GK132" s="206"/>
      <c r="GL132" s="206"/>
      <c r="GM132" s="206"/>
      <c r="GN132" s="206"/>
      <c r="GO132" s="206"/>
      <c r="GP132" s="206"/>
      <c r="GQ132" s="206"/>
      <c r="GR132" s="206"/>
      <c r="GS132" s="206"/>
      <c r="GT132" s="206"/>
      <c r="GU132" s="206"/>
      <c r="GV132" s="206"/>
      <c r="GW132" s="206"/>
      <c r="GX132" s="206"/>
      <c r="GY132" s="206"/>
      <c r="GZ132" s="206"/>
      <c r="HA132" s="206"/>
      <c r="HB132" s="206"/>
      <c r="HC132" s="206"/>
      <c r="HD132" s="206"/>
      <c r="HE132" s="206"/>
      <c r="HF132" s="206"/>
      <c r="HG132" s="206"/>
      <c r="HH132" s="206"/>
      <c r="HI132" s="206"/>
      <c r="HJ132" s="206"/>
      <c r="HK132" s="206"/>
      <c r="HL132" s="206"/>
      <c r="HM132" s="206"/>
      <c r="HN132" s="206"/>
      <c r="HO132" s="206"/>
      <c r="HP132" s="206"/>
      <c r="HQ132" s="206"/>
      <c r="HR132" s="206"/>
      <c r="HS132" s="206"/>
      <c r="HT132" s="206"/>
      <c r="HU132" s="206"/>
      <c r="HV132" s="206"/>
      <c r="HW132" s="206"/>
      <c r="HX132" s="206"/>
      <c r="HY132" s="206"/>
      <c r="HZ132" s="206"/>
      <c r="IA132" s="206"/>
      <c r="IB132" s="206"/>
      <c r="IC132" s="206"/>
      <c r="ID132" s="206"/>
      <c r="IE132" s="206"/>
      <c r="IF132" s="206"/>
      <c r="IG132" s="206"/>
      <c r="IH132" s="206"/>
      <c r="II132" s="206"/>
      <c r="IJ132" s="206"/>
      <c r="IK132" s="206"/>
      <c r="IL132" s="206"/>
      <c r="IM132" s="206"/>
      <c r="IN132" s="206"/>
      <c r="IO132" s="206"/>
      <c r="IP132" s="206"/>
      <c r="IQ132" s="206"/>
      <c r="IR132" s="206"/>
      <c r="IS132" s="206"/>
      <c r="IT132" s="206"/>
      <c r="IU132" s="206"/>
      <c r="IV132" s="206"/>
      <c r="IW132" s="206"/>
    </row>
    <row r="133" customFormat="false" ht="12.75" hidden="false" customHeight="false" outlineLevel="0" collapsed="false">
      <c r="A133" s="214"/>
      <c r="B133" s="173"/>
      <c r="C133" s="0"/>
      <c r="D133" s="0"/>
      <c r="E133" s="0"/>
      <c r="F133" s="0"/>
      <c r="G133" s="0"/>
      <c r="H133" s="0"/>
      <c r="I133" s="0"/>
      <c r="J133" s="4"/>
      <c r="K133" s="0"/>
      <c r="L133" s="169"/>
      <c r="M133" s="115"/>
      <c r="O133" s="115"/>
      <c r="Q133" s="115"/>
      <c r="S133" s="115"/>
      <c r="T133" s="115"/>
      <c r="U133" s="115"/>
      <c r="V133" s="115"/>
      <c r="X133" s="115"/>
      <c r="Z133" s="115"/>
      <c r="AB133" s="115"/>
      <c r="AD133" s="115"/>
      <c r="BL133" s="115"/>
      <c r="BM133" s="115"/>
      <c r="BO133" s="115"/>
      <c r="BP133" s="115"/>
      <c r="BQ133" s="115"/>
      <c r="BW133" s="115"/>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c r="GE133" s="206"/>
      <c r="GF133" s="206"/>
      <c r="GG133" s="206"/>
      <c r="GH133" s="206"/>
      <c r="GI133" s="206"/>
      <c r="GJ133" s="206"/>
      <c r="GK133" s="206"/>
      <c r="GL133" s="206"/>
      <c r="GM133" s="206"/>
      <c r="GN133" s="206"/>
      <c r="GO133" s="206"/>
      <c r="GP133" s="206"/>
      <c r="GQ133" s="206"/>
      <c r="GR133" s="206"/>
      <c r="GS133" s="206"/>
      <c r="GT133" s="206"/>
      <c r="GU133" s="206"/>
      <c r="GV133" s="206"/>
      <c r="GW133" s="206"/>
      <c r="GX133" s="206"/>
      <c r="GY133" s="206"/>
      <c r="GZ133" s="206"/>
      <c r="HA133" s="206"/>
      <c r="HB133" s="206"/>
      <c r="HC133" s="206"/>
      <c r="HD133" s="206"/>
      <c r="HE133" s="206"/>
      <c r="HF133" s="206"/>
      <c r="HG133" s="206"/>
      <c r="HH133" s="206"/>
      <c r="HI133" s="206"/>
      <c r="HJ133" s="206"/>
      <c r="HK133" s="206"/>
      <c r="HL133" s="206"/>
      <c r="HM133" s="206"/>
      <c r="HN133" s="206"/>
      <c r="HO133" s="206"/>
      <c r="HP133" s="206"/>
      <c r="HQ133" s="206"/>
      <c r="HR133" s="206"/>
      <c r="HS133" s="206"/>
      <c r="HT133" s="206"/>
      <c r="HU133" s="206"/>
      <c r="HV133" s="206"/>
      <c r="HW133" s="206"/>
      <c r="HX133" s="206"/>
      <c r="HY133" s="206"/>
      <c r="HZ133" s="206"/>
      <c r="IA133" s="206"/>
      <c r="IB133" s="206"/>
      <c r="IC133" s="206"/>
      <c r="ID133" s="206"/>
      <c r="IE133" s="206"/>
      <c r="IF133" s="206"/>
      <c r="IG133" s="206"/>
      <c r="IH133" s="206"/>
      <c r="II133" s="206"/>
      <c r="IJ133" s="206"/>
      <c r="IK133" s="206"/>
      <c r="IL133" s="206"/>
      <c r="IM133" s="206"/>
      <c r="IN133" s="206"/>
      <c r="IO133" s="206"/>
      <c r="IP133" s="206"/>
      <c r="IQ133" s="206"/>
      <c r="IR133" s="206"/>
      <c r="IS133" s="206"/>
      <c r="IT133" s="206"/>
      <c r="IU133" s="206"/>
      <c r="IV133" s="206"/>
      <c r="IW133" s="206"/>
    </row>
    <row r="134" customFormat="false" ht="12.75" hidden="false" customHeight="false" outlineLevel="0" collapsed="false">
      <c r="A134" s="182" t="s">
        <v>235</v>
      </c>
      <c r="B134" s="215"/>
      <c r="C134" s="0"/>
      <c r="D134" s="0"/>
      <c r="E134" s="0"/>
      <c r="F134" s="0"/>
      <c r="G134" s="0"/>
      <c r="H134" s="0"/>
      <c r="I134" s="0"/>
      <c r="J134" s="4"/>
      <c r="K134" s="0"/>
      <c r="L134" s="169"/>
      <c r="M134" s="115"/>
      <c r="O134" s="115"/>
      <c r="Q134" s="115"/>
      <c r="S134" s="115"/>
      <c r="T134" s="115"/>
      <c r="U134" s="115"/>
      <c r="V134" s="115"/>
      <c r="X134" s="115"/>
      <c r="Z134" s="115"/>
      <c r="AB134" s="115"/>
      <c r="AD134" s="115"/>
      <c r="BL134" s="115"/>
      <c r="BM134" s="115"/>
      <c r="BO134" s="115"/>
      <c r="BP134" s="115"/>
      <c r="BQ134" s="115"/>
      <c r="BW134" s="115"/>
    </row>
    <row r="135" customFormat="false" ht="12.75" hidden="false" customHeight="false" outlineLevel="0" collapsed="false">
      <c r="A135" s="202"/>
      <c r="B135" s="165" t="s">
        <v>236</v>
      </c>
      <c r="E135" s="123"/>
      <c r="G135" s="123"/>
      <c r="I135" s="123"/>
      <c r="J135" s="124" t="s">
        <v>132</v>
      </c>
      <c r="L135" s="169" t="s">
        <v>142</v>
      </c>
      <c r="M135" s="115"/>
      <c r="N135" s="115" t="n">
        <v>0</v>
      </c>
      <c r="O135" s="115"/>
      <c r="P135" s="115" t="n">
        <v>0</v>
      </c>
      <c r="Q135" s="115"/>
      <c r="R135" s="115" t="n">
        <v>0</v>
      </c>
      <c r="S135" s="115"/>
      <c r="T135" s="115" t="n">
        <v>0</v>
      </c>
      <c r="U135" s="115"/>
      <c r="V135" s="115" t="n">
        <v>0</v>
      </c>
      <c r="X135" s="115" t="n">
        <v>0</v>
      </c>
      <c r="Z135" s="115" t="n">
        <v>0</v>
      </c>
      <c r="AB135" s="115" t="n">
        <v>0</v>
      </c>
      <c r="AD135" s="115" t="n">
        <v>0</v>
      </c>
      <c r="AF135" s="115" t="n">
        <v>0</v>
      </c>
      <c r="AH135" s="115" t="n">
        <v>0</v>
      </c>
      <c r="AJ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L135" s="115" t="n">
        <v>0</v>
      </c>
      <c r="BM135" s="115"/>
      <c r="BN135" s="115" t="n">
        <f aca="false">SUM(T135:BM135)</f>
        <v>0</v>
      </c>
      <c r="BO135" s="115"/>
      <c r="BP135" s="115" t="n">
        <v>0</v>
      </c>
      <c r="BQ135" s="115"/>
      <c r="BR135" s="115" t="n">
        <f aca="false">IF(+R135-BN135+BP135&gt;0,R135-BN135+BP135,0)</f>
        <v>0</v>
      </c>
      <c r="BT135" s="115" t="n">
        <f aca="false">+BN135+BR135</f>
        <v>0</v>
      </c>
      <c r="BV135" s="115" t="n">
        <f aca="false">+R135-BT135</f>
        <v>0</v>
      </c>
      <c r="BW135" s="115"/>
    </row>
    <row r="136" customFormat="false" ht="12.75" hidden="false" customHeight="false" outlineLevel="0" collapsed="false">
      <c r="A136" s="202"/>
      <c r="B136" s="165" t="s">
        <v>350</v>
      </c>
      <c r="E136" s="123"/>
      <c r="G136" s="123"/>
      <c r="I136" s="123"/>
      <c r="L136" s="169" t="s">
        <v>142</v>
      </c>
      <c r="M136" s="115"/>
      <c r="N136" s="115" t="n">
        <v>0</v>
      </c>
      <c r="O136" s="115"/>
      <c r="P136" s="115" t="n">
        <v>0</v>
      </c>
      <c r="Q136" s="115"/>
      <c r="R136" s="115" t="n">
        <f aca="false">+N136+P136</f>
        <v>0</v>
      </c>
      <c r="S136" s="115"/>
      <c r="T136" s="115" t="n">
        <v>0</v>
      </c>
      <c r="U136" s="115"/>
      <c r="V136" s="115" t="n">
        <v>0</v>
      </c>
      <c r="X136" s="115" t="n">
        <v>0</v>
      </c>
      <c r="Z136" s="115" t="n">
        <v>0</v>
      </c>
      <c r="AB136" s="115" t="n">
        <v>0</v>
      </c>
      <c r="AD136" s="115" t="n">
        <v>0</v>
      </c>
      <c r="AF136" s="115" t="n">
        <v>0</v>
      </c>
      <c r="AH136" s="115" t="n">
        <v>0</v>
      </c>
      <c r="AJ136" s="115" t="n">
        <v>0</v>
      </c>
      <c r="AN136" s="115" t="n">
        <v>0</v>
      </c>
      <c r="AP136" s="115" t="n">
        <v>0</v>
      </c>
      <c r="AR136" s="115" t="n">
        <v>0</v>
      </c>
      <c r="AT136" s="115" t="n">
        <v>0</v>
      </c>
      <c r="AV136" s="115" t="n">
        <v>0</v>
      </c>
      <c r="AX136" s="115" t="n">
        <v>0</v>
      </c>
      <c r="AZ136" s="115" t="n">
        <v>0</v>
      </c>
      <c r="BB136" s="115" t="n">
        <v>0</v>
      </c>
      <c r="BD136" s="115" t="n">
        <v>0</v>
      </c>
      <c r="BF136" s="115" t="n">
        <v>0</v>
      </c>
      <c r="BH136" s="115" t="n">
        <v>0</v>
      </c>
      <c r="BJ136" s="115" t="n">
        <v>0</v>
      </c>
      <c r="BL136" s="115" t="n">
        <v>0</v>
      </c>
      <c r="BM136" s="115"/>
      <c r="BN136" s="115" t="n">
        <f aca="false">SUM(T136:BM136)</f>
        <v>0</v>
      </c>
      <c r="BO136" s="115"/>
      <c r="BP136" s="115" t="n">
        <v>0</v>
      </c>
      <c r="BQ136" s="115"/>
      <c r="BR136" s="115" t="n">
        <f aca="false">+R136-BN136+BP136</f>
        <v>0</v>
      </c>
      <c r="BT136" s="115" t="n">
        <f aca="false">+BN136+BR136</f>
        <v>0</v>
      </c>
      <c r="BV136" s="115" t="n">
        <f aca="false">+R136-BT136</f>
        <v>0</v>
      </c>
      <c r="BW136" s="115"/>
    </row>
    <row r="137" customFormat="false" ht="12.75" hidden="true" customHeight="false" outlineLevel="0" collapsed="false">
      <c r="A137" s="202"/>
      <c r="B137" s="165" t="s">
        <v>152</v>
      </c>
      <c r="E137" s="123"/>
      <c r="G137" s="123"/>
      <c r="I137" s="123"/>
      <c r="L137" s="169" t="s">
        <v>142</v>
      </c>
      <c r="M137" s="115"/>
      <c r="N137" s="115" t="n">
        <v>0</v>
      </c>
      <c r="O137" s="115"/>
      <c r="P137" s="115" t="n">
        <v>0</v>
      </c>
      <c r="Q137" s="115"/>
      <c r="R137" s="115" t="n">
        <v>0</v>
      </c>
      <c r="S137" s="115"/>
      <c r="T137" s="115" t="n">
        <v>0</v>
      </c>
      <c r="U137" s="115"/>
      <c r="V137" s="115" t="n">
        <v>0</v>
      </c>
      <c r="X137" s="115" t="n">
        <v>0</v>
      </c>
      <c r="Z137" s="115" t="n">
        <v>0</v>
      </c>
      <c r="AB137" s="115" t="n">
        <v>0</v>
      </c>
      <c r="AD137" s="115" t="n">
        <v>0</v>
      </c>
      <c r="AF137" s="115" t="n">
        <v>0</v>
      </c>
      <c r="AH137" s="115" t="n">
        <v>0</v>
      </c>
      <c r="AJ137" s="115" t="n">
        <v>0</v>
      </c>
      <c r="AN137" s="115" t="n">
        <v>0</v>
      </c>
      <c r="AP137" s="115" t="n">
        <v>0</v>
      </c>
      <c r="AR137" s="115" t="n">
        <v>0</v>
      </c>
      <c r="AT137" s="115" t="n">
        <v>0</v>
      </c>
      <c r="AV137" s="115" t="n">
        <v>0</v>
      </c>
      <c r="AX137" s="115" t="n">
        <v>0</v>
      </c>
      <c r="AZ137" s="115" t="n">
        <v>0</v>
      </c>
      <c r="BB137" s="115" t="n">
        <v>0</v>
      </c>
      <c r="BD137" s="115" t="n">
        <v>0</v>
      </c>
      <c r="BF137" s="115" t="n">
        <v>0</v>
      </c>
      <c r="BH137" s="115" t="n">
        <v>0</v>
      </c>
      <c r="BJ137" s="115" t="n">
        <v>0</v>
      </c>
      <c r="BL137" s="115" t="n">
        <v>0</v>
      </c>
      <c r="BM137" s="115"/>
      <c r="BN137" s="115" t="n">
        <f aca="false">SUM(T137:BM137)</f>
        <v>0</v>
      </c>
      <c r="BO137" s="115"/>
      <c r="BP137" s="115" t="n">
        <v>0</v>
      </c>
      <c r="BQ137" s="115"/>
      <c r="BR137" s="115" t="n">
        <f aca="false">+R137-BN137+BP137</f>
        <v>0</v>
      </c>
      <c r="BT137" s="115" t="n">
        <f aca="false">+BN137+BR137</f>
        <v>0</v>
      </c>
      <c r="BV137" s="115" t="n">
        <f aca="false">+R137-BT137</f>
        <v>0</v>
      </c>
      <c r="BW137" s="115"/>
    </row>
    <row r="138" customFormat="false" ht="12.75" hidden="false" customHeight="false" outlineLevel="0" collapsed="false">
      <c r="A138" s="182"/>
      <c r="B138" s="215" t="s">
        <v>238</v>
      </c>
      <c r="C138" s="2"/>
      <c r="D138" s="2"/>
      <c r="E138" s="2"/>
      <c r="F138" s="2"/>
      <c r="G138" s="2"/>
      <c r="H138" s="2"/>
      <c r="I138" s="2"/>
      <c r="J138" s="3"/>
      <c r="K138" s="2"/>
      <c r="L138" s="188"/>
      <c r="M138" s="24"/>
      <c r="N138" s="210" t="n">
        <f aca="false">SUM(N135:N137)</f>
        <v>0</v>
      </c>
      <c r="O138" s="24"/>
      <c r="P138" s="210" t="n">
        <f aca="false">SUM(P135:P137)</f>
        <v>0</v>
      </c>
      <c r="Q138" s="24"/>
      <c r="R138" s="210" t="n">
        <f aca="false">SUM(R135:R137)</f>
        <v>0</v>
      </c>
      <c r="S138" s="24"/>
      <c r="T138" s="210" t="n">
        <f aca="false">SUM(T135:T137)</f>
        <v>0</v>
      </c>
      <c r="U138" s="24"/>
      <c r="V138" s="210" t="n">
        <f aca="false">SUM(V135:V137)</f>
        <v>0</v>
      </c>
      <c r="W138" s="24"/>
      <c r="X138" s="210" t="n">
        <f aca="false">SUM(X135:X137)</f>
        <v>0</v>
      </c>
      <c r="Y138" s="24"/>
      <c r="Z138" s="210" t="n">
        <f aca="false">SUM(Z135:Z137)</f>
        <v>0</v>
      </c>
      <c r="AA138" s="24"/>
      <c r="AB138" s="210" t="n">
        <f aca="false">SUM(AB135:AB137)</f>
        <v>0</v>
      </c>
      <c r="AC138" s="24"/>
      <c r="AD138" s="210" t="n">
        <f aca="false">SUM(AD135:AD137)</f>
        <v>0</v>
      </c>
      <c r="AE138" s="24"/>
      <c r="AF138" s="210" t="n">
        <f aca="false">SUM(AF135:AF137)</f>
        <v>0</v>
      </c>
      <c r="AG138" s="24"/>
      <c r="AH138" s="210" t="n">
        <f aca="false">SUM(AH135:AH137)</f>
        <v>0</v>
      </c>
      <c r="AI138" s="24"/>
      <c r="AJ138" s="210" t="n">
        <f aca="false">SUM(AJ135:AJ137)</f>
        <v>0</v>
      </c>
      <c r="AK138" s="24"/>
      <c r="AL138" s="210" t="n">
        <f aca="false">SUM(AL135:AL137)</f>
        <v>0</v>
      </c>
      <c r="AM138" s="210"/>
      <c r="AN138" s="210" t="n">
        <f aca="false">SUM(AN135:AN137)</f>
        <v>0</v>
      </c>
      <c r="AO138" s="24"/>
      <c r="AP138" s="210" t="n">
        <f aca="false">SUM(AP135:AP137)</f>
        <v>0</v>
      </c>
      <c r="AQ138" s="24"/>
      <c r="AR138" s="210" t="n">
        <f aca="false">SUM(AR135:AR137)</f>
        <v>0</v>
      </c>
      <c r="AS138" s="24"/>
      <c r="AT138" s="210" t="n">
        <f aca="false">SUM(AT135:AT137)</f>
        <v>0</v>
      </c>
      <c r="AU138" s="24"/>
      <c r="AV138" s="210" t="n">
        <f aca="false">SUM(AV135:AV137)</f>
        <v>0</v>
      </c>
      <c r="AW138" s="24"/>
      <c r="AX138" s="210" t="n">
        <f aca="false">SUM(AX135:AX137)</f>
        <v>0</v>
      </c>
      <c r="AY138" s="24"/>
      <c r="AZ138" s="210" t="n">
        <f aca="false">SUM(AZ135:AZ137)</f>
        <v>0</v>
      </c>
      <c r="BA138" s="24"/>
      <c r="BB138" s="210" t="n">
        <f aca="false">SUM(BB135:BB137)</f>
        <v>0</v>
      </c>
      <c r="BC138" s="24"/>
      <c r="BD138" s="210" t="n">
        <f aca="false">SUM(BD135:BD137)</f>
        <v>0</v>
      </c>
      <c r="BE138" s="24"/>
      <c r="BF138" s="210" t="n">
        <f aca="false">SUM(BF135:BF137)</f>
        <v>0</v>
      </c>
      <c r="BG138" s="24"/>
      <c r="BH138" s="210" t="n">
        <f aca="false">SUM(BH135:BH137)</f>
        <v>0</v>
      </c>
      <c r="BI138" s="24"/>
      <c r="BJ138" s="210" t="n">
        <f aca="false">SUM(BJ135:BJ137)</f>
        <v>0</v>
      </c>
      <c r="BK138" s="24"/>
      <c r="BL138" s="210" t="n">
        <f aca="false">SUM(BL135:BL137)</f>
        <v>0</v>
      </c>
      <c r="BM138" s="24"/>
      <c r="BN138" s="210" t="n">
        <f aca="false">SUM(BN135:BN137)</f>
        <v>0</v>
      </c>
      <c r="BO138" s="24"/>
      <c r="BP138" s="210" t="n">
        <f aca="false">SUM(BP135:BP137)</f>
        <v>0</v>
      </c>
      <c r="BQ138" s="24"/>
      <c r="BR138" s="210" t="n">
        <f aca="false">SUM(BR135:BR137)</f>
        <v>0</v>
      </c>
      <c r="BS138" s="24"/>
      <c r="BT138" s="210" t="n">
        <f aca="false">SUM(BT135:BT137)</f>
        <v>0</v>
      </c>
      <c r="BU138" s="24"/>
      <c r="BV138" s="210"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t="s">
        <v>351</v>
      </c>
      <c r="B140" s="215"/>
      <c r="C140" s="2"/>
      <c r="D140" s="2"/>
      <c r="E140" s="2"/>
      <c r="F140" s="2"/>
      <c r="G140" s="2"/>
      <c r="H140" s="2"/>
      <c r="I140" s="2"/>
      <c r="J140" s="3" t="s">
        <v>132</v>
      </c>
      <c r="K140" s="2"/>
      <c r="L140" s="188" t="s">
        <v>142</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239</v>
      </c>
      <c r="B142" s="216"/>
      <c r="C142" s="2"/>
      <c r="D142" s="2"/>
      <c r="E142" s="2"/>
      <c r="F142" s="2"/>
      <c r="G142" s="2"/>
      <c r="H142" s="2"/>
      <c r="I142" s="2"/>
      <c r="J142" s="3" t="s">
        <v>132</v>
      </c>
      <c r="K142" s="2"/>
      <c r="L142" s="169" t="s">
        <v>142</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5" t="s">
        <v>240</v>
      </c>
      <c r="B144" s="216"/>
      <c r="C144" s="216"/>
      <c r="D144" s="216"/>
      <c r="E144" s="216"/>
      <c r="F144" s="216"/>
      <c r="G144" s="216"/>
      <c r="H144" s="216"/>
      <c r="I144" s="216"/>
      <c r="J144" s="217" t="s">
        <v>132</v>
      </c>
      <c r="K144" s="216"/>
      <c r="L144" s="218" t="s">
        <v>142</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15" t="n">
        <f aca="false">IF(+R144-BN144+BP144&gt;0,R144-BN144+BP144,0)</f>
        <v>0</v>
      </c>
      <c r="BS144" s="24"/>
      <c r="BT144" s="24" t="n">
        <f aca="false">+BN144+BR144</f>
        <v>0</v>
      </c>
      <c r="BU144" s="24"/>
      <c r="BV144" s="24" t="n">
        <f aca="false">+R144-BT144</f>
        <v>0</v>
      </c>
      <c r="BW144" s="24"/>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c r="GY144" s="216"/>
      <c r="GZ144" s="216"/>
      <c r="HA144" s="216"/>
      <c r="HB144" s="216"/>
      <c r="HC144" s="216"/>
      <c r="HD144" s="216"/>
      <c r="HE144" s="216"/>
      <c r="HF144" s="216"/>
      <c r="HG144" s="216"/>
      <c r="HH144" s="216"/>
      <c r="HI144" s="216"/>
      <c r="HJ144" s="216"/>
      <c r="HK144" s="216"/>
      <c r="HL144" s="216"/>
      <c r="HM144" s="216"/>
      <c r="HN144" s="216"/>
      <c r="HO144" s="216"/>
      <c r="HP144" s="216"/>
      <c r="HQ144" s="216"/>
      <c r="HR144" s="216"/>
      <c r="HS144" s="216"/>
      <c r="HT144" s="216"/>
      <c r="HU144" s="216"/>
      <c r="HV144" s="216"/>
      <c r="HW144" s="216"/>
      <c r="HX144" s="216"/>
      <c r="HY144" s="216"/>
      <c r="HZ144" s="216"/>
      <c r="IA144" s="216"/>
      <c r="IB144" s="216"/>
      <c r="IC144" s="216"/>
      <c r="ID144" s="216"/>
      <c r="IE144" s="216"/>
      <c r="IF144" s="216"/>
      <c r="IG144" s="216"/>
      <c r="IH144" s="216"/>
      <c r="II144" s="216"/>
      <c r="IJ144" s="216"/>
      <c r="IK144" s="216"/>
      <c r="IL144" s="216"/>
      <c r="IM144" s="216"/>
      <c r="IN144" s="216"/>
      <c r="IO144" s="216"/>
      <c r="IP144" s="216"/>
      <c r="IQ144" s="216"/>
      <c r="IR144" s="216"/>
      <c r="IS144" s="216"/>
      <c r="IT144" s="216"/>
      <c r="IU144" s="216"/>
      <c r="IV144" s="216"/>
      <c r="IW144" s="216"/>
    </row>
    <row r="145" customFormat="false" ht="12.75" hidden="false" customHeight="false" outlineLevel="0" collapsed="false">
      <c r="A145" s="182"/>
      <c r="B145" s="216"/>
      <c r="C145" s="2"/>
      <c r="D145" s="2"/>
      <c r="E145" s="2"/>
      <c r="F145" s="2"/>
      <c r="G145" s="2"/>
      <c r="H145" s="2"/>
      <c r="I145" s="2"/>
      <c r="J145" s="3"/>
      <c r="K145" s="2"/>
      <c r="L145" s="169"/>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2" t="s">
        <v>154</v>
      </c>
      <c r="B146" s="215"/>
      <c r="C146" s="2"/>
      <c r="D146" s="2"/>
      <c r="E146" s="2"/>
      <c r="F146" s="2"/>
      <c r="G146" s="2"/>
      <c r="H146" s="2"/>
      <c r="I146" s="2"/>
      <c r="J146" s="3" t="s">
        <v>132</v>
      </c>
      <c r="K146" s="2"/>
      <c r="L146" s="169" t="s">
        <v>142</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1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2"/>
      <c r="B147" s="216"/>
      <c r="C147" s="2"/>
      <c r="D147" s="2"/>
      <c r="E147" s="2"/>
      <c r="F147" s="2"/>
      <c r="G147" s="2"/>
      <c r="H147" s="2"/>
      <c r="I147" s="2"/>
      <c r="J147" s="3"/>
      <c r="K147" s="2"/>
      <c r="L147" s="169"/>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2" t="s">
        <v>241</v>
      </c>
      <c r="B148" s="174"/>
      <c r="C148" s="0"/>
      <c r="D148" s="0"/>
      <c r="E148" s="0"/>
      <c r="F148" s="0"/>
      <c r="G148" s="0"/>
      <c r="H148" s="0"/>
      <c r="I148" s="0"/>
      <c r="J148" s="4"/>
      <c r="K148" s="0"/>
      <c r="L148" s="169"/>
      <c r="M148" s="115"/>
      <c r="O148" s="115"/>
      <c r="Q148" s="115"/>
      <c r="S148" s="115"/>
      <c r="T148" s="115"/>
      <c r="U148" s="115"/>
      <c r="V148" s="115"/>
      <c r="X148" s="115"/>
      <c r="Z148" s="115"/>
      <c r="AB148" s="115"/>
      <c r="AD148" s="115"/>
      <c r="BL148" s="115"/>
      <c r="BM148" s="115"/>
      <c r="BO148" s="115"/>
      <c r="BP148" s="115"/>
      <c r="BQ148" s="115"/>
      <c r="BW148" s="115"/>
    </row>
    <row r="149" customFormat="false" ht="12.75" hidden="false" customHeight="false" outlineLevel="0" collapsed="false">
      <c r="A149" s="202"/>
      <c r="B149" s="174" t="s">
        <v>242</v>
      </c>
      <c r="E149" s="123"/>
      <c r="G149" s="123"/>
      <c r="I149" s="123"/>
      <c r="J149" s="124" t="s">
        <v>132</v>
      </c>
      <c r="L149" s="169" t="s">
        <v>142</v>
      </c>
      <c r="M149" s="115"/>
      <c r="N149" s="115" t="n">
        <v>0</v>
      </c>
      <c r="O149" s="115"/>
      <c r="P149" s="115" t="n">
        <v>0</v>
      </c>
      <c r="Q149" s="115"/>
      <c r="R149" s="115" t="n">
        <v>0</v>
      </c>
      <c r="S149" s="115"/>
      <c r="T149" s="115" t="n">
        <v>0</v>
      </c>
      <c r="U149" s="115"/>
      <c r="V149" s="115" t="n">
        <v>0</v>
      </c>
      <c r="X149" s="115" t="n">
        <v>0</v>
      </c>
      <c r="Z149" s="115" t="n">
        <v>0</v>
      </c>
      <c r="AB149" s="115" t="n">
        <v>0</v>
      </c>
      <c r="AD149" s="115" t="n">
        <v>0</v>
      </c>
      <c r="AF149" s="115" t="n">
        <v>6000</v>
      </c>
      <c r="AH149" s="115" t="n">
        <v>0</v>
      </c>
      <c r="AJ149" s="115" t="n">
        <v>0</v>
      </c>
      <c r="AN149" s="115" t="n">
        <v>0</v>
      </c>
      <c r="AP149" s="115" t="n">
        <v>0</v>
      </c>
      <c r="AR149" s="115" t="n">
        <v>0</v>
      </c>
      <c r="AT149" s="115" t="n">
        <v>0</v>
      </c>
      <c r="AV149" s="115" t="n">
        <v>0</v>
      </c>
      <c r="AX149" s="115" t="n">
        <v>0</v>
      </c>
      <c r="AZ149" s="115" t="n">
        <v>0</v>
      </c>
      <c r="BB149" s="115" t="n">
        <v>0</v>
      </c>
      <c r="BD149" s="115" t="n">
        <v>6000</v>
      </c>
      <c r="BF149" s="115" t="n">
        <v>0</v>
      </c>
      <c r="BH149" s="115" t="n">
        <v>0</v>
      </c>
      <c r="BJ149" s="115" t="n">
        <v>0</v>
      </c>
      <c r="BL149" s="115" t="n">
        <v>0</v>
      </c>
      <c r="BM149" s="115"/>
      <c r="BN149" s="115" t="n">
        <f aca="false">SUM(T149:BM149)</f>
        <v>12000</v>
      </c>
      <c r="BO149" s="115"/>
      <c r="BP149" s="115" t="n">
        <v>0</v>
      </c>
      <c r="BQ149" s="115"/>
      <c r="BR149" s="115" t="n">
        <f aca="false">IF(+R149-BN149+BP149&gt;0,R149-BN149+BP149,0)</f>
        <v>0</v>
      </c>
      <c r="BT149" s="115" t="n">
        <f aca="false">+BN149+BR149</f>
        <v>12000</v>
      </c>
      <c r="BV149" s="115" t="n">
        <f aca="false">+R149-BT149</f>
        <v>-12000</v>
      </c>
      <c r="BW149" s="115"/>
    </row>
    <row r="150" customFormat="false" ht="12.75" hidden="false" customHeight="false" outlineLevel="0" collapsed="false">
      <c r="A150" s="202"/>
      <c r="B150" s="174" t="s">
        <v>243</v>
      </c>
      <c r="E150" s="123"/>
      <c r="G150" s="123"/>
      <c r="I150" s="123"/>
      <c r="J150" s="124" t="s">
        <v>132</v>
      </c>
      <c r="L150" s="169" t="s">
        <v>142</v>
      </c>
      <c r="M150" s="115"/>
      <c r="O150" s="115"/>
      <c r="Q150" s="115"/>
      <c r="R150" s="115" t="n">
        <v>0</v>
      </c>
      <c r="S150" s="115"/>
      <c r="T150" s="115" t="n">
        <v>0</v>
      </c>
      <c r="U150" s="115"/>
      <c r="V150" s="115" t="n">
        <v>0</v>
      </c>
      <c r="X150" s="115" t="n">
        <v>0</v>
      </c>
      <c r="Z150" s="115" t="n">
        <v>0</v>
      </c>
      <c r="AB150" s="115" t="n">
        <v>0</v>
      </c>
      <c r="AD150" s="115" t="n">
        <v>0</v>
      </c>
      <c r="AF150" s="115" t="n">
        <v>0</v>
      </c>
      <c r="AH150" s="115" t="n">
        <v>0</v>
      </c>
      <c r="AJ150" s="115" t="n">
        <v>0</v>
      </c>
      <c r="AN150" s="115" t="n">
        <v>0</v>
      </c>
      <c r="AP150" s="115" t="n">
        <v>0</v>
      </c>
      <c r="AR150" s="115" t="n">
        <v>0</v>
      </c>
      <c r="AT150" s="115" t="n">
        <v>0</v>
      </c>
      <c r="AV150" s="115" t="n">
        <v>0</v>
      </c>
      <c r="AX150" s="115" t="n">
        <v>0</v>
      </c>
      <c r="AZ150" s="115" t="n">
        <v>0</v>
      </c>
      <c r="BB150" s="115" t="n">
        <v>0</v>
      </c>
      <c r="BD150" s="115" t="n">
        <v>0</v>
      </c>
      <c r="BF150" s="115" t="n">
        <v>0</v>
      </c>
      <c r="BH150" s="115" t="n">
        <v>0</v>
      </c>
      <c r="BJ150" s="115" t="n">
        <v>0</v>
      </c>
      <c r="BL150" s="115" t="n">
        <v>0</v>
      </c>
      <c r="BM150" s="115"/>
      <c r="BN150" s="115" t="n">
        <f aca="false">SUM(T150:BM150)</f>
        <v>0</v>
      </c>
      <c r="BO150" s="115"/>
      <c r="BP150" s="115" t="n">
        <v>0</v>
      </c>
      <c r="BQ150" s="115"/>
      <c r="BR150" s="115" t="n">
        <f aca="false">IF(+R150-BN150+BP150&gt;0,R150-BN150+BP150,0)</f>
        <v>0</v>
      </c>
      <c r="BT150" s="115" t="n">
        <f aca="false">+BN150+BR150</f>
        <v>0</v>
      </c>
      <c r="BV150" s="115" t="n">
        <f aca="false">+R150-BT150</f>
        <v>0</v>
      </c>
      <c r="BW150" s="115"/>
    </row>
    <row r="151" customFormat="false" ht="12.75" hidden="false" customHeight="false" outlineLevel="0" collapsed="false">
      <c r="A151" s="202"/>
      <c r="B151" s="174" t="s">
        <v>244</v>
      </c>
      <c r="E151" s="123"/>
      <c r="G151" s="123"/>
      <c r="I151" s="123"/>
      <c r="J151" s="124" t="s">
        <v>132</v>
      </c>
      <c r="L151" s="169" t="s">
        <v>142</v>
      </c>
      <c r="M151" s="115"/>
      <c r="O151" s="115"/>
      <c r="Q151" s="115"/>
      <c r="R151" s="115" t="n">
        <v>0</v>
      </c>
      <c r="S151" s="115"/>
      <c r="T151" s="115" t="n">
        <v>0</v>
      </c>
      <c r="U151" s="115"/>
      <c r="V151" s="115" t="n">
        <v>0</v>
      </c>
      <c r="X151" s="115" t="n">
        <v>0</v>
      </c>
      <c r="Z151" s="115" t="n">
        <v>0</v>
      </c>
      <c r="AB151" s="115" t="n">
        <v>0</v>
      </c>
      <c r="AD151" s="115" t="n">
        <v>0</v>
      </c>
      <c r="AF151" s="115" t="n">
        <v>0</v>
      </c>
      <c r="AH151" s="115" t="n">
        <v>0</v>
      </c>
      <c r="AJ151" s="115" t="n">
        <v>0</v>
      </c>
      <c r="AL151" s="115" t="n">
        <v>-369041</v>
      </c>
      <c r="AN151" s="115" t="n">
        <v>369040.52</v>
      </c>
      <c r="AP151" s="115" t="n">
        <v>294743.68</v>
      </c>
      <c r="AR151" s="115" t="n">
        <v>6000</v>
      </c>
      <c r="AT151" s="115" t="n">
        <v>0</v>
      </c>
      <c r="AV151" s="115" t="n">
        <v>0</v>
      </c>
      <c r="AX151" s="115" t="n">
        <v>0</v>
      </c>
      <c r="AZ151" s="115" t="n">
        <v>0</v>
      </c>
      <c r="BB151" s="115" t="n">
        <v>0</v>
      </c>
      <c r="BD151" s="115" t="n">
        <v>0</v>
      </c>
      <c r="BF151" s="115" t="n">
        <v>0</v>
      </c>
      <c r="BH151" s="115" t="n">
        <v>0</v>
      </c>
      <c r="BJ151" s="115" t="n">
        <v>0</v>
      </c>
      <c r="BL151" s="115" t="n">
        <v>0</v>
      </c>
      <c r="BM151" s="115"/>
      <c r="BN151" s="115" t="n">
        <f aca="false">SUM(T151:BM151)</f>
        <v>300743.2</v>
      </c>
      <c r="BO151" s="115"/>
      <c r="BP151" s="115" t="n">
        <v>0</v>
      </c>
      <c r="BQ151" s="115"/>
      <c r="BR151" s="115" t="n">
        <f aca="false">IF(+R151-BN151+BP151&gt;0,R151-BN151+BP151,0)</f>
        <v>0</v>
      </c>
      <c r="BT151" s="115" t="n">
        <f aca="false">+BN151+BR151</f>
        <v>300743.2</v>
      </c>
      <c r="BV151" s="115" t="n">
        <f aca="false">+R151-BT151</f>
        <v>-300743.2</v>
      </c>
      <c r="BW151" s="115"/>
    </row>
    <row r="152" customFormat="false" ht="12.75" hidden="false" customHeight="false" outlineLevel="0" collapsed="false">
      <c r="A152" s="202"/>
      <c r="B152" s="174" t="s">
        <v>245</v>
      </c>
      <c r="E152" s="123"/>
      <c r="G152" s="123"/>
      <c r="I152" s="123"/>
      <c r="J152" s="124" t="s">
        <v>132</v>
      </c>
      <c r="L152" s="169" t="s">
        <v>142</v>
      </c>
      <c r="M152" s="115"/>
      <c r="O152" s="115"/>
      <c r="Q152" s="115"/>
      <c r="R152" s="115" t="n">
        <v>0</v>
      </c>
      <c r="S152" s="115"/>
      <c r="T152" s="115"/>
      <c r="U152" s="115"/>
      <c r="V152" s="115"/>
      <c r="X152" s="115"/>
      <c r="Z152" s="115"/>
      <c r="AB152" s="115"/>
      <c r="AD152" s="115"/>
      <c r="BL152" s="115"/>
      <c r="BM152" s="115"/>
      <c r="BO152" s="115"/>
      <c r="BP152" s="115"/>
      <c r="BQ152" s="115"/>
      <c r="BR152" s="115" t="n">
        <f aca="false">IF(+R152-BN152+BP152&gt;0,R152-BN152+BP152,0)</f>
        <v>0</v>
      </c>
      <c r="BT152" s="115" t="n">
        <f aca="false">+BN152+BR152</f>
        <v>0</v>
      </c>
      <c r="BV152" s="115" t="n">
        <f aca="false">+R152-BT152</f>
        <v>0</v>
      </c>
      <c r="BW152" s="115"/>
    </row>
    <row r="153" customFormat="false" ht="12.75" hidden="false" customHeight="false" outlineLevel="0" collapsed="false">
      <c r="A153" s="182"/>
      <c r="B153" s="216" t="s">
        <v>246</v>
      </c>
      <c r="C153" s="2"/>
      <c r="D153" s="2"/>
      <c r="E153" s="2"/>
      <c r="F153" s="2"/>
      <c r="G153" s="2"/>
      <c r="H153" s="2"/>
      <c r="I153" s="2"/>
      <c r="J153" s="3"/>
      <c r="K153" s="2"/>
      <c r="L153" s="188"/>
      <c r="M153" s="24"/>
      <c r="N153" s="210" t="n">
        <f aca="false">SUM(N149:N152)</f>
        <v>0</v>
      </c>
      <c r="O153" s="24"/>
      <c r="P153" s="210" t="n">
        <f aca="false">SUM(P149:P152)</f>
        <v>0</v>
      </c>
      <c r="Q153" s="24"/>
      <c r="R153" s="210" t="n">
        <f aca="false">SUM(R149:R152)</f>
        <v>0</v>
      </c>
      <c r="S153" s="24"/>
      <c r="T153" s="210" t="n">
        <f aca="false">SUM(T149:T152)</f>
        <v>0</v>
      </c>
      <c r="U153" s="24"/>
      <c r="V153" s="210" t="n">
        <f aca="false">SUM(V149:V152)</f>
        <v>0</v>
      </c>
      <c r="W153" s="24"/>
      <c r="X153" s="210" t="n">
        <f aca="false">SUM(X149:X152)</f>
        <v>0</v>
      </c>
      <c r="Y153" s="24"/>
      <c r="Z153" s="210" t="n">
        <f aca="false">SUM(Z149:Z152)</f>
        <v>0</v>
      </c>
      <c r="AA153" s="24"/>
      <c r="AB153" s="210" t="n">
        <f aca="false">SUM(AB149:AB152)</f>
        <v>0</v>
      </c>
      <c r="AC153" s="24"/>
      <c r="AD153" s="210" t="n">
        <f aca="false">SUM(AD149:AD152)</f>
        <v>0</v>
      </c>
      <c r="AE153" s="24"/>
      <c r="AF153" s="210" t="n">
        <f aca="false">SUM(AF149:AF152)</f>
        <v>6000</v>
      </c>
      <c r="AG153" s="24"/>
      <c r="AH153" s="210" t="n">
        <f aca="false">SUM(AH149:AH152)</f>
        <v>0</v>
      </c>
      <c r="AI153" s="24"/>
      <c r="AJ153" s="210" t="n">
        <f aca="false">SUM(AJ149:AJ152)</f>
        <v>0</v>
      </c>
      <c r="AK153" s="24"/>
      <c r="AL153" s="210" t="n">
        <f aca="false">SUM(AL149:AL152)</f>
        <v>-369041</v>
      </c>
      <c r="AM153" s="210"/>
      <c r="AN153" s="210" t="n">
        <f aca="false">SUM(AN149:AN152)</f>
        <v>369040.52</v>
      </c>
      <c r="AO153" s="24"/>
      <c r="AP153" s="210" t="n">
        <f aca="false">SUM(AP149:AP152)</f>
        <v>294743.68</v>
      </c>
      <c r="AQ153" s="24"/>
      <c r="AR153" s="210" t="n">
        <f aca="false">SUM(AR149:AR152)</f>
        <v>6000</v>
      </c>
      <c r="AS153" s="24"/>
      <c r="AT153" s="210" t="n">
        <f aca="false">SUM(AT149:AT152)</f>
        <v>0</v>
      </c>
      <c r="AU153" s="24"/>
      <c r="AV153" s="210" t="n">
        <f aca="false">SUM(AV149:AV152)</f>
        <v>0</v>
      </c>
      <c r="AW153" s="24"/>
      <c r="AX153" s="210" t="n">
        <f aca="false">SUM(AX149:AX152)</f>
        <v>0</v>
      </c>
      <c r="AY153" s="24"/>
      <c r="AZ153" s="210" t="n">
        <f aca="false">SUM(AZ149:AZ152)</f>
        <v>0</v>
      </c>
      <c r="BA153" s="24"/>
      <c r="BB153" s="210" t="n">
        <f aca="false">SUM(BB149:BB152)</f>
        <v>0</v>
      </c>
      <c r="BC153" s="24"/>
      <c r="BD153" s="210" t="n">
        <f aca="false">SUM(BD149:BD152)</f>
        <v>6000</v>
      </c>
      <c r="BE153" s="24"/>
      <c r="BF153" s="210" t="n">
        <f aca="false">SUM(BF149:BF152)</f>
        <v>0</v>
      </c>
      <c r="BG153" s="24"/>
      <c r="BH153" s="210" t="n">
        <f aca="false">SUM(BH149:BH152)</f>
        <v>0</v>
      </c>
      <c r="BI153" s="24"/>
      <c r="BJ153" s="210" t="n">
        <f aca="false">SUM(BJ149:BJ152)</f>
        <v>0</v>
      </c>
      <c r="BK153" s="24"/>
      <c r="BL153" s="210" t="n">
        <f aca="false">SUM(BL149:BL152)</f>
        <v>0</v>
      </c>
      <c r="BM153" s="24"/>
      <c r="BN153" s="210" t="n">
        <f aca="false">SUM(BN149:BN152)</f>
        <v>312743.2</v>
      </c>
      <c r="BO153" s="24"/>
      <c r="BP153" s="210" t="n">
        <f aca="false">SUM(BP149:BP152)</f>
        <v>0</v>
      </c>
      <c r="BQ153" s="24"/>
      <c r="BR153" s="210" t="n">
        <f aca="false">SUM(BR149:BR152)</f>
        <v>0</v>
      </c>
      <c r="BS153" s="24"/>
      <c r="BT153" s="210" t="n">
        <f aca="false">SUM(BT149:BT152)</f>
        <v>312743.2</v>
      </c>
      <c r="BU153" s="24"/>
      <c r="BV153" s="210" t="n">
        <f aca="false">SUM(BV149:BV152)</f>
        <v>-312743.2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c r="B154" s="216"/>
      <c r="C154" s="2"/>
      <c r="D154" s="2"/>
      <c r="E154" s="2"/>
      <c r="F154" s="2"/>
      <c r="G154" s="2"/>
      <c r="H154" s="2"/>
      <c r="I154" s="2"/>
      <c r="J154" s="3"/>
      <c r="K154" s="2"/>
      <c r="L154" s="169"/>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2" t="s">
        <v>247</v>
      </c>
      <c r="B155" s="174"/>
      <c r="C155" s="0"/>
      <c r="D155" s="0"/>
      <c r="E155" s="0"/>
      <c r="F155" s="0"/>
      <c r="G155" s="0"/>
      <c r="H155" s="0"/>
      <c r="I155" s="0"/>
      <c r="J155" s="4"/>
      <c r="K155" s="0"/>
      <c r="L155" s="169"/>
      <c r="M155" s="115"/>
      <c r="O155" s="115"/>
      <c r="Q155" s="115"/>
      <c r="S155" s="115"/>
      <c r="T155" s="115"/>
      <c r="U155" s="115"/>
      <c r="V155" s="115"/>
      <c r="X155" s="115"/>
      <c r="Z155" s="115"/>
      <c r="AB155" s="115"/>
      <c r="AD155" s="115"/>
      <c r="BL155" s="115"/>
      <c r="BM155" s="115"/>
      <c r="BO155" s="115"/>
      <c r="BP155" s="115"/>
      <c r="BQ155" s="115"/>
      <c r="BW155" s="115"/>
    </row>
    <row r="156" customFormat="false" ht="12.75" hidden="false" customHeight="false" outlineLevel="0" collapsed="false">
      <c r="A156" s="182"/>
      <c r="B156" s="174" t="s">
        <v>352</v>
      </c>
      <c r="C156" s="0"/>
      <c r="D156" s="0"/>
      <c r="E156" s="0"/>
      <c r="F156" s="0"/>
      <c r="G156" s="0"/>
      <c r="H156" s="0"/>
      <c r="I156" s="0"/>
      <c r="J156" s="4"/>
      <c r="K156" s="0"/>
      <c r="L156" s="169" t="s">
        <v>249</v>
      </c>
      <c r="M156" s="115"/>
      <c r="N156" s="115" t="n">
        <v>0</v>
      </c>
      <c r="O156" s="115"/>
      <c r="P156" s="115" t="n">
        <v>0</v>
      </c>
      <c r="Q156" s="115"/>
      <c r="R156" s="115" t="n">
        <v>0</v>
      </c>
      <c r="S156" s="115"/>
      <c r="T156" s="115" t="n">
        <v>0</v>
      </c>
      <c r="U156" s="115"/>
      <c r="V156" s="115" t="n">
        <v>0</v>
      </c>
      <c r="X156" s="115" t="n">
        <v>0</v>
      </c>
      <c r="Z156" s="115" t="n">
        <v>0</v>
      </c>
      <c r="AB156" s="115" t="n">
        <v>0</v>
      </c>
      <c r="AD156" s="115" t="n">
        <v>23801.2</v>
      </c>
      <c r="AF156" s="115" t="n">
        <v>35510.12</v>
      </c>
      <c r="AH156" s="115" t="n">
        <f aca="false">30284.2+9574.9</f>
        <v>39859.1</v>
      </c>
      <c r="AJ156" s="115" t="n">
        <v>0</v>
      </c>
      <c r="AL156" s="115" t="n">
        <v>-69419</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29751.42</v>
      </c>
      <c r="BO156" s="115"/>
      <c r="BP156" s="126" t="n">
        <v>0</v>
      </c>
      <c r="BQ156" s="115"/>
      <c r="BR156" s="115" t="n">
        <f aca="false">IF(+R156-BN156+BP156&gt;0,R156-BN156+BP156,0)</f>
        <v>0</v>
      </c>
      <c r="BT156" s="115" t="n">
        <f aca="false">+BN156+BR156</f>
        <v>29751.42</v>
      </c>
      <c r="BV156" s="115" t="n">
        <f aca="false">+R156-BN156-BR156</f>
        <v>-29751.42</v>
      </c>
      <c r="BW156" s="115"/>
    </row>
    <row r="157" customFormat="false" ht="12.75" hidden="false" customHeight="false" outlineLevel="0" collapsed="false">
      <c r="A157" s="171"/>
      <c r="B157" s="165" t="s">
        <v>353</v>
      </c>
      <c r="C157" s="0"/>
      <c r="D157" s="0"/>
      <c r="E157" s="0"/>
      <c r="F157" s="0"/>
      <c r="G157" s="0"/>
      <c r="H157" s="0"/>
      <c r="I157" s="0"/>
      <c r="J157" s="4"/>
      <c r="K157" s="0"/>
      <c r="L157" s="169" t="s">
        <v>249</v>
      </c>
      <c r="M157" s="115"/>
      <c r="N157" s="115" t="n">
        <v>0</v>
      </c>
      <c r="O157" s="115"/>
      <c r="P157" s="115" t="n">
        <v>0</v>
      </c>
      <c r="Q157" s="115"/>
      <c r="R157" s="115" t="n">
        <v>0</v>
      </c>
      <c r="S157" s="115"/>
      <c r="T157" s="115" t="n">
        <v>0</v>
      </c>
      <c r="U157" s="115"/>
      <c r="V157" s="115" t="n">
        <v>0</v>
      </c>
      <c r="X157" s="115" t="n">
        <v>0</v>
      </c>
      <c r="Z157" s="115" t="n">
        <v>0</v>
      </c>
      <c r="AB157" s="115" t="n">
        <v>0</v>
      </c>
      <c r="AD157" s="115" t="n">
        <v>4183.38</v>
      </c>
      <c r="AF157" s="115" t="n">
        <v>10970</v>
      </c>
      <c r="AH157" s="115" t="n">
        <f aca="false">4864.1+4137.5</f>
        <v>9001.6</v>
      </c>
      <c r="AJ157" s="115" t="n">
        <v>0</v>
      </c>
      <c r="AN157" s="115" t="n">
        <v>0</v>
      </c>
      <c r="AP157" s="115" t="n">
        <v>0</v>
      </c>
      <c r="AR157" s="115" t="n">
        <v>0</v>
      </c>
      <c r="AT157" s="115" t="n">
        <v>0</v>
      </c>
      <c r="AV157" s="115" t="n">
        <v>0</v>
      </c>
      <c r="AX157" s="115" t="n">
        <v>0</v>
      </c>
      <c r="AZ157" s="115" t="n">
        <v>0</v>
      </c>
      <c r="BB157" s="115" t="n">
        <v>0</v>
      </c>
      <c r="BD157" s="115" t="n">
        <v>0</v>
      </c>
      <c r="BF157" s="115" t="n">
        <v>0</v>
      </c>
      <c r="BH157" s="115" t="n">
        <v>0</v>
      </c>
      <c r="BJ157" s="115" t="n">
        <v>0</v>
      </c>
      <c r="BL157" s="115" t="n">
        <v>0</v>
      </c>
      <c r="BM157" s="115"/>
      <c r="BN157" s="115" t="n">
        <f aca="false">SUM(T157:BM157)</f>
        <v>24154.98</v>
      </c>
      <c r="BO157" s="115"/>
      <c r="BP157" s="126" t="n">
        <v>0</v>
      </c>
      <c r="BQ157" s="115"/>
      <c r="BR157" s="115" t="n">
        <f aca="false">IF(+R157-BN157+BP157&gt;0,R157-BN157+BP157,0)</f>
        <v>0</v>
      </c>
      <c r="BT157" s="115" t="n">
        <f aca="false">+BN157+BR157</f>
        <v>24154.98</v>
      </c>
      <c r="BV157" s="115" t="n">
        <f aca="false">+R157-BT157</f>
        <v>-24154.98</v>
      </c>
      <c r="BW157" s="115"/>
    </row>
    <row r="158" customFormat="false" ht="12.75" hidden="false" customHeight="false" outlineLevel="0" collapsed="false">
      <c r="A158" s="171"/>
      <c r="B158" s="165" t="s">
        <v>354</v>
      </c>
      <c r="C158" s="0"/>
      <c r="D158" s="0"/>
      <c r="E158" s="0"/>
      <c r="F158" s="0"/>
      <c r="G158" s="0"/>
      <c r="H158" s="0"/>
      <c r="I158" s="0"/>
      <c r="J158" s="4"/>
      <c r="K158" s="0"/>
      <c r="L158" s="169" t="s">
        <v>249</v>
      </c>
      <c r="M158" s="115"/>
      <c r="O158" s="115"/>
      <c r="P158" s="115" t="n">
        <v>0</v>
      </c>
      <c r="Q158" s="115"/>
      <c r="R158" s="115" t="n">
        <v>0</v>
      </c>
      <c r="S158" s="115"/>
      <c r="T158" s="115" t="n">
        <v>0</v>
      </c>
      <c r="U158" s="115"/>
      <c r="V158" s="115" t="n">
        <v>0</v>
      </c>
      <c r="X158" s="115" t="n">
        <f aca="false">776+5384.28</f>
        <v>6160.28</v>
      </c>
      <c r="Z158" s="115" t="n">
        <v>12971</v>
      </c>
      <c r="AB158" s="115" t="n">
        <v>0</v>
      </c>
      <c r="AD158" s="115" t="n">
        <f aca="false">26787.21+127637.14</f>
        <v>154424.35</v>
      </c>
      <c r="AF158" s="115" t="n">
        <v>0</v>
      </c>
      <c r="AH158" s="115" t="n">
        <v>0</v>
      </c>
      <c r="AJ158" s="115" t="n">
        <v>0</v>
      </c>
      <c r="AN158" s="115" t="n">
        <v>0</v>
      </c>
      <c r="AP158" s="115" t="n">
        <v>0</v>
      </c>
      <c r="AR158" s="115" t="n">
        <v>0</v>
      </c>
      <c r="AT158" s="115" t="n">
        <v>0</v>
      </c>
      <c r="AV158" s="115" t="n">
        <v>0</v>
      </c>
      <c r="AX158" s="115" t="n">
        <v>0</v>
      </c>
      <c r="AZ158" s="115" t="n">
        <v>0</v>
      </c>
      <c r="BB158" s="115" t="n">
        <v>0</v>
      </c>
      <c r="BD158" s="115" t="n">
        <v>0</v>
      </c>
      <c r="BF158" s="115" t="n">
        <v>0</v>
      </c>
      <c r="BH158" s="115" t="n">
        <v>0</v>
      </c>
      <c r="BJ158" s="115" t="n">
        <v>0</v>
      </c>
      <c r="BL158" s="115" t="n">
        <v>0</v>
      </c>
      <c r="BM158" s="115"/>
      <c r="BN158" s="115" t="n">
        <f aca="false">SUM(T158:BM158)</f>
        <v>173555.63</v>
      </c>
      <c r="BO158" s="115"/>
      <c r="BP158" s="126" t="n">
        <v>0</v>
      </c>
      <c r="BQ158" s="115"/>
      <c r="BR158" s="115" t="n">
        <f aca="false">IF(+R158-BN158+BP158&gt;0,R158-BN158+BP158,0)</f>
        <v>0</v>
      </c>
      <c r="BT158" s="115" t="n">
        <f aca="false">+BN158+BR158</f>
        <v>173555.63</v>
      </c>
      <c r="BV158" s="115" t="n">
        <f aca="false">+R158-BT158</f>
        <v>-173555.63</v>
      </c>
      <c r="BW158" s="115"/>
    </row>
    <row r="159" customFormat="false" ht="12.75" hidden="false" customHeight="false" outlineLevel="0" collapsed="false">
      <c r="A159" s="171"/>
      <c r="B159" s="165" t="s">
        <v>355</v>
      </c>
      <c r="C159" s="0"/>
      <c r="D159" s="0"/>
      <c r="E159" s="0"/>
      <c r="F159" s="0"/>
      <c r="G159" s="0"/>
      <c r="H159" s="0"/>
      <c r="I159" s="0"/>
      <c r="J159" s="4"/>
      <c r="K159" s="0"/>
      <c r="L159" s="169" t="s">
        <v>249</v>
      </c>
      <c r="M159" s="115"/>
      <c r="O159" s="115"/>
      <c r="P159" s="115" t="n">
        <v>0</v>
      </c>
      <c r="Q159" s="115"/>
      <c r="R159" s="115" t="n">
        <v>0</v>
      </c>
      <c r="S159" s="115"/>
      <c r="T159" s="115" t="n">
        <v>0</v>
      </c>
      <c r="U159" s="115"/>
      <c r="V159" s="115" t="n">
        <v>500</v>
      </c>
      <c r="X159" s="115" t="n">
        <f aca="false">26175.94+7761.28+9133.76-776-5384.28</f>
        <v>36910.7</v>
      </c>
      <c r="Z159" s="115" t="n">
        <f aca="false">32361-12971</f>
        <v>19390</v>
      </c>
      <c r="AB159" s="115" t="n">
        <f aca="false">4296.87+2351.76</f>
        <v>6648.63</v>
      </c>
      <c r="AD159" s="115" t="n">
        <f aca="false">32813.71+11410.49+1</f>
        <v>44225.2</v>
      </c>
      <c r="AF159" s="115" t="n">
        <v>0</v>
      </c>
      <c r="AH159" s="115" t="n">
        <v>13721.51</v>
      </c>
      <c r="AJ159" s="115" t="n">
        <v>7968.98</v>
      </c>
      <c r="AN159" s="115" t="n">
        <v>0</v>
      </c>
      <c r="AP159" s="115" t="n">
        <v>0</v>
      </c>
      <c r="AR159" s="115" t="n">
        <v>0</v>
      </c>
      <c r="AT159" s="115" t="n">
        <v>0</v>
      </c>
      <c r="AV159" s="115" t="n">
        <v>0</v>
      </c>
      <c r="AX159" s="115" t="n">
        <v>0</v>
      </c>
      <c r="AZ159" s="115" t="n">
        <v>0</v>
      </c>
      <c r="BB159" s="115" t="n">
        <v>0</v>
      </c>
      <c r="BD159" s="115" t="n">
        <v>0</v>
      </c>
      <c r="BF159" s="115" t="n">
        <v>0</v>
      </c>
      <c r="BH159" s="115" t="n">
        <v>0</v>
      </c>
      <c r="BJ159" s="115" t="n">
        <v>0</v>
      </c>
      <c r="BL159" s="115" t="n">
        <v>0</v>
      </c>
      <c r="BM159" s="115"/>
      <c r="BN159" s="115" t="n">
        <f aca="false">SUM(T159:BM159)</f>
        <v>129365.02</v>
      </c>
      <c r="BO159" s="115"/>
      <c r="BP159" s="126" t="n">
        <v>0</v>
      </c>
      <c r="BQ159" s="115"/>
      <c r="BR159" s="115" t="n">
        <f aca="false">IF(+R159-BN159+BP159&gt;0,R159-BN159+BP159,0)</f>
        <v>0</v>
      </c>
      <c r="BT159" s="115" t="n">
        <f aca="false">+BN159+BR159</f>
        <v>129365.02</v>
      </c>
      <c r="BV159" s="115" t="n">
        <f aca="false">+R159-BT159</f>
        <v>-129365.02</v>
      </c>
      <c r="BW159" s="115"/>
    </row>
    <row r="160" customFormat="false" ht="12.75" hidden="false" customHeight="false" outlineLevel="0" collapsed="false">
      <c r="A160" s="171"/>
      <c r="B160" s="165" t="s">
        <v>356</v>
      </c>
      <c r="C160" s="0"/>
      <c r="D160" s="0"/>
      <c r="E160" s="0"/>
      <c r="F160" s="0"/>
      <c r="G160" s="0"/>
      <c r="H160" s="0"/>
      <c r="I160" s="0"/>
      <c r="J160" s="4"/>
      <c r="K160" s="0"/>
      <c r="L160" s="169" t="s">
        <v>249</v>
      </c>
      <c r="M160" s="115"/>
      <c r="O160" s="115"/>
      <c r="P160" s="115" t="n">
        <v>0</v>
      </c>
      <c r="Q160" s="115"/>
      <c r="R160" s="115" t="n">
        <v>0</v>
      </c>
      <c r="S160" s="115"/>
      <c r="T160" s="115" t="n">
        <v>0</v>
      </c>
      <c r="U160" s="115"/>
      <c r="V160" s="115" t="n">
        <v>0</v>
      </c>
      <c r="X160" s="115" t="n">
        <v>0</v>
      </c>
      <c r="Z160" s="115" t="n">
        <v>0</v>
      </c>
      <c r="AB160" s="115" t="n">
        <v>0</v>
      </c>
      <c r="AD160" s="115" t="n">
        <v>13095</v>
      </c>
      <c r="AF160" s="115" t="n">
        <v>0</v>
      </c>
      <c r="AH160" s="115" t="n">
        <v>0</v>
      </c>
      <c r="AJ160" s="115" t="n">
        <v>0</v>
      </c>
      <c r="AN160" s="115" t="n">
        <v>0</v>
      </c>
      <c r="AP160" s="115" t="n">
        <v>0</v>
      </c>
      <c r="AR160" s="115" t="n">
        <v>0</v>
      </c>
      <c r="AT160" s="115" t="n">
        <v>0</v>
      </c>
      <c r="AV160" s="115" t="n">
        <v>0</v>
      </c>
      <c r="AX160" s="115" t="n">
        <v>0</v>
      </c>
      <c r="AZ160" s="115" t="n">
        <v>0</v>
      </c>
      <c r="BB160" s="115" t="n">
        <v>0</v>
      </c>
      <c r="BD160" s="115" t="n">
        <v>0</v>
      </c>
      <c r="BF160" s="115" t="n">
        <v>0</v>
      </c>
      <c r="BH160" s="115" t="n">
        <v>0</v>
      </c>
      <c r="BJ160" s="115" t="n">
        <v>0</v>
      </c>
      <c r="BL160" s="115" t="n">
        <v>0</v>
      </c>
      <c r="BM160" s="115"/>
      <c r="BN160" s="115" t="n">
        <f aca="false">SUM(T160:BM160)</f>
        <v>13095</v>
      </c>
      <c r="BO160" s="115"/>
      <c r="BP160" s="126" t="n">
        <v>0</v>
      </c>
      <c r="BQ160" s="115"/>
      <c r="BR160" s="115" t="n">
        <f aca="false">IF(+R160-BN160+BP160&gt;0,R160-BN160+BP160,0)</f>
        <v>0</v>
      </c>
      <c r="BT160" s="115" t="n">
        <f aca="false">+BN160+BR160</f>
        <v>13095</v>
      </c>
      <c r="BV160" s="115" t="n">
        <f aca="false">+R160-BT160</f>
        <v>-13095</v>
      </c>
      <c r="BW160" s="115"/>
    </row>
    <row r="161" customFormat="false" ht="12.75" hidden="false" customHeight="false" outlineLevel="0" collapsed="false">
      <c r="A161" s="171"/>
      <c r="B161" s="165" t="s">
        <v>152</v>
      </c>
      <c r="C161" s="0"/>
      <c r="D161" s="0"/>
      <c r="E161" s="0"/>
      <c r="F161" s="0"/>
      <c r="G161" s="0"/>
      <c r="H161" s="0"/>
      <c r="I161" s="0"/>
      <c r="J161" s="4"/>
      <c r="K161" s="0"/>
      <c r="L161" s="169"/>
      <c r="M161" s="115"/>
      <c r="O161" s="115"/>
      <c r="Q161" s="115"/>
      <c r="R161" s="115" t="n">
        <v>0</v>
      </c>
      <c r="S161" s="115"/>
      <c r="T161" s="115"/>
      <c r="U161" s="115"/>
      <c r="V161" s="115"/>
      <c r="X161" s="115"/>
      <c r="Z161" s="115"/>
      <c r="AB161" s="115"/>
      <c r="AD161" s="115"/>
      <c r="AH161" s="115" t="n">
        <v>100</v>
      </c>
      <c r="AL161" s="115" t="n">
        <f aca="false">0</f>
        <v>0</v>
      </c>
      <c r="AN161" s="115" t="n">
        <f aca="false">379522-370022</f>
        <v>9500</v>
      </c>
      <c r="BL161" s="115"/>
      <c r="BM161" s="115"/>
      <c r="BN161" s="115" t="n">
        <f aca="false">SUM(T161:BM161)</f>
        <v>9600</v>
      </c>
      <c r="BO161" s="115"/>
      <c r="BP161" s="126" t="n">
        <v>0</v>
      </c>
      <c r="BQ161" s="115"/>
      <c r="BR161" s="115" t="n">
        <f aca="false">IF(+R161-BN161+BP161&gt;0,R161-BN161+BP161,0)</f>
        <v>0</v>
      </c>
      <c r="BT161" s="115" t="n">
        <f aca="false">+BN161+BR161</f>
        <v>9600</v>
      </c>
      <c r="BV161" s="115" t="n">
        <f aca="false">+R161-BT161</f>
        <v>-9600</v>
      </c>
      <c r="BW161" s="115"/>
    </row>
    <row r="162" customFormat="false" ht="12.75" hidden="false" customHeight="false" outlineLevel="0" collapsed="false">
      <c r="A162" s="171"/>
      <c r="B162" s="165"/>
      <c r="C162" s="0"/>
      <c r="D162" s="0"/>
      <c r="E162" s="0"/>
      <c r="F162" s="0"/>
      <c r="G162" s="0"/>
      <c r="H162" s="0"/>
      <c r="I162" s="0"/>
      <c r="J162" s="4"/>
      <c r="K162" s="0"/>
      <c r="L162" s="169"/>
      <c r="M162" s="115"/>
      <c r="O162" s="115"/>
      <c r="Q162" s="115"/>
      <c r="S162" s="115"/>
      <c r="T162" s="115"/>
      <c r="U162" s="115"/>
      <c r="V162" s="115"/>
      <c r="X162" s="115"/>
      <c r="Z162" s="115"/>
      <c r="AB162" s="115"/>
      <c r="AD162" s="115"/>
      <c r="BL162" s="115"/>
      <c r="BM162" s="115"/>
      <c r="BO162" s="115"/>
      <c r="BQ162" s="115"/>
      <c r="BR162" s="115" t="n">
        <f aca="false">IF(+R162-BN162+BP162&gt;0,R162-BN162+BP162,0)</f>
        <v>0</v>
      </c>
      <c r="BW162" s="115"/>
    </row>
    <row r="163" customFormat="false" ht="12.75" hidden="false" customHeight="false" outlineLevel="0" collapsed="false">
      <c r="A163" s="186"/>
      <c r="B163" s="215" t="s">
        <v>252</v>
      </c>
      <c r="C163" s="2"/>
      <c r="D163" s="2"/>
      <c r="E163" s="2"/>
      <c r="F163" s="2"/>
      <c r="G163" s="2"/>
      <c r="H163" s="2"/>
      <c r="I163" s="2"/>
      <c r="J163" s="3"/>
      <c r="K163" s="2"/>
      <c r="L163" s="188"/>
      <c r="M163" s="24"/>
      <c r="N163" s="210" t="n">
        <f aca="false">SUM(N156:N162)</f>
        <v>0</v>
      </c>
      <c r="O163" s="24"/>
      <c r="P163" s="210" t="n">
        <f aca="false">SUM(P156:P162)</f>
        <v>0</v>
      </c>
      <c r="Q163" s="24"/>
      <c r="R163" s="210" t="n">
        <f aca="false">SUM(R156:R162)</f>
        <v>0</v>
      </c>
      <c r="S163" s="24"/>
      <c r="T163" s="210" t="n">
        <f aca="false">SUM(T156:T162)</f>
        <v>0</v>
      </c>
      <c r="U163" s="24"/>
      <c r="V163" s="210" t="n">
        <f aca="false">SUM(V156:V162)</f>
        <v>500</v>
      </c>
      <c r="W163" s="24"/>
      <c r="X163" s="210" t="n">
        <f aca="false">SUM(X156:X162)</f>
        <v>43070.98</v>
      </c>
      <c r="Y163" s="24"/>
      <c r="Z163" s="210" t="n">
        <f aca="false">SUM(Z156:Z162)</f>
        <v>32361</v>
      </c>
      <c r="AA163" s="24"/>
      <c r="AB163" s="210" t="n">
        <f aca="false">SUM(AB156:AB162)</f>
        <v>6648.63</v>
      </c>
      <c r="AC163" s="24"/>
      <c r="AD163" s="210" t="n">
        <f aca="false">SUM(AD156:AD162)</f>
        <v>239729.13</v>
      </c>
      <c r="AE163" s="24"/>
      <c r="AF163" s="210" t="n">
        <f aca="false">SUM(AF156:AF162)</f>
        <v>46480.12</v>
      </c>
      <c r="AG163" s="24"/>
      <c r="AH163" s="210" t="n">
        <f aca="false">SUM(AH156:AH162)</f>
        <v>62682.21</v>
      </c>
      <c r="AI163" s="24"/>
      <c r="AJ163" s="210" t="n">
        <f aca="false">SUM(AJ156:AJ162)</f>
        <v>7968.98</v>
      </c>
      <c r="AK163" s="24"/>
      <c r="AL163" s="210" t="n">
        <f aca="false">SUM(AL156:AL162)</f>
        <v>-69419</v>
      </c>
      <c r="AM163" s="210"/>
      <c r="AN163" s="210" t="n">
        <f aca="false">SUM(AN156:AN162)</f>
        <v>9500</v>
      </c>
      <c r="AO163" s="24"/>
      <c r="AP163" s="210" t="n">
        <f aca="false">SUM(AP156:AP162)</f>
        <v>0</v>
      </c>
      <c r="AQ163" s="24"/>
      <c r="AR163" s="210" t="n">
        <f aca="false">SUM(AR156:AR162)</f>
        <v>0</v>
      </c>
      <c r="AS163" s="24"/>
      <c r="AT163" s="210" t="n">
        <f aca="false">SUM(AT156:AT162)</f>
        <v>0</v>
      </c>
      <c r="AU163" s="24"/>
      <c r="AV163" s="210" t="n">
        <f aca="false">SUM(AV156:AV162)</f>
        <v>0</v>
      </c>
      <c r="AW163" s="24"/>
      <c r="AX163" s="210" t="n">
        <f aca="false">SUM(AX156:AX162)</f>
        <v>0</v>
      </c>
      <c r="AY163" s="24"/>
      <c r="AZ163" s="210" t="n">
        <f aca="false">SUM(AZ156:AZ162)</f>
        <v>0</v>
      </c>
      <c r="BA163" s="24"/>
      <c r="BB163" s="210" t="n">
        <f aca="false">SUM(BB156:BB162)</f>
        <v>0</v>
      </c>
      <c r="BC163" s="24"/>
      <c r="BD163" s="210" t="n">
        <f aca="false">SUM(BD156:BD162)</f>
        <v>0</v>
      </c>
      <c r="BE163" s="24"/>
      <c r="BF163" s="210" t="n">
        <f aca="false">SUM(BF156:BF162)</f>
        <v>0</v>
      </c>
      <c r="BG163" s="24"/>
      <c r="BH163" s="210" t="n">
        <f aca="false">SUM(BH156:BH162)</f>
        <v>0</v>
      </c>
      <c r="BI163" s="24"/>
      <c r="BJ163" s="210" t="n">
        <f aca="false">SUM(BJ156:BJ162)</f>
        <v>0</v>
      </c>
      <c r="BK163" s="24"/>
      <c r="BL163" s="210" t="n">
        <f aca="false">SUM(BL156:BL162)</f>
        <v>0</v>
      </c>
      <c r="BM163" s="24"/>
      <c r="BN163" s="210" t="n">
        <f aca="false">SUM(BN156:BN162)</f>
        <v>379522.05</v>
      </c>
      <c r="BO163" s="24"/>
      <c r="BP163" s="210" t="n">
        <f aca="false">SUM(BP156:BP162)</f>
        <v>0</v>
      </c>
      <c r="BQ163" s="24"/>
      <c r="BR163" s="210" t="n">
        <f aca="false">SUM(BR156:BR162)</f>
        <v>0</v>
      </c>
      <c r="BS163" s="24"/>
      <c r="BT163" s="210" t="n">
        <f aca="false">SUM(BT156:BT162)</f>
        <v>379522.05</v>
      </c>
      <c r="BU163" s="24"/>
      <c r="BV163" s="210"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6"/>
      <c r="B164" s="215"/>
      <c r="C164" s="2"/>
      <c r="D164" s="2"/>
      <c r="E164" s="2"/>
      <c r="F164" s="2"/>
      <c r="G164" s="2"/>
      <c r="H164" s="2"/>
      <c r="I164" s="2"/>
      <c r="J164" s="3"/>
      <c r="K164" s="2"/>
      <c r="L164" s="188"/>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2" t="s">
        <v>357</v>
      </c>
      <c r="B165" s="174"/>
      <c r="C165" s="0"/>
      <c r="D165" s="0"/>
      <c r="E165" s="0"/>
      <c r="F165" s="0"/>
      <c r="G165" s="0"/>
      <c r="H165" s="0"/>
      <c r="I165" s="0"/>
      <c r="J165" s="0"/>
      <c r="K165" s="169"/>
      <c r="L165" s="115"/>
      <c r="M165" s="115"/>
      <c r="O165" s="115"/>
      <c r="Q165" s="115"/>
      <c r="S165" s="115"/>
      <c r="T165" s="115"/>
      <c r="U165" s="115"/>
      <c r="V165" s="115"/>
      <c r="X165" s="115"/>
      <c r="Z165" s="115"/>
      <c r="AB165" s="115"/>
      <c r="AD165" s="115"/>
      <c r="BL165" s="115"/>
      <c r="BM165" s="115"/>
      <c r="BO165" s="115"/>
      <c r="BP165" s="115"/>
      <c r="BQ165" s="115"/>
      <c r="BV165" s="123"/>
    </row>
    <row r="166" customFormat="false" ht="12.75" hidden="false" customHeight="false" outlineLevel="0" collapsed="false">
      <c r="A166" s="182"/>
      <c r="B166" s="174" t="s">
        <v>358</v>
      </c>
      <c r="C166" s="0"/>
      <c r="D166" s="0"/>
      <c r="E166" s="0"/>
      <c r="F166" s="0"/>
      <c r="G166" s="0"/>
      <c r="H166" s="0"/>
      <c r="I166" s="0"/>
      <c r="J166" s="0"/>
      <c r="K166" s="169" t="s">
        <v>142</v>
      </c>
      <c r="L166" s="115"/>
      <c r="M166" s="115" t="n">
        <v>0</v>
      </c>
      <c r="O166" s="115" t="n">
        <v>60000</v>
      </c>
      <c r="Q166" s="115" t="n">
        <f aca="false">+M166+O166</f>
        <v>60000</v>
      </c>
      <c r="R166" s="115" t="n">
        <v>0</v>
      </c>
      <c r="S166" s="115"/>
      <c r="T166" s="115" t="n">
        <v>0</v>
      </c>
      <c r="U166" s="115"/>
      <c r="V166" s="123"/>
      <c r="X166" s="115" t="n">
        <v>7500</v>
      </c>
      <c r="Z166" s="115" t="n">
        <v>0</v>
      </c>
      <c r="AB166" s="115" t="n">
        <v>0</v>
      </c>
      <c r="AD166" s="115" t="n">
        <v>0</v>
      </c>
      <c r="AF166" s="115" t="n">
        <v>0</v>
      </c>
      <c r="AH166" s="115" t="n">
        <v>0</v>
      </c>
      <c r="AJ166" s="115" t="n">
        <v>0</v>
      </c>
      <c r="AN166" s="115" t="n">
        <v>0</v>
      </c>
      <c r="AP166" s="115" t="n">
        <v>0</v>
      </c>
      <c r="AR166" s="115" t="n">
        <v>0</v>
      </c>
      <c r="AT166" s="115" t="n">
        <v>0</v>
      </c>
      <c r="AV166" s="115" t="n">
        <v>0</v>
      </c>
      <c r="AX166" s="115" t="n">
        <v>0</v>
      </c>
      <c r="AZ166" s="115" t="n">
        <v>0</v>
      </c>
      <c r="BB166" s="115" t="n">
        <v>0</v>
      </c>
      <c r="BD166" s="115" t="n">
        <v>0</v>
      </c>
      <c r="BF166" s="115" t="n">
        <v>0</v>
      </c>
      <c r="BH166" s="115" t="n">
        <v>0</v>
      </c>
      <c r="BJ166" s="115" t="n">
        <v>0</v>
      </c>
      <c r="BL166" s="115" t="n">
        <v>0</v>
      </c>
      <c r="BM166" s="115"/>
      <c r="BN166" s="115" t="n">
        <f aca="false">SUM(T166:BM166)</f>
        <v>7500</v>
      </c>
      <c r="BO166" s="115"/>
      <c r="BP166" s="115" t="n">
        <v>0</v>
      </c>
      <c r="BQ166" s="115"/>
      <c r="BR166" s="115" t="n">
        <f aca="false">IF(+R166-BN166+BP166&gt;0,R166-BN166+BP166,0)</f>
        <v>0</v>
      </c>
      <c r="BT166" s="115" t="n">
        <f aca="false">+BN166+BR166</f>
        <v>7500</v>
      </c>
      <c r="BU166" s="115" t="n">
        <f aca="false">+BO166+BS166</f>
        <v>0</v>
      </c>
      <c r="BV166" s="115" t="n">
        <f aca="false">+R166-BT166</f>
        <v>-7500</v>
      </c>
    </row>
    <row r="167" customFormat="false" ht="12.75" hidden="false" customHeight="false" outlineLevel="0" collapsed="false">
      <c r="A167" s="182"/>
      <c r="B167" s="174" t="s">
        <v>359</v>
      </c>
      <c r="C167" s="0"/>
      <c r="D167" s="0"/>
      <c r="E167" s="0"/>
      <c r="F167" s="0"/>
      <c r="G167" s="0"/>
      <c r="H167" s="0"/>
      <c r="I167" s="0"/>
      <c r="J167" s="0"/>
      <c r="K167" s="169" t="s">
        <v>142</v>
      </c>
      <c r="L167" s="115"/>
      <c r="M167" s="115" t="n">
        <v>7500</v>
      </c>
      <c r="O167" s="115" t="n">
        <f aca="false">35000-M167</f>
        <v>27500</v>
      </c>
      <c r="Q167" s="115" t="n">
        <f aca="false">+M167+O167</f>
        <v>35000</v>
      </c>
      <c r="R167" s="115" t="n">
        <v>0</v>
      </c>
      <c r="S167" s="115"/>
      <c r="T167" s="115" t="n">
        <v>0</v>
      </c>
      <c r="U167" s="115"/>
      <c r="V167" s="115" t="n">
        <v>0</v>
      </c>
      <c r="X167" s="115" t="n">
        <v>0</v>
      </c>
      <c r="Z167" s="115" t="n">
        <v>0</v>
      </c>
      <c r="AB167" s="115" t="n">
        <v>0</v>
      </c>
      <c r="AD167" s="115" t="n">
        <v>0</v>
      </c>
      <c r="AF167" s="115" t="n">
        <v>0</v>
      </c>
      <c r="AH167" s="115" t="n">
        <v>0</v>
      </c>
      <c r="AJ167" s="115" t="n">
        <v>0</v>
      </c>
      <c r="AN167" s="115" t="n">
        <v>0</v>
      </c>
      <c r="AP167" s="115" t="n">
        <v>0</v>
      </c>
      <c r="AR167" s="115" t="n">
        <v>0</v>
      </c>
      <c r="AT167" s="115" t="n">
        <v>0</v>
      </c>
      <c r="AV167" s="115" t="n">
        <v>0</v>
      </c>
      <c r="AX167" s="115" t="n">
        <v>0</v>
      </c>
      <c r="AZ167" s="115" t="n">
        <v>0</v>
      </c>
      <c r="BB167" s="115" t="n">
        <v>0</v>
      </c>
      <c r="BD167" s="115" t="n">
        <v>0</v>
      </c>
      <c r="BF167" s="115" t="n">
        <v>0</v>
      </c>
      <c r="BH167" s="115" t="n">
        <v>0</v>
      </c>
      <c r="BJ167" s="115" t="n">
        <v>0</v>
      </c>
      <c r="BL167" s="115" t="n">
        <v>0</v>
      </c>
      <c r="BM167" s="115"/>
      <c r="BN167" s="115" t="n">
        <f aca="false">SUM(T167:BM167)</f>
        <v>0</v>
      </c>
      <c r="BO167" s="115"/>
      <c r="BP167" s="115" t="n">
        <v>0</v>
      </c>
      <c r="BQ167" s="115"/>
      <c r="BR167" s="115" t="n">
        <f aca="false">IF(+R167-BN167+BP167&gt;0,R167-BN167+BP167,0)</f>
        <v>0</v>
      </c>
      <c r="BT167" s="115" t="n">
        <f aca="false">+BN167+BR167</f>
        <v>0</v>
      </c>
      <c r="BV167" s="123"/>
    </row>
    <row r="168" customFormat="false" ht="12.75" hidden="false" customHeight="false" outlineLevel="0" collapsed="false">
      <c r="A168" s="182"/>
      <c r="B168" s="174" t="s">
        <v>360</v>
      </c>
      <c r="C168" s="0"/>
      <c r="D168" s="0"/>
      <c r="E168" s="0"/>
      <c r="F168" s="0"/>
      <c r="G168" s="0"/>
      <c r="H168" s="0"/>
      <c r="I168" s="0"/>
      <c r="J168" s="0"/>
      <c r="K168" s="169" t="s">
        <v>142</v>
      </c>
      <c r="L168" s="115"/>
      <c r="M168" s="115" t="n">
        <f aca="false">1992500</f>
        <v>1992500</v>
      </c>
      <c r="O168" s="115" t="n">
        <f aca="false">2200000-M168</f>
        <v>207500</v>
      </c>
      <c r="Q168" s="115" t="n">
        <f aca="false">+M168+O168</f>
        <v>2200000</v>
      </c>
      <c r="R168" s="115" t="n">
        <v>0</v>
      </c>
      <c r="S168" s="115"/>
      <c r="T168" s="115" t="n">
        <v>0</v>
      </c>
      <c r="U168" s="115"/>
      <c r="V168" s="115" t="n">
        <v>0</v>
      </c>
      <c r="X168" s="115" t="n">
        <v>0</v>
      </c>
      <c r="Z168" s="115" t="n">
        <v>0</v>
      </c>
      <c r="AB168" s="115" t="n">
        <v>0</v>
      </c>
      <c r="AD168" s="115" t="n">
        <v>0</v>
      </c>
      <c r="AF168" s="115" t="n">
        <v>0</v>
      </c>
      <c r="AH168" s="115" t="n">
        <v>0</v>
      </c>
      <c r="AJ168" s="115" t="n">
        <v>0</v>
      </c>
      <c r="AN168" s="115" t="n">
        <v>0</v>
      </c>
      <c r="AP168" s="115" t="n">
        <v>0</v>
      </c>
      <c r="AR168" s="115" t="n">
        <v>0</v>
      </c>
      <c r="AT168" s="115" t="n">
        <v>0</v>
      </c>
      <c r="AV168" s="115" t="n">
        <v>0</v>
      </c>
      <c r="AX168" s="115" t="n">
        <v>0</v>
      </c>
      <c r="AZ168" s="115" t="n">
        <v>0</v>
      </c>
      <c r="BB168" s="115" t="n">
        <v>0</v>
      </c>
      <c r="BD168" s="115" t="n">
        <v>0</v>
      </c>
      <c r="BF168" s="115" t="n">
        <v>0</v>
      </c>
      <c r="BH168" s="115" t="n">
        <v>0</v>
      </c>
      <c r="BJ168" s="115" t="n">
        <v>0</v>
      </c>
      <c r="BL168" s="115" t="n">
        <v>0</v>
      </c>
      <c r="BM168" s="115"/>
      <c r="BN168" s="115" t="n">
        <f aca="false">SUM(T168:BM168)</f>
        <v>0</v>
      </c>
      <c r="BO168" s="115"/>
      <c r="BP168" s="115" t="n">
        <v>0</v>
      </c>
      <c r="BQ168" s="115"/>
      <c r="BR168" s="115" t="n">
        <f aca="false">IF(+R168-BN168+BP168&gt;0,R168-BN168+BP168,0)</f>
        <v>0</v>
      </c>
      <c r="BT168" s="115" t="n">
        <f aca="false">+BN168+BR168</f>
        <v>0</v>
      </c>
      <c r="BV168" s="123"/>
    </row>
    <row r="169" customFormat="false" ht="12.75" hidden="false" customHeight="false" outlineLevel="0" collapsed="false">
      <c r="A169" s="182"/>
      <c r="B169" s="174"/>
      <c r="C169" s="0"/>
      <c r="D169" s="0"/>
      <c r="E169" s="0"/>
      <c r="F169" s="0"/>
      <c r="G169" s="0"/>
      <c r="H169" s="0"/>
      <c r="I169" s="0"/>
      <c r="J169" s="0"/>
      <c r="K169" s="169"/>
      <c r="L169" s="115"/>
      <c r="M169" s="115"/>
      <c r="O169" s="115"/>
      <c r="Q169" s="115"/>
      <c r="S169" s="115"/>
      <c r="T169" s="115"/>
      <c r="U169" s="115"/>
      <c r="V169" s="115"/>
      <c r="X169" s="115"/>
      <c r="Z169" s="115"/>
      <c r="AB169" s="115"/>
      <c r="AD169" s="115"/>
      <c r="BL169" s="115"/>
      <c r="BM169" s="115"/>
      <c r="BO169" s="115"/>
      <c r="BP169" s="115"/>
      <c r="BQ169" s="115"/>
      <c r="BR169" s="115" t="n">
        <f aca="false">IF(+R169-BN169+BP169&gt;0,R169-BN169+BP169,0)</f>
        <v>0</v>
      </c>
      <c r="BT169" s="115" t="n">
        <f aca="false">+BN169+BR169</f>
        <v>0</v>
      </c>
      <c r="BV169" s="123"/>
    </row>
    <row r="170" customFormat="false" ht="12.75" hidden="false" customHeight="false" outlineLevel="0" collapsed="false">
      <c r="A170" s="182"/>
      <c r="B170" s="216" t="s">
        <v>361</v>
      </c>
      <c r="C170" s="2"/>
      <c r="D170" s="2"/>
      <c r="E170" s="2"/>
      <c r="F170" s="2"/>
      <c r="G170" s="2"/>
      <c r="H170" s="2"/>
      <c r="I170" s="2"/>
      <c r="J170" s="2"/>
      <c r="K170" s="188"/>
      <c r="L170" s="24"/>
      <c r="M170" s="210" t="n">
        <f aca="false">SUM(M166:M169)</f>
        <v>2000000</v>
      </c>
      <c r="N170" s="24"/>
      <c r="O170" s="210" t="n">
        <f aca="false">SUM(O166:O169)</f>
        <v>295000</v>
      </c>
      <c r="P170" s="24"/>
      <c r="Q170" s="210" t="n">
        <f aca="false">SUM(Q166:Q169)</f>
        <v>2295000</v>
      </c>
      <c r="R170" s="210" t="n">
        <f aca="false">SUM(R166:R169)</f>
        <v>0</v>
      </c>
      <c r="S170" s="24"/>
      <c r="T170" s="210" t="n">
        <f aca="false">SUM(T166:T169)</f>
        <v>0</v>
      </c>
      <c r="U170" s="24"/>
      <c r="V170" s="210" t="n">
        <f aca="false">SUM(V166:V169)</f>
        <v>0</v>
      </c>
      <c r="W170" s="24"/>
      <c r="X170" s="210" t="n">
        <f aca="false">SUM(X166:X169)</f>
        <v>7500</v>
      </c>
      <c r="Y170" s="24"/>
      <c r="Z170" s="210" t="n">
        <f aca="false">SUM(Z166:Z169)</f>
        <v>0</v>
      </c>
      <c r="AA170" s="24"/>
      <c r="AB170" s="210" t="n">
        <f aca="false">SUM(AB166:AB169)</f>
        <v>0</v>
      </c>
      <c r="AC170" s="24"/>
      <c r="AD170" s="210" t="n">
        <f aca="false">SUM(AD166:AD169)</f>
        <v>0</v>
      </c>
      <c r="AE170" s="24"/>
      <c r="AF170" s="210" t="n">
        <f aca="false">SUM(AF166:AF169)</f>
        <v>0</v>
      </c>
      <c r="AG170" s="24"/>
      <c r="AH170" s="210" t="n">
        <f aca="false">SUM(AH166:AH169)</f>
        <v>0</v>
      </c>
      <c r="AI170" s="24"/>
      <c r="AJ170" s="210" t="n">
        <f aca="false">SUM(AJ166:AJ169)</f>
        <v>0</v>
      </c>
      <c r="AK170" s="24"/>
      <c r="AL170" s="210" t="n">
        <f aca="false">SUM(AL166:AL169)</f>
        <v>0</v>
      </c>
      <c r="AM170" s="210"/>
      <c r="AN170" s="210" t="n">
        <f aca="false">SUM(AN166:AN169)</f>
        <v>0</v>
      </c>
      <c r="AO170" s="24"/>
      <c r="AP170" s="210" t="n">
        <f aca="false">SUM(AP166:AP169)</f>
        <v>0</v>
      </c>
      <c r="AQ170" s="24"/>
      <c r="AR170" s="210" t="n">
        <f aca="false">SUM(AR166:AR169)</f>
        <v>0</v>
      </c>
      <c r="AS170" s="24"/>
      <c r="AT170" s="210" t="n">
        <f aca="false">SUM(AT166:AT169)</f>
        <v>0</v>
      </c>
      <c r="AU170" s="24"/>
      <c r="AV170" s="210" t="n">
        <f aca="false">SUM(AV166:AV169)</f>
        <v>0</v>
      </c>
      <c r="AW170" s="24"/>
      <c r="AX170" s="210" t="n">
        <f aca="false">SUM(AX166:AX169)</f>
        <v>0</v>
      </c>
      <c r="AY170" s="24"/>
      <c r="AZ170" s="210" t="n">
        <f aca="false">SUM(AZ166:AZ169)</f>
        <v>0</v>
      </c>
      <c r="BA170" s="24"/>
      <c r="BB170" s="210" t="n">
        <f aca="false">SUM(BB166:BB169)</f>
        <v>0</v>
      </c>
      <c r="BC170" s="24"/>
      <c r="BD170" s="210" t="n">
        <f aca="false">SUM(BD166:BD169)</f>
        <v>0</v>
      </c>
      <c r="BE170" s="24"/>
      <c r="BF170" s="210" t="n">
        <f aca="false">SUM(BF166:BF169)</f>
        <v>0</v>
      </c>
      <c r="BG170" s="24"/>
      <c r="BH170" s="210" t="n">
        <f aca="false">SUM(BH166:BH169)</f>
        <v>0</v>
      </c>
      <c r="BI170" s="24"/>
      <c r="BJ170" s="210" t="n">
        <f aca="false">SUM(BJ166:BJ169)</f>
        <v>0</v>
      </c>
      <c r="BK170" s="24"/>
      <c r="BL170" s="210" t="n">
        <f aca="false">SUM(BL166:BL169)</f>
        <v>0</v>
      </c>
      <c r="BM170" s="24"/>
      <c r="BN170" s="210" t="n">
        <f aca="false">SUM(BN166:BN169)</f>
        <v>7500</v>
      </c>
      <c r="BO170" s="24"/>
      <c r="BP170" s="210" t="n">
        <f aca="false">SUM(BP166:BP169)</f>
        <v>0</v>
      </c>
      <c r="BQ170" s="24"/>
      <c r="BR170" s="210" t="n">
        <f aca="false">SUM(BR166:BR169)</f>
        <v>0</v>
      </c>
      <c r="BS170" s="24"/>
      <c r="BT170" s="210" t="n">
        <f aca="false">SUM(BT166:BT169)</f>
        <v>7500</v>
      </c>
      <c r="BU170" s="210" t="n">
        <f aca="false">SUM(BU166:BU169)</f>
        <v>0</v>
      </c>
      <c r="BV170" s="210"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2"/>
      <c r="B171" s="216"/>
      <c r="C171" s="2"/>
      <c r="D171" s="2"/>
      <c r="E171" s="2"/>
      <c r="F171" s="2"/>
      <c r="G171" s="2"/>
      <c r="H171" s="2"/>
      <c r="I171" s="2"/>
      <c r="J171" s="2"/>
      <c r="K171" s="188"/>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2" t="s">
        <v>254</v>
      </c>
      <c r="B172" s="216"/>
      <c r="C172" s="2"/>
      <c r="D172" s="2"/>
      <c r="E172" s="2"/>
      <c r="F172" s="2"/>
      <c r="G172" s="2"/>
      <c r="H172" s="2"/>
      <c r="I172" s="2"/>
      <c r="J172" s="3" t="s">
        <v>132</v>
      </c>
      <c r="K172" s="2"/>
      <c r="L172" s="169" t="s">
        <v>142</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1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6"/>
      <c r="B173" s="215"/>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8" t="s">
        <v>255</v>
      </c>
      <c r="B174" s="173"/>
      <c r="C174" s="0"/>
      <c r="D174" s="0"/>
      <c r="E174" s="0"/>
      <c r="F174" s="0"/>
      <c r="G174" s="0"/>
      <c r="H174" s="0"/>
      <c r="I174" s="0"/>
      <c r="J174" s="4"/>
      <c r="K174" s="0"/>
      <c r="L174" s="169"/>
      <c r="M174" s="115"/>
      <c r="O174" s="115"/>
      <c r="Q174" s="115"/>
      <c r="S174" s="115"/>
      <c r="T174" s="115"/>
      <c r="U174" s="115"/>
      <c r="V174" s="115"/>
      <c r="X174" s="115"/>
      <c r="Z174" s="115"/>
      <c r="AB174" s="115"/>
      <c r="AD174" s="115"/>
      <c r="BL174" s="115"/>
      <c r="BM174" s="115"/>
      <c r="BO174" s="115"/>
      <c r="BP174" s="115"/>
      <c r="BQ174" s="115"/>
      <c r="BW174" s="115"/>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c r="FL174" s="206"/>
      <c r="FM174" s="206"/>
      <c r="FN174" s="206"/>
      <c r="FO174" s="206"/>
      <c r="FP174" s="206"/>
      <c r="FQ174" s="206"/>
      <c r="FR174" s="206"/>
      <c r="FS174" s="206"/>
      <c r="FT174" s="206"/>
      <c r="FU174" s="206"/>
      <c r="FV174" s="206"/>
      <c r="FW174" s="206"/>
      <c r="FX174" s="206"/>
      <c r="FY174" s="206"/>
      <c r="FZ174" s="206"/>
      <c r="GA174" s="206"/>
      <c r="GB174" s="206"/>
      <c r="GC174" s="206"/>
      <c r="GD174" s="206"/>
      <c r="GE174" s="206"/>
      <c r="GF174" s="206"/>
      <c r="GG174" s="206"/>
      <c r="GH174" s="206"/>
      <c r="GI174" s="206"/>
      <c r="GJ174" s="206"/>
      <c r="GK174" s="206"/>
      <c r="GL174" s="206"/>
      <c r="GM174" s="206"/>
      <c r="GN174" s="206"/>
      <c r="GO174" s="206"/>
      <c r="GP174" s="206"/>
      <c r="GQ174" s="206"/>
      <c r="GR174" s="206"/>
      <c r="GS174" s="206"/>
      <c r="GT174" s="206"/>
      <c r="GU174" s="206"/>
      <c r="GV174" s="206"/>
      <c r="GW174" s="206"/>
      <c r="GX174" s="206"/>
      <c r="GY174" s="206"/>
      <c r="GZ174" s="206"/>
      <c r="HA174" s="206"/>
      <c r="HB174" s="206"/>
      <c r="HC174" s="206"/>
      <c r="HD174" s="206"/>
      <c r="HE174" s="206"/>
      <c r="HF174" s="206"/>
      <c r="HG174" s="206"/>
      <c r="HH174" s="206"/>
      <c r="HI174" s="206"/>
      <c r="HJ174" s="206"/>
      <c r="HK174" s="206"/>
      <c r="HL174" s="206"/>
      <c r="HM174" s="206"/>
      <c r="HN174" s="206"/>
      <c r="HO174" s="206"/>
      <c r="HP174" s="206"/>
      <c r="HQ174" s="206"/>
      <c r="HR174" s="206"/>
      <c r="HS174" s="206"/>
      <c r="HT174" s="206"/>
      <c r="HU174" s="206"/>
      <c r="HV174" s="206"/>
      <c r="HW174" s="206"/>
      <c r="HX174" s="206"/>
      <c r="HY174" s="206"/>
      <c r="HZ174" s="206"/>
      <c r="IA174" s="206"/>
      <c r="IB174" s="206"/>
      <c r="IC174" s="206"/>
      <c r="ID174" s="206"/>
      <c r="IE174" s="206"/>
      <c r="IF174" s="206"/>
      <c r="IG174" s="206"/>
      <c r="IH174" s="206"/>
      <c r="II174" s="206"/>
      <c r="IJ174" s="206"/>
      <c r="IK174" s="206"/>
      <c r="IL174" s="206"/>
      <c r="IM174" s="206"/>
      <c r="IN174" s="206"/>
      <c r="IO174" s="206"/>
      <c r="IP174" s="206"/>
      <c r="IQ174" s="206"/>
      <c r="IR174" s="206"/>
      <c r="IS174" s="206"/>
      <c r="IT174" s="206"/>
      <c r="IU174" s="206"/>
      <c r="IV174" s="206"/>
      <c r="IW174" s="206"/>
    </row>
    <row r="175" customFormat="false" ht="12.75" hidden="true" customHeight="false" outlineLevel="0" collapsed="false">
      <c r="A175" s="214"/>
      <c r="B175" s="173" t="s">
        <v>256</v>
      </c>
      <c r="C175" s="0"/>
      <c r="D175" s="0"/>
      <c r="E175" s="0"/>
      <c r="F175" s="0"/>
      <c r="G175" s="0"/>
      <c r="H175" s="0"/>
      <c r="I175" s="0"/>
      <c r="J175" s="4"/>
      <c r="K175" s="0"/>
      <c r="L175" s="169" t="s">
        <v>142</v>
      </c>
      <c r="M175" s="115"/>
      <c r="N175" s="115" t="n">
        <v>0</v>
      </c>
      <c r="O175" s="115"/>
      <c r="P175" s="115" t="n">
        <v>0</v>
      </c>
      <c r="Q175" s="115"/>
      <c r="R175" s="115" t="n">
        <f aca="false">+N175+P175</f>
        <v>0</v>
      </c>
      <c r="S175" s="115"/>
      <c r="T175" s="115" t="n">
        <v>0</v>
      </c>
      <c r="U175" s="115"/>
      <c r="V175" s="115" t="n">
        <v>0</v>
      </c>
      <c r="X175" s="115" t="n">
        <v>0</v>
      </c>
      <c r="Z175" s="115" t="n">
        <v>0</v>
      </c>
      <c r="AB175" s="115" t="n">
        <v>0</v>
      </c>
      <c r="AD175" s="115" t="n">
        <v>0</v>
      </c>
      <c r="AF175" s="115" t="n">
        <v>0</v>
      </c>
      <c r="AH175" s="115" t="n">
        <v>0</v>
      </c>
      <c r="AJ175" s="115" t="n">
        <v>0</v>
      </c>
      <c r="AN175" s="115" t="n">
        <v>0</v>
      </c>
      <c r="AP175" s="115" t="n">
        <v>0</v>
      </c>
      <c r="AR175" s="115" t="n">
        <v>0</v>
      </c>
      <c r="AT175" s="115" t="n">
        <v>0</v>
      </c>
      <c r="AV175" s="115" t="n">
        <v>0</v>
      </c>
      <c r="AX175" s="115" t="n">
        <v>0</v>
      </c>
      <c r="AZ175" s="115" t="n">
        <v>0</v>
      </c>
      <c r="BB175" s="115" t="n">
        <v>0</v>
      </c>
      <c r="BD175" s="115" t="n">
        <v>0</v>
      </c>
      <c r="BF175" s="115" t="n">
        <v>0</v>
      </c>
      <c r="BH175" s="115" t="n">
        <v>0</v>
      </c>
      <c r="BJ175" s="115" t="n">
        <v>0</v>
      </c>
      <c r="BL175" s="115" t="n">
        <v>0</v>
      </c>
      <c r="BM175" s="115"/>
      <c r="BN175" s="115" t="n">
        <f aca="false">SUM(T175:BM175)</f>
        <v>0</v>
      </c>
      <c r="BO175" s="115"/>
      <c r="BP175" s="115" t="n">
        <v>0</v>
      </c>
      <c r="BQ175" s="115"/>
      <c r="BR175" s="115" t="n">
        <f aca="false">+R175-BN175+BP175</f>
        <v>0</v>
      </c>
      <c r="BT175" s="115" t="n">
        <f aca="false">+BN175+BR175</f>
        <v>0</v>
      </c>
      <c r="BV175" s="115" t="n">
        <f aca="false">+R175-BT175</f>
        <v>0</v>
      </c>
      <c r="BW175" s="115"/>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c r="FL175" s="206"/>
      <c r="FM175" s="206"/>
      <c r="FN175" s="206"/>
      <c r="FO175" s="206"/>
      <c r="FP175" s="206"/>
      <c r="FQ175" s="206"/>
      <c r="FR175" s="206"/>
      <c r="FS175" s="206"/>
      <c r="FT175" s="206"/>
      <c r="FU175" s="206"/>
      <c r="FV175" s="206"/>
      <c r="FW175" s="206"/>
      <c r="FX175" s="206"/>
      <c r="FY175" s="206"/>
      <c r="FZ175" s="206"/>
      <c r="GA175" s="206"/>
      <c r="GB175" s="206"/>
      <c r="GC175" s="206"/>
      <c r="GD175" s="206"/>
      <c r="GE175" s="206"/>
      <c r="GF175" s="206"/>
      <c r="GG175" s="206"/>
      <c r="GH175" s="206"/>
      <c r="GI175" s="206"/>
      <c r="GJ175" s="206"/>
      <c r="GK175" s="206"/>
      <c r="GL175" s="206"/>
      <c r="GM175" s="206"/>
      <c r="GN175" s="206"/>
      <c r="GO175" s="206"/>
      <c r="GP175" s="206"/>
      <c r="GQ175" s="206"/>
      <c r="GR175" s="206"/>
      <c r="GS175" s="206"/>
      <c r="GT175" s="206"/>
      <c r="GU175" s="206"/>
      <c r="GV175" s="206"/>
      <c r="GW175" s="206"/>
      <c r="GX175" s="206"/>
      <c r="GY175" s="206"/>
      <c r="GZ175" s="206"/>
      <c r="HA175" s="206"/>
      <c r="HB175" s="206"/>
      <c r="HC175" s="206"/>
      <c r="HD175" s="206"/>
      <c r="HE175" s="206"/>
      <c r="HF175" s="206"/>
      <c r="HG175" s="206"/>
      <c r="HH175" s="206"/>
      <c r="HI175" s="206"/>
      <c r="HJ175" s="206"/>
      <c r="HK175" s="206"/>
      <c r="HL175" s="206"/>
      <c r="HM175" s="206"/>
      <c r="HN175" s="206"/>
      <c r="HO175" s="206"/>
      <c r="HP175" s="206"/>
      <c r="HQ175" s="206"/>
      <c r="HR175" s="206"/>
      <c r="HS175" s="206"/>
      <c r="HT175" s="206"/>
      <c r="HU175" s="206"/>
      <c r="HV175" s="206"/>
      <c r="HW175" s="206"/>
      <c r="HX175" s="206"/>
      <c r="HY175" s="206"/>
      <c r="HZ175" s="206"/>
      <c r="IA175" s="206"/>
      <c r="IB175" s="206"/>
      <c r="IC175" s="206"/>
      <c r="ID175" s="206"/>
      <c r="IE175" s="206"/>
      <c r="IF175" s="206"/>
      <c r="IG175" s="206"/>
      <c r="IH175" s="206"/>
      <c r="II175" s="206"/>
      <c r="IJ175" s="206"/>
      <c r="IK175" s="206"/>
      <c r="IL175" s="206"/>
      <c r="IM175" s="206"/>
      <c r="IN175" s="206"/>
      <c r="IO175" s="206"/>
      <c r="IP175" s="206"/>
      <c r="IQ175" s="206"/>
      <c r="IR175" s="206"/>
      <c r="IS175" s="206"/>
      <c r="IT175" s="206"/>
      <c r="IU175" s="206"/>
      <c r="IV175" s="206"/>
      <c r="IW175" s="206"/>
    </row>
    <row r="176" customFormat="false" ht="12.75" hidden="false" customHeight="false" outlineLevel="0" collapsed="false">
      <c r="A176" s="214"/>
      <c r="B176" s="173" t="s">
        <v>257</v>
      </c>
      <c r="C176" s="0"/>
      <c r="D176" s="0"/>
      <c r="E176" s="0"/>
      <c r="F176" s="0"/>
      <c r="G176" s="0"/>
      <c r="H176" s="0"/>
      <c r="I176" s="0"/>
      <c r="J176" s="4"/>
      <c r="K176" s="0"/>
      <c r="L176" s="169" t="s">
        <v>142</v>
      </c>
      <c r="M176" s="115"/>
      <c r="N176" s="115" t="n">
        <v>0</v>
      </c>
      <c r="O176" s="115"/>
      <c r="P176" s="115" t="n">
        <v>0</v>
      </c>
      <c r="Q176" s="115"/>
      <c r="R176" s="115" t="n">
        <v>0</v>
      </c>
      <c r="S176" s="115"/>
      <c r="T176" s="115" t="n">
        <v>0</v>
      </c>
      <c r="U176" s="115"/>
      <c r="V176" s="115" t="n">
        <v>0</v>
      </c>
      <c r="X176" s="115" t="n">
        <v>0</v>
      </c>
      <c r="Z176" s="115" t="n">
        <v>0</v>
      </c>
      <c r="AB176" s="115" t="n">
        <v>0</v>
      </c>
      <c r="AD176" s="115" t="n">
        <v>0</v>
      </c>
      <c r="AF176" s="115" t="n">
        <v>0</v>
      </c>
      <c r="AH176" s="115" t="n">
        <v>0</v>
      </c>
      <c r="AJ176" s="115" t="n">
        <v>0</v>
      </c>
      <c r="AN176" s="115" t="n">
        <v>0</v>
      </c>
      <c r="AP176" s="115" t="n">
        <v>0</v>
      </c>
      <c r="AR176" s="115" t="n">
        <v>0</v>
      </c>
      <c r="AT176" s="115" t="n">
        <v>0</v>
      </c>
      <c r="AV176" s="115" t="n">
        <v>0</v>
      </c>
      <c r="AX176" s="115" t="n">
        <v>0</v>
      </c>
      <c r="AZ176" s="115" t="n">
        <v>0</v>
      </c>
      <c r="BB176" s="115" t="n">
        <v>0</v>
      </c>
      <c r="BD176" s="115" t="n">
        <v>0</v>
      </c>
      <c r="BF176" s="115" t="n">
        <v>0</v>
      </c>
      <c r="BH176" s="115" t="n">
        <v>0</v>
      </c>
      <c r="BJ176" s="115" t="n">
        <v>0</v>
      </c>
      <c r="BL176" s="115" t="n">
        <v>0</v>
      </c>
      <c r="BM176" s="115"/>
      <c r="BN176" s="115" t="n">
        <f aca="false">SUM(T176:BM176)</f>
        <v>0</v>
      </c>
      <c r="BO176" s="115"/>
      <c r="BP176" s="115" t="n">
        <v>0</v>
      </c>
      <c r="BQ176" s="115"/>
      <c r="BR176" s="115" t="n">
        <f aca="false">IF(+R176-BN176+BP176&gt;0,R176-BN176+BP176,0)</f>
        <v>0</v>
      </c>
      <c r="BT176" s="115" t="n">
        <f aca="false">+BN176+BR176</f>
        <v>0</v>
      </c>
      <c r="BV176" s="115" t="n">
        <f aca="false">+R176-BT176</f>
        <v>0</v>
      </c>
      <c r="BW176" s="115"/>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c r="FL176" s="206"/>
      <c r="FM176" s="206"/>
      <c r="FN176" s="206"/>
      <c r="FO176" s="206"/>
      <c r="FP176" s="206"/>
      <c r="FQ176" s="206"/>
      <c r="FR176" s="206"/>
      <c r="FS176" s="206"/>
      <c r="FT176" s="206"/>
      <c r="FU176" s="206"/>
      <c r="FV176" s="206"/>
      <c r="FW176" s="206"/>
      <c r="FX176" s="206"/>
      <c r="FY176" s="206"/>
      <c r="FZ176" s="206"/>
      <c r="GA176" s="206"/>
      <c r="GB176" s="206"/>
      <c r="GC176" s="206"/>
      <c r="GD176" s="206"/>
      <c r="GE176" s="206"/>
      <c r="GF176" s="206"/>
      <c r="GG176" s="206"/>
      <c r="GH176" s="206"/>
      <c r="GI176" s="206"/>
      <c r="GJ176" s="206"/>
      <c r="GK176" s="206"/>
      <c r="GL176" s="206"/>
      <c r="GM176" s="206"/>
      <c r="GN176" s="206"/>
      <c r="GO176" s="206"/>
      <c r="GP176" s="206"/>
      <c r="GQ176" s="206"/>
      <c r="GR176" s="206"/>
      <c r="GS176" s="206"/>
      <c r="GT176" s="206"/>
      <c r="GU176" s="206"/>
      <c r="GV176" s="206"/>
      <c r="GW176" s="206"/>
      <c r="GX176" s="206"/>
      <c r="GY176" s="206"/>
      <c r="GZ176" s="206"/>
      <c r="HA176" s="206"/>
      <c r="HB176" s="206"/>
      <c r="HC176" s="206"/>
      <c r="HD176" s="206"/>
      <c r="HE176" s="206"/>
      <c r="HF176" s="206"/>
      <c r="HG176" s="206"/>
      <c r="HH176" s="206"/>
      <c r="HI176" s="206"/>
      <c r="HJ176" s="206"/>
      <c r="HK176" s="206"/>
      <c r="HL176" s="206"/>
      <c r="HM176" s="206"/>
      <c r="HN176" s="206"/>
      <c r="HO176" s="206"/>
      <c r="HP176" s="206"/>
      <c r="HQ176" s="206"/>
      <c r="HR176" s="206"/>
      <c r="HS176" s="206"/>
      <c r="HT176" s="206"/>
      <c r="HU176" s="206"/>
      <c r="HV176" s="206"/>
      <c r="HW176" s="206"/>
      <c r="HX176" s="206"/>
      <c r="HY176" s="206"/>
      <c r="HZ176" s="206"/>
      <c r="IA176" s="206"/>
      <c r="IB176" s="206"/>
      <c r="IC176" s="206"/>
      <c r="ID176" s="206"/>
      <c r="IE176" s="206"/>
      <c r="IF176" s="206"/>
      <c r="IG176" s="206"/>
      <c r="IH176" s="206"/>
      <c r="II176" s="206"/>
      <c r="IJ176" s="206"/>
      <c r="IK176" s="206"/>
      <c r="IL176" s="206"/>
      <c r="IM176" s="206"/>
      <c r="IN176" s="206"/>
      <c r="IO176" s="206"/>
      <c r="IP176" s="206"/>
      <c r="IQ176" s="206"/>
      <c r="IR176" s="206"/>
      <c r="IS176" s="206"/>
      <c r="IT176" s="206"/>
      <c r="IU176" s="206"/>
      <c r="IV176" s="206"/>
      <c r="IW176" s="206"/>
    </row>
    <row r="177" customFormat="false" ht="12.75" hidden="true" customHeight="false" outlineLevel="0" collapsed="false">
      <c r="A177" s="214"/>
      <c r="B177" s="173" t="s">
        <v>152</v>
      </c>
      <c r="C177" s="0"/>
      <c r="D177" s="0"/>
      <c r="E177" s="0"/>
      <c r="F177" s="0"/>
      <c r="G177" s="0"/>
      <c r="H177" s="0"/>
      <c r="I177" s="0"/>
      <c r="J177" s="4"/>
      <c r="K177" s="0"/>
      <c r="L177" s="169" t="s">
        <v>142</v>
      </c>
      <c r="M177" s="115"/>
      <c r="N177" s="115" t="n">
        <v>0</v>
      </c>
      <c r="O177" s="115"/>
      <c r="P177" s="115" t="n">
        <v>0</v>
      </c>
      <c r="Q177" s="115"/>
      <c r="R177" s="115" t="n">
        <v>0</v>
      </c>
      <c r="S177" s="115"/>
      <c r="T177" s="115" t="n">
        <v>0</v>
      </c>
      <c r="U177" s="115"/>
      <c r="V177" s="115" t="n">
        <v>0</v>
      </c>
      <c r="X177" s="115" t="n">
        <v>0</v>
      </c>
      <c r="Z177" s="115" t="n">
        <v>0</v>
      </c>
      <c r="AB177" s="115" t="n">
        <v>0</v>
      </c>
      <c r="AD177" s="115" t="n">
        <v>0</v>
      </c>
      <c r="AF177" s="115" t="n">
        <v>0</v>
      </c>
      <c r="AH177" s="115" t="n">
        <v>0</v>
      </c>
      <c r="AJ177" s="115" t="n">
        <v>0</v>
      </c>
      <c r="AN177" s="115" t="n">
        <v>0</v>
      </c>
      <c r="AP177" s="115" t="n">
        <v>0</v>
      </c>
      <c r="AR177" s="115" t="n">
        <v>0</v>
      </c>
      <c r="AT177" s="115" t="n">
        <v>0</v>
      </c>
      <c r="AV177" s="115" t="n">
        <v>0</v>
      </c>
      <c r="AX177" s="115" t="n">
        <v>0</v>
      </c>
      <c r="AZ177" s="115" t="n">
        <v>0</v>
      </c>
      <c r="BB177" s="115" t="n">
        <v>0</v>
      </c>
      <c r="BD177" s="115" t="n">
        <v>0</v>
      </c>
      <c r="BF177" s="115" t="n">
        <v>0</v>
      </c>
      <c r="BH177" s="115" t="n">
        <v>0</v>
      </c>
      <c r="BJ177" s="115" t="n">
        <v>0</v>
      </c>
      <c r="BL177" s="115" t="n">
        <v>0</v>
      </c>
      <c r="BM177" s="115"/>
      <c r="BN177" s="115" t="n">
        <f aca="false">SUM(T177:BM177)</f>
        <v>0</v>
      </c>
      <c r="BO177" s="115"/>
      <c r="BP177" s="115" t="n">
        <v>0</v>
      </c>
      <c r="BQ177" s="115"/>
      <c r="BR177" s="115" t="n">
        <f aca="false">+R177-BN177+BP177</f>
        <v>0</v>
      </c>
      <c r="BT177" s="115" t="n">
        <f aca="false">+BN177+BR177</f>
        <v>0</v>
      </c>
      <c r="BV177" s="115" t="n">
        <f aca="false">+R177-BT177</f>
        <v>0</v>
      </c>
      <c r="BW177" s="115"/>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c r="FL177" s="206"/>
      <c r="FM177" s="206"/>
      <c r="FN177" s="206"/>
      <c r="FO177" s="206"/>
      <c r="FP177" s="206"/>
      <c r="FQ177" s="206"/>
      <c r="FR177" s="206"/>
      <c r="FS177" s="206"/>
      <c r="FT177" s="206"/>
      <c r="FU177" s="206"/>
      <c r="FV177" s="206"/>
      <c r="FW177" s="206"/>
      <c r="FX177" s="206"/>
      <c r="FY177" s="206"/>
      <c r="FZ177" s="206"/>
      <c r="GA177" s="206"/>
      <c r="GB177" s="206"/>
      <c r="GC177" s="206"/>
      <c r="GD177" s="206"/>
      <c r="GE177" s="206"/>
      <c r="GF177" s="206"/>
      <c r="GG177" s="206"/>
      <c r="GH177" s="206"/>
      <c r="GI177" s="206"/>
      <c r="GJ177" s="206"/>
      <c r="GK177" s="206"/>
      <c r="GL177" s="206"/>
      <c r="GM177" s="206"/>
      <c r="GN177" s="206"/>
      <c r="GO177" s="206"/>
      <c r="GP177" s="206"/>
      <c r="GQ177" s="206"/>
      <c r="GR177" s="206"/>
      <c r="GS177" s="206"/>
      <c r="GT177" s="206"/>
      <c r="GU177" s="206"/>
      <c r="GV177" s="206"/>
      <c r="GW177" s="206"/>
      <c r="GX177" s="206"/>
      <c r="GY177" s="206"/>
      <c r="GZ177" s="206"/>
      <c r="HA177" s="206"/>
      <c r="HB177" s="206"/>
      <c r="HC177" s="206"/>
      <c r="HD177" s="206"/>
      <c r="HE177" s="206"/>
      <c r="HF177" s="206"/>
      <c r="HG177" s="206"/>
      <c r="HH177" s="206"/>
      <c r="HI177" s="206"/>
      <c r="HJ177" s="206"/>
      <c r="HK177" s="206"/>
      <c r="HL177" s="206"/>
      <c r="HM177" s="206"/>
      <c r="HN177" s="206"/>
      <c r="HO177" s="206"/>
      <c r="HP177" s="206"/>
      <c r="HQ177" s="206"/>
      <c r="HR177" s="206"/>
      <c r="HS177" s="206"/>
      <c r="HT177" s="206"/>
      <c r="HU177" s="206"/>
      <c r="HV177" s="206"/>
      <c r="HW177" s="206"/>
      <c r="HX177" s="206"/>
      <c r="HY177" s="206"/>
      <c r="HZ177" s="206"/>
      <c r="IA177" s="206"/>
      <c r="IB177" s="206"/>
      <c r="IC177" s="206"/>
      <c r="ID177" s="206"/>
      <c r="IE177" s="206"/>
      <c r="IF177" s="206"/>
      <c r="IG177" s="206"/>
      <c r="IH177" s="206"/>
      <c r="II177" s="206"/>
      <c r="IJ177" s="206"/>
      <c r="IK177" s="206"/>
      <c r="IL177" s="206"/>
      <c r="IM177" s="206"/>
      <c r="IN177" s="206"/>
      <c r="IO177" s="206"/>
      <c r="IP177" s="206"/>
      <c r="IQ177" s="206"/>
      <c r="IR177" s="206"/>
      <c r="IS177" s="206"/>
      <c r="IT177" s="206"/>
      <c r="IU177" s="206"/>
      <c r="IV177" s="206"/>
      <c r="IW177" s="206"/>
    </row>
    <row r="178" customFormat="false" ht="12.75" hidden="false" customHeight="false" outlineLevel="0" collapsed="false">
      <c r="A178" s="208"/>
      <c r="B178" s="209" t="s">
        <v>258</v>
      </c>
      <c r="C178" s="2"/>
      <c r="D178" s="2"/>
      <c r="E178" s="2"/>
      <c r="F178" s="2"/>
      <c r="G178" s="2"/>
      <c r="H178" s="2"/>
      <c r="I178" s="2"/>
      <c r="J178" s="3"/>
      <c r="K178" s="2"/>
      <c r="L178" s="188"/>
      <c r="M178" s="24"/>
      <c r="N178" s="210" t="n">
        <f aca="false">SUM(N175:N177)</f>
        <v>0</v>
      </c>
      <c r="O178" s="24"/>
      <c r="P178" s="210" t="n">
        <f aca="false">SUM(P175:P177)</f>
        <v>0</v>
      </c>
      <c r="Q178" s="24"/>
      <c r="R178" s="210" t="n">
        <f aca="false">SUM(R175:R177)</f>
        <v>0</v>
      </c>
      <c r="S178" s="24"/>
      <c r="T178" s="210" t="n">
        <f aca="false">SUM(T175:T177)</f>
        <v>0</v>
      </c>
      <c r="U178" s="24"/>
      <c r="V178" s="210" t="n">
        <f aca="false">SUM(V175:V177)</f>
        <v>0</v>
      </c>
      <c r="W178" s="24"/>
      <c r="X178" s="210" t="n">
        <f aca="false">SUM(X175:X177)</f>
        <v>0</v>
      </c>
      <c r="Y178" s="24"/>
      <c r="Z178" s="210" t="n">
        <f aca="false">SUM(Z175:Z177)</f>
        <v>0</v>
      </c>
      <c r="AA178" s="24"/>
      <c r="AB178" s="210" t="n">
        <f aca="false">SUM(AB175:AB177)</f>
        <v>0</v>
      </c>
      <c r="AC178" s="24"/>
      <c r="AD178" s="210" t="n">
        <f aca="false">SUM(AD175:AD177)</f>
        <v>0</v>
      </c>
      <c r="AE178" s="24"/>
      <c r="AF178" s="210" t="n">
        <f aca="false">SUM(AF175:AF177)</f>
        <v>0</v>
      </c>
      <c r="AG178" s="24"/>
      <c r="AH178" s="210" t="n">
        <f aca="false">SUM(AH175:AH177)</f>
        <v>0</v>
      </c>
      <c r="AI178" s="24"/>
      <c r="AJ178" s="210" t="n">
        <f aca="false">SUM(AJ175:AJ177)</f>
        <v>0</v>
      </c>
      <c r="AK178" s="24"/>
      <c r="AL178" s="210" t="n">
        <f aca="false">SUM(AL175:AL177)</f>
        <v>0</v>
      </c>
      <c r="AM178" s="210"/>
      <c r="AN178" s="210" t="n">
        <f aca="false">SUM(AN175:AN177)</f>
        <v>0</v>
      </c>
      <c r="AO178" s="24"/>
      <c r="AP178" s="210" t="n">
        <f aca="false">SUM(AP175:AP177)</f>
        <v>0</v>
      </c>
      <c r="AQ178" s="24"/>
      <c r="AR178" s="210" t="n">
        <f aca="false">SUM(AR175:AR177)</f>
        <v>0</v>
      </c>
      <c r="AS178" s="24"/>
      <c r="AT178" s="210" t="n">
        <f aca="false">SUM(AT175:AT177)</f>
        <v>0</v>
      </c>
      <c r="AU178" s="24"/>
      <c r="AV178" s="210" t="n">
        <f aca="false">SUM(AV175:AV177)</f>
        <v>0</v>
      </c>
      <c r="AW178" s="24"/>
      <c r="AX178" s="210" t="n">
        <f aca="false">SUM(AX175:AX177)</f>
        <v>0</v>
      </c>
      <c r="AY178" s="24"/>
      <c r="AZ178" s="210" t="n">
        <f aca="false">SUM(AZ175:AZ177)</f>
        <v>0</v>
      </c>
      <c r="BA178" s="24"/>
      <c r="BB178" s="210" t="n">
        <f aca="false">SUM(BB175:BB177)</f>
        <v>0</v>
      </c>
      <c r="BC178" s="24"/>
      <c r="BD178" s="210" t="n">
        <f aca="false">SUM(BD175:BD177)</f>
        <v>0</v>
      </c>
      <c r="BE178" s="24"/>
      <c r="BF178" s="210" t="n">
        <f aca="false">SUM(BF175:BF177)</f>
        <v>0</v>
      </c>
      <c r="BG178" s="24"/>
      <c r="BH178" s="210" t="n">
        <f aca="false">SUM(BH175:BH177)</f>
        <v>0</v>
      </c>
      <c r="BI178" s="24"/>
      <c r="BJ178" s="210" t="n">
        <f aca="false">SUM(BJ175:BJ177)</f>
        <v>0</v>
      </c>
      <c r="BK178" s="24"/>
      <c r="BL178" s="210" t="n">
        <f aca="false">SUM(BL175:BL177)</f>
        <v>0</v>
      </c>
      <c r="BM178" s="24"/>
      <c r="BN178" s="210" t="n">
        <f aca="false">SUM(BN175:BN177)</f>
        <v>0</v>
      </c>
      <c r="BO178" s="24"/>
      <c r="BP178" s="210" t="n">
        <f aca="false">SUM(BP175:BP177)</f>
        <v>0</v>
      </c>
      <c r="BQ178" s="24"/>
      <c r="BR178" s="210" t="n">
        <f aca="false">SUM(BR175:BR177)</f>
        <v>0</v>
      </c>
      <c r="BS178" s="24"/>
      <c r="BT178" s="210" t="n">
        <f aca="false">SUM(BT175:BT177)</f>
        <v>0</v>
      </c>
      <c r="BU178" s="24"/>
      <c r="BV178" s="210" t="n">
        <f aca="false">SUM(BV175:BV177)</f>
        <v>0</v>
      </c>
      <c r="BW178" s="24"/>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1"/>
      <c r="DO178" s="211"/>
      <c r="DP178" s="211"/>
      <c r="DQ178" s="211"/>
      <c r="DR178" s="211"/>
      <c r="DS178" s="211"/>
      <c r="DT178" s="211"/>
      <c r="DU178" s="211"/>
      <c r="DV178" s="211"/>
      <c r="DW178" s="211"/>
      <c r="DX178" s="211"/>
      <c r="DY178" s="211"/>
      <c r="DZ178" s="211"/>
      <c r="EA178" s="211"/>
      <c r="EB178" s="211"/>
      <c r="EC178" s="211"/>
      <c r="ED178" s="211"/>
      <c r="EE178" s="211"/>
      <c r="EF178" s="211"/>
      <c r="EG178" s="211"/>
      <c r="EH178" s="211"/>
      <c r="EI178" s="211"/>
      <c r="EJ178" s="211"/>
      <c r="EK178" s="211"/>
      <c r="EL178" s="211"/>
      <c r="EM178" s="211"/>
      <c r="EN178" s="211"/>
      <c r="EO178" s="211"/>
      <c r="EP178" s="211"/>
      <c r="EQ178" s="211"/>
      <c r="ER178" s="211"/>
      <c r="ES178" s="211"/>
      <c r="ET178" s="211"/>
      <c r="EU178" s="211"/>
      <c r="EV178" s="211"/>
      <c r="EW178" s="211"/>
      <c r="EX178" s="211"/>
      <c r="EY178" s="211"/>
      <c r="EZ178" s="211"/>
      <c r="FA178" s="211"/>
      <c r="FB178" s="211"/>
      <c r="FC178" s="211"/>
      <c r="FD178" s="211"/>
      <c r="FE178" s="211"/>
      <c r="FF178" s="211"/>
      <c r="FG178" s="211"/>
      <c r="FH178" s="211"/>
      <c r="FI178" s="211"/>
      <c r="FJ178" s="211"/>
      <c r="FK178" s="211"/>
      <c r="FL178" s="211"/>
      <c r="FM178" s="211"/>
      <c r="FN178" s="211"/>
      <c r="FO178" s="211"/>
      <c r="FP178" s="211"/>
      <c r="FQ178" s="211"/>
      <c r="FR178" s="211"/>
      <c r="FS178" s="211"/>
      <c r="FT178" s="211"/>
      <c r="FU178" s="211"/>
      <c r="FV178" s="211"/>
      <c r="FW178" s="211"/>
      <c r="FX178" s="211"/>
      <c r="FY178" s="211"/>
      <c r="FZ178" s="211"/>
      <c r="GA178" s="211"/>
      <c r="GB178" s="211"/>
      <c r="GC178" s="211"/>
      <c r="GD178" s="211"/>
      <c r="GE178" s="211"/>
      <c r="GF178" s="211"/>
      <c r="GG178" s="211"/>
      <c r="GH178" s="211"/>
      <c r="GI178" s="211"/>
      <c r="GJ178" s="211"/>
      <c r="GK178" s="211"/>
      <c r="GL178" s="211"/>
      <c r="GM178" s="211"/>
      <c r="GN178" s="211"/>
      <c r="GO178" s="211"/>
      <c r="GP178" s="211"/>
      <c r="GQ178" s="211"/>
      <c r="GR178" s="211"/>
      <c r="GS178" s="211"/>
      <c r="GT178" s="211"/>
      <c r="GU178" s="211"/>
      <c r="GV178" s="211"/>
      <c r="GW178" s="211"/>
      <c r="GX178" s="211"/>
      <c r="GY178" s="211"/>
      <c r="GZ178" s="211"/>
      <c r="HA178" s="211"/>
      <c r="HB178" s="211"/>
      <c r="HC178" s="211"/>
      <c r="HD178" s="211"/>
      <c r="HE178" s="211"/>
      <c r="HF178" s="211"/>
      <c r="HG178" s="211"/>
      <c r="HH178" s="211"/>
      <c r="HI178" s="211"/>
      <c r="HJ178" s="211"/>
      <c r="HK178" s="211"/>
      <c r="HL178" s="211"/>
      <c r="HM178" s="211"/>
      <c r="HN178" s="211"/>
      <c r="HO178" s="211"/>
      <c r="HP178" s="211"/>
      <c r="HQ178" s="211"/>
      <c r="HR178" s="211"/>
      <c r="HS178" s="211"/>
      <c r="HT178" s="211"/>
      <c r="HU178" s="211"/>
      <c r="HV178" s="211"/>
      <c r="HW178" s="211"/>
      <c r="HX178" s="211"/>
      <c r="HY178" s="211"/>
      <c r="HZ178" s="211"/>
      <c r="IA178" s="211"/>
      <c r="IB178" s="211"/>
      <c r="IC178" s="211"/>
      <c r="ID178" s="211"/>
      <c r="IE178" s="211"/>
      <c r="IF178" s="211"/>
      <c r="IG178" s="211"/>
      <c r="IH178" s="211"/>
      <c r="II178" s="211"/>
      <c r="IJ178" s="211"/>
      <c r="IK178" s="211"/>
      <c r="IL178" s="211"/>
      <c r="IM178" s="211"/>
      <c r="IN178" s="211"/>
      <c r="IO178" s="211"/>
      <c r="IP178" s="211"/>
      <c r="IQ178" s="211"/>
      <c r="IR178" s="211"/>
      <c r="IS178" s="211"/>
      <c r="IT178" s="211"/>
      <c r="IU178" s="211"/>
      <c r="IV178" s="211"/>
      <c r="IW178" s="211"/>
    </row>
    <row r="179" customFormat="false" ht="12.75" hidden="false" customHeight="false" outlineLevel="0" collapsed="false">
      <c r="A179" s="219"/>
      <c r="B179" s="209"/>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1"/>
      <c r="DO179" s="211"/>
      <c r="DP179" s="211"/>
      <c r="DQ179" s="211"/>
      <c r="DR179" s="211"/>
      <c r="DS179" s="211"/>
      <c r="DT179" s="211"/>
      <c r="DU179" s="211"/>
      <c r="DV179" s="211"/>
      <c r="DW179" s="211"/>
      <c r="DX179" s="211"/>
      <c r="DY179" s="211"/>
      <c r="DZ179" s="211"/>
      <c r="EA179" s="211"/>
      <c r="EB179" s="211"/>
      <c r="EC179" s="211"/>
      <c r="ED179" s="211"/>
      <c r="EE179" s="211"/>
      <c r="EF179" s="211"/>
      <c r="EG179" s="211"/>
      <c r="EH179" s="211"/>
      <c r="EI179" s="211"/>
      <c r="EJ179" s="211"/>
      <c r="EK179" s="211"/>
      <c r="EL179" s="211"/>
      <c r="EM179" s="211"/>
      <c r="EN179" s="211"/>
      <c r="EO179" s="211"/>
      <c r="EP179" s="211"/>
      <c r="EQ179" s="211"/>
      <c r="ER179" s="211"/>
      <c r="ES179" s="211"/>
      <c r="ET179" s="211"/>
      <c r="EU179" s="211"/>
      <c r="EV179" s="211"/>
      <c r="EW179" s="211"/>
      <c r="EX179" s="211"/>
      <c r="EY179" s="211"/>
      <c r="EZ179" s="211"/>
      <c r="FA179" s="211"/>
      <c r="FB179" s="211"/>
      <c r="FC179" s="211"/>
      <c r="FD179" s="211"/>
      <c r="FE179" s="211"/>
      <c r="FF179" s="211"/>
      <c r="FG179" s="211"/>
      <c r="FH179" s="211"/>
      <c r="FI179" s="211"/>
      <c r="FJ179" s="211"/>
      <c r="FK179" s="211"/>
      <c r="FL179" s="211"/>
      <c r="FM179" s="211"/>
      <c r="FN179" s="211"/>
      <c r="FO179" s="211"/>
      <c r="FP179" s="211"/>
      <c r="FQ179" s="211"/>
      <c r="FR179" s="211"/>
      <c r="FS179" s="211"/>
      <c r="FT179" s="211"/>
      <c r="FU179" s="211"/>
      <c r="FV179" s="211"/>
      <c r="FW179" s="211"/>
      <c r="FX179" s="211"/>
      <c r="FY179" s="211"/>
      <c r="FZ179" s="211"/>
      <c r="GA179" s="211"/>
      <c r="GB179" s="211"/>
      <c r="GC179" s="211"/>
      <c r="GD179" s="211"/>
      <c r="GE179" s="211"/>
      <c r="GF179" s="211"/>
      <c r="GG179" s="211"/>
      <c r="GH179" s="211"/>
      <c r="GI179" s="211"/>
      <c r="GJ179" s="211"/>
      <c r="GK179" s="211"/>
      <c r="GL179" s="211"/>
      <c r="GM179" s="211"/>
      <c r="GN179" s="211"/>
      <c r="GO179" s="211"/>
      <c r="GP179" s="211"/>
      <c r="GQ179" s="211"/>
      <c r="GR179" s="211"/>
      <c r="GS179" s="211"/>
      <c r="GT179" s="211"/>
      <c r="GU179" s="211"/>
      <c r="GV179" s="211"/>
      <c r="GW179" s="211"/>
      <c r="GX179" s="211"/>
      <c r="GY179" s="211"/>
      <c r="GZ179" s="211"/>
      <c r="HA179" s="211"/>
      <c r="HB179" s="211"/>
      <c r="HC179" s="211"/>
      <c r="HD179" s="211"/>
      <c r="HE179" s="211"/>
      <c r="HF179" s="211"/>
      <c r="HG179" s="211"/>
      <c r="HH179" s="211"/>
      <c r="HI179" s="211"/>
      <c r="HJ179" s="211"/>
      <c r="HK179" s="211"/>
      <c r="HL179" s="211"/>
      <c r="HM179" s="211"/>
      <c r="HN179" s="211"/>
      <c r="HO179" s="211"/>
      <c r="HP179" s="211"/>
      <c r="HQ179" s="211"/>
      <c r="HR179" s="211"/>
      <c r="HS179" s="211"/>
      <c r="HT179" s="211"/>
      <c r="HU179" s="211"/>
      <c r="HV179" s="211"/>
      <c r="HW179" s="211"/>
      <c r="HX179" s="211"/>
      <c r="HY179" s="211"/>
      <c r="HZ179" s="211"/>
      <c r="IA179" s="211"/>
      <c r="IB179" s="211"/>
      <c r="IC179" s="211"/>
      <c r="ID179" s="211"/>
      <c r="IE179" s="211"/>
      <c r="IF179" s="211"/>
      <c r="IG179" s="211"/>
      <c r="IH179" s="211"/>
      <c r="II179" s="211"/>
      <c r="IJ179" s="211"/>
      <c r="IK179" s="211"/>
      <c r="IL179" s="211"/>
      <c r="IM179" s="211"/>
      <c r="IN179" s="211"/>
      <c r="IO179" s="211"/>
      <c r="IP179" s="211"/>
      <c r="IQ179" s="211"/>
      <c r="IR179" s="211"/>
      <c r="IS179" s="211"/>
      <c r="IT179" s="211"/>
      <c r="IU179" s="211"/>
      <c r="IV179" s="211"/>
      <c r="IW179" s="211"/>
    </row>
    <row r="180" customFormat="false" ht="12.75" hidden="false" customHeight="false" outlineLevel="0" collapsed="false">
      <c r="A180" s="215" t="s">
        <v>259</v>
      </c>
      <c r="B180" s="216"/>
      <c r="C180" s="216"/>
      <c r="D180" s="216"/>
      <c r="E180" s="216"/>
      <c r="F180" s="216"/>
      <c r="G180" s="216"/>
      <c r="H180" s="216"/>
      <c r="I180" s="216"/>
      <c r="J180" s="217"/>
      <c r="K180" s="216"/>
      <c r="L180" s="218" t="s">
        <v>142</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15" t="n">
        <f aca="false">IF(+R180-BN180+BP180&gt;0,R180-BN180+BP180,0)</f>
        <v>0</v>
      </c>
      <c r="BS180" s="24"/>
      <c r="BT180" s="24" t="n">
        <f aca="false">+BN180+BR180</f>
        <v>0</v>
      </c>
      <c r="BU180" s="24"/>
      <c r="BV180" s="24" t="n">
        <f aca="false">+R180-BT180</f>
        <v>0</v>
      </c>
      <c r="BW180" s="24"/>
      <c r="BX180" s="216"/>
      <c r="BY180" s="216"/>
      <c r="BZ180" s="216"/>
      <c r="CA180" s="216"/>
      <c r="CB180" s="216"/>
      <c r="CC180" s="216"/>
      <c r="CD180" s="216"/>
      <c r="CE180" s="216"/>
      <c r="CF180" s="216"/>
      <c r="CG180" s="216"/>
      <c r="CH180" s="216"/>
      <c r="CI180" s="216"/>
      <c r="CJ180" s="216"/>
      <c r="CK180" s="216"/>
      <c r="CL180" s="216"/>
      <c r="CM180" s="216"/>
      <c r="CN180" s="216"/>
      <c r="CO180" s="216"/>
      <c r="CP180" s="216"/>
      <c r="CQ180" s="216"/>
      <c r="CR180" s="216"/>
      <c r="CS180" s="216"/>
      <c r="CT180" s="216"/>
      <c r="CU180" s="216"/>
      <c r="CV180" s="216"/>
      <c r="CW180" s="216"/>
      <c r="CX180" s="216"/>
      <c r="CY180" s="216"/>
      <c r="CZ180" s="216"/>
      <c r="DA180" s="216"/>
      <c r="DB180" s="216"/>
      <c r="DC180" s="216"/>
      <c r="DD180" s="216"/>
      <c r="DE180" s="216"/>
      <c r="DF180" s="216"/>
      <c r="DG180" s="216"/>
      <c r="DH180" s="216"/>
      <c r="DI180" s="216"/>
      <c r="DJ180" s="216"/>
      <c r="DK180" s="216"/>
      <c r="DL180" s="216"/>
      <c r="DM180" s="216"/>
      <c r="DN180" s="216"/>
      <c r="DO180" s="216"/>
      <c r="DP180" s="216"/>
      <c r="DQ180" s="216"/>
      <c r="DR180" s="216"/>
      <c r="DS180" s="216"/>
      <c r="DT180" s="216"/>
      <c r="DU180" s="216"/>
      <c r="DV180" s="216"/>
      <c r="DW180" s="216"/>
      <c r="DX180" s="216"/>
      <c r="DY180" s="216"/>
      <c r="DZ180" s="216"/>
      <c r="EA180" s="216"/>
      <c r="EB180" s="216"/>
      <c r="EC180" s="216"/>
      <c r="ED180" s="216"/>
      <c r="EE180" s="216"/>
      <c r="EF180" s="216"/>
      <c r="EG180" s="216"/>
      <c r="EH180" s="216"/>
      <c r="EI180" s="216"/>
      <c r="EJ180" s="216"/>
      <c r="EK180" s="216"/>
      <c r="EL180" s="216"/>
      <c r="EM180" s="216"/>
      <c r="EN180" s="216"/>
      <c r="EO180" s="216"/>
      <c r="EP180" s="216"/>
      <c r="EQ180" s="216"/>
      <c r="ER180" s="216"/>
      <c r="ES180" s="216"/>
      <c r="ET180" s="216"/>
      <c r="EU180" s="216"/>
      <c r="EV180" s="216"/>
      <c r="EW180" s="216"/>
      <c r="EX180" s="216"/>
      <c r="EY180" s="216"/>
      <c r="EZ180" s="216"/>
      <c r="FA180" s="216"/>
      <c r="FB180" s="216"/>
      <c r="FC180" s="216"/>
      <c r="FD180" s="216"/>
      <c r="FE180" s="216"/>
      <c r="FF180" s="216"/>
      <c r="FG180" s="216"/>
      <c r="FH180" s="216"/>
      <c r="FI180" s="216"/>
      <c r="FJ180" s="216"/>
      <c r="FK180" s="216"/>
      <c r="FL180" s="216"/>
      <c r="FM180" s="216"/>
      <c r="FN180" s="216"/>
      <c r="FO180" s="216"/>
      <c r="FP180" s="216"/>
      <c r="FQ180" s="216"/>
      <c r="FR180" s="216"/>
      <c r="FS180" s="216"/>
      <c r="FT180" s="216"/>
      <c r="FU180" s="216"/>
      <c r="FV180" s="216"/>
      <c r="FW180" s="216"/>
      <c r="FX180" s="216"/>
      <c r="FY180" s="216"/>
      <c r="FZ180" s="216"/>
      <c r="GA180" s="216"/>
      <c r="GB180" s="216"/>
      <c r="GC180" s="216"/>
      <c r="GD180" s="216"/>
      <c r="GE180" s="216"/>
      <c r="GF180" s="216"/>
      <c r="GG180" s="216"/>
      <c r="GH180" s="216"/>
      <c r="GI180" s="216"/>
      <c r="GJ180" s="216"/>
      <c r="GK180" s="216"/>
      <c r="GL180" s="216"/>
      <c r="GM180" s="216"/>
      <c r="GN180" s="216"/>
      <c r="GO180" s="216"/>
      <c r="GP180" s="216"/>
      <c r="GQ180" s="216"/>
      <c r="GR180" s="216"/>
      <c r="GS180" s="216"/>
      <c r="GT180" s="216"/>
      <c r="GU180" s="216"/>
      <c r="GV180" s="216"/>
      <c r="GW180" s="216"/>
      <c r="GX180" s="216"/>
      <c r="GY180" s="216"/>
      <c r="GZ180" s="216"/>
      <c r="HA180" s="216"/>
      <c r="HB180" s="216"/>
      <c r="HC180" s="216"/>
      <c r="HD180" s="216"/>
      <c r="HE180" s="216"/>
      <c r="HF180" s="216"/>
      <c r="HG180" s="216"/>
      <c r="HH180" s="216"/>
      <c r="HI180" s="216"/>
      <c r="HJ180" s="216"/>
      <c r="HK180" s="216"/>
      <c r="HL180" s="216"/>
      <c r="HM180" s="216"/>
      <c r="HN180" s="216"/>
      <c r="HO180" s="216"/>
      <c r="HP180" s="216"/>
      <c r="HQ180" s="216"/>
      <c r="HR180" s="216"/>
      <c r="HS180" s="216"/>
      <c r="HT180" s="216"/>
      <c r="HU180" s="216"/>
      <c r="HV180" s="216"/>
      <c r="HW180" s="216"/>
      <c r="HX180" s="216"/>
      <c r="HY180" s="216"/>
      <c r="HZ180" s="216"/>
      <c r="IA180" s="216"/>
      <c r="IB180" s="216"/>
      <c r="IC180" s="216"/>
      <c r="ID180" s="216"/>
      <c r="IE180" s="216"/>
      <c r="IF180" s="216"/>
      <c r="IG180" s="216"/>
      <c r="IH180" s="216"/>
      <c r="II180" s="216"/>
      <c r="IJ180" s="216"/>
      <c r="IK180" s="216"/>
      <c r="IL180" s="216"/>
      <c r="IM180" s="216"/>
      <c r="IN180" s="216"/>
      <c r="IO180" s="216"/>
      <c r="IP180" s="216"/>
      <c r="IQ180" s="216"/>
      <c r="IR180" s="216"/>
      <c r="IS180" s="216"/>
      <c r="IT180" s="216"/>
      <c r="IU180" s="216"/>
      <c r="IV180" s="216"/>
      <c r="IW180" s="216"/>
    </row>
    <row r="181" customFormat="false" ht="12.75" hidden="false" customHeight="false" outlineLevel="0" collapsed="false">
      <c r="A181" s="214"/>
      <c r="B181" s="173"/>
      <c r="C181" s="0"/>
      <c r="D181" s="0"/>
      <c r="E181" s="0"/>
      <c r="F181" s="0"/>
      <c r="G181" s="0"/>
      <c r="H181" s="0"/>
      <c r="I181" s="0"/>
      <c r="J181" s="4"/>
      <c r="K181" s="0"/>
      <c r="L181" s="169"/>
      <c r="M181" s="115"/>
      <c r="O181" s="115"/>
      <c r="Q181" s="115"/>
      <c r="S181" s="115"/>
      <c r="T181" s="115"/>
      <c r="U181" s="115"/>
      <c r="V181" s="115"/>
      <c r="X181" s="115"/>
      <c r="Z181" s="115"/>
      <c r="AB181" s="115"/>
      <c r="AD181" s="115"/>
      <c r="BL181" s="115"/>
      <c r="BM181" s="115"/>
      <c r="BO181" s="115"/>
      <c r="BP181" s="115"/>
      <c r="BQ181" s="115"/>
      <c r="BW181" s="115"/>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c r="FL181" s="206"/>
      <c r="FM181" s="206"/>
      <c r="FN181" s="206"/>
      <c r="FO181" s="206"/>
      <c r="FP181" s="206"/>
      <c r="FQ181" s="206"/>
      <c r="FR181" s="206"/>
      <c r="FS181" s="206"/>
      <c r="FT181" s="206"/>
      <c r="FU181" s="206"/>
      <c r="FV181" s="206"/>
      <c r="FW181" s="206"/>
      <c r="FX181" s="206"/>
      <c r="FY181" s="206"/>
      <c r="FZ181" s="206"/>
      <c r="GA181" s="206"/>
      <c r="GB181" s="206"/>
      <c r="GC181" s="206"/>
      <c r="GD181" s="206"/>
      <c r="GE181" s="206"/>
      <c r="GF181" s="206"/>
      <c r="GG181" s="206"/>
      <c r="GH181" s="206"/>
      <c r="GI181" s="206"/>
      <c r="GJ181" s="206"/>
      <c r="GK181" s="206"/>
      <c r="GL181" s="206"/>
      <c r="GM181" s="206"/>
      <c r="GN181" s="206"/>
      <c r="GO181" s="206"/>
      <c r="GP181" s="206"/>
      <c r="GQ181" s="206"/>
      <c r="GR181" s="206"/>
      <c r="GS181" s="206"/>
      <c r="GT181" s="206"/>
      <c r="GU181" s="206"/>
      <c r="GV181" s="206"/>
      <c r="GW181" s="206"/>
      <c r="GX181" s="206"/>
      <c r="GY181" s="206"/>
      <c r="GZ181" s="206"/>
      <c r="HA181" s="206"/>
      <c r="HB181" s="206"/>
      <c r="HC181" s="206"/>
      <c r="HD181" s="206"/>
      <c r="HE181" s="206"/>
      <c r="HF181" s="206"/>
      <c r="HG181" s="206"/>
      <c r="HH181" s="206"/>
      <c r="HI181" s="206"/>
      <c r="HJ181" s="206"/>
      <c r="HK181" s="206"/>
      <c r="HL181" s="206"/>
      <c r="HM181" s="206"/>
      <c r="HN181" s="206"/>
      <c r="HO181" s="206"/>
      <c r="HP181" s="206"/>
      <c r="HQ181" s="206"/>
      <c r="HR181" s="206"/>
      <c r="HS181" s="206"/>
      <c r="HT181" s="206"/>
      <c r="HU181" s="206"/>
      <c r="HV181" s="206"/>
      <c r="HW181" s="206"/>
      <c r="HX181" s="206"/>
      <c r="HY181" s="206"/>
      <c r="HZ181" s="206"/>
      <c r="IA181" s="206"/>
      <c r="IB181" s="206"/>
      <c r="IC181" s="206"/>
      <c r="ID181" s="206"/>
      <c r="IE181" s="206"/>
      <c r="IF181" s="206"/>
      <c r="IG181" s="206"/>
      <c r="IH181" s="206"/>
      <c r="II181" s="206"/>
      <c r="IJ181" s="206"/>
      <c r="IK181" s="206"/>
      <c r="IL181" s="206"/>
      <c r="IM181" s="206"/>
      <c r="IN181" s="206"/>
      <c r="IO181" s="206"/>
      <c r="IP181" s="206"/>
      <c r="IQ181" s="206"/>
      <c r="IR181" s="206"/>
      <c r="IS181" s="206"/>
      <c r="IT181" s="206"/>
      <c r="IU181" s="206"/>
      <c r="IV181" s="206"/>
      <c r="IW181" s="206"/>
    </row>
    <row r="182" customFormat="false" ht="12.75" hidden="false" customHeight="false" outlineLevel="0" collapsed="false">
      <c r="A182" s="215" t="s">
        <v>260</v>
      </c>
      <c r="B182" s="216"/>
      <c r="C182" s="216"/>
      <c r="D182" s="216"/>
      <c r="E182" s="216"/>
      <c r="F182" s="216"/>
      <c r="G182" s="216"/>
      <c r="H182" s="216"/>
      <c r="I182" s="216"/>
      <c r="J182" s="217"/>
      <c r="K182" s="216"/>
      <c r="L182" s="218" t="s">
        <v>142</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15" t="n">
        <f aca="false">IF(+R182-BN182+BP182&gt;0,R182-BN182+BP182,0)</f>
        <v>0.230000000003201</v>
      </c>
      <c r="BS182" s="24"/>
      <c r="BT182" s="24" t="n">
        <f aca="false">+BN182+BR182</f>
        <v>0</v>
      </c>
      <c r="BU182" s="24"/>
      <c r="BV182" s="24" t="n">
        <f aca="false">+R182-BT182</f>
        <v>0</v>
      </c>
      <c r="BW182" s="24"/>
      <c r="BX182" s="216"/>
      <c r="BY182" s="216"/>
      <c r="BZ182" s="216"/>
      <c r="CA182" s="216"/>
      <c r="CB182" s="216"/>
      <c r="CC182" s="216"/>
      <c r="CD182" s="216"/>
      <c r="CE182" s="216"/>
      <c r="CF182" s="216"/>
      <c r="CG182" s="216"/>
      <c r="CH182" s="216"/>
      <c r="CI182" s="216"/>
      <c r="CJ182" s="216"/>
      <c r="CK182" s="216"/>
      <c r="CL182" s="216"/>
      <c r="CM182" s="216"/>
      <c r="CN182" s="216"/>
      <c r="CO182" s="216"/>
      <c r="CP182" s="216"/>
      <c r="CQ182" s="216"/>
      <c r="CR182" s="216"/>
      <c r="CS182" s="216"/>
      <c r="CT182" s="216"/>
      <c r="CU182" s="216"/>
      <c r="CV182" s="216"/>
      <c r="CW182" s="216"/>
      <c r="CX182" s="216"/>
      <c r="CY182" s="216"/>
      <c r="CZ182" s="216"/>
      <c r="DA182" s="216"/>
      <c r="DB182" s="216"/>
      <c r="DC182" s="216"/>
      <c r="DD182" s="216"/>
      <c r="DE182" s="216"/>
      <c r="DF182" s="216"/>
      <c r="DG182" s="216"/>
      <c r="DH182" s="216"/>
      <c r="DI182" s="216"/>
      <c r="DJ182" s="216"/>
      <c r="DK182" s="216"/>
      <c r="DL182" s="216"/>
      <c r="DM182" s="216"/>
      <c r="DN182" s="216"/>
      <c r="DO182" s="216"/>
      <c r="DP182" s="216"/>
      <c r="DQ182" s="216"/>
      <c r="DR182" s="216"/>
      <c r="DS182" s="216"/>
      <c r="DT182" s="216"/>
      <c r="DU182" s="216"/>
      <c r="DV182" s="216"/>
      <c r="DW182" s="216"/>
      <c r="DX182" s="216"/>
      <c r="DY182" s="216"/>
      <c r="DZ182" s="216"/>
      <c r="EA182" s="216"/>
      <c r="EB182" s="216"/>
      <c r="EC182" s="216"/>
      <c r="ED182" s="216"/>
      <c r="EE182" s="216"/>
      <c r="EF182" s="216"/>
      <c r="EG182" s="216"/>
      <c r="EH182" s="216"/>
      <c r="EI182" s="216"/>
      <c r="EJ182" s="216"/>
      <c r="EK182" s="216"/>
      <c r="EL182" s="216"/>
      <c r="EM182" s="216"/>
      <c r="EN182" s="216"/>
      <c r="EO182" s="216"/>
      <c r="EP182" s="216"/>
      <c r="EQ182" s="216"/>
      <c r="ER182" s="216"/>
      <c r="ES182" s="216"/>
      <c r="ET182" s="216"/>
      <c r="EU182" s="216"/>
      <c r="EV182" s="216"/>
      <c r="EW182" s="216"/>
      <c r="EX182" s="216"/>
      <c r="EY182" s="216"/>
      <c r="EZ182" s="216"/>
      <c r="FA182" s="216"/>
      <c r="FB182" s="216"/>
      <c r="FC182" s="216"/>
      <c r="FD182" s="216"/>
      <c r="FE182" s="216"/>
      <c r="FF182" s="216"/>
      <c r="FG182" s="216"/>
      <c r="FH182" s="216"/>
      <c r="FI182" s="216"/>
      <c r="FJ182" s="216"/>
      <c r="FK182" s="216"/>
      <c r="FL182" s="216"/>
      <c r="FM182" s="216"/>
      <c r="FN182" s="216"/>
      <c r="FO182" s="216"/>
      <c r="FP182" s="216"/>
      <c r="FQ182" s="216"/>
      <c r="FR182" s="216"/>
      <c r="FS182" s="216"/>
      <c r="FT182" s="216"/>
      <c r="FU182" s="216"/>
      <c r="FV182" s="216"/>
      <c r="FW182" s="216"/>
      <c r="FX182" s="216"/>
      <c r="FY182" s="216"/>
      <c r="FZ182" s="216"/>
      <c r="GA182" s="216"/>
      <c r="GB182" s="216"/>
      <c r="GC182" s="216"/>
      <c r="GD182" s="216"/>
      <c r="GE182" s="216"/>
      <c r="GF182" s="216"/>
      <c r="GG182" s="216"/>
      <c r="GH182" s="216"/>
      <c r="GI182" s="216"/>
      <c r="GJ182" s="216"/>
      <c r="GK182" s="216"/>
      <c r="GL182" s="216"/>
      <c r="GM182" s="216"/>
      <c r="GN182" s="216"/>
      <c r="GO182" s="216"/>
      <c r="GP182" s="216"/>
      <c r="GQ182" s="216"/>
      <c r="GR182" s="216"/>
      <c r="GS182" s="216"/>
      <c r="GT182" s="216"/>
      <c r="GU182" s="216"/>
      <c r="GV182" s="216"/>
      <c r="GW182" s="216"/>
      <c r="GX182" s="216"/>
      <c r="GY182" s="216"/>
      <c r="GZ182" s="216"/>
      <c r="HA182" s="216"/>
      <c r="HB182" s="216"/>
      <c r="HC182" s="216"/>
      <c r="HD182" s="216"/>
      <c r="HE182" s="216"/>
      <c r="HF182" s="216"/>
      <c r="HG182" s="216"/>
      <c r="HH182" s="216"/>
      <c r="HI182" s="216"/>
      <c r="HJ182" s="216"/>
      <c r="HK182" s="216"/>
      <c r="HL182" s="216"/>
      <c r="HM182" s="216"/>
      <c r="HN182" s="216"/>
      <c r="HO182" s="216"/>
      <c r="HP182" s="216"/>
      <c r="HQ182" s="216"/>
      <c r="HR182" s="216"/>
      <c r="HS182" s="216"/>
      <c r="HT182" s="216"/>
      <c r="HU182" s="216"/>
      <c r="HV182" s="216"/>
      <c r="HW182" s="216"/>
      <c r="HX182" s="216"/>
      <c r="HY182" s="216"/>
      <c r="HZ182" s="216"/>
      <c r="IA182" s="216"/>
      <c r="IB182" s="216"/>
      <c r="IC182" s="216"/>
      <c r="ID182" s="216"/>
      <c r="IE182" s="216"/>
      <c r="IF182" s="216"/>
      <c r="IG182" s="216"/>
      <c r="IH182" s="216"/>
      <c r="II182" s="216"/>
      <c r="IJ182" s="216"/>
      <c r="IK182" s="216"/>
      <c r="IL182" s="216"/>
      <c r="IM182" s="216"/>
      <c r="IN182" s="216"/>
      <c r="IO182" s="216"/>
      <c r="IP182" s="216"/>
      <c r="IQ182" s="216"/>
      <c r="IR182" s="216"/>
      <c r="IS182" s="216"/>
      <c r="IT182" s="216"/>
      <c r="IU182" s="216"/>
      <c r="IV182" s="216"/>
      <c r="IW182" s="216"/>
    </row>
    <row r="183" customFormat="false" ht="12.75" hidden="false" customHeight="false" outlineLevel="0" collapsed="false">
      <c r="A183" s="214"/>
      <c r="B183" s="173"/>
      <c r="C183" s="0"/>
      <c r="D183" s="0"/>
      <c r="E183" s="0"/>
      <c r="F183" s="0"/>
      <c r="G183" s="0"/>
      <c r="H183" s="0"/>
      <c r="I183" s="0"/>
      <c r="J183" s="4"/>
      <c r="K183" s="0"/>
      <c r="L183" s="169"/>
      <c r="M183" s="115"/>
      <c r="O183" s="115"/>
      <c r="Q183" s="115"/>
      <c r="S183" s="115"/>
      <c r="T183" s="115"/>
      <c r="U183" s="115"/>
      <c r="V183" s="115"/>
      <c r="X183" s="115"/>
      <c r="Z183" s="115"/>
      <c r="AB183" s="115"/>
      <c r="AD183" s="115"/>
      <c r="BL183" s="115"/>
      <c r="BM183" s="115"/>
      <c r="BO183" s="115"/>
      <c r="BP183" s="115"/>
      <c r="BQ183" s="115"/>
      <c r="BW183" s="115"/>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c r="FI183" s="206"/>
      <c r="FJ183" s="206"/>
      <c r="FK183" s="206"/>
      <c r="FL183" s="206"/>
      <c r="FM183" s="206"/>
      <c r="FN183" s="206"/>
      <c r="FO183" s="206"/>
      <c r="FP183" s="206"/>
      <c r="FQ183" s="206"/>
      <c r="FR183" s="206"/>
      <c r="FS183" s="206"/>
      <c r="FT183" s="206"/>
      <c r="FU183" s="206"/>
      <c r="FV183" s="206"/>
      <c r="FW183" s="206"/>
      <c r="FX183" s="206"/>
      <c r="FY183" s="206"/>
      <c r="FZ183" s="206"/>
      <c r="GA183" s="206"/>
      <c r="GB183" s="206"/>
      <c r="GC183" s="206"/>
      <c r="GD183" s="206"/>
      <c r="GE183" s="206"/>
      <c r="GF183" s="206"/>
      <c r="GG183" s="206"/>
      <c r="GH183" s="206"/>
      <c r="GI183" s="206"/>
      <c r="GJ183" s="206"/>
      <c r="GK183" s="206"/>
      <c r="GL183" s="206"/>
      <c r="GM183" s="206"/>
      <c r="GN183" s="206"/>
      <c r="GO183" s="206"/>
      <c r="GP183" s="206"/>
      <c r="GQ183" s="206"/>
      <c r="GR183" s="206"/>
      <c r="GS183" s="206"/>
      <c r="GT183" s="206"/>
      <c r="GU183" s="206"/>
      <c r="GV183" s="206"/>
      <c r="GW183" s="206"/>
      <c r="GX183" s="206"/>
      <c r="GY183" s="206"/>
      <c r="GZ183" s="206"/>
      <c r="HA183" s="206"/>
      <c r="HB183" s="206"/>
      <c r="HC183" s="206"/>
      <c r="HD183" s="206"/>
      <c r="HE183" s="206"/>
      <c r="HF183" s="206"/>
      <c r="HG183" s="206"/>
      <c r="HH183" s="206"/>
      <c r="HI183" s="206"/>
      <c r="HJ183" s="206"/>
      <c r="HK183" s="206"/>
      <c r="HL183" s="206"/>
      <c r="HM183" s="206"/>
      <c r="HN183" s="206"/>
      <c r="HO183" s="206"/>
      <c r="HP183" s="206"/>
      <c r="HQ183" s="206"/>
      <c r="HR183" s="206"/>
      <c r="HS183" s="206"/>
      <c r="HT183" s="206"/>
      <c r="HU183" s="206"/>
      <c r="HV183" s="206"/>
      <c r="HW183" s="206"/>
      <c r="HX183" s="206"/>
      <c r="HY183" s="206"/>
      <c r="HZ183" s="206"/>
      <c r="IA183" s="206"/>
      <c r="IB183" s="206"/>
      <c r="IC183" s="206"/>
      <c r="ID183" s="206"/>
      <c r="IE183" s="206"/>
      <c r="IF183" s="206"/>
      <c r="IG183" s="206"/>
      <c r="IH183" s="206"/>
      <c r="II183" s="206"/>
      <c r="IJ183" s="206"/>
      <c r="IK183" s="206"/>
      <c r="IL183" s="206"/>
      <c r="IM183" s="206"/>
      <c r="IN183" s="206"/>
      <c r="IO183" s="206"/>
      <c r="IP183" s="206"/>
      <c r="IQ183" s="206"/>
      <c r="IR183" s="206"/>
      <c r="IS183" s="206"/>
      <c r="IT183" s="206"/>
      <c r="IU183" s="206"/>
      <c r="IV183" s="206"/>
      <c r="IW183" s="206"/>
    </row>
    <row r="184" customFormat="false" ht="12.75" hidden="false" customHeight="false" outlineLevel="0" collapsed="false">
      <c r="A184" s="182" t="s">
        <v>261</v>
      </c>
      <c r="B184" s="174"/>
      <c r="C184" s="0"/>
      <c r="D184" s="0"/>
      <c r="E184" s="0"/>
      <c r="F184" s="0"/>
      <c r="G184" s="0"/>
      <c r="H184" s="0"/>
      <c r="I184" s="0"/>
      <c r="J184" s="4"/>
      <c r="K184" s="0"/>
      <c r="L184" s="169"/>
      <c r="M184" s="115"/>
      <c r="O184" s="115"/>
      <c r="Q184" s="115"/>
      <c r="S184" s="115"/>
      <c r="T184" s="115"/>
      <c r="U184" s="115"/>
      <c r="V184" s="115"/>
      <c r="X184" s="115"/>
      <c r="Z184" s="115"/>
      <c r="AB184" s="115"/>
      <c r="AD184" s="115"/>
      <c r="BL184" s="115"/>
      <c r="BM184" s="115"/>
      <c r="BO184" s="115"/>
      <c r="BP184" s="115"/>
      <c r="BQ184" s="115"/>
      <c r="BW184" s="115"/>
    </row>
    <row r="185" customFormat="false" ht="12.75" hidden="false" customHeight="false" outlineLevel="0" collapsed="false">
      <c r="A185" s="165"/>
      <c r="B185" s="174" t="s">
        <v>262</v>
      </c>
      <c r="C185" s="174"/>
      <c r="D185" s="174"/>
      <c r="E185" s="174"/>
      <c r="F185" s="174"/>
      <c r="G185" s="174"/>
      <c r="H185" s="174"/>
      <c r="I185" s="174"/>
      <c r="J185" s="220"/>
      <c r="K185" s="174"/>
      <c r="L185" s="221" t="s">
        <v>249</v>
      </c>
      <c r="M185" s="115"/>
      <c r="N185" s="115" t="n">
        <v>200000</v>
      </c>
      <c r="O185" s="115"/>
      <c r="P185" s="115" t="n">
        <v>0</v>
      </c>
      <c r="Q185" s="115"/>
      <c r="R185" s="115" t="n">
        <v>0</v>
      </c>
      <c r="S185" s="115"/>
      <c r="T185" s="115" t="n">
        <v>0</v>
      </c>
      <c r="U185" s="115"/>
      <c r="V185" s="115" t="n">
        <v>0</v>
      </c>
      <c r="X185" s="115" t="n">
        <v>21983.72</v>
      </c>
      <c r="Z185" s="115" t="n">
        <v>0</v>
      </c>
      <c r="AB185" s="115" t="n">
        <v>0</v>
      </c>
      <c r="AD185" s="115" t="n">
        <v>0</v>
      </c>
      <c r="AH185" s="115" t="n">
        <v>0</v>
      </c>
      <c r="AJ185" s="115" t="n">
        <v>0</v>
      </c>
      <c r="AL185" s="115" t="n">
        <v>14449</v>
      </c>
      <c r="AN185" s="115" t="n">
        <v>0</v>
      </c>
      <c r="AP185" s="115" t="n">
        <v>0</v>
      </c>
      <c r="AR185" s="115" t="n">
        <v>0</v>
      </c>
      <c r="AT185" s="115" t="n">
        <v>0</v>
      </c>
      <c r="AV185" s="115" t="n">
        <v>0</v>
      </c>
      <c r="AX185" s="115" t="n">
        <v>0</v>
      </c>
      <c r="AZ185" s="115" t="n">
        <v>0</v>
      </c>
      <c r="BB185" s="115" t="n">
        <v>0</v>
      </c>
      <c r="BD185" s="115" t="n">
        <v>0</v>
      </c>
      <c r="BF185" s="115" t="n">
        <v>0</v>
      </c>
      <c r="BH185" s="115" t="n">
        <v>0</v>
      </c>
      <c r="BJ185" s="115" t="n">
        <v>0</v>
      </c>
      <c r="BL185" s="115" t="n">
        <v>0</v>
      </c>
      <c r="BM185" s="115"/>
      <c r="BN185" s="115" t="n">
        <f aca="false">SUM(T185:BM185)</f>
        <v>36432.72</v>
      </c>
      <c r="BO185" s="115"/>
      <c r="BP185" s="115" t="n">
        <v>0</v>
      </c>
      <c r="BQ185" s="115"/>
      <c r="BR185" s="115" t="n">
        <f aca="false">IF(+R185-BN185+BP185&gt;0,R185-BN185+BP185,0)</f>
        <v>0</v>
      </c>
      <c r="BT185" s="115" t="n">
        <f aca="false">+BN185+BR185</f>
        <v>36432.72</v>
      </c>
      <c r="BV185" s="115" t="n">
        <f aca="false">+R185-BT185</f>
        <v>-36432.72</v>
      </c>
      <c r="BW185" s="115"/>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c r="IO185" s="174"/>
      <c r="IP185" s="174"/>
      <c r="IQ185" s="174"/>
      <c r="IR185" s="174"/>
      <c r="IS185" s="174"/>
      <c r="IT185" s="174"/>
      <c r="IU185" s="174"/>
      <c r="IV185" s="174"/>
      <c r="IW185" s="174"/>
    </row>
    <row r="186" customFormat="false" ht="12.75" hidden="false" customHeight="false" outlineLevel="0" collapsed="false">
      <c r="A186" s="165"/>
      <c r="B186" s="174" t="s">
        <v>263</v>
      </c>
      <c r="C186" s="174"/>
      <c r="D186" s="174"/>
      <c r="E186" s="174"/>
      <c r="F186" s="174"/>
      <c r="G186" s="174"/>
      <c r="H186" s="174"/>
      <c r="I186" s="174"/>
      <c r="J186" s="220"/>
      <c r="K186" s="174"/>
      <c r="L186" s="221" t="s">
        <v>249</v>
      </c>
      <c r="M186" s="115"/>
      <c r="N186" s="115" t="n">
        <v>0</v>
      </c>
      <c r="O186" s="115"/>
      <c r="P186" s="115" t="n">
        <v>50000</v>
      </c>
      <c r="Q186" s="115"/>
      <c r="R186" s="115" t="n">
        <v>0</v>
      </c>
      <c r="S186" s="115"/>
      <c r="T186" s="115" t="n">
        <v>0</v>
      </c>
      <c r="U186" s="115"/>
      <c r="V186" s="115" t="n">
        <v>135</v>
      </c>
      <c r="X186" s="115" t="n">
        <v>2870.91</v>
      </c>
      <c r="Z186" s="115" t="n">
        <f aca="false">5474.86+28.91+701.87+1037.61+26+59</f>
        <v>7328.25</v>
      </c>
      <c r="AB186" s="115" t="n">
        <f aca="false">1153.98+1626.89</f>
        <v>2780.87</v>
      </c>
      <c r="AD186" s="115" t="n">
        <f aca="false">1321.7+4943.09+4483.05+927.58+431.74+260.99+2710.2</f>
        <v>15078.35</v>
      </c>
      <c r="AF186" s="115" t="n">
        <f aca="false">1416.27+8201.74+60.53+956.07+795</f>
        <v>11429.61</v>
      </c>
      <c r="AH186" s="115" t="n">
        <v>15496.73</v>
      </c>
      <c r="AJ186" s="115" t="n">
        <v>12735.73</v>
      </c>
      <c r="AL186" s="115" t="n">
        <v>0</v>
      </c>
      <c r="AN186" s="115" t="n">
        <v>0</v>
      </c>
      <c r="AP186" s="115" t="n">
        <v>0</v>
      </c>
      <c r="AR186" s="115" t="n">
        <v>0</v>
      </c>
      <c r="AT186" s="115" t="n">
        <v>0</v>
      </c>
      <c r="AV186" s="115" t="n">
        <v>0</v>
      </c>
      <c r="AX186" s="115" t="n">
        <v>0</v>
      </c>
      <c r="AZ186" s="115" t="n">
        <v>0</v>
      </c>
      <c r="BB186" s="115" t="n">
        <v>0</v>
      </c>
      <c r="BD186" s="115" t="n">
        <v>0</v>
      </c>
      <c r="BF186" s="115" t="n">
        <v>0</v>
      </c>
      <c r="BH186" s="115" t="n">
        <v>0</v>
      </c>
      <c r="BJ186" s="115" t="n">
        <v>0</v>
      </c>
      <c r="BL186" s="115" t="n">
        <v>0</v>
      </c>
      <c r="BM186" s="115"/>
      <c r="BN186" s="115" t="n">
        <f aca="false">SUM(T186:BM186)</f>
        <v>67855.45</v>
      </c>
      <c r="BO186" s="115"/>
      <c r="BP186" s="115" t="n">
        <v>0</v>
      </c>
      <c r="BQ186" s="115"/>
      <c r="BR186" s="115" t="n">
        <f aca="false">IF(+R186-BN186+BP186&gt;0,R186-BN186+BP186,0)</f>
        <v>0</v>
      </c>
      <c r="BT186" s="115" t="n">
        <f aca="false">+BN186+BR186</f>
        <v>67855.45</v>
      </c>
      <c r="BV186" s="115" t="n">
        <f aca="false">+R186-BT186</f>
        <v>-67855.45</v>
      </c>
      <c r="BW186" s="115"/>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c r="DJ186" s="174"/>
      <c r="DK186" s="174"/>
      <c r="DL186" s="174"/>
      <c r="DM186" s="174"/>
      <c r="DN186" s="174"/>
      <c r="DO186" s="174"/>
      <c r="DP186" s="174"/>
      <c r="DQ186" s="174"/>
      <c r="DR186" s="174"/>
      <c r="DS186" s="174"/>
      <c r="DT186" s="174"/>
      <c r="DU186" s="174"/>
      <c r="DV186" s="174"/>
      <c r="DW186" s="174"/>
      <c r="DX186" s="174"/>
      <c r="DY186" s="174"/>
      <c r="DZ186" s="174"/>
      <c r="EA186" s="174"/>
      <c r="EB186" s="174"/>
      <c r="EC186" s="174"/>
      <c r="ED186" s="174"/>
      <c r="EE186" s="174"/>
      <c r="EF186" s="174"/>
      <c r="EG186" s="174"/>
      <c r="EH186" s="174"/>
      <c r="EI186" s="174"/>
      <c r="EJ186" s="174"/>
      <c r="EK186" s="174"/>
      <c r="EL186" s="174"/>
      <c r="EM186" s="174"/>
      <c r="EN186" s="174"/>
      <c r="EO186" s="174"/>
      <c r="EP186" s="174"/>
      <c r="EQ186" s="174"/>
      <c r="ER186" s="174"/>
      <c r="ES186" s="174"/>
      <c r="ET186" s="174"/>
      <c r="EU186" s="174"/>
      <c r="EV186" s="174"/>
      <c r="EW186" s="174"/>
      <c r="EX186" s="174"/>
      <c r="EY186" s="174"/>
      <c r="EZ186" s="174"/>
      <c r="FA186" s="174"/>
      <c r="FB186" s="174"/>
      <c r="FC186" s="174"/>
      <c r="FD186" s="174"/>
      <c r="FE186" s="174"/>
      <c r="FF186" s="174"/>
      <c r="FG186" s="174"/>
      <c r="FH186" s="174"/>
      <c r="FI186" s="174"/>
      <c r="FJ186" s="174"/>
      <c r="FK186" s="174"/>
      <c r="FL186" s="174"/>
      <c r="FM186" s="174"/>
      <c r="FN186" s="174"/>
      <c r="FO186" s="174"/>
      <c r="FP186" s="174"/>
      <c r="FQ186" s="174"/>
      <c r="FR186" s="174"/>
      <c r="FS186" s="174"/>
      <c r="FT186" s="174"/>
      <c r="FU186" s="174"/>
      <c r="FV186" s="174"/>
      <c r="FW186" s="174"/>
      <c r="FX186" s="174"/>
      <c r="FY186" s="174"/>
      <c r="FZ186" s="174"/>
      <c r="GA186" s="174"/>
      <c r="GB186" s="174"/>
      <c r="GC186" s="174"/>
      <c r="GD186" s="174"/>
      <c r="GE186" s="174"/>
      <c r="GF186" s="174"/>
      <c r="GG186" s="174"/>
      <c r="GH186" s="174"/>
      <c r="GI186" s="174"/>
      <c r="GJ186" s="174"/>
      <c r="GK186" s="174"/>
      <c r="GL186" s="174"/>
      <c r="GM186" s="174"/>
      <c r="GN186" s="174"/>
      <c r="GO186" s="174"/>
      <c r="GP186" s="174"/>
      <c r="GQ186" s="174"/>
      <c r="GR186" s="174"/>
      <c r="GS186" s="174"/>
      <c r="GT186" s="174"/>
      <c r="GU186" s="174"/>
      <c r="GV186" s="174"/>
      <c r="GW186" s="174"/>
      <c r="GX186" s="174"/>
      <c r="GY186" s="174"/>
      <c r="GZ186" s="174"/>
      <c r="HA186" s="174"/>
      <c r="HB186" s="174"/>
      <c r="HC186" s="174"/>
      <c r="HD186" s="174"/>
      <c r="HE186" s="174"/>
      <c r="HF186" s="174"/>
      <c r="HG186" s="174"/>
      <c r="HH186" s="174"/>
      <c r="HI186" s="174"/>
      <c r="HJ186" s="174"/>
      <c r="HK186" s="174"/>
      <c r="HL186" s="174"/>
      <c r="HM186" s="174"/>
      <c r="HN186" s="174"/>
      <c r="HO186" s="174"/>
      <c r="HP186" s="174"/>
      <c r="HQ186" s="174"/>
      <c r="HR186" s="174"/>
      <c r="HS186" s="174"/>
      <c r="HT186" s="174"/>
      <c r="HU186" s="174"/>
      <c r="HV186" s="174"/>
      <c r="HW186" s="174"/>
      <c r="HX186" s="174"/>
      <c r="HY186" s="174"/>
      <c r="HZ186" s="174"/>
      <c r="IA186" s="174"/>
      <c r="IB186" s="174"/>
      <c r="IC186" s="174"/>
      <c r="ID186" s="174"/>
      <c r="IE186" s="174"/>
      <c r="IF186" s="174"/>
      <c r="IG186" s="174"/>
      <c r="IH186" s="174"/>
      <c r="II186" s="174"/>
      <c r="IJ186" s="174"/>
      <c r="IK186" s="174"/>
      <c r="IL186" s="174"/>
      <c r="IM186" s="174"/>
      <c r="IN186" s="174"/>
      <c r="IO186" s="174"/>
      <c r="IP186" s="174"/>
      <c r="IQ186" s="174"/>
      <c r="IR186" s="174"/>
      <c r="IS186" s="174"/>
      <c r="IT186" s="174"/>
      <c r="IU186" s="174"/>
      <c r="IV186" s="174"/>
      <c r="IW186" s="174"/>
    </row>
    <row r="187" customFormat="false" ht="12.75" hidden="false" customHeight="false" outlineLevel="0" collapsed="false">
      <c r="A187" s="165"/>
      <c r="B187" s="174" t="s">
        <v>362</v>
      </c>
      <c r="C187" s="174"/>
      <c r="D187" s="174"/>
      <c r="E187" s="174"/>
      <c r="F187" s="174"/>
      <c r="G187" s="174"/>
      <c r="H187" s="174"/>
      <c r="I187" s="174"/>
      <c r="J187" s="220"/>
      <c r="K187" s="174"/>
      <c r="L187" s="221" t="s">
        <v>249</v>
      </c>
      <c r="M187" s="115"/>
      <c r="N187" s="115" t="n">
        <v>0</v>
      </c>
      <c r="O187" s="115"/>
      <c r="P187" s="115" t="n">
        <v>24235</v>
      </c>
      <c r="Q187" s="115"/>
      <c r="R187" s="115" t="n">
        <v>0</v>
      </c>
      <c r="S187" s="115"/>
      <c r="T187" s="115" t="n">
        <v>0</v>
      </c>
      <c r="U187" s="115"/>
      <c r="V187" s="115" t="n">
        <v>0</v>
      </c>
      <c r="X187" s="115" t="n">
        <v>24235</v>
      </c>
      <c r="Z187" s="115" t="n">
        <v>0</v>
      </c>
      <c r="AB187" s="115" t="n">
        <v>0</v>
      </c>
      <c r="AD187" s="115" t="n">
        <v>0</v>
      </c>
      <c r="AF187" s="115" t="n">
        <v>0</v>
      </c>
      <c r="AH187" s="115" t="n">
        <v>0</v>
      </c>
      <c r="AJ187" s="115" t="n">
        <v>0</v>
      </c>
      <c r="AL187" s="115" t="n">
        <f aca="false">16768.34-177866+173000+36433</f>
        <v>48335.34</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72570.34</v>
      </c>
      <c r="BO187" s="115"/>
      <c r="BP187" s="115" t="n">
        <v>0</v>
      </c>
      <c r="BQ187" s="115"/>
      <c r="BR187" s="115" t="n">
        <f aca="false">IF(+R187-BN187+BP187&gt;0,R187-BN187+BP187,0)</f>
        <v>0</v>
      </c>
      <c r="BT187" s="115" t="n">
        <f aca="false">+BN187+BR187</f>
        <v>72570.34</v>
      </c>
      <c r="BV187" s="115" t="n">
        <f aca="false">+R187-BT187</f>
        <v>-72570.34</v>
      </c>
      <c r="BW187" s="115"/>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c r="DJ187" s="174"/>
      <c r="DK187" s="174"/>
      <c r="DL187" s="174"/>
      <c r="DM187" s="174"/>
      <c r="DN187" s="174"/>
      <c r="DO187" s="174"/>
      <c r="DP187" s="174"/>
      <c r="DQ187" s="174"/>
      <c r="DR187" s="174"/>
      <c r="DS187" s="174"/>
      <c r="DT187" s="174"/>
      <c r="DU187" s="174"/>
      <c r="DV187" s="174"/>
      <c r="DW187" s="174"/>
      <c r="DX187" s="174"/>
      <c r="DY187" s="174"/>
      <c r="DZ187" s="174"/>
      <c r="EA187" s="174"/>
      <c r="EB187" s="174"/>
      <c r="EC187" s="174"/>
      <c r="ED187" s="174"/>
      <c r="EE187" s="174"/>
      <c r="EF187" s="174"/>
      <c r="EG187" s="174"/>
      <c r="EH187" s="174"/>
      <c r="EI187" s="174"/>
      <c r="EJ187" s="174"/>
      <c r="EK187" s="174"/>
      <c r="EL187" s="174"/>
      <c r="EM187" s="174"/>
      <c r="EN187" s="174"/>
      <c r="EO187" s="174"/>
      <c r="EP187" s="174"/>
      <c r="EQ187" s="174"/>
      <c r="ER187" s="174"/>
      <c r="ES187" s="174"/>
      <c r="ET187" s="174"/>
      <c r="EU187" s="174"/>
      <c r="EV187" s="174"/>
      <c r="EW187" s="174"/>
      <c r="EX187" s="174"/>
      <c r="EY187" s="174"/>
      <c r="EZ187" s="174"/>
      <c r="FA187" s="174"/>
      <c r="FB187" s="174"/>
      <c r="FC187" s="174"/>
      <c r="FD187" s="174"/>
      <c r="FE187" s="174"/>
      <c r="FF187" s="174"/>
      <c r="FG187" s="174"/>
      <c r="FH187" s="174"/>
      <c r="FI187" s="174"/>
      <c r="FJ187" s="174"/>
      <c r="FK187" s="174"/>
      <c r="FL187" s="174"/>
      <c r="FM187" s="174"/>
      <c r="FN187" s="174"/>
      <c r="FO187" s="174"/>
      <c r="FP187" s="174"/>
      <c r="FQ187" s="174"/>
      <c r="FR187" s="174"/>
      <c r="FS187" s="174"/>
      <c r="FT187" s="174"/>
      <c r="FU187" s="174"/>
      <c r="FV187" s="174"/>
      <c r="FW187" s="174"/>
      <c r="FX187" s="174"/>
      <c r="FY187" s="174"/>
      <c r="FZ187" s="174"/>
      <c r="GA187" s="174"/>
      <c r="GB187" s="174"/>
      <c r="GC187" s="174"/>
      <c r="GD187" s="174"/>
      <c r="GE187" s="174"/>
      <c r="GF187" s="174"/>
      <c r="GG187" s="174"/>
      <c r="GH187" s="174"/>
      <c r="GI187" s="174"/>
      <c r="GJ187" s="174"/>
      <c r="GK187" s="174"/>
      <c r="GL187" s="174"/>
      <c r="GM187" s="174"/>
      <c r="GN187" s="174"/>
      <c r="GO187" s="174"/>
      <c r="GP187" s="174"/>
      <c r="GQ187" s="174"/>
      <c r="GR187" s="174"/>
      <c r="GS187" s="174"/>
      <c r="GT187" s="174"/>
      <c r="GU187" s="174"/>
      <c r="GV187" s="174"/>
      <c r="GW187" s="174"/>
      <c r="GX187" s="174"/>
      <c r="GY187" s="174"/>
      <c r="GZ187" s="174"/>
      <c r="HA187" s="174"/>
      <c r="HB187" s="174"/>
      <c r="HC187" s="174"/>
      <c r="HD187" s="174"/>
      <c r="HE187" s="174"/>
      <c r="HF187" s="174"/>
      <c r="HG187" s="174"/>
      <c r="HH187" s="174"/>
      <c r="HI187" s="174"/>
      <c r="HJ187" s="174"/>
      <c r="HK187" s="174"/>
      <c r="HL187" s="174"/>
      <c r="HM187" s="174"/>
      <c r="HN187" s="174"/>
      <c r="HO187" s="174"/>
      <c r="HP187" s="174"/>
      <c r="HQ187" s="174"/>
      <c r="HR187" s="174"/>
      <c r="HS187" s="174"/>
      <c r="HT187" s="174"/>
      <c r="HU187" s="174"/>
      <c r="HV187" s="174"/>
      <c r="HW187" s="174"/>
      <c r="HX187" s="174"/>
      <c r="HY187" s="174"/>
      <c r="HZ187" s="174"/>
      <c r="IA187" s="174"/>
      <c r="IB187" s="174"/>
      <c r="IC187" s="174"/>
      <c r="ID187" s="174"/>
      <c r="IE187" s="174"/>
      <c r="IF187" s="174"/>
      <c r="IG187" s="174"/>
      <c r="IH187" s="174"/>
      <c r="II187" s="174"/>
      <c r="IJ187" s="174"/>
      <c r="IK187" s="174"/>
      <c r="IL187" s="174"/>
      <c r="IM187" s="174"/>
      <c r="IN187" s="174"/>
      <c r="IO187" s="174"/>
      <c r="IP187" s="174"/>
      <c r="IQ187" s="174"/>
      <c r="IR187" s="174"/>
      <c r="IS187" s="174"/>
      <c r="IT187" s="174"/>
      <c r="IU187" s="174"/>
      <c r="IV187" s="174"/>
      <c r="IW187" s="174"/>
    </row>
    <row r="188" customFormat="false" ht="12.75" hidden="false" customHeight="false" outlineLevel="0" collapsed="false">
      <c r="A188" s="165"/>
      <c r="B188" s="174" t="s">
        <v>152</v>
      </c>
      <c r="C188" s="174"/>
      <c r="D188" s="174"/>
      <c r="E188" s="174"/>
      <c r="F188" s="174"/>
      <c r="G188" s="174"/>
      <c r="H188" s="174"/>
      <c r="I188" s="174"/>
      <c r="J188" s="220"/>
      <c r="K188" s="174"/>
      <c r="L188" s="221" t="s">
        <v>249</v>
      </c>
      <c r="M188" s="115"/>
      <c r="N188" s="115" t="n">
        <v>400000</v>
      </c>
      <c r="O188" s="115"/>
      <c r="P188" s="115" t="n">
        <f aca="false">49065-N188-6000</f>
        <v>-356935</v>
      </c>
      <c r="Q188" s="115"/>
      <c r="R188" s="115" t="n">
        <v>0</v>
      </c>
      <c r="S188" s="115"/>
      <c r="T188" s="115" t="n">
        <v>0</v>
      </c>
      <c r="U188" s="115"/>
      <c r="V188" s="115" t="n">
        <v>0</v>
      </c>
      <c r="X188" s="115" t="n">
        <v>0</v>
      </c>
      <c r="Z188" s="115" t="n">
        <v>0</v>
      </c>
      <c r="AB188" s="115" t="n">
        <v>0</v>
      </c>
      <c r="AD188" s="115" t="n">
        <v>2287.5</v>
      </c>
      <c r="AF188" s="115" t="n">
        <v>0</v>
      </c>
      <c r="AH188" s="115" t="n">
        <v>0</v>
      </c>
      <c r="AJ188" s="115" t="n">
        <v>0</v>
      </c>
      <c r="AL188" s="115" t="n">
        <v>0</v>
      </c>
      <c r="AN188" s="115" t="n">
        <v>0</v>
      </c>
      <c r="AP188" s="115" t="n">
        <v>0</v>
      </c>
      <c r="AR188" s="115" t="n">
        <f aca="false">9600+716.66+380.63</f>
        <v>10697.29</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12984.79</v>
      </c>
      <c r="BO188" s="115"/>
      <c r="BP188" s="115" t="n">
        <v>0</v>
      </c>
      <c r="BQ188" s="115"/>
      <c r="BR188" s="115" t="n">
        <f aca="false">IF(+R188-BN188+BP188&gt;0,R188-BN188+BP188,0)</f>
        <v>0</v>
      </c>
      <c r="BT188" s="115" t="n">
        <f aca="false">+BN188+BR188</f>
        <v>12984.79</v>
      </c>
      <c r="BV188" s="115" t="n">
        <f aca="false">+R188-BT188</f>
        <v>-12984.79</v>
      </c>
      <c r="BW188" s="115"/>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c r="DJ188" s="174"/>
      <c r="DK188" s="174"/>
      <c r="DL188" s="174"/>
      <c r="DM188" s="174"/>
      <c r="DN188" s="174"/>
      <c r="DO188" s="174"/>
      <c r="DP188" s="174"/>
      <c r="DQ188" s="174"/>
      <c r="DR188" s="174"/>
      <c r="DS188" s="174"/>
      <c r="DT188" s="174"/>
      <c r="DU188" s="174"/>
      <c r="DV188" s="174"/>
      <c r="DW188" s="174"/>
      <c r="DX188" s="174"/>
      <c r="DY188" s="174"/>
      <c r="DZ188" s="174"/>
      <c r="EA188" s="174"/>
      <c r="EB188" s="174"/>
      <c r="EC188" s="174"/>
      <c r="ED188" s="174"/>
      <c r="EE188" s="174"/>
      <c r="EF188" s="174"/>
      <c r="EG188" s="174"/>
      <c r="EH188" s="174"/>
      <c r="EI188" s="174"/>
      <c r="EJ188" s="174"/>
      <c r="EK188" s="174"/>
      <c r="EL188" s="174"/>
      <c r="EM188" s="174"/>
      <c r="EN188" s="174"/>
      <c r="EO188" s="174"/>
      <c r="EP188" s="174"/>
      <c r="EQ188" s="174"/>
      <c r="ER188" s="174"/>
      <c r="ES188" s="174"/>
      <c r="ET188" s="174"/>
      <c r="EU188" s="174"/>
      <c r="EV188" s="174"/>
      <c r="EW188" s="174"/>
      <c r="EX188" s="174"/>
      <c r="EY188" s="174"/>
      <c r="EZ188" s="174"/>
      <c r="FA188" s="174"/>
      <c r="FB188" s="174"/>
      <c r="FC188" s="174"/>
      <c r="FD188" s="174"/>
      <c r="FE188" s="174"/>
      <c r="FF188" s="174"/>
      <c r="FG188" s="174"/>
      <c r="FH188" s="174"/>
      <c r="FI188" s="174"/>
      <c r="FJ188" s="174"/>
      <c r="FK188" s="174"/>
      <c r="FL188" s="174"/>
      <c r="FM188" s="174"/>
      <c r="FN188" s="174"/>
      <c r="FO188" s="174"/>
      <c r="FP188" s="174"/>
      <c r="FQ188" s="174"/>
      <c r="FR188" s="174"/>
      <c r="FS188" s="174"/>
      <c r="FT188" s="174"/>
      <c r="FU188" s="174"/>
      <c r="FV188" s="174"/>
      <c r="FW188" s="174"/>
      <c r="FX188" s="174"/>
      <c r="FY188" s="174"/>
      <c r="FZ188" s="174"/>
      <c r="GA188" s="174"/>
      <c r="GB188" s="174"/>
      <c r="GC188" s="174"/>
      <c r="GD188" s="174"/>
      <c r="GE188" s="174"/>
      <c r="GF188" s="174"/>
      <c r="GG188" s="174"/>
      <c r="GH188" s="174"/>
      <c r="GI188" s="174"/>
      <c r="GJ188" s="174"/>
      <c r="GK188" s="174"/>
      <c r="GL188" s="174"/>
      <c r="GM188" s="174"/>
      <c r="GN188" s="174"/>
      <c r="GO188" s="174"/>
      <c r="GP188" s="174"/>
      <c r="GQ188" s="174"/>
      <c r="GR188" s="174"/>
      <c r="GS188" s="174"/>
      <c r="GT188" s="174"/>
      <c r="GU188" s="174"/>
      <c r="GV188" s="174"/>
      <c r="GW188" s="174"/>
      <c r="GX188" s="174"/>
      <c r="GY188" s="174"/>
      <c r="GZ188" s="174"/>
      <c r="HA188" s="174"/>
      <c r="HB188" s="174"/>
      <c r="HC188" s="174"/>
      <c r="HD188" s="174"/>
      <c r="HE188" s="174"/>
      <c r="HF188" s="174"/>
      <c r="HG188" s="174"/>
      <c r="HH188" s="174"/>
      <c r="HI188" s="174"/>
      <c r="HJ188" s="174"/>
      <c r="HK188" s="174"/>
      <c r="HL188" s="174"/>
      <c r="HM188" s="174"/>
      <c r="HN188" s="174"/>
      <c r="HO188" s="174"/>
      <c r="HP188" s="174"/>
      <c r="HQ188" s="174"/>
      <c r="HR188" s="174"/>
      <c r="HS188" s="174"/>
      <c r="HT188" s="174"/>
      <c r="HU188" s="174"/>
      <c r="HV188" s="174"/>
      <c r="HW188" s="174"/>
      <c r="HX188" s="174"/>
      <c r="HY188" s="174"/>
      <c r="HZ188" s="174"/>
      <c r="IA188" s="174"/>
      <c r="IB188" s="174"/>
      <c r="IC188" s="174"/>
      <c r="ID188" s="174"/>
      <c r="IE188" s="174"/>
      <c r="IF188" s="174"/>
      <c r="IG188" s="174"/>
      <c r="IH188" s="174"/>
      <c r="II188" s="174"/>
      <c r="IJ188" s="174"/>
      <c r="IK188" s="174"/>
      <c r="IL188" s="174"/>
      <c r="IM188" s="174"/>
      <c r="IN188" s="174"/>
      <c r="IO188" s="174"/>
      <c r="IP188" s="174"/>
      <c r="IQ188" s="174"/>
      <c r="IR188" s="174"/>
      <c r="IS188" s="174"/>
      <c r="IT188" s="174"/>
      <c r="IU188" s="174"/>
      <c r="IV188" s="174"/>
      <c r="IW188" s="174"/>
    </row>
    <row r="189" customFormat="false" ht="12.75" hidden="false" customHeight="false" outlineLevel="0" collapsed="false">
      <c r="A189" s="165"/>
      <c r="B189" s="174" t="s">
        <v>363</v>
      </c>
      <c r="C189" s="174"/>
      <c r="D189" s="174"/>
      <c r="E189" s="174"/>
      <c r="F189" s="174"/>
      <c r="G189" s="174"/>
      <c r="H189" s="174"/>
      <c r="I189" s="174"/>
      <c r="J189" s="220"/>
      <c r="K189" s="174"/>
      <c r="L189" s="221"/>
      <c r="M189" s="115"/>
      <c r="O189" s="115"/>
      <c r="Q189" s="115"/>
      <c r="S189" s="115"/>
      <c r="T189" s="115"/>
      <c r="U189" s="115"/>
      <c r="V189" s="115"/>
      <c r="X189" s="115"/>
      <c r="Z189" s="115"/>
      <c r="AB189" s="115"/>
      <c r="AD189" s="115"/>
      <c r="AF189" s="115" t="n">
        <v>83611.75</v>
      </c>
      <c r="AH189" s="115" t="n">
        <f aca="false">1916.59+566.92+17351.64+16608.79+10439.68+3047.18</f>
        <v>49930.8</v>
      </c>
      <c r="AJ189" s="115" t="n">
        <v>30286.69</v>
      </c>
      <c r="AL189" s="115" t="n">
        <f aca="false">-163829+30287</f>
        <v>-133542</v>
      </c>
      <c r="BL189" s="115"/>
      <c r="BM189" s="115"/>
      <c r="BN189" s="115" t="n">
        <f aca="false">SUM(T189:BM189)</f>
        <v>30287.24</v>
      </c>
      <c r="BO189" s="115"/>
      <c r="BP189" s="115"/>
      <c r="BQ189" s="115"/>
      <c r="BR189" s="115" t="n">
        <f aca="false">IF(+R189-BN189+BP189&gt;0,R189-BN189+BP189,0)</f>
        <v>0</v>
      </c>
      <c r="BT189" s="115" t="n">
        <f aca="false">+BN189+BR189</f>
        <v>30287.24</v>
      </c>
      <c r="BV189" s="115" t="n">
        <f aca="false">+R189-BT189</f>
        <v>-30287.24</v>
      </c>
      <c r="BW189" s="115"/>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c r="DJ189" s="174"/>
      <c r="DK189" s="174"/>
      <c r="DL189" s="174"/>
      <c r="DM189" s="174"/>
      <c r="DN189" s="174"/>
      <c r="DO189" s="174"/>
      <c r="DP189" s="174"/>
      <c r="DQ189" s="174"/>
      <c r="DR189" s="174"/>
      <c r="DS189" s="174"/>
      <c r="DT189" s="174"/>
      <c r="DU189" s="174"/>
      <c r="DV189" s="174"/>
      <c r="DW189" s="174"/>
      <c r="DX189" s="174"/>
      <c r="DY189" s="174"/>
      <c r="DZ189" s="174"/>
      <c r="EA189" s="174"/>
      <c r="EB189" s="174"/>
      <c r="EC189" s="174"/>
      <c r="ED189" s="174"/>
      <c r="EE189" s="174"/>
      <c r="EF189" s="174"/>
      <c r="EG189" s="174"/>
      <c r="EH189" s="174"/>
      <c r="EI189" s="174"/>
      <c r="EJ189" s="174"/>
      <c r="EK189" s="174"/>
      <c r="EL189" s="174"/>
      <c r="EM189" s="174"/>
      <c r="EN189" s="174"/>
      <c r="EO189" s="174"/>
      <c r="EP189" s="174"/>
      <c r="EQ189" s="174"/>
      <c r="ER189" s="174"/>
      <c r="ES189" s="174"/>
      <c r="ET189" s="174"/>
      <c r="EU189" s="174"/>
      <c r="EV189" s="174"/>
      <c r="EW189" s="174"/>
      <c r="EX189" s="174"/>
      <c r="EY189" s="174"/>
      <c r="EZ189" s="174"/>
      <c r="FA189" s="174"/>
      <c r="FB189" s="174"/>
      <c r="FC189" s="174"/>
      <c r="FD189" s="174"/>
      <c r="FE189" s="174"/>
      <c r="FF189" s="174"/>
      <c r="FG189" s="174"/>
      <c r="FH189" s="174"/>
      <c r="FI189" s="174"/>
      <c r="FJ189" s="174"/>
      <c r="FK189" s="174"/>
      <c r="FL189" s="174"/>
      <c r="FM189" s="174"/>
      <c r="FN189" s="174"/>
      <c r="FO189" s="174"/>
      <c r="FP189" s="174"/>
      <c r="FQ189" s="174"/>
      <c r="FR189" s="174"/>
      <c r="FS189" s="174"/>
      <c r="FT189" s="174"/>
      <c r="FU189" s="174"/>
      <c r="FV189" s="174"/>
      <c r="FW189" s="174"/>
      <c r="FX189" s="174"/>
      <c r="FY189" s="174"/>
      <c r="FZ189" s="174"/>
      <c r="GA189" s="174"/>
      <c r="GB189" s="174"/>
      <c r="GC189" s="174"/>
      <c r="GD189" s="174"/>
      <c r="GE189" s="174"/>
      <c r="GF189" s="174"/>
      <c r="GG189" s="174"/>
      <c r="GH189" s="174"/>
      <c r="GI189" s="174"/>
      <c r="GJ189" s="174"/>
      <c r="GK189" s="174"/>
      <c r="GL189" s="174"/>
      <c r="GM189" s="174"/>
      <c r="GN189" s="174"/>
      <c r="GO189" s="174"/>
      <c r="GP189" s="174"/>
      <c r="GQ189" s="174"/>
      <c r="GR189" s="174"/>
      <c r="GS189" s="174"/>
      <c r="GT189" s="174"/>
      <c r="GU189" s="174"/>
      <c r="GV189" s="174"/>
      <c r="GW189" s="174"/>
      <c r="GX189" s="174"/>
      <c r="GY189" s="174"/>
      <c r="GZ189" s="174"/>
      <c r="HA189" s="174"/>
      <c r="HB189" s="174"/>
      <c r="HC189" s="174"/>
      <c r="HD189" s="174"/>
      <c r="HE189" s="174"/>
      <c r="HF189" s="174"/>
      <c r="HG189" s="174"/>
      <c r="HH189" s="174"/>
      <c r="HI189" s="174"/>
      <c r="HJ189" s="174"/>
      <c r="HK189" s="174"/>
      <c r="HL189" s="174"/>
      <c r="HM189" s="174"/>
      <c r="HN189" s="174"/>
      <c r="HO189" s="174"/>
      <c r="HP189" s="174"/>
      <c r="HQ189" s="174"/>
      <c r="HR189" s="174"/>
      <c r="HS189" s="174"/>
      <c r="HT189" s="174"/>
      <c r="HU189" s="174"/>
      <c r="HV189" s="174"/>
      <c r="HW189" s="174"/>
      <c r="HX189" s="174"/>
      <c r="HY189" s="174"/>
      <c r="HZ189" s="174"/>
      <c r="IA189" s="174"/>
      <c r="IB189" s="174"/>
      <c r="IC189" s="174"/>
      <c r="ID189" s="174"/>
      <c r="IE189" s="174"/>
      <c r="IF189" s="174"/>
      <c r="IG189" s="174"/>
      <c r="IH189" s="174"/>
      <c r="II189" s="174"/>
      <c r="IJ189" s="174"/>
      <c r="IK189" s="174"/>
      <c r="IL189" s="174"/>
      <c r="IM189" s="174"/>
      <c r="IN189" s="174"/>
      <c r="IO189" s="174"/>
      <c r="IP189" s="174"/>
      <c r="IQ189" s="174"/>
      <c r="IR189" s="174"/>
      <c r="IS189" s="174"/>
      <c r="IT189" s="174"/>
      <c r="IU189" s="174"/>
      <c r="IV189" s="174"/>
      <c r="IW189" s="174"/>
    </row>
    <row r="190" customFormat="false" ht="12.75" hidden="false" customHeight="false" outlineLevel="0" collapsed="false">
      <c r="A190" s="182"/>
      <c r="B190" s="216" t="s">
        <v>267</v>
      </c>
      <c r="C190" s="2"/>
      <c r="D190" s="2"/>
      <c r="E190" s="2"/>
      <c r="F190" s="2"/>
      <c r="G190" s="2"/>
      <c r="H190" s="2"/>
      <c r="I190" s="2"/>
      <c r="J190" s="3"/>
      <c r="K190" s="2"/>
      <c r="L190" s="188"/>
      <c r="M190" s="24"/>
      <c r="N190" s="210" t="n">
        <f aca="false">SUM(N185:N188)</f>
        <v>600000</v>
      </c>
      <c r="O190" s="24"/>
      <c r="P190" s="210" t="n">
        <f aca="false">SUM(P185:P188)</f>
        <v>-282700</v>
      </c>
      <c r="Q190" s="24"/>
      <c r="R190" s="210" t="n">
        <f aca="false">SUM(R185:R189)</f>
        <v>0</v>
      </c>
      <c r="S190" s="210" t="n">
        <f aca="false">SUM(S185:S189)</f>
        <v>0</v>
      </c>
      <c r="T190" s="210" t="n">
        <f aca="false">SUM(T185:T189)</f>
        <v>0</v>
      </c>
      <c r="U190" s="210" t="n">
        <f aca="false">SUM(U185:U189)</f>
        <v>0</v>
      </c>
      <c r="V190" s="210" t="n">
        <f aca="false">SUM(V185:V189)</f>
        <v>135</v>
      </c>
      <c r="W190" s="210" t="n">
        <f aca="false">SUM(W185:W189)</f>
        <v>0</v>
      </c>
      <c r="X190" s="210" t="n">
        <f aca="false">SUM(X185:X189)</f>
        <v>49089.63</v>
      </c>
      <c r="Y190" s="210" t="n">
        <f aca="false">SUM(Y185:Y189)</f>
        <v>0</v>
      </c>
      <c r="Z190" s="210" t="n">
        <f aca="false">SUM(Z185:Z189)</f>
        <v>7328.25</v>
      </c>
      <c r="AA190" s="210" t="n">
        <f aca="false">SUM(AA185:AA189)</f>
        <v>0</v>
      </c>
      <c r="AB190" s="210" t="n">
        <f aca="false">SUM(AB185:AB189)</f>
        <v>2780.87</v>
      </c>
      <c r="AC190" s="210" t="n">
        <f aca="false">SUM(AC185:AC189)</f>
        <v>0</v>
      </c>
      <c r="AD190" s="210" t="n">
        <f aca="false">SUM(AD185:AD189)</f>
        <v>17365.85</v>
      </c>
      <c r="AE190" s="210" t="n">
        <f aca="false">SUM(AE185:AE189)</f>
        <v>0</v>
      </c>
      <c r="AF190" s="210" t="n">
        <f aca="false">SUM(AF185:AF189)</f>
        <v>95041.36</v>
      </c>
      <c r="AG190" s="210"/>
      <c r="AH190" s="210" t="n">
        <f aca="false">SUM(AH185:AH189)</f>
        <v>65427.53</v>
      </c>
      <c r="AI190" s="210"/>
      <c r="AJ190" s="210" t="n">
        <f aca="false">SUM(AJ185:AJ189)</f>
        <v>43022.42</v>
      </c>
      <c r="AK190" s="210"/>
      <c r="AL190" s="210" t="n">
        <f aca="false">SUM(AL185:AL189)</f>
        <v>-70757.66</v>
      </c>
      <c r="AM190" s="210"/>
      <c r="AN190" s="210" t="n">
        <f aca="false">SUM(AN185:AN189)</f>
        <v>0</v>
      </c>
      <c r="AO190" s="210"/>
      <c r="AP190" s="210" t="n">
        <f aca="false">SUM(AP185:AP189)</f>
        <v>0</v>
      </c>
      <c r="AQ190" s="210"/>
      <c r="AR190" s="210" t="n">
        <f aca="false">SUM(AR185:AR189)</f>
        <v>10697.29</v>
      </c>
      <c r="AS190" s="210"/>
      <c r="AT190" s="210" t="n">
        <f aca="false">SUM(AT185:AT189)</f>
        <v>0</v>
      </c>
      <c r="AU190" s="210" t="n">
        <f aca="false">SUM(AU185:AU189)</f>
        <v>0</v>
      </c>
      <c r="AV190" s="210" t="n">
        <f aca="false">SUM(AV185:AV189)</f>
        <v>0</v>
      </c>
      <c r="AW190" s="210" t="n">
        <f aca="false">SUM(AW185:AW189)</f>
        <v>0</v>
      </c>
      <c r="AX190" s="210" t="n">
        <f aca="false">SUM(AX185:AX189)</f>
        <v>0</v>
      </c>
      <c r="AY190" s="210" t="n">
        <f aca="false">SUM(AY185:AY189)</f>
        <v>0</v>
      </c>
      <c r="AZ190" s="210" t="n">
        <f aca="false">SUM(AZ185:AZ189)</f>
        <v>0</v>
      </c>
      <c r="BA190" s="210" t="n">
        <f aca="false">SUM(BA185:BA189)</f>
        <v>0</v>
      </c>
      <c r="BB190" s="210" t="n">
        <f aca="false">SUM(BB185:BB189)</f>
        <v>0</v>
      </c>
      <c r="BC190" s="210" t="n">
        <f aca="false">SUM(BC185:BC189)</f>
        <v>0</v>
      </c>
      <c r="BD190" s="210" t="n">
        <f aca="false">SUM(BD185:BD189)</f>
        <v>0</v>
      </c>
      <c r="BE190" s="210" t="n">
        <f aca="false">SUM(BE185:BE189)</f>
        <v>0</v>
      </c>
      <c r="BF190" s="210" t="n">
        <f aca="false">SUM(BF185:BF189)</f>
        <v>0</v>
      </c>
      <c r="BG190" s="210" t="n">
        <f aca="false">SUM(BG185:BG189)</f>
        <v>0</v>
      </c>
      <c r="BH190" s="210" t="n">
        <f aca="false">SUM(BH185:BH189)</f>
        <v>0</v>
      </c>
      <c r="BI190" s="210" t="n">
        <f aca="false">SUM(BI185:BI189)</f>
        <v>0</v>
      </c>
      <c r="BJ190" s="210" t="n">
        <f aca="false">SUM(BJ185:BJ189)</f>
        <v>0</v>
      </c>
      <c r="BK190" s="210" t="n">
        <f aca="false">SUM(BK185:BK189)</f>
        <v>0</v>
      </c>
      <c r="BL190" s="210" t="n">
        <f aca="false">SUM(BL185:BL189)</f>
        <v>0</v>
      </c>
      <c r="BM190" s="210" t="n">
        <f aca="false">SUM(BM185:BM189)</f>
        <v>0</v>
      </c>
      <c r="BN190" s="210" t="n">
        <f aca="false">SUM(BN185:BN189)</f>
        <v>220130.54</v>
      </c>
      <c r="BO190" s="210" t="n">
        <f aca="false">SUM(BO185:BO189)</f>
        <v>0</v>
      </c>
      <c r="BP190" s="210" t="n">
        <f aca="false">SUM(BP185:BP189)</f>
        <v>0</v>
      </c>
      <c r="BQ190" s="210" t="n">
        <f aca="false">SUM(BQ185:BQ189)</f>
        <v>0</v>
      </c>
      <c r="BR190" s="210" t="n">
        <f aca="false">SUM(BR185:BR189)</f>
        <v>0</v>
      </c>
      <c r="BS190" s="210" t="n">
        <f aca="false">SUM(BS185:BS189)</f>
        <v>0</v>
      </c>
      <c r="BT190" s="210" t="n">
        <f aca="false">SUM(BT185:BT189)</f>
        <v>220130.54</v>
      </c>
      <c r="BU190" s="210" t="n">
        <f aca="false">SUM(BU185:BU189)</f>
        <v>0</v>
      </c>
      <c r="BV190" s="210" t="n">
        <f aca="false">SUM(BV185:BV189)</f>
        <v>-220130.54</v>
      </c>
      <c r="BW190" s="210"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2"/>
      <c r="B191" s="216"/>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2" t="s">
        <v>268</v>
      </c>
      <c r="B192" s="174"/>
      <c r="C192" s="0"/>
      <c r="D192" s="0"/>
      <c r="E192" s="0"/>
      <c r="F192" s="0"/>
      <c r="G192" s="0"/>
      <c r="H192" s="0"/>
      <c r="I192" s="0"/>
      <c r="J192" s="4"/>
      <c r="K192" s="0"/>
      <c r="L192" s="169"/>
      <c r="M192" s="115"/>
      <c r="O192" s="115"/>
      <c r="Q192" s="115"/>
      <c r="S192" s="115"/>
      <c r="T192" s="115"/>
      <c r="U192" s="115"/>
      <c r="V192" s="115"/>
      <c r="X192" s="115"/>
      <c r="Z192" s="115"/>
      <c r="AB192" s="115"/>
      <c r="AD192" s="115"/>
      <c r="BL192" s="115"/>
      <c r="BM192" s="115"/>
      <c r="BO192" s="115"/>
      <c r="BP192" s="115"/>
      <c r="BQ192" s="115"/>
      <c r="BW192" s="11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5"/>
      <c r="B193" s="174" t="s">
        <v>364</v>
      </c>
      <c r="C193" s="174"/>
      <c r="D193" s="174"/>
      <c r="E193" s="174"/>
      <c r="F193" s="174"/>
      <c r="G193" s="174"/>
      <c r="H193" s="174"/>
      <c r="I193" s="174"/>
      <c r="J193" s="220"/>
      <c r="K193" s="174"/>
      <c r="L193" s="221" t="s">
        <v>249</v>
      </c>
      <c r="M193" s="115"/>
      <c r="N193" s="115" t="n">
        <v>0</v>
      </c>
      <c r="O193" s="115"/>
      <c r="P193" s="115" t="n">
        <f aca="false">300000-5511</f>
        <v>294489</v>
      </c>
      <c r="Q193" s="115"/>
      <c r="R193" s="115" t="n">
        <v>0</v>
      </c>
      <c r="S193" s="115"/>
      <c r="T193" s="115" t="n">
        <v>0</v>
      </c>
      <c r="U193" s="115"/>
      <c r="V193" s="115" t="n">
        <v>0</v>
      </c>
      <c r="X193" s="115" t="n">
        <v>0</v>
      </c>
      <c r="Z193" s="115" t="n">
        <v>9963.17</v>
      </c>
      <c r="AB193" s="115" t="n">
        <v>0</v>
      </c>
      <c r="AD193" s="115" t="n">
        <v>3785</v>
      </c>
      <c r="AF193" s="115" t="n">
        <v>0</v>
      </c>
      <c r="AH193" s="115" t="n">
        <f aca="false">6818.14+6268.5+3560.04+12631+3302.46+787.02</f>
        <v>33367.16</v>
      </c>
      <c r="AJ193" s="115" t="n">
        <v>0</v>
      </c>
      <c r="AL193" s="115" t="n">
        <v>-14302.18</v>
      </c>
      <c r="AN193" s="115" t="n">
        <v>0</v>
      </c>
      <c r="AP193" s="115" t="n">
        <v>28608.51</v>
      </c>
      <c r="AR193" s="115" t="n">
        <v>0</v>
      </c>
      <c r="AT193" s="115" t="n">
        <v>0</v>
      </c>
      <c r="AV193" s="115" t="n">
        <v>0</v>
      </c>
      <c r="AX193" s="115" t="n">
        <v>0</v>
      </c>
      <c r="AZ193" s="115" t="n">
        <v>0</v>
      </c>
      <c r="BB193" s="115" t="n">
        <v>0</v>
      </c>
      <c r="BD193" s="115" t="n">
        <v>0</v>
      </c>
      <c r="BF193" s="115" t="n">
        <v>0</v>
      </c>
      <c r="BH193" s="115" t="n">
        <v>0</v>
      </c>
      <c r="BJ193" s="115" t="n">
        <v>0</v>
      </c>
      <c r="BL193" s="115" t="n">
        <v>0</v>
      </c>
      <c r="BM193" s="115"/>
      <c r="BN193" s="115" t="n">
        <f aca="false">SUM(T193:BM193)</f>
        <v>61421.66</v>
      </c>
      <c r="BO193" s="115"/>
      <c r="BP193" s="115" t="n">
        <v>0</v>
      </c>
      <c r="BQ193" s="115"/>
      <c r="BR193" s="115" t="n">
        <f aca="false">IF(+R193-BN193+BP193&gt;0,R193-BN193+BP193,0)</f>
        <v>0</v>
      </c>
      <c r="BT193" s="115" t="n">
        <f aca="false">+BN193+BR193</f>
        <v>61421.66</v>
      </c>
      <c r="BV193" s="115" t="n">
        <f aca="false">+R193-BT193</f>
        <v>-61421.66</v>
      </c>
      <c r="BW193" s="11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4"/>
      <c r="DV193" s="174"/>
      <c r="DW193" s="174"/>
      <c r="DX193" s="174"/>
      <c r="DY193" s="174"/>
      <c r="DZ193" s="174"/>
      <c r="EA193" s="174"/>
      <c r="EB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c r="FN193" s="174"/>
      <c r="FO193" s="174"/>
      <c r="FP193" s="174"/>
      <c r="FQ193" s="174"/>
      <c r="FR193" s="174"/>
      <c r="FS193" s="174"/>
      <c r="FT193" s="174"/>
      <c r="FU193" s="174"/>
      <c r="FV193" s="174"/>
      <c r="FW193" s="174"/>
      <c r="FX193" s="174"/>
      <c r="FY193" s="174"/>
      <c r="FZ193" s="174"/>
      <c r="GA193" s="174"/>
      <c r="GB193" s="174"/>
      <c r="GC193" s="174"/>
      <c r="GD193" s="174"/>
      <c r="GE193" s="174"/>
      <c r="GF193" s="174"/>
      <c r="GG193" s="174"/>
      <c r="GH193" s="174"/>
      <c r="GI193" s="174"/>
      <c r="GJ193" s="174"/>
      <c r="GK193" s="174"/>
      <c r="GL193" s="174"/>
      <c r="GM193" s="174"/>
      <c r="GN193" s="174"/>
      <c r="GO193" s="174"/>
      <c r="GP193" s="174"/>
      <c r="GQ193" s="174"/>
      <c r="GR193" s="174"/>
      <c r="GS193" s="174"/>
      <c r="GT193" s="174"/>
      <c r="GU193" s="174"/>
      <c r="GV193" s="174"/>
      <c r="GW193" s="174"/>
      <c r="GX193" s="174"/>
      <c r="GY193" s="174"/>
      <c r="GZ193" s="174"/>
      <c r="HA193" s="174"/>
      <c r="HB193" s="174"/>
      <c r="HC193" s="174"/>
      <c r="HD193" s="174"/>
      <c r="HE193" s="174"/>
      <c r="HF193" s="174"/>
      <c r="HG193" s="174"/>
      <c r="HH193" s="174"/>
      <c r="HI193" s="174"/>
      <c r="HJ193" s="174"/>
      <c r="HK193" s="174"/>
      <c r="HL193" s="174"/>
      <c r="HM193" s="174"/>
      <c r="HN193" s="174"/>
      <c r="HO193" s="174"/>
      <c r="HP193" s="174"/>
      <c r="HQ193" s="174"/>
      <c r="HR193" s="174"/>
      <c r="HS193" s="174"/>
      <c r="HT193" s="174"/>
      <c r="HU193" s="174"/>
      <c r="HV193" s="174"/>
      <c r="HW193" s="174"/>
      <c r="HX193" s="174"/>
      <c r="HY193" s="174"/>
      <c r="HZ193" s="174"/>
      <c r="IA193" s="174"/>
      <c r="IB193" s="174"/>
      <c r="IC193" s="174"/>
      <c r="ID193" s="174"/>
      <c r="IE193" s="174"/>
      <c r="IF193" s="174"/>
      <c r="IG193" s="174"/>
      <c r="IH193" s="174"/>
      <c r="II193" s="174"/>
      <c r="IJ193" s="174"/>
      <c r="IK193" s="174"/>
      <c r="IL193" s="174"/>
      <c r="IM193" s="174"/>
      <c r="IN193" s="174"/>
      <c r="IO193" s="174"/>
      <c r="IP193" s="174"/>
      <c r="IQ193" s="174"/>
      <c r="IR193" s="174"/>
      <c r="IS193" s="174"/>
      <c r="IT193" s="174"/>
      <c r="IU193" s="174"/>
      <c r="IV193" s="174"/>
      <c r="IW193" s="174"/>
    </row>
    <row r="194" customFormat="false" ht="12.75" hidden="false" customHeight="false" outlineLevel="0" collapsed="false">
      <c r="A194" s="165"/>
      <c r="B194" s="174" t="s">
        <v>365</v>
      </c>
      <c r="C194" s="174"/>
      <c r="D194" s="174"/>
      <c r="E194" s="174"/>
      <c r="F194" s="174"/>
      <c r="G194" s="174"/>
      <c r="H194" s="174"/>
      <c r="I194" s="174"/>
      <c r="J194" s="220"/>
      <c r="K194" s="174"/>
      <c r="L194" s="221" t="s">
        <v>249</v>
      </c>
      <c r="M194" s="115"/>
      <c r="N194" s="115" t="n">
        <v>500000</v>
      </c>
      <c r="O194" s="115"/>
      <c r="P194" s="115" t="n">
        <f aca="false">-300000-10271.2</f>
        <v>-310271.2</v>
      </c>
      <c r="Q194" s="115"/>
      <c r="R194" s="115" t="n">
        <v>0</v>
      </c>
      <c r="S194" s="115"/>
      <c r="T194" s="115" t="n">
        <v>0</v>
      </c>
      <c r="U194" s="115"/>
      <c r="V194" s="115" t="n">
        <v>0</v>
      </c>
      <c r="X194" s="115" t="n">
        <v>0</v>
      </c>
      <c r="Z194" s="115" t="n">
        <v>0</v>
      </c>
      <c r="AB194" s="115" t="n">
        <v>76235.1</v>
      </c>
      <c r="AD194" s="115" t="n">
        <v>51621.39</v>
      </c>
      <c r="AF194" s="115" t="n">
        <v>16078.18</v>
      </c>
      <c r="AH194" s="115" t="n">
        <f aca="false">8609.85+7441.04</f>
        <v>16050.89</v>
      </c>
      <c r="AJ194" s="115" t="n">
        <v>0</v>
      </c>
      <c r="AN194" s="115" t="n">
        <v>0</v>
      </c>
      <c r="AR194" s="115" t="n">
        <v>0</v>
      </c>
      <c r="AT194" s="115" t="n">
        <v>0</v>
      </c>
      <c r="AV194" s="115" t="n">
        <v>0</v>
      </c>
      <c r="AX194" s="115" t="n">
        <v>0</v>
      </c>
      <c r="AZ194" s="115" t="n">
        <v>0</v>
      </c>
      <c r="BB194" s="115" t="n">
        <v>0</v>
      </c>
      <c r="BD194" s="115" t="n">
        <v>0</v>
      </c>
      <c r="BF194" s="115" t="n">
        <v>0</v>
      </c>
      <c r="BH194" s="115" t="n">
        <v>0</v>
      </c>
      <c r="BJ194" s="115" t="n">
        <v>0</v>
      </c>
      <c r="BL194" s="115" t="n">
        <v>0</v>
      </c>
      <c r="BM194" s="115"/>
      <c r="BN194" s="115" t="n">
        <f aca="false">SUM(T194:BM194)</f>
        <v>159985.56</v>
      </c>
      <c r="BO194" s="115"/>
      <c r="BP194" s="115" t="n">
        <v>0</v>
      </c>
      <c r="BQ194" s="115"/>
      <c r="BR194" s="115" t="n">
        <f aca="false">IF(+R194-BN194+BP194&gt;0,R194-BN194+BP194,0)</f>
        <v>0</v>
      </c>
      <c r="BT194" s="115" t="n">
        <f aca="false">+BN194+BR194</f>
        <v>159985.56</v>
      </c>
      <c r="BV194" s="115" t="n">
        <f aca="false">+R194-BT194</f>
        <v>-159985.56</v>
      </c>
      <c r="BW194" s="11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c r="IO194" s="174"/>
      <c r="IP194" s="174"/>
      <c r="IQ194" s="174"/>
      <c r="IR194" s="174"/>
      <c r="IS194" s="174"/>
      <c r="IT194" s="174"/>
      <c r="IU194" s="174"/>
      <c r="IV194" s="174"/>
      <c r="IW194" s="174"/>
    </row>
    <row r="195" customFormat="false" ht="12.75" hidden="false" customHeight="false" outlineLevel="0" collapsed="false">
      <c r="A195" s="165"/>
      <c r="B195" s="174" t="s">
        <v>366</v>
      </c>
      <c r="C195" s="174"/>
      <c r="D195" s="174"/>
      <c r="E195" s="174"/>
      <c r="F195" s="174"/>
      <c r="G195" s="174"/>
      <c r="H195" s="174"/>
      <c r="I195" s="174"/>
      <c r="J195" s="220"/>
      <c r="K195" s="174"/>
      <c r="L195" s="221"/>
      <c r="M195" s="115"/>
      <c r="O195" s="115"/>
      <c r="P195" s="115" t="n">
        <v>5511</v>
      </c>
      <c r="Q195" s="115"/>
      <c r="R195" s="115" t="n">
        <v>0</v>
      </c>
      <c r="S195" s="115"/>
      <c r="T195" s="115"/>
      <c r="U195" s="115"/>
      <c r="V195" s="115"/>
      <c r="X195" s="115"/>
      <c r="Z195" s="115"/>
      <c r="AB195" s="115"/>
      <c r="AD195" s="115" t="n">
        <v>5510.85</v>
      </c>
      <c r="AF195" s="115" t="n">
        <v>10271.2</v>
      </c>
      <c r="BL195" s="115"/>
      <c r="BM195" s="115"/>
      <c r="BN195" s="115" t="n">
        <f aca="false">SUM(T195:BM195)</f>
        <v>15782.05</v>
      </c>
      <c r="BO195" s="115"/>
      <c r="BP195" s="115" t="n">
        <v>0</v>
      </c>
      <c r="BQ195" s="115"/>
      <c r="BR195" s="115" t="n">
        <f aca="false">IF(+R195-BN195+BP195&gt;0,R195-BN195+BP195,0)</f>
        <v>0</v>
      </c>
      <c r="BT195" s="115" t="n">
        <f aca="false">+BN195+BR195</f>
        <v>15782.05</v>
      </c>
      <c r="BV195" s="115" t="n">
        <f aca="false">+R195-BT195</f>
        <v>-15782.05</v>
      </c>
      <c r="BW195" s="11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c r="IO195" s="174"/>
      <c r="IP195" s="174"/>
      <c r="IQ195" s="174"/>
      <c r="IR195" s="174"/>
      <c r="IS195" s="174"/>
      <c r="IT195" s="174"/>
      <c r="IU195" s="174"/>
      <c r="IV195" s="174"/>
      <c r="IW195" s="174"/>
    </row>
    <row r="196" customFormat="false" ht="12.75" hidden="false" customHeight="false" outlineLevel="0" collapsed="false">
      <c r="A196" s="182"/>
      <c r="B196" s="216" t="s">
        <v>271</v>
      </c>
      <c r="C196" s="2"/>
      <c r="D196" s="2"/>
      <c r="E196" s="2"/>
      <c r="F196" s="2"/>
      <c r="G196" s="2"/>
      <c r="H196" s="2"/>
      <c r="I196" s="2"/>
      <c r="J196" s="3"/>
      <c r="K196" s="2"/>
      <c r="L196" s="188"/>
      <c r="M196" s="24"/>
      <c r="N196" s="210" t="n">
        <f aca="false">SUM(N193:N195)</f>
        <v>500000</v>
      </c>
      <c r="O196" s="210" t="n">
        <f aca="false">SUM(O193:O195)</f>
        <v>0</v>
      </c>
      <c r="P196" s="210" t="n">
        <f aca="false">SUM(P193:P195)</f>
        <v>-10271.2</v>
      </c>
      <c r="Q196" s="210" t="n">
        <f aca="false">SUM(Q193:Q195)</f>
        <v>0</v>
      </c>
      <c r="R196" s="210" t="n">
        <f aca="false">SUM(R193:R195)</f>
        <v>0</v>
      </c>
      <c r="S196" s="24"/>
      <c r="T196" s="210" t="n">
        <f aca="false">SUM(T193:T195)</f>
        <v>0</v>
      </c>
      <c r="U196" s="24"/>
      <c r="V196" s="210" t="n">
        <f aca="false">SUM(V193:V195)</f>
        <v>0</v>
      </c>
      <c r="W196" s="24"/>
      <c r="X196" s="210" t="n">
        <f aca="false">SUM(X193:X195)</f>
        <v>0</v>
      </c>
      <c r="Y196" s="24"/>
      <c r="Z196" s="210" t="n">
        <f aca="false">SUM(Z193:Z195)</f>
        <v>9963.17</v>
      </c>
      <c r="AA196" s="24"/>
      <c r="AB196" s="210" t="n">
        <f aca="false">SUM(AB193:AB195)</f>
        <v>76235.1</v>
      </c>
      <c r="AC196" s="24"/>
      <c r="AD196" s="210" t="n">
        <f aca="false">SUM(AD193:AD195)</f>
        <v>60917.24</v>
      </c>
      <c r="AE196" s="24"/>
      <c r="AF196" s="210" t="n">
        <f aca="false">SUM(AF193:AF195)</f>
        <v>26349.38</v>
      </c>
      <c r="AG196" s="24"/>
      <c r="AH196" s="210" t="n">
        <f aca="false">SUM(AH193:AH195)</f>
        <v>49418.05</v>
      </c>
      <c r="AI196" s="24"/>
      <c r="AJ196" s="210" t="n">
        <f aca="false">SUM(AJ193:AJ195)</f>
        <v>0</v>
      </c>
      <c r="AK196" s="24"/>
      <c r="AL196" s="210" t="n">
        <f aca="false">SUM(AL193:AL195)</f>
        <v>-14302.18</v>
      </c>
      <c r="AM196" s="210"/>
      <c r="AN196" s="210" t="n">
        <f aca="false">SUM(AN193:AN195)</f>
        <v>0</v>
      </c>
      <c r="AO196" s="24"/>
      <c r="AP196" s="210" t="n">
        <f aca="false">SUM(AP193:AP195)</f>
        <v>28608.51</v>
      </c>
      <c r="AQ196" s="24"/>
      <c r="AR196" s="210" t="n">
        <f aca="false">SUM(AR193:AR195)</f>
        <v>0</v>
      </c>
      <c r="AS196" s="24"/>
      <c r="AT196" s="210" t="n">
        <f aca="false">SUM(AT193:AT195)</f>
        <v>0</v>
      </c>
      <c r="AU196" s="24"/>
      <c r="AV196" s="210" t="n">
        <f aca="false">SUM(AV193:AV195)</f>
        <v>0</v>
      </c>
      <c r="AW196" s="24"/>
      <c r="AX196" s="210" t="n">
        <f aca="false">SUM(AX193:AX195)</f>
        <v>0</v>
      </c>
      <c r="AY196" s="24"/>
      <c r="AZ196" s="210" t="n">
        <f aca="false">SUM(AZ193:AZ195)</f>
        <v>0</v>
      </c>
      <c r="BA196" s="24"/>
      <c r="BB196" s="210" t="n">
        <f aca="false">SUM(BB193:BB195)</f>
        <v>0</v>
      </c>
      <c r="BC196" s="24"/>
      <c r="BD196" s="210" t="n">
        <f aca="false">SUM(BD193:BD195)</f>
        <v>0</v>
      </c>
      <c r="BE196" s="24"/>
      <c r="BF196" s="210" t="n">
        <f aca="false">SUM(BF193:BF195)</f>
        <v>0</v>
      </c>
      <c r="BG196" s="24"/>
      <c r="BH196" s="210" t="n">
        <f aca="false">SUM(BH193:BH195)</f>
        <v>0</v>
      </c>
      <c r="BI196" s="24"/>
      <c r="BJ196" s="210" t="n">
        <f aca="false">SUM(BJ193:BJ195)</f>
        <v>0</v>
      </c>
      <c r="BK196" s="24"/>
      <c r="BL196" s="210" t="n">
        <f aca="false">SUM(BL193:BL195)</f>
        <v>0</v>
      </c>
      <c r="BM196" s="24"/>
      <c r="BN196" s="210" t="n">
        <f aca="false">SUM(BN193:BN195)</f>
        <v>237189.27</v>
      </c>
      <c r="BO196" s="24"/>
      <c r="BP196" s="210" t="n">
        <f aca="false">SUM(BP193:BP195)</f>
        <v>0</v>
      </c>
      <c r="BQ196" s="24"/>
      <c r="BR196" s="210" t="n">
        <f aca="false">SUM(BR193:BR195)</f>
        <v>0</v>
      </c>
      <c r="BS196" s="24"/>
      <c r="BT196" s="210" t="n">
        <f aca="false">SUM(BT193:BT195)</f>
        <v>237189.27</v>
      </c>
      <c r="BU196" s="24"/>
      <c r="BV196" s="210"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5"/>
      <c r="B197" s="216"/>
      <c r="C197" s="2"/>
      <c r="D197" s="2"/>
      <c r="E197" s="2"/>
      <c r="F197" s="2"/>
      <c r="G197" s="2"/>
      <c r="H197" s="2"/>
      <c r="I197" s="2"/>
      <c r="J197" s="3"/>
      <c r="K197" s="2"/>
      <c r="L197" s="188"/>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5" t="s">
        <v>272</v>
      </c>
      <c r="B198" s="216"/>
      <c r="C198" s="216"/>
      <c r="D198" s="216"/>
      <c r="E198" s="216"/>
      <c r="F198" s="216"/>
      <c r="G198" s="216"/>
      <c r="H198" s="216"/>
      <c r="I198" s="216"/>
      <c r="J198" s="217"/>
      <c r="K198" s="216"/>
      <c r="L198" s="218" t="s">
        <v>142</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1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6"/>
      <c r="DV198" s="216"/>
      <c r="DW198" s="216"/>
      <c r="DX198" s="216"/>
      <c r="DY198" s="216"/>
      <c r="DZ198" s="216"/>
      <c r="EA198" s="216"/>
      <c r="EB198" s="216"/>
      <c r="EC198" s="216"/>
      <c r="ED198" s="216"/>
      <c r="EE198" s="216"/>
      <c r="EF198" s="216"/>
      <c r="EG198" s="216"/>
      <c r="EH198" s="216"/>
      <c r="EI198" s="216"/>
      <c r="EJ198" s="216"/>
      <c r="EK198" s="216"/>
      <c r="EL198" s="216"/>
      <c r="EM198" s="216"/>
      <c r="EN198" s="216"/>
      <c r="EO198" s="216"/>
      <c r="EP198" s="216"/>
      <c r="EQ198" s="216"/>
      <c r="ER198" s="216"/>
      <c r="ES198" s="216"/>
      <c r="ET198" s="216"/>
      <c r="EU198" s="216"/>
      <c r="EV198" s="216"/>
      <c r="EW198" s="216"/>
      <c r="EX198" s="216"/>
      <c r="EY198" s="216"/>
      <c r="EZ198" s="216"/>
      <c r="FA198" s="216"/>
      <c r="FB198" s="216"/>
      <c r="FC198" s="216"/>
      <c r="FD198" s="216"/>
      <c r="FE198" s="216"/>
      <c r="FF198" s="216"/>
      <c r="FG198" s="216"/>
      <c r="FH198" s="216"/>
      <c r="FI198" s="216"/>
      <c r="FJ198" s="216"/>
      <c r="FK198" s="216"/>
      <c r="FL198" s="216"/>
      <c r="FM198" s="216"/>
      <c r="FN198" s="216"/>
      <c r="FO198" s="216"/>
      <c r="FP198" s="216"/>
      <c r="FQ198" s="216"/>
      <c r="FR198" s="216"/>
      <c r="FS198" s="216"/>
      <c r="FT198" s="216"/>
      <c r="FU198" s="216"/>
      <c r="FV198" s="216"/>
      <c r="FW198" s="216"/>
      <c r="FX198" s="216"/>
      <c r="FY198" s="216"/>
      <c r="FZ198" s="216"/>
      <c r="GA198" s="216"/>
      <c r="GB198" s="216"/>
      <c r="GC198" s="216"/>
      <c r="GD198" s="216"/>
      <c r="GE198" s="216"/>
      <c r="GF198" s="216"/>
      <c r="GG198" s="216"/>
      <c r="GH198" s="216"/>
      <c r="GI198" s="216"/>
      <c r="GJ198" s="216"/>
      <c r="GK198" s="216"/>
      <c r="GL198" s="216"/>
      <c r="GM198" s="216"/>
      <c r="GN198" s="216"/>
      <c r="GO198" s="216"/>
      <c r="GP198" s="216"/>
      <c r="GQ198" s="216"/>
      <c r="GR198" s="216"/>
      <c r="GS198" s="216"/>
      <c r="GT198" s="216"/>
      <c r="GU198" s="216"/>
      <c r="GV198" s="216"/>
      <c r="GW198" s="216"/>
      <c r="GX198" s="216"/>
      <c r="GY198" s="216"/>
      <c r="GZ198" s="216"/>
      <c r="HA198" s="216"/>
      <c r="HB198" s="216"/>
      <c r="HC198" s="216"/>
      <c r="HD198" s="216"/>
      <c r="HE198" s="216"/>
      <c r="HF198" s="216"/>
      <c r="HG198" s="216"/>
      <c r="HH198" s="216"/>
      <c r="HI198" s="216"/>
      <c r="HJ198" s="216"/>
      <c r="HK198" s="216"/>
      <c r="HL198" s="216"/>
      <c r="HM198" s="216"/>
      <c r="HN198" s="216"/>
      <c r="HO198" s="216"/>
      <c r="HP198" s="216"/>
      <c r="HQ198" s="216"/>
      <c r="HR198" s="216"/>
      <c r="HS198" s="216"/>
      <c r="HT198" s="216"/>
      <c r="HU198" s="216"/>
      <c r="HV198" s="216"/>
      <c r="HW198" s="216"/>
      <c r="HX198" s="216"/>
      <c r="HY198" s="216"/>
      <c r="HZ198" s="216"/>
      <c r="IA198" s="216"/>
      <c r="IB198" s="216"/>
      <c r="IC198" s="216"/>
      <c r="ID198" s="216"/>
      <c r="IE198" s="216"/>
      <c r="IF198" s="216"/>
      <c r="IG198" s="216"/>
      <c r="IH198" s="216"/>
      <c r="II198" s="216"/>
      <c r="IJ198" s="216"/>
      <c r="IK198" s="216"/>
      <c r="IL198" s="216"/>
      <c r="IM198" s="216"/>
      <c r="IN198" s="216"/>
      <c r="IO198" s="216"/>
      <c r="IP198" s="216"/>
      <c r="IQ198" s="216"/>
      <c r="IR198" s="216"/>
      <c r="IS198" s="216"/>
      <c r="IT198" s="216"/>
      <c r="IU198" s="216"/>
      <c r="IV198" s="216"/>
      <c r="IW198" s="216"/>
    </row>
    <row r="199" customFormat="false" ht="12.75" hidden="false" customHeight="false" outlineLevel="0" collapsed="false">
      <c r="A199" s="182"/>
      <c r="B199" s="216"/>
      <c r="C199" s="2"/>
      <c r="D199" s="2"/>
      <c r="E199" s="2"/>
      <c r="F199" s="2"/>
      <c r="G199" s="2"/>
      <c r="H199" s="2"/>
      <c r="I199" s="2"/>
      <c r="J199" s="3"/>
      <c r="K199" s="2"/>
      <c r="L199" s="188"/>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2" t="s">
        <v>273</v>
      </c>
      <c r="B200" s="223"/>
      <c r="C200" s="197"/>
      <c r="D200" s="197"/>
      <c r="E200" s="197"/>
      <c r="F200" s="197"/>
      <c r="G200" s="197"/>
      <c r="H200" s="197"/>
      <c r="I200" s="197"/>
      <c r="J200" s="198"/>
      <c r="K200" s="197"/>
      <c r="L200" s="199"/>
      <c r="M200" s="200"/>
      <c r="N200" s="200"/>
      <c r="O200" s="200"/>
      <c r="P200" s="200"/>
      <c r="Q200" s="200"/>
      <c r="R200" s="200" t="n">
        <f aca="false">R198+R190+R182+R180+R178+R172+R163+R153+R146+R144+R142+R140+R138+R196+R170</f>
        <v>0</v>
      </c>
      <c r="S200" s="200" t="n">
        <f aca="false">S198+S190+S182+S180+S178+S172+S163+S153+S146+S144+S142+S140+S138+S196</f>
        <v>0</v>
      </c>
      <c r="T200" s="200" t="n">
        <f aca="false">T198+T190+T182+T180+T178+T172+T163+T153+T146+T144+T142+T140+T138+T196</f>
        <v>704264</v>
      </c>
      <c r="U200" s="200" t="n">
        <f aca="false">U198+U190+U182+U180+U178+U172+U163+U153+U146+U144+U142+U140+U138+U196</f>
        <v>0</v>
      </c>
      <c r="V200" s="200" t="n">
        <f aca="false">V198+V190+V182+V180+V178+V172+V163+V153+V146+V144+V142+V140+V138+V196</f>
        <v>320959</v>
      </c>
      <c r="W200" s="200" t="n">
        <f aca="false">W198+W190+W182+W180+W178+W172+W163+W153+W146+W144+W142+W140+W138+W196</f>
        <v>0</v>
      </c>
      <c r="X200" s="200" t="n">
        <f aca="false">X198+X190+X182+X180+X178+X172+X163+X153+X146+X144+X142+X140+X138+X196</f>
        <v>569241.61</v>
      </c>
      <c r="Y200" s="200" t="n">
        <f aca="false">Y198+Y190+Y182+Y180+Y178+Y172+Y163+Y153+Y146+Y144+Y142+Y140+Y138+Y196</f>
        <v>0</v>
      </c>
      <c r="Z200" s="200" t="n">
        <f aca="false">Z198+Z190+Z182+Z180+Z178+Z172+Z163+Z153+Z146+Z144+Z142+Z140+Z138+Z196</f>
        <v>475448.42</v>
      </c>
      <c r="AA200" s="200" t="n">
        <f aca="false">AA198+AA190+AA182+AA180+AA178+AA172+AA163+AA153+AA146+AA144+AA142+AA140+AA138+AA196</f>
        <v>0</v>
      </c>
      <c r="AB200" s="200" t="n">
        <f aca="false">AB198+AB190+AB182+AB180+AB178+AB172+AB163+AB153+AB146+AB144+AB142+AB140+AB138+AB196</f>
        <v>468179.56</v>
      </c>
      <c r="AC200" s="200" t="n">
        <f aca="false">AC198+AC190+AC182+AC180+AC178+AC172+AC163+AC153+AC146+AC144+AC142+AC140+AC138+AC196</f>
        <v>0</v>
      </c>
      <c r="AD200" s="200" t="n">
        <f aca="false">AD198+AD190+AD182+AD180+AD178+AD172+AD163+AD153+AD146+AD144+AD142+AD140+AD138+AD196</f>
        <v>896272.32</v>
      </c>
      <c r="AE200" s="200" t="n">
        <f aca="false">AE198+AE190+AE182+AE180+AE178+AE172+AE163+AE153+AE146+AE144+AE142+AE140+AE138+AE196</f>
        <v>0</v>
      </c>
      <c r="AF200" s="200" t="n">
        <f aca="false">AF198+AF190+AF182+AF180+AF178+AF172+AF163+AF153+AF146+AF144+AF142+AF140+AF138+AF196</f>
        <v>666001.554966667</v>
      </c>
      <c r="AG200" s="200"/>
      <c r="AH200" s="200" t="n">
        <f aca="false">AH198+AH190+AH182+AH180+AH178+AH172+AH163+AH153+AH146+AH144+AH142+AH140+AH138+AH196</f>
        <v>672045.703169958</v>
      </c>
      <c r="AI200" s="200"/>
      <c r="AJ200" s="200" t="n">
        <f aca="false">AJ198+AJ190+AJ182+AJ180+AJ178+AJ172+AJ163+AJ153+AJ146+AJ144+AJ142+AJ140+AJ138+AJ196</f>
        <v>557205.694230185</v>
      </c>
      <c r="AK200" s="200"/>
      <c r="AL200" s="200" t="n">
        <f aca="false">AL198+AL190+AL182+AL180+AL178+AL172+AL163+AL153+AL146+AL144+AL142+AL140+AL138+AL196</f>
        <v>-4904623.03236681</v>
      </c>
      <c r="AM200" s="200"/>
      <c r="AN200" s="200" t="n">
        <f aca="false">AN198+AN190+AN182+AN180+AN178+AN172+AN163+AN153+AN146+AN144+AN142+AN140+AN138+AN196</f>
        <v>378540.52</v>
      </c>
      <c r="AO200" s="200"/>
      <c r="AP200" s="200" t="n">
        <f aca="false">AP198+AP190+AP182+AP180+AP178+AP172+AP163+AP153+AP146+AP144+AP142+AP140+AP138+AP196</f>
        <v>323352.19</v>
      </c>
      <c r="AQ200" s="200"/>
      <c r="AR200" s="200" t="n">
        <f aca="false">AR198+AR190+AR182+AR180+AR178+AR172+AR163+AR153+AR146+AR144+AR142+AR140+AR138+AR196</f>
        <v>16697.29</v>
      </c>
      <c r="AS200" s="200"/>
      <c r="AT200" s="200" t="n">
        <f aca="false">AT198+AT190+AT182+AT180+AT178+AT172+AT163+AT153+AT146+AT144+AT142+AT140+AT138+AT196</f>
        <v>0</v>
      </c>
      <c r="AU200" s="200" t="n">
        <f aca="false">AU198+AU190+AU182+AU180+AU178+AU172+AU163+AU153+AU146+AU144+AU142+AU140+AU138+AU196</f>
        <v>0</v>
      </c>
      <c r="AV200" s="200" t="n">
        <f aca="false">AV198+AV190+AV182+AV180+AV178+AV172+AV163+AV153+AV146+AV144+AV142+AV140+AV138+AV196</f>
        <v>0</v>
      </c>
      <c r="AW200" s="200" t="n">
        <f aca="false">AW198+AW190+AW182+AW180+AW178+AW172+AW163+AW153+AW146+AW144+AW142+AW140+AW138+AW196</f>
        <v>0</v>
      </c>
      <c r="AX200" s="200" t="n">
        <f aca="false">AX198+AX190+AX182+AX180+AX178+AX172+AX163+AX153+AX146+AX144+AX142+AX140+AX138+AX196</f>
        <v>0</v>
      </c>
      <c r="AY200" s="200" t="n">
        <f aca="false">AY198+AY190+AY182+AY180+AY178+AY172+AY163+AY153+AY146+AY144+AY142+AY140+AY138+AY196</f>
        <v>0</v>
      </c>
      <c r="AZ200" s="200" t="n">
        <f aca="false">AZ198+AZ190+AZ182+AZ180+AZ178+AZ172+AZ163+AZ153+AZ146+AZ144+AZ142+AZ140+AZ138+AZ196</f>
        <v>0</v>
      </c>
      <c r="BA200" s="200" t="n">
        <f aca="false">BA198+BA190+BA182+BA180+BA178+BA172+BA163+BA153+BA146+BA144+BA142+BA140+BA138+BA196</f>
        <v>0</v>
      </c>
      <c r="BB200" s="200" t="n">
        <f aca="false">BB198+BB190+BB182+BB180+BB178+BB172+BB163+BB153+BB146+BB144+BB142+BB140+BB138+BB196</f>
        <v>0</v>
      </c>
      <c r="BC200" s="200" t="n">
        <f aca="false">BC198+BC190+BC182+BC180+BC178+BC172+BC163+BC153+BC146+BC144+BC142+BC140+BC138+BC196</f>
        <v>0</v>
      </c>
      <c r="BD200" s="200" t="n">
        <f aca="false">BD198+BD190+BD182+BD180+BD178+BD172+BD163+BD153+BD146+BD144+BD142+BD140+BD138+BD196</f>
        <v>6000</v>
      </c>
      <c r="BE200" s="200" t="n">
        <f aca="false">BE198+BE190+BE182+BE180+BE178+BE172+BE163+BE153+BE146+BE144+BE142+BE140+BE138+BE196</f>
        <v>0</v>
      </c>
      <c r="BF200" s="200" t="n">
        <f aca="false">BF198+BF190+BF182+BF180+BF178+BF172+BF163+BF153+BF146+BF144+BF142+BF140+BF138+BF196</f>
        <v>0</v>
      </c>
      <c r="BG200" s="200" t="n">
        <f aca="false">BG198+BG190+BG182+BG180+BG178+BG172+BG163+BG153+BG146+BG144+BG142+BG140+BG138+BG196</f>
        <v>0</v>
      </c>
      <c r="BH200" s="200" t="n">
        <f aca="false">BH198+BH190+BH182+BH180+BH178+BH172+BH163+BH153+BH146+BH144+BH142+BH140+BH138+BH196</f>
        <v>0</v>
      </c>
      <c r="BI200" s="200" t="n">
        <f aca="false">BI198+BI190+BI182+BI180+BI178+BI172+BI163+BI153+BI146+BI144+BI142+BI140+BI138+BI196</f>
        <v>0</v>
      </c>
      <c r="BJ200" s="200" t="n">
        <f aca="false">BJ198+BJ190+BJ182+BJ180+BJ178+BJ172+BJ163+BJ153+BJ146+BJ144+BJ142+BJ140+BJ138+BJ196</f>
        <v>0</v>
      </c>
      <c r="BK200" s="200" t="n">
        <f aca="false">BK198+BK190+BK182+BK180+BK178+BK172+BK163+BK153+BK146+BK144+BK142+BK140+BK138+BK196</f>
        <v>0</v>
      </c>
      <c r="BL200" s="200" t="n">
        <f aca="false">BL198+BL190+BL182+BL180+BL178+BL172+BL163+BL153+BL146+BL144+BL142+BL140+BL138+BL196</f>
        <v>0</v>
      </c>
      <c r="BM200" s="200" t="n">
        <f aca="false">BM198+BM190+BM182+BM180+BM178+BM172+BM163+BM153+BM146+BM144+BM142+BM140+BM138+BM196</f>
        <v>0</v>
      </c>
      <c r="BN200" s="200" t="n">
        <f aca="false">BN198+BN190+BN182+BN180+BN178+BN172+BN163+BN153+BN146+BN144+BN142+BN140+BN138+BN196</f>
        <v>1149584.83</v>
      </c>
      <c r="BO200" s="200" t="n">
        <f aca="false">BO198+BO190+BO182+BO180+BO178+BO172+BO163+BO153+BO146+BO144+BO142+BO140+BO138+BO196</f>
        <v>0</v>
      </c>
      <c r="BP200" s="200" t="n">
        <f aca="false">BP198+BP190+BP182+BP180+BP178+BP172+BP163+BP153+BP146+BP144+BP142+BP140+BP138+BP196</f>
        <v>0</v>
      </c>
      <c r="BQ200" s="200" t="n">
        <f aca="false">BQ198+BQ190+BQ182+BQ180+BQ178+BQ172+BQ163+BQ153+BQ146+BQ144+BQ142+BQ140+BQ138+BQ196</f>
        <v>0</v>
      </c>
      <c r="BR200" s="200" t="n">
        <f aca="false">BR198+BR190+BR182+BR180+BR178+BR172+BR163+BR153+BR146+BR144+BR142+BR140+BR138+BR196</f>
        <v>0.230000000003201</v>
      </c>
      <c r="BS200" s="200" t="n">
        <f aca="false">BS198+BS190+BS182+BS180+BS178+BS172+BS163+BS153+BS146+BS144+BS142+BS140+BS138+BS196</f>
        <v>0</v>
      </c>
      <c r="BT200" s="200" t="n">
        <f aca="false">BT198+BT190+BT182+BT180+BT178+BT172+BT163+BT153+BT146+BT144+BT142+BT140+BT138+BT196</f>
        <v>1149585.06</v>
      </c>
      <c r="BU200" s="200" t="n">
        <f aca="false">BU198+BU190+BU182+BU180+BU178+BU172+BU163+BU153+BU146+BU144+BU142+BU140+BU138+BU196</f>
        <v>0</v>
      </c>
      <c r="BV200" s="200" t="n">
        <f aca="false">BV198+BV190+BV182+BV180+BV178+BV172+BV163+BV153+BV146+BV144+BV142+BV140+BV138+BV196</f>
        <v>-1149585.06</v>
      </c>
      <c r="BW200" s="200"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7"/>
      <c r="DV200" s="197"/>
      <c r="DW200" s="197"/>
      <c r="DX200" s="197"/>
      <c r="DY200" s="197"/>
      <c r="DZ200" s="197"/>
      <c r="EA200" s="197"/>
      <c r="EB200" s="197"/>
      <c r="EC200" s="197"/>
      <c r="ED200" s="197"/>
      <c r="EE200" s="197"/>
      <c r="EF200" s="197"/>
      <c r="EG200" s="197"/>
      <c r="EH200" s="197"/>
      <c r="EI200" s="197"/>
      <c r="EJ200" s="197"/>
      <c r="EK200" s="197"/>
      <c r="EL200" s="197"/>
      <c r="EM200" s="197"/>
      <c r="EN200" s="197"/>
      <c r="EO200" s="197"/>
      <c r="EP200" s="197"/>
      <c r="EQ200" s="197"/>
      <c r="ER200" s="197"/>
      <c r="ES200" s="197"/>
      <c r="ET200" s="197"/>
      <c r="EU200" s="197"/>
      <c r="EV200" s="197"/>
      <c r="EW200" s="197"/>
      <c r="EX200" s="197"/>
      <c r="EY200" s="197"/>
      <c r="EZ200" s="197"/>
      <c r="FA200" s="197"/>
      <c r="FB200" s="197"/>
      <c r="FC200" s="197"/>
      <c r="FD200" s="197"/>
      <c r="FE200" s="197"/>
      <c r="FF200" s="197"/>
      <c r="FG200" s="197"/>
      <c r="FH200" s="197"/>
      <c r="FI200" s="197"/>
      <c r="FJ200" s="197"/>
      <c r="FK200" s="197"/>
      <c r="FL200" s="197"/>
      <c r="FM200" s="197"/>
      <c r="FN200" s="197"/>
      <c r="FO200" s="197"/>
      <c r="FP200" s="197"/>
      <c r="FQ200" s="197"/>
      <c r="FR200" s="197"/>
      <c r="FS200" s="197"/>
      <c r="FT200" s="197"/>
      <c r="FU200" s="197"/>
      <c r="FV200" s="197"/>
      <c r="FW200" s="197"/>
      <c r="FX200" s="197"/>
      <c r="FY200" s="197"/>
      <c r="FZ200" s="197"/>
      <c r="GA200" s="197"/>
      <c r="GB200" s="197"/>
      <c r="GC200" s="197"/>
      <c r="GD200" s="197"/>
      <c r="GE200" s="197"/>
      <c r="GF200" s="197"/>
      <c r="GG200" s="197"/>
      <c r="GH200" s="197"/>
      <c r="GI200" s="197"/>
      <c r="GJ200" s="197"/>
      <c r="GK200" s="197"/>
      <c r="GL200" s="197"/>
      <c r="GM200" s="197"/>
      <c r="GN200" s="197"/>
      <c r="GO200" s="197"/>
      <c r="GP200" s="197"/>
      <c r="GQ200" s="197"/>
      <c r="GR200" s="197"/>
      <c r="GS200" s="197"/>
      <c r="GT200" s="197"/>
      <c r="GU200" s="197"/>
      <c r="GV200" s="197"/>
      <c r="GW200" s="197"/>
      <c r="GX200" s="197"/>
      <c r="GY200" s="197"/>
      <c r="GZ200" s="197"/>
      <c r="HA200" s="197"/>
      <c r="HB200" s="197"/>
      <c r="HC200" s="197"/>
      <c r="HD200" s="197"/>
      <c r="HE200" s="197"/>
      <c r="HF200" s="197"/>
      <c r="HG200" s="197"/>
      <c r="HH200" s="197"/>
      <c r="HI200" s="197"/>
      <c r="HJ200" s="197"/>
      <c r="HK200" s="197"/>
      <c r="HL200" s="197"/>
      <c r="HM200" s="197"/>
      <c r="HN200" s="197"/>
      <c r="HO200" s="197"/>
      <c r="HP200" s="197"/>
      <c r="HQ200" s="197"/>
      <c r="HR200" s="197"/>
      <c r="HS200" s="197"/>
      <c r="HT200" s="197"/>
      <c r="HU200" s="197"/>
      <c r="HV200" s="197"/>
      <c r="HW200" s="197"/>
      <c r="HX200" s="197"/>
      <c r="HY200" s="197"/>
      <c r="HZ200" s="197"/>
      <c r="IA200" s="197"/>
      <c r="IB200" s="197"/>
      <c r="IC200" s="197"/>
      <c r="ID200" s="197"/>
      <c r="IE200" s="197"/>
      <c r="IF200" s="197"/>
      <c r="IG200" s="197"/>
      <c r="IH200" s="197"/>
      <c r="II200" s="197"/>
      <c r="IJ200" s="197"/>
      <c r="IK200" s="197"/>
      <c r="IL200" s="197"/>
      <c r="IM200" s="197"/>
      <c r="IN200" s="197"/>
      <c r="IO200" s="197"/>
      <c r="IP200" s="197"/>
      <c r="IQ200" s="197"/>
      <c r="IR200" s="197"/>
      <c r="IS200" s="197"/>
      <c r="IT200" s="197"/>
      <c r="IU200" s="197"/>
      <c r="IV200" s="197"/>
      <c r="IW200" s="197"/>
    </row>
    <row r="201" customFormat="false" ht="12.75" hidden="false" customHeight="false" outlineLevel="0" collapsed="false">
      <c r="A201" s="182"/>
      <c r="B201" s="216"/>
      <c r="C201" s="2"/>
      <c r="D201" s="2"/>
      <c r="E201" s="2"/>
      <c r="F201" s="2"/>
      <c r="G201" s="2"/>
      <c r="H201" s="2"/>
      <c r="I201" s="2"/>
      <c r="J201" s="3"/>
      <c r="K201" s="2"/>
      <c r="L201" s="188"/>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2" t="s">
        <v>178</v>
      </c>
      <c r="B202" s="216"/>
      <c r="C202" s="2"/>
      <c r="D202" s="2"/>
      <c r="E202" s="2"/>
      <c r="F202" s="2"/>
      <c r="G202" s="2"/>
      <c r="H202" s="2"/>
      <c r="I202" s="2"/>
      <c r="J202" s="3"/>
      <c r="K202" s="2"/>
      <c r="L202" s="188" t="s">
        <v>142</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15" t="n">
        <f aca="false">IF(+R202-BN202+BP202&gt;0,R202-BN202+BP202,0)</f>
        <v>0</v>
      </c>
      <c r="BS202" s="24" t="n">
        <v>2030320</v>
      </c>
      <c r="BT202" s="24" t="n">
        <f aca="false">+BN202+BR202</f>
        <v>0</v>
      </c>
      <c r="BU202" s="24" t="n">
        <v>2030320</v>
      </c>
      <c r="BV202" s="11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2"/>
      <c r="B203" s="216"/>
      <c r="C203" s="2"/>
      <c r="D203" s="2"/>
      <c r="E203" s="2"/>
      <c r="F203" s="2"/>
      <c r="G203" s="2"/>
      <c r="H203" s="2"/>
      <c r="I203" s="2"/>
      <c r="J203" s="3"/>
      <c r="K203" s="2"/>
      <c r="L203" s="188"/>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4" t="s">
        <v>274</v>
      </c>
      <c r="B205" s="225"/>
      <c r="C205" s="225"/>
      <c r="D205" s="225"/>
      <c r="E205" s="225"/>
      <c r="F205" s="225"/>
      <c r="G205" s="225"/>
      <c r="H205" s="225"/>
      <c r="I205" s="225"/>
      <c r="J205" s="226"/>
      <c r="K205" s="225"/>
      <c r="L205" s="227"/>
      <c r="M205" s="228"/>
      <c r="N205" s="228"/>
      <c r="O205" s="228"/>
      <c r="P205" s="228"/>
      <c r="Q205" s="228"/>
      <c r="R205" s="229" t="n">
        <f aca="false">R202+R200+R80+R70+R37</f>
        <v>0</v>
      </c>
      <c r="S205" s="229" t="n">
        <f aca="false">S37+S80+S70+S170+S89+S200+S202</f>
        <v>0</v>
      </c>
      <c r="T205" s="229" t="n">
        <f aca="false">T37+T80+T70+T170+T89+T200+T202</f>
        <v>30080814</v>
      </c>
      <c r="U205" s="229" t="n">
        <f aca="false">U37+U80+U70+U170+U89+U200+U202</f>
        <v>0</v>
      </c>
      <c r="V205" s="229" t="n">
        <f aca="false">V37+V80+V70+V170+V89+V200+V202</f>
        <v>44071359</v>
      </c>
      <c r="W205" s="229" t="n">
        <f aca="false">W37+W80+W70+W170+W89+W200+W202</f>
        <v>0</v>
      </c>
      <c r="X205" s="229" t="n">
        <f aca="false">X37+X80+X70+X170+X89+X200+X202</f>
        <v>3684291.61</v>
      </c>
      <c r="Y205" s="229" t="n">
        <f aca="false">Y37+Y80+Y70+Y170+Y89+Y200+Y202</f>
        <v>0</v>
      </c>
      <c r="Z205" s="229" t="n">
        <f aca="false">Z37+Z80+Z70+Z170+Z89+Z200+Z202</f>
        <v>475448.42</v>
      </c>
      <c r="AA205" s="229" t="n">
        <f aca="false">AA37+AA80+AA70+AA170+AA89+AA200+AA202</f>
        <v>0</v>
      </c>
      <c r="AB205" s="229" t="n">
        <f aca="false">AB37+AB80+AB70+AB170+AB89+AB200+AB202</f>
        <v>3575429.56</v>
      </c>
      <c r="AC205" s="229" t="n">
        <f aca="false">AC37+AC80+AC70+AC170+AC89+AC200+AC202</f>
        <v>0</v>
      </c>
      <c r="AD205" s="229" t="n">
        <f aca="false">AD37+AD80+AD70+AD170+AD89+AD200+AD202</f>
        <v>7136491.03</v>
      </c>
      <c r="AE205" s="229" t="n">
        <f aca="false">AE37+AE80+AE70+AE170+AE89+AE200+AE202</f>
        <v>0</v>
      </c>
      <c r="AF205" s="229" t="n">
        <f aca="false">AF37+AF80+AF70+AF170+AF89+AF200+AF202</f>
        <v>666001.554966667</v>
      </c>
      <c r="AG205" s="229"/>
      <c r="AH205" s="229" t="n">
        <f aca="false">AH37+AH80+AH70+AH170+AH89+AH200+AH202</f>
        <v>1386914.05650329</v>
      </c>
      <c r="AI205" s="229"/>
      <c r="AJ205" s="229" t="n">
        <f aca="false">AJ37+AJ80+AJ70+AJ170+AJ89+AJ200+AJ202</f>
        <v>2148326.57423019</v>
      </c>
      <c r="AK205" s="229"/>
      <c r="AL205" s="229" t="n">
        <f aca="false">AL37+AL80+AL70+AL170+AL89+AL200+AL202</f>
        <v>-93106786.0323668</v>
      </c>
      <c r="AM205" s="229"/>
      <c r="AN205" s="229" t="n">
        <f aca="false">AN37+AN80+AN70+AN170+AN89+AN200+AN202</f>
        <v>692746.19</v>
      </c>
      <c r="AO205" s="229"/>
      <c r="AP205" s="229" t="n">
        <f aca="false">AP37+AP80+AP70+AP170+AP89+AP200+AP202</f>
        <v>323352.19</v>
      </c>
      <c r="AQ205" s="229"/>
      <c r="AR205" s="229" t="n">
        <f aca="false">AR37+AR80+AR70+AR170+AR89+AR200+AR202</f>
        <v>16697.29</v>
      </c>
      <c r="AS205" s="229"/>
      <c r="AT205" s="229" t="n">
        <f aca="false">AT37+AT80+AT70+AT170+AT89+AT200+AT202</f>
        <v>250000</v>
      </c>
      <c r="AU205" s="229" t="n">
        <f aca="false">AU37+AU80+AU70+AU170+AU89+AU200+AU202</f>
        <v>0</v>
      </c>
      <c r="AV205" s="229" t="n">
        <f aca="false">AV37+AV80+AV70+AV170+AV89+AV200+AV202</f>
        <v>0</v>
      </c>
      <c r="AW205" s="229" t="n">
        <f aca="false">AW37+AW80+AW70+AW170+AW89+AW200+AW202</f>
        <v>0</v>
      </c>
      <c r="AX205" s="229" t="n">
        <f aca="false">AX37+AX80+AX70+AX170+AX89+AX200+AX202</f>
        <v>0</v>
      </c>
      <c r="AY205" s="229" t="n">
        <f aca="false">AY37+AY80+AY70+AY170+AY89+AY200+AY202</f>
        <v>0</v>
      </c>
      <c r="AZ205" s="229" t="n">
        <f aca="false">AZ37+AZ80+AZ70+AZ170+AZ89+AZ200+AZ202</f>
        <v>0</v>
      </c>
      <c r="BA205" s="229" t="n">
        <f aca="false">BA37+BA80+BA70+BA170+BA89+BA200+BA202</f>
        <v>0</v>
      </c>
      <c r="BB205" s="229" t="n">
        <f aca="false">BB37+BB80+BB70+BB170+BB89+BB200+BB202</f>
        <v>0</v>
      </c>
      <c r="BC205" s="229" t="n">
        <f aca="false">BC37+BC80+BC70+BC170+BC89+BC200+BC202</f>
        <v>0</v>
      </c>
      <c r="BD205" s="229" t="n">
        <f aca="false">BD37+BD80+BD70+BD170+BD89+BD200+BD202</f>
        <v>6000</v>
      </c>
      <c r="BE205" s="229" t="n">
        <f aca="false">BE37+BE80+BE70+BE170+BE89+BE200+BE202</f>
        <v>0</v>
      </c>
      <c r="BF205" s="229" t="n">
        <f aca="false">BF37+BF80+BF70+BF170+BF89+BF200+BF202</f>
        <v>0</v>
      </c>
      <c r="BG205" s="229" t="n">
        <f aca="false">BG37+BG80+BG70+BG170+BG89+BG200+BG202</f>
        <v>0</v>
      </c>
      <c r="BH205" s="229" t="n">
        <f aca="false">BH37+BH80+BH70+BH170+BH89+BH200+BH202</f>
        <v>0</v>
      </c>
      <c r="BI205" s="229" t="n">
        <f aca="false">BI37+BI80+BI70+BI170+BI89+BI200+BI202</f>
        <v>0</v>
      </c>
      <c r="BJ205" s="229" t="n">
        <f aca="false">BJ37+BJ80+BJ70+BJ170+BJ89+BJ200+BJ202</f>
        <v>0</v>
      </c>
      <c r="BK205" s="229" t="n">
        <f aca="false">BK37+BK80+BK70+BK170+BK89+BK200+BK202</f>
        <v>0</v>
      </c>
      <c r="BL205" s="229" t="n">
        <f aca="false">BL37+BL80+BL70+BL170+BL89+BL200+BL202</f>
        <v>0</v>
      </c>
      <c r="BM205" s="229" t="n">
        <f aca="false">BM37+BM80+BM70+BM170+BM89+BM200+BM202</f>
        <v>0</v>
      </c>
      <c r="BN205" s="229" t="n">
        <f aca="false">BN37+BN80+BN70+BN170+BN89+BN200+BN202</f>
        <v>1407085.44333333</v>
      </c>
      <c r="BO205" s="229" t="n">
        <f aca="false">BO37+BO80+BO70+BO170+BO89+BO200+BO202</f>
        <v>2030320</v>
      </c>
      <c r="BP205" s="229" t="n">
        <f aca="false">BP37+BP80+BP70+BP170+BP89+BP200+BP202</f>
        <v>0</v>
      </c>
      <c r="BQ205" s="229" t="n">
        <f aca="false">BQ37+BQ80+BQ70+BQ170+BQ89+BQ200+BQ202</f>
        <v>2030320</v>
      </c>
      <c r="BR205" s="229" t="n">
        <f aca="false">BR37+BR80+BR70+BR170+BR89+BR200+BR202</f>
        <v>0.620000000599248</v>
      </c>
      <c r="BS205" s="229" t="n">
        <f aca="false">BS37+BS80+BS70+BS170+BS89+BS200+BS202</f>
        <v>2030320</v>
      </c>
      <c r="BT205" s="229" t="n">
        <f aca="false">BT37+BT80+BT70+BT170+BT89+BT200+BT202</f>
        <v>1407086.06333333</v>
      </c>
      <c r="BU205" s="229" t="n">
        <f aca="false">BU37+BU80+BU70+BU170+BU89+BU200+BU202</f>
        <v>2030320</v>
      </c>
      <c r="BV205" s="229" t="n">
        <f aca="false">BV37+BV80+BV70+BV170+BV89+BV200+BV202</f>
        <v>-1407086.06333333</v>
      </c>
      <c r="BW205" s="228"/>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c r="GY205" s="225"/>
      <c r="GZ205" s="225"/>
      <c r="HA205" s="225"/>
      <c r="HB205" s="225"/>
      <c r="HC205" s="225"/>
      <c r="HD205" s="225"/>
      <c r="HE205" s="225"/>
      <c r="HF205" s="225"/>
      <c r="HG205" s="225"/>
      <c r="HH205" s="225"/>
      <c r="HI205" s="225"/>
      <c r="HJ205" s="225"/>
      <c r="HK205" s="225"/>
      <c r="HL205" s="225"/>
      <c r="HM205" s="225"/>
      <c r="HN205" s="225"/>
      <c r="HO205" s="225"/>
      <c r="HP205" s="225"/>
      <c r="HQ205" s="225"/>
      <c r="HR205" s="225"/>
      <c r="HS205" s="225"/>
      <c r="HT205" s="225"/>
      <c r="HU205" s="225"/>
      <c r="HV205" s="225"/>
      <c r="HW205" s="225"/>
      <c r="HX205" s="225"/>
      <c r="HY205" s="225"/>
      <c r="HZ205" s="225"/>
      <c r="IA205" s="225"/>
      <c r="IB205" s="225"/>
      <c r="IC205" s="225"/>
      <c r="ID205" s="225"/>
      <c r="IE205" s="225"/>
      <c r="IF205" s="225"/>
      <c r="IG205" s="225"/>
      <c r="IH205" s="225"/>
      <c r="II205" s="225"/>
      <c r="IJ205" s="225"/>
      <c r="IK205" s="225"/>
      <c r="IL205" s="225"/>
      <c r="IM205" s="225"/>
      <c r="IN205" s="225"/>
      <c r="IO205" s="225"/>
      <c r="IP205" s="225"/>
      <c r="IQ205" s="225"/>
      <c r="IR205" s="225"/>
      <c r="IS205" s="225"/>
      <c r="IT205" s="225"/>
      <c r="IU205" s="225"/>
      <c r="IV205" s="225"/>
      <c r="IW205" s="225"/>
    </row>
    <row r="206" customFormat="false" ht="12.75" hidden="false" customHeight="false" outlineLevel="0" collapsed="false">
      <c r="A206" s="182" t="s">
        <v>275</v>
      </c>
      <c r="B206" s="216"/>
      <c r="C206" s="2"/>
      <c r="D206" s="2"/>
      <c r="E206" s="2"/>
      <c r="F206" s="2"/>
      <c r="G206" s="2"/>
      <c r="H206" s="2"/>
      <c r="I206" s="2"/>
      <c r="J206" s="3"/>
      <c r="K206" s="2"/>
      <c r="L206" s="188"/>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596051.193333333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2"/>
      <c r="B207" s="216"/>
      <c r="C207" s="2"/>
      <c r="D207" s="2"/>
      <c r="E207" s="2"/>
      <c r="F207" s="2"/>
      <c r="G207" s="2"/>
      <c r="H207" s="2"/>
      <c r="I207" s="2"/>
      <c r="J207" s="3"/>
      <c r="K207" s="2"/>
      <c r="L207" s="188"/>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5" t="s">
        <v>276</v>
      </c>
      <c r="B208" s="216"/>
      <c r="C208" s="2"/>
      <c r="D208" s="2"/>
      <c r="E208" s="2"/>
      <c r="F208" s="2"/>
      <c r="G208" s="2"/>
      <c r="H208" s="2"/>
      <c r="I208" s="2"/>
      <c r="J208" s="3"/>
      <c r="K208" s="2"/>
      <c r="L208" s="188" t="s">
        <v>142</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2"/>
      <c r="B209" s="216"/>
      <c r="C209" s="2"/>
      <c r="D209" s="2"/>
      <c r="E209" s="2"/>
      <c r="F209" s="2"/>
      <c r="G209" s="2"/>
      <c r="H209" s="2"/>
      <c r="I209" s="2"/>
      <c r="J209" s="3"/>
      <c r="K209" s="2"/>
      <c r="L209" s="188"/>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2" t="s">
        <v>367</v>
      </c>
      <c r="B210" s="216"/>
      <c r="C210" s="2"/>
      <c r="D210" s="2"/>
      <c r="E210" s="2"/>
      <c r="F210" s="2"/>
      <c r="G210" s="2"/>
      <c r="H210" s="2"/>
      <c r="I210" s="2"/>
      <c r="J210" s="3"/>
      <c r="K210" s="2"/>
      <c r="L210" s="188"/>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2"/>
      <c r="B211" s="216"/>
      <c r="C211" s="2"/>
      <c r="D211" s="2"/>
      <c r="E211" s="2"/>
      <c r="F211" s="2"/>
      <c r="G211" s="2"/>
      <c r="H211" s="2"/>
      <c r="I211" s="2"/>
      <c r="J211" s="3"/>
      <c r="K211" s="2"/>
      <c r="L211" s="188"/>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5" t="s">
        <v>368</v>
      </c>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t="n">
        <v>100</v>
      </c>
      <c r="BE212" s="24"/>
      <c r="BF212" s="24"/>
      <c r="BG212" s="24"/>
      <c r="BH212" s="24"/>
      <c r="BI212" s="24"/>
      <c r="BJ212" s="24"/>
      <c r="BK212" s="24"/>
      <c r="BL212" s="24"/>
      <c r="BM212" s="24"/>
      <c r="BN212" s="24" t="n">
        <f aca="false">SUM(T212:BM212)</f>
        <v>200</v>
      </c>
      <c r="BO212" s="24"/>
      <c r="BP212" s="24"/>
      <c r="BQ212" s="24"/>
      <c r="BR212" s="24"/>
      <c r="BS212" s="24"/>
      <c r="BT212" s="24" t="n">
        <f aca="false">+BN212+BR212</f>
        <v>200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5"/>
      <c r="B213" s="216"/>
      <c r="C213" s="2"/>
      <c r="D213" s="2"/>
      <c r="E213" s="2"/>
      <c r="F213" s="2"/>
      <c r="G213" s="2"/>
      <c r="H213" s="2"/>
      <c r="I213" s="2"/>
      <c r="J213" s="3"/>
      <c r="K213" s="2"/>
      <c r="L213" s="188"/>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5" t="s">
        <v>279</v>
      </c>
      <c r="B214" s="216"/>
      <c r="C214" s="2"/>
      <c r="D214" s="2"/>
      <c r="E214" s="2"/>
      <c r="F214" s="2"/>
      <c r="G214" s="2"/>
      <c r="H214" s="2"/>
      <c r="I214" s="2"/>
      <c r="J214" s="3"/>
      <c r="K214" s="2"/>
      <c r="L214" s="188"/>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5"/>
      <c r="B215" s="216"/>
      <c r="C215" s="2"/>
      <c r="D215" s="2"/>
      <c r="E215" s="2"/>
      <c r="F215" s="2"/>
      <c r="G215" s="2"/>
      <c r="H215" s="2"/>
      <c r="I215" s="2"/>
      <c r="J215" s="3"/>
      <c r="K215" s="2"/>
      <c r="L215" s="188"/>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3" t="s">
        <v>280</v>
      </c>
      <c r="B216" s="223"/>
      <c r="C216" s="197"/>
      <c r="D216" s="197"/>
      <c r="E216" s="197"/>
      <c r="F216" s="197"/>
      <c r="G216" s="197"/>
      <c r="H216" s="197"/>
      <c r="I216" s="197"/>
      <c r="J216" s="198"/>
      <c r="K216" s="197"/>
      <c r="L216" s="199"/>
      <c r="M216" s="200"/>
      <c r="N216" s="200"/>
      <c r="O216" s="200"/>
      <c r="P216" s="200"/>
      <c r="Q216" s="200"/>
      <c r="R216" s="236" t="n">
        <f aca="false">R205+R208+R210+R214</f>
        <v>0</v>
      </c>
      <c r="S216" s="236" t="n">
        <f aca="false">S205+S208+S210+S214</f>
        <v>0</v>
      </c>
      <c r="T216" s="236" t="n">
        <f aca="false">T205+T208+T210+T214</f>
        <v>30080814</v>
      </c>
      <c r="U216" s="236" t="n">
        <f aca="false">U205+U208+U210+U214</f>
        <v>0</v>
      </c>
      <c r="V216" s="236" t="n">
        <f aca="false">V205+V208+V210+V214</f>
        <v>44071359</v>
      </c>
      <c r="W216" s="236" t="n">
        <f aca="false">W205+W208+W210+W214</f>
        <v>0</v>
      </c>
      <c r="X216" s="236" t="n">
        <f aca="false">X205+X208+X210+X214</f>
        <v>3684291.61</v>
      </c>
      <c r="Y216" s="236" t="n">
        <f aca="false">Y205+Y208+Y210+Y214</f>
        <v>0</v>
      </c>
      <c r="Z216" s="236" t="n">
        <f aca="false">Z205+Z208+Z210+Z214</f>
        <v>475448.42</v>
      </c>
      <c r="AA216" s="236" t="n">
        <f aca="false">AA205+AA208+AA210+AA214</f>
        <v>0</v>
      </c>
      <c r="AB216" s="236" t="n">
        <f aca="false">AB205+AB208+AB210+AB214</f>
        <v>3493368.56</v>
      </c>
      <c r="AC216" s="236" t="n">
        <f aca="false">AC205+AC208+AC210+AC214</f>
        <v>0</v>
      </c>
      <c r="AD216" s="236" t="n">
        <f aca="false">AD205+AD208+AD210+AD214+AD212</f>
        <v>7134628.03</v>
      </c>
      <c r="AE216" s="236" t="n">
        <f aca="false">AE205+AE208+AE210+AE214</f>
        <v>0</v>
      </c>
      <c r="AF216" s="236" t="n">
        <f aca="false">AF205+AF208+AF210+AF214+AF212</f>
        <v>633142.554966667</v>
      </c>
      <c r="AG216" s="236"/>
      <c r="AH216" s="236" t="n">
        <f aca="false">AH205+AH208+AH210+AH214+AH212</f>
        <v>1364257.05650329</v>
      </c>
      <c r="AI216" s="236"/>
      <c r="AJ216" s="236" t="n">
        <f aca="false">AJ205+AJ208+AJ210+AJ214+AJ212</f>
        <v>2148326.57423019</v>
      </c>
      <c r="AK216" s="236"/>
      <c r="AL216" s="236" t="n">
        <f aca="false">AL205+AL208+AL210+AL214+AL212</f>
        <v>-93106786.0323668</v>
      </c>
      <c r="AM216" s="236"/>
      <c r="AN216" s="236" t="n">
        <f aca="false">AN205+AN208+AN210+AN214+AN212</f>
        <v>548388.19</v>
      </c>
      <c r="AO216" s="236"/>
      <c r="AP216" s="236" t="n">
        <f aca="false">AP205+AP208+AP210+AP214+AP212</f>
        <v>309531.19</v>
      </c>
      <c r="AQ216" s="236"/>
      <c r="AR216" s="236" t="n">
        <f aca="false">AR205+AR208+AR210+AR214+AR212</f>
        <v>-82654.71</v>
      </c>
      <c r="AS216" s="236"/>
      <c r="AT216" s="236" t="n">
        <f aca="false">AT205+AT208+AT210+AT214+AT212</f>
        <v>158756</v>
      </c>
      <c r="AU216" s="236" t="n">
        <f aca="false">AU205+AU208+AU210+AU214+AU212</f>
        <v>0</v>
      </c>
      <c r="AV216" s="236" t="n">
        <f aca="false">AV205+AV208+AV210+AV214+AV212</f>
        <v>0</v>
      </c>
      <c r="AW216" s="236" t="n">
        <f aca="false">AW205+AW208+AW210+AW214+AW212</f>
        <v>0</v>
      </c>
      <c r="AX216" s="236" t="n">
        <f aca="false">AX205+AX208+AX210+AX214+AX212</f>
        <v>0</v>
      </c>
      <c r="AY216" s="236" t="n">
        <f aca="false">AY205+AY208+AY210+AY214+AY212</f>
        <v>0</v>
      </c>
      <c r="AZ216" s="236" t="n">
        <f aca="false">AZ205+AZ208+AZ210+AZ214+AZ212</f>
        <v>0</v>
      </c>
      <c r="BA216" s="236" t="n">
        <f aca="false">BA205+BA208+BA210+BA214+BA212</f>
        <v>0</v>
      </c>
      <c r="BB216" s="236" t="n">
        <f aca="false">BB205+BB208+BB210+BB214+BB212</f>
        <v>0</v>
      </c>
      <c r="BC216" s="236" t="n">
        <f aca="false">BC205+BC208+BC210+BC214+BC212</f>
        <v>0</v>
      </c>
      <c r="BD216" s="236" t="n">
        <f aca="false">BD205+BD208+BD210+BD214+BD212</f>
        <v>6100</v>
      </c>
      <c r="BE216" s="236" t="n">
        <f aca="false">BE205+BE208+BE210+BE214+BE212</f>
        <v>0</v>
      </c>
      <c r="BF216" s="236" t="n">
        <f aca="false">BF205+BF208+BF210+BF214+BF212</f>
        <v>0</v>
      </c>
      <c r="BG216" s="236" t="n">
        <f aca="false">BG205+BG208+BG210+BG214+BG212</f>
        <v>0</v>
      </c>
      <c r="BH216" s="236" t="n">
        <f aca="false">BH205+BH208+BH210+BH214+BH212</f>
        <v>0</v>
      </c>
      <c r="BI216" s="236" t="n">
        <f aca="false">BI205+BI208+BI210+BI214+BI212</f>
        <v>0</v>
      </c>
      <c r="BJ216" s="236" t="n">
        <f aca="false">BJ205+BJ208+BJ210+BJ214+BJ212</f>
        <v>0</v>
      </c>
      <c r="BK216" s="236" t="n">
        <f aca="false">BK205+BK208+BK210+BK214+BK212</f>
        <v>0</v>
      </c>
      <c r="BL216" s="236" t="n">
        <f aca="false">BL205+BL208+BL210+BL214+BL212</f>
        <v>0</v>
      </c>
      <c r="BM216" s="236" t="n">
        <f aca="false">BM205+BM208+BM210+BM214+BM212</f>
        <v>0</v>
      </c>
      <c r="BN216" s="236" t="n">
        <f aca="false">BN205+BN208+BN210+BN214+BN212</f>
        <v>918970.443333333</v>
      </c>
      <c r="BO216" s="236" t="n">
        <f aca="false">BO205+BO208+BO210+BO214</f>
        <v>2030320</v>
      </c>
      <c r="BP216" s="236" t="n">
        <f aca="false">BP205+BP208+BP210+BP214</f>
        <v>0</v>
      </c>
      <c r="BQ216" s="236" t="n">
        <f aca="false">BQ205+BQ208+BQ210+BQ214</f>
        <v>2030320</v>
      </c>
      <c r="BR216" s="236" t="n">
        <f aca="false">BR205+BR208+BR210+BR214</f>
        <v>0.620000000599248</v>
      </c>
      <c r="BS216" s="236" t="n">
        <f aca="false">BS205+BS208+BS210+BS214</f>
        <v>2030320</v>
      </c>
      <c r="BT216" s="236" t="n">
        <f aca="false">BT205+BT208+BT210+BT214+BT212</f>
        <v>918971.063333333</v>
      </c>
      <c r="BU216" s="236" t="n">
        <f aca="false">BU205+BU208+BU210+BU214</f>
        <v>2030320</v>
      </c>
      <c r="BV216" s="236" t="n">
        <f aca="false">BV205+BV208+BV210+BV214</f>
        <v>-918771.063333333</v>
      </c>
      <c r="BW216" s="200" t="n">
        <f aca="false">BW205+BW208+BW210+BW214</f>
        <v>0</v>
      </c>
      <c r="BX216" s="130"/>
      <c r="BY216" s="130"/>
      <c r="BZ216" s="130"/>
      <c r="CA216" s="130"/>
      <c r="CB216" s="130"/>
      <c r="CC216" s="130"/>
      <c r="CD216" s="130"/>
      <c r="CE216" s="130"/>
      <c r="CF216" s="130"/>
      <c r="CG216" s="130"/>
      <c r="CH216" s="130"/>
      <c r="CI216" s="130"/>
      <c r="CJ216" s="130"/>
      <c r="CK216" s="130"/>
      <c r="CL216" s="130"/>
      <c r="CM216" s="130"/>
      <c r="CN216" s="130"/>
      <c r="CO216" s="130"/>
      <c r="CP216" s="130"/>
      <c r="CQ216" s="130"/>
      <c r="CR216" s="130"/>
      <c r="CS216" s="130"/>
      <c r="CT216" s="130"/>
      <c r="CU216" s="130"/>
      <c r="CV216" s="130"/>
      <c r="CW216" s="130"/>
      <c r="CX216" s="130"/>
      <c r="CY216" s="130"/>
      <c r="CZ216" s="130"/>
      <c r="DA216" s="130"/>
      <c r="DB216" s="130"/>
      <c r="DC216" s="130"/>
      <c r="DD216" s="130"/>
      <c r="DE216" s="130"/>
      <c r="DF216" s="130"/>
      <c r="DG216" s="130"/>
      <c r="DH216" s="130"/>
      <c r="DI216" s="130"/>
      <c r="DJ216" s="130"/>
      <c r="DK216" s="130"/>
      <c r="DL216" s="130"/>
      <c r="DM216" s="130"/>
      <c r="DN216" s="130"/>
      <c r="DO216" s="130"/>
      <c r="DP216" s="130"/>
      <c r="DQ216" s="130"/>
      <c r="DR216" s="130"/>
      <c r="DS216" s="130"/>
      <c r="DT216" s="130"/>
      <c r="DU216" s="197"/>
      <c r="DV216" s="197"/>
      <c r="DW216" s="197"/>
      <c r="DX216" s="197"/>
      <c r="DY216" s="197"/>
      <c r="DZ216" s="197"/>
      <c r="EA216" s="197"/>
      <c r="EB216" s="197"/>
      <c r="EC216" s="197"/>
      <c r="ED216" s="197"/>
      <c r="EE216" s="197"/>
      <c r="EF216" s="197"/>
      <c r="EG216" s="197"/>
      <c r="EH216" s="197"/>
      <c r="EI216" s="197"/>
      <c r="EJ216" s="197"/>
      <c r="EK216" s="197"/>
      <c r="EL216" s="197"/>
      <c r="EM216" s="197"/>
      <c r="EN216" s="197"/>
      <c r="EO216" s="197"/>
      <c r="EP216" s="197"/>
      <c r="EQ216" s="197"/>
      <c r="ER216" s="197"/>
      <c r="ES216" s="197"/>
      <c r="ET216" s="197"/>
      <c r="EU216" s="197"/>
      <c r="EV216" s="197"/>
      <c r="EW216" s="197"/>
      <c r="EX216" s="197"/>
      <c r="EY216" s="197"/>
      <c r="EZ216" s="197"/>
      <c r="FA216" s="197"/>
      <c r="FB216" s="197"/>
      <c r="FC216" s="197"/>
      <c r="FD216" s="197"/>
      <c r="FE216" s="197"/>
      <c r="FF216" s="197"/>
      <c r="FG216" s="197"/>
      <c r="FH216" s="197"/>
      <c r="FI216" s="197"/>
      <c r="FJ216" s="197"/>
      <c r="FK216" s="197"/>
      <c r="FL216" s="197"/>
      <c r="FM216" s="197"/>
      <c r="FN216" s="197"/>
      <c r="FO216" s="197"/>
      <c r="FP216" s="197"/>
      <c r="FQ216" s="197"/>
      <c r="FR216" s="197"/>
      <c r="FS216" s="197"/>
      <c r="FT216" s="197"/>
      <c r="FU216" s="197"/>
      <c r="FV216" s="197"/>
      <c r="FW216" s="197"/>
      <c r="FX216" s="197"/>
      <c r="FY216" s="197"/>
      <c r="FZ216" s="197"/>
      <c r="GA216" s="197"/>
      <c r="GB216" s="197"/>
      <c r="GC216" s="197"/>
      <c r="GD216" s="197"/>
      <c r="GE216" s="197"/>
      <c r="GF216" s="197"/>
      <c r="GG216" s="197"/>
      <c r="GH216" s="197"/>
      <c r="GI216" s="197"/>
      <c r="GJ216" s="197"/>
      <c r="GK216" s="197"/>
      <c r="GL216" s="197"/>
      <c r="GM216" s="197"/>
      <c r="GN216" s="197"/>
      <c r="GO216" s="197"/>
      <c r="GP216" s="197"/>
      <c r="GQ216" s="197"/>
      <c r="GR216" s="197"/>
      <c r="GS216" s="197"/>
      <c r="GT216" s="197"/>
      <c r="GU216" s="197"/>
      <c r="GV216" s="197"/>
      <c r="GW216" s="197"/>
      <c r="GX216" s="197"/>
      <c r="GY216" s="197"/>
      <c r="GZ216" s="197"/>
      <c r="HA216" s="197"/>
      <c r="HB216" s="197"/>
      <c r="HC216" s="197"/>
      <c r="HD216" s="197"/>
      <c r="HE216" s="197"/>
      <c r="HF216" s="197"/>
      <c r="HG216" s="197"/>
      <c r="HH216" s="197"/>
      <c r="HI216" s="197"/>
      <c r="HJ216" s="197"/>
      <c r="HK216" s="197"/>
      <c r="HL216" s="197"/>
      <c r="HM216" s="197"/>
      <c r="HN216" s="197"/>
      <c r="HO216" s="197"/>
      <c r="HP216" s="197"/>
      <c r="HQ216" s="197"/>
      <c r="HR216" s="197"/>
      <c r="HS216" s="197"/>
      <c r="HT216" s="197"/>
      <c r="HU216" s="197"/>
      <c r="HV216" s="197"/>
      <c r="HW216" s="197"/>
      <c r="HX216" s="197"/>
      <c r="HY216" s="197"/>
      <c r="HZ216" s="197"/>
      <c r="IA216" s="197"/>
      <c r="IB216" s="197"/>
      <c r="IC216" s="197"/>
      <c r="ID216" s="197"/>
      <c r="IE216" s="197"/>
      <c r="IF216" s="197"/>
      <c r="IG216" s="197"/>
      <c r="IH216" s="197"/>
      <c r="II216" s="197"/>
      <c r="IJ216" s="197"/>
      <c r="IK216" s="197"/>
      <c r="IL216" s="197"/>
      <c r="IM216" s="197"/>
      <c r="IN216" s="197"/>
      <c r="IO216" s="197"/>
      <c r="IP216" s="197"/>
      <c r="IQ216" s="197"/>
      <c r="IR216" s="197"/>
      <c r="IS216" s="197"/>
      <c r="IT216" s="197"/>
      <c r="IU216" s="197"/>
      <c r="IV216" s="197"/>
      <c r="IW216" s="197"/>
    </row>
    <row r="217" customFormat="false" ht="13.5" hidden="false" customHeight="false" outlineLevel="0" collapsed="false">
      <c r="A217" s="215"/>
      <c r="B217" s="216"/>
      <c r="C217" s="2"/>
      <c r="D217" s="2"/>
      <c r="E217" s="2"/>
      <c r="F217" s="2"/>
      <c r="G217" s="2"/>
      <c r="H217" s="2"/>
      <c r="I217" s="2"/>
      <c r="J217" s="3"/>
      <c r="K217" s="2"/>
      <c r="L217" s="188"/>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9"/>
      <c r="M218" s="115"/>
      <c r="O218" s="115"/>
      <c r="Q218" s="115"/>
      <c r="S218" s="115"/>
      <c r="T218" s="115"/>
      <c r="U218" s="115"/>
      <c r="V218" s="115"/>
      <c r="X218" s="115"/>
      <c r="Z218" s="115"/>
      <c r="AB218" s="115"/>
      <c r="AD218" s="115"/>
      <c r="BL218" s="115"/>
      <c r="BM218" s="115"/>
      <c r="BO218" s="115"/>
      <c r="BP218" s="115"/>
      <c r="BQ218" s="115"/>
      <c r="BW218" s="11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9"/>
      <c r="M220" s="115"/>
      <c r="O220" s="115"/>
      <c r="Q220" s="115"/>
      <c r="S220" s="115"/>
      <c r="T220" s="115"/>
      <c r="U220" s="115"/>
      <c r="V220" s="115"/>
      <c r="X220" s="115"/>
      <c r="Z220" s="115"/>
      <c r="AB220" s="115"/>
      <c r="AD220" s="115"/>
      <c r="BL220" s="115"/>
      <c r="BM220" s="115"/>
      <c r="BO220" s="115"/>
      <c r="BP220" s="115"/>
      <c r="BQ220" s="115"/>
      <c r="BW220" s="11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9"/>
      <c r="M221" s="115"/>
      <c r="O221" s="115"/>
      <c r="Q221" s="115"/>
      <c r="S221" s="115"/>
      <c r="T221" s="115"/>
      <c r="U221" s="115"/>
      <c r="V221" s="115"/>
      <c r="X221" s="115"/>
      <c r="Z221" s="115"/>
      <c r="AB221" s="115"/>
      <c r="AD221" s="115"/>
      <c r="BL221" s="115"/>
      <c r="BM221" s="115"/>
      <c r="BO221" s="115"/>
      <c r="BP221" s="115"/>
      <c r="BQ221" s="115"/>
      <c r="BW221" s="11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4"/>
      <c r="L222" s="237"/>
      <c r="M222" s="115"/>
      <c r="O222" s="115"/>
      <c r="Q222" s="115"/>
      <c r="S222" s="115"/>
      <c r="T222" s="115"/>
      <c r="U222" s="115"/>
      <c r="V222" s="115"/>
      <c r="X222" s="115"/>
      <c r="Z222" s="115"/>
      <c r="AB222" s="115"/>
      <c r="AD222" s="115"/>
      <c r="BL222" s="115"/>
      <c r="BM222" s="115"/>
      <c r="BO222" s="115"/>
      <c r="BP222" s="115"/>
      <c r="BQ222" s="115"/>
      <c r="BW222" s="11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4"/>
      <c r="L223" s="237"/>
      <c r="M223" s="115"/>
      <c r="O223" s="115"/>
      <c r="Q223" s="115"/>
      <c r="S223" s="115"/>
      <c r="T223" s="115"/>
      <c r="U223" s="115"/>
      <c r="V223" s="115"/>
      <c r="X223" s="115"/>
      <c r="Z223" s="115"/>
      <c r="AB223" s="115"/>
      <c r="AD223" s="115"/>
      <c r="BL223" s="115"/>
      <c r="BM223" s="115"/>
      <c r="BO223" s="115"/>
      <c r="BP223" s="115"/>
      <c r="BQ223" s="115"/>
      <c r="BW223" s="11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4"/>
      <c r="L224" s="237"/>
      <c r="M224" s="115"/>
      <c r="O224" s="115"/>
      <c r="Q224" s="115"/>
      <c r="S224" s="115"/>
      <c r="T224" s="115"/>
      <c r="U224" s="115"/>
      <c r="V224" s="115"/>
      <c r="X224" s="115"/>
      <c r="Z224" s="115"/>
      <c r="AB224" s="115"/>
      <c r="AD224" s="115"/>
      <c r="BL224" s="115"/>
      <c r="BM224" s="115"/>
      <c r="BO224" s="115"/>
      <c r="BP224" s="115"/>
      <c r="BQ224" s="115"/>
      <c r="BW224" s="11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4"/>
      <c r="L225" s="237"/>
      <c r="M225" s="115"/>
      <c r="O225" s="115"/>
      <c r="Q225" s="115"/>
      <c r="S225" s="115"/>
      <c r="T225" s="115"/>
      <c r="U225" s="115"/>
      <c r="V225" s="115"/>
      <c r="X225" s="115"/>
      <c r="Z225" s="115"/>
      <c r="AB225" s="115"/>
      <c r="AD225" s="115"/>
      <c r="BL225" s="115"/>
      <c r="BM225" s="115"/>
      <c r="BO225" s="115"/>
      <c r="BP225" s="115"/>
      <c r="BQ225" s="115"/>
      <c r="BW225" s="11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4"/>
      <c r="L226" s="237"/>
      <c r="M226" s="115"/>
      <c r="O226" s="115"/>
      <c r="Q226" s="115"/>
      <c r="S226" s="115"/>
      <c r="T226" s="115"/>
      <c r="U226" s="115"/>
      <c r="V226" s="115"/>
      <c r="X226" s="115"/>
      <c r="Z226" s="115"/>
      <c r="AB226" s="115"/>
      <c r="AD226" s="115"/>
      <c r="BL226" s="115"/>
      <c r="BM226" s="115"/>
      <c r="BO226" s="115"/>
      <c r="BP226" s="115"/>
      <c r="BQ226" s="115"/>
      <c r="BW226" s="11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4"/>
      <c r="L227" s="237"/>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4"/>
      <c r="L228" s="237"/>
      <c r="M228" s="115"/>
      <c r="O228" s="115"/>
      <c r="Q228" s="115"/>
      <c r="S228" s="115"/>
      <c r="T228" s="115"/>
      <c r="U228" s="115"/>
      <c r="V228" s="115"/>
      <c r="X228" s="115"/>
      <c r="Z228" s="115"/>
      <c r="AB228" s="115"/>
      <c r="AD228" s="115"/>
      <c r="BL228" s="115"/>
      <c r="BM228" s="115"/>
      <c r="BO228" s="115"/>
      <c r="BP228" s="115"/>
      <c r="BQ228" s="115"/>
      <c r="BW228" s="11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4"/>
      <c r="L229" s="237"/>
      <c r="M229" s="115"/>
      <c r="O229" s="115"/>
      <c r="Q229" s="115"/>
      <c r="S229" s="115"/>
      <c r="T229" s="115"/>
      <c r="U229" s="115"/>
      <c r="V229" s="115"/>
      <c r="X229" s="115"/>
      <c r="Z229" s="115"/>
      <c r="AB229" s="115"/>
      <c r="AD229" s="115"/>
      <c r="BL229" s="115"/>
      <c r="BM229" s="115"/>
      <c r="BO229" s="115"/>
      <c r="BP229" s="115"/>
      <c r="BQ229" s="115"/>
      <c r="BW229" s="11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4"/>
      <c r="L230" s="237"/>
      <c r="M230" s="115"/>
      <c r="O230" s="115"/>
      <c r="Q230" s="115"/>
      <c r="S230" s="115"/>
      <c r="T230" s="115"/>
      <c r="U230" s="115"/>
      <c r="V230" s="115"/>
      <c r="X230" s="115"/>
      <c r="Z230" s="115"/>
      <c r="AB230" s="115"/>
      <c r="AD230" s="115"/>
      <c r="BL230" s="115"/>
      <c r="BM230" s="115"/>
      <c r="BO230" s="115"/>
      <c r="BP230" s="115"/>
      <c r="BQ230" s="115"/>
      <c r="BW230" s="11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4"/>
      <c r="L231" s="237"/>
      <c r="M231" s="115"/>
      <c r="O231" s="115"/>
      <c r="Q231" s="115"/>
      <c r="S231" s="115"/>
      <c r="T231" s="115"/>
      <c r="U231" s="115"/>
      <c r="V231" s="115"/>
      <c r="X231" s="115"/>
      <c r="Z231" s="115"/>
      <c r="AB231" s="115"/>
      <c r="AD231" s="115"/>
      <c r="BL231" s="115"/>
      <c r="BM231" s="115"/>
      <c r="BO231" s="115"/>
      <c r="BP231" s="115"/>
      <c r="BQ231" s="115"/>
      <c r="BW231" s="11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4"/>
      <c r="L232" s="237"/>
    </row>
    <row r="233" customFormat="false" ht="12.75" hidden="false" customHeight="false" outlineLevel="0" collapsed="false">
      <c r="K233" s="124"/>
      <c r="L233" s="237"/>
    </row>
    <row r="234" customFormat="false" ht="12.75" hidden="false" customHeight="false" outlineLevel="0" collapsed="false">
      <c r="K234" s="124"/>
      <c r="L234" s="237"/>
    </row>
    <row r="235" customFormat="false" ht="12.75" hidden="false" customHeight="false" outlineLevel="0" collapsed="false">
      <c r="K235" s="124"/>
      <c r="L235" s="237"/>
    </row>
    <row r="236" customFormat="false" ht="12.75" hidden="false" customHeight="false" outlineLevel="0" collapsed="false">
      <c r="K236" s="124"/>
      <c r="L236" s="237"/>
    </row>
    <row r="237" customFormat="false" ht="12.75" hidden="false" customHeight="false" outlineLevel="0" collapsed="false">
      <c r="K237" s="124"/>
      <c r="L237" s="237"/>
    </row>
    <row r="238" customFormat="false" ht="12.75" hidden="false" customHeight="false" outlineLevel="0" collapsed="false">
      <c r="K238" s="124"/>
      <c r="L238" s="237"/>
    </row>
    <row r="239" customFormat="false" ht="12.75" hidden="false" customHeight="false" outlineLevel="0" collapsed="false">
      <c r="K239" s="124"/>
      <c r="L239" s="237"/>
    </row>
    <row r="240" customFormat="false" ht="12.75" hidden="false" customHeight="false" outlineLevel="0" collapsed="false">
      <c r="L240" s="169"/>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B190" activePane="bottomRight" state="frozen"/>
      <selection pane="topLeft" activeCell="A1" activeCellId="0" sqref="A1"/>
      <selection pane="topRight" activeCell="BB1" activeCellId="0" sqref="BB1"/>
      <selection pane="bottomLeft" activeCell="A190" activeCellId="0" sqref="A190"/>
      <selection pane="bottomRight" activeCell="BQ1" activeCellId="0" sqref="BQ1"/>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10" min="9" style="124" width="11.13"/>
    <col collapsed="false" customWidth="true" hidden="tru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84"/>
    <col collapsed="false" customWidth="true" hidden="fals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0.7"/>
    <col collapsed="false" customWidth="true" hidden="true" outlineLevel="0" max="36" min="36" style="115" width="18.28"/>
    <col collapsed="false" customWidth="true" hidden="true" outlineLevel="0" max="37" min="37" style="115" width="0.85"/>
    <col collapsed="false" customWidth="true" hidden="true" outlineLevel="0" max="38" min="38" style="115" width="20.41"/>
    <col collapsed="false" customWidth="true" hidden="true" outlineLevel="0" max="39" min="39" style="115"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56"/>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7"/>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28"/>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7.28"/>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tru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t="s">
        <v>369</v>
      </c>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XML/filtered-attachments/xls/2000_Weekly_Report___0531-40bd6ef38d2d7305aad51e8252174a212a5645152e09152be9335e828a4365bf.xls'#$Gleason</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116</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45926.9318744651</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148"/>
      <c r="K4" s="135"/>
      <c r="L4" s="238" t="s">
        <v>78</v>
      </c>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37"/>
      <c r="AV5" s="151" t="s">
        <v>134</v>
      </c>
      <c r="AW5" s="151"/>
      <c r="AX5" s="151" t="s">
        <v>134</v>
      </c>
      <c r="AY5" s="151"/>
      <c r="AZ5" s="151" t="s">
        <v>134</v>
      </c>
      <c r="BA5" s="151"/>
      <c r="BB5" s="151" t="s">
        <v>134</v>
      </c>
      <c r="BC5" s="151"/>
      <c r="BD5" s="151" t="s">
        <v>134</v>
      </c>
      <c r="BE5" s="151"/>
      <c r="BF5" s="151" t="s">
        <v>134</v>
      </c>
      <c r="BG5" s="151"/>
      <c r="BH5" s="151" t="s">
        <v>134</v>
      </c>
      <c r="BI5" s="151"/>
      <c r="BJ5" s="151" t="s">
        <v>134</v>
      </c>
      <c r="BK5" s="151"/>
      <c r="BL5" s="151" t="s">
        <v>134</v>
      </c>
      <c r="BM5" s="135"/>
      <c r="BN5" s="152" t="s">
        <v>72</v>
      </c>
      <c r="BO5" s="135"/>
      <c r="BP5" s="151" t="s">
        <v>133</v>
      </c>
      <c r="BQ5" s="135"/>
      <c r="BR5" s="152" t="s">
        <v>135</v>
      </c>
      <c r="BS5" s="135"/>
      <c r="BT5" s="152" t="s">
        <v>136</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370</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145</v>
      </c>
      <c r="BO6" s="135"/>
      <c r="BP6" s="157" t="s">
        <v>144</v>
      </c>
      <c r="BQ6" s="135"/>
      <c r="BR6" s="160" t="s">
        <v>146</v>
      </c>
      <c r="BS6" s="135"/>
      <c r="BT6" s="160" t="s">
        <v>147</v>
      </c>
      <c r="BU6" s="135"/>
      <c r="BV6" s="160" t="s">
        <v>148</v>
      </c>
      <c r="BW6" s="135"/>
      <c r="BX6" s="160" t="s">
        <v>149</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str">
        <f aca="false">[2]Summary!E9</f>
        <v>as of 7/22/99</v>
      </c>
      <c r="O7" s="150"/>
      <c r="P7" s="137"/>
      <c r="Q7" s="135"/>
      <c r="R7" s="151" t="str">
        <f aca="false">+[2]Summary!E9</f>
        <v>as of 7/22/99</v>
      </c>
      <c r="S7" s="135"/>
      <c r="T7" s="151" t="str">
        <f aca="false">+[2]Summary!$O$4</f>
        <v> As of 3/24/00</v>
      </c>
      <c r="U7" s="138"/>
      <c r="V7" s="151" t="str">
        <f aca="false">+[2]Summary!$O$4</f>
        <v> As of 3/24/00</v>
      </c>
      <c r="W7" s="137"/>
      <c r="X7" s="151" t="str">
        <f aca="false">+[2]Summary!$O$4</f>
        <v> As of 3/24/00</v>
      </c>
      <c r="Y7" s="137"/>
      <c r="Z7" s="151" t="str">
        <f aca="false">+[2]Summary!$O$4</f>
        <v> As of 3/24/00</v>
      </c>
      <c r="AA7" s="137"/>
      <c r="AB7" s="151" t="str">
        <f aca="false">+[2]Summary!$O$4</f>
        <v> As of 3/24/00</v>
      </c>
      <c r="AC7" s="137"/>
      <c r="AD7" s="151" t="str">
        <f aca="false">+[2]Summary!$O$4</f>
        <v> As of 3/24/00</v>
      </c>
      <c r="AE7" s="137"/>
      <c r="AF7" s="151" t="str">
        <f aca="false">+[2]Summary!$O$4</f>
        <v> As of 3/24/00</v>
      </c>
      <c r="AG7" s="137"/>
      <c r="AH7" s="151" t="str">
        <f aca="false">+[2]Summary!$O$4</f>
        <v> As of 3/24/00</v>
      </c>
      <c r="AI7" s="137"/>
      <c r="AJ7" s="151" t="str">
        <f aca="false">+[2]Summary!$O$4</f>
        <v> As of 3/24/00</v>
      </c>
      <c r="AK7" s="137"/>
      <c r="AL7" s="151" t="str">
        <f aca="false">+[2]Summary!$O$4</f>
        <v> As of 3/24/00</v>
      </c>
      <c r="AM7" s="137"/>
      <c r="AN7" s="151" t="str">
        <f aca="false">+[2]Summary!$O$4</f>
        <v> As of 3/24/00</v>
      </c>
      <c r="AO7" s="137"/>
      <c r="AP7" s="151" t="str">
        <f aca="false">+[2]Summary!$O$4</f>
        <v> As of 3/24/00</v>
      </c>
      <c r="AQ7" s="137"/>
      <c r="AR7" s="151" t="str">
        <f aca="false">+[2]Summary!$O$4</f>
        <v> As of 3/24/00</v>
      </c>
      <c r="AS7" s="137"/>
      <c r="AT7" s="151" t="str">
        <f aca="false">+[2]Summary!$O$4</f>
        <v> As of 3/24/00</v>
      </c>
      <c r="AU7" s="137"/>
      <c r="AV7" s="151" t="str">
        <f aca="false">+[2]Summary!$O$4</f>
        <v> As of 3/24/00</v>
      </c>
      <c r="AW7" s="151"/>
      <c r="AX7" s="151" t="str">
        <f aca="false">+[2]Summary!$O$4</f>
        <v> As of 3/24/00</v>
      </c>
      <c r="AY7" s="151"/>
      <c r="AZ7" s="151" t="str">
        <f aca="false">+[2]Summary!$O$4</f>
        <v> As of 3/24/00</v>
      </c>
      <c r="BA7" s="151"/>
      <c r="BB7" s="151" t="str">
        <f aca="false">BP7</f>
        <v> As of 5/31/00</v>
      </c>
      <c r="BC7" s="151"/>
      <c r="BD7" s="151" t="str">
        <f aca="false">+[2]Summary!$O$4</f>
        <v> As of 3/24/00</v>
      </c>
      <c r="BE7" s="151"/>
      <c r="BF7" s="151" t="str">
        <f aca="false">+[2]Summary!$O$4</f>
        <v> As of 3/24/00</v>
      </c>
      <c r="BG7" s="151"/>
      <c r="BH7" s="151" t="str">
        <f aca="false">+[2]Summary!$O$4</f>
        <v> As of 3/24/00</v>
      </c>
      <c r="BI7" s="151"/>
      <c r="BJ7" s="151" t="str">
        <f aca="false">+[2]Summary!$O$4</f>
        <v> As of 3/24/00</v>
      </c>
      <c r="BK7" s="151"/>
      <c r="BL7" s="151" t="str">
        <f aca="false">+[2]Summary!$O$4</f>
        <v> As of 3/24/00</v>
      </c>
      <c r="BM7" s="135"/>
      <c r="BN7" s="152" t="str">
        <f aca="false">+Summary!$O$4</f>
        <v> As of 5/31/00</v>
      </c>
      <c r="BO7" s="135"/>
      <c r="BP7" s="163" t="str">
        <f aca="false">+Summary!$O$4</f>
        <v> As of 5/31/00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132</v>
      </c>
      <c r="K9" s="0"/>
      <c r="L9" s="169" t="s">
        <v>142</v>
      </c>
      <c r="M9" s="115"/>
      <c r="N9" s="115" t="n">
        <v>0</v>
      </c>
      <c r="O9" s="115"/>
      <c r="P9" s="115" t="n">
        <v>0</v>
      </c>
      <c r="Q9" s="115"/>
      <c r="R9" s="115" t="n">
        <v>62145000</v>
      </c>
      <c r="S9" s="115"/>
      <c r="T9" s="115" t="n">
        <v>0</v>
      </c>
      <c r="U9" s="115"/>
      <c r="V9" s="115" t="n">
        <v>0</v>
      </c>
      <c r="X9" s="115" t="n">
        <v>0</v>
      </c>
      <c r="Z9" s="115" t="n">
        <v>0</v>
      </c>
      <c r="AB9" s="115" t="n">
        <v>0</v>
      </c>
      <c r="AD9" s="115" t="n">
        <v>0</v>
      </c>
      <c r="AF9" s="115" t="n">
        <v>0</v>
      </c>
      <c r="AH9" s="115" t="n">
        <v>0</v>
      </c>
      <c r="AJ9" s="115" t="n">
        <v>0</v>
      </c>
      <c r="AL9" s="115" t="n">
        <v>56349430</v>
      </c>
      <c r="AN9" s="115" t="n">
        <v>0</v>
      </c>
      <c r="AP9" s="115" t="n">
        <v>1282310</v>
      </c>
      <c r="AR9" s="115" t="n">
        <v>144155</v>
      </c>
      <c r="AT9" s="115" t="n">
        <v>0</v>
      </c>
      <c r="AV9" s="115" t="n">
        <v>0</v>
      </c>
      <c r="AX9" s="115" t="n">
        <v>0</v>
      </c>
      <c r="AZ9" s="115" t="n">
        <v>1240525</v>
      </c>
      <c r="BB9" s="115" t="n">
        <v>0</v>
      </c>
      <c r="BD9" s="115" t="n">
        <v>1735000.05</v>
      </c>
      <c r="BF9" s="115" t="n">
        <v>0</v>
      </c>
      <c r="BH9" s="115" t="n">
        <v>0</v>
      </c>
      <c r="BJ9" s="115" t="n">
        <v>0</v>
      </c>
      <c r="BL9" s="115" t="n">
        <v>0</v>
      </c>
      <c r="BM9" s="115"/>
      <c r="BN9" s="115" t="n">
        <f aca="false">SUM(T9:BM9)</f>
        <v>60751420.05</v>
      </c>
      <c r="BO9" s="115"/>
      <c r="BP9" s="115" t="n">
        <f aca="false">436901+900+90800-52600-105480+59734</f>
        <v>430255</v>
      </c>
      <c r="BQ9" s="115"/>
      <c r="BR9" s="115" t="n">
        <f aca="false">IF(+R9-BN9+BP9&gt;0,R9-BN9+BP9,0)</f>
        <v>1823834.95</v>
      </c>
      <c r="BT9" s="115" t="n">
        <f aca="false">+BN9+BR9</f>
        <v>62575255</v>
      </c>
      <c r="BV9" s="115" t="n">
        <f aca="false">+R9-BT9</f>
        <v>-430255</v>
      </c>
      <c r="BW9" s="115"/>
    </row>
    <row r="10" customFormat="false" ht="12.75" hidden="false" customHeight="false" outlineLevel="0" collapsed="false">
      <c r="A10" s="168"/>
      <c r="B10" s="165" t="s">
        <v>288</v>
      </c>
      <c r="C10" s="0"/>
      <c r="D10" s="0"/>
      <c r="E10" s="0"/>
      <c r="F10" s="0"/>
      <c r="G10" s="0"/>
      <c r="H10" s="0"/>
      <c r="I10" s="0"/>
      <c r="J10" s="4" t="s">
        <v>132</v>
      </c>
      <c r="K10" s="0"/>
      <c r="L10" s="169" t="s">
        <v>142</v>
      </c>
      <c r="M10" s="115"/>
      <c r="N10" s="115" t="n">
        <v>0</v>
      </c>
      <c r="O10" s="115"/>
      <c r="P10" s="115" t="n">
        <v>0</v>
      </c>
      <c r="Q10" s="115"/>
      <c r="R10" s="115" t="n">
        <v>31185000</v>
      </c>
      <c r="S10" s="115"/>
      <c r="T10" s="115" t="n">
        <v>0</v>
      </c>
      <c r="U10" s="115"/>
      <c r="V10" s="115" t="n">
        <v>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29625750</v>
      </c>
      <c r="BO10" s="115"/>
      <c r="BP10" s="115" t="n">
        <f aca="false">1349800+45900+68800+46974+39315</f>
        <v>1550789</v>
      </c>
      <c r="BQ10" s="115"/>
      <c r="BR10" s="115" t="n">
        <f aca="false">IF(+R10-BN10+BP10&gt;0,R10-BN10+BP10,0)</f>
        <v>3110039</v>
      </c>
      <c r="BT10" s="115" t="n">
        <f aca="false">+BN10+BR10</f>
        <v>32735789</v>
      </c>
      <c r="BV10" s="115" t="n">
        <f aca="false">+R10-BT10</f>
        <v>-1550789</v>
      </c>
      <c r="BW10" s="115"/>
    </row>
    <row r="11" customFormat="false" ht="12.75" hidden="true" customHeight="false" outlineLevel="0" collapsed="false">
      <c r="A11" s="168"/>
      <c r="B11" s="165" t="s">
        <v>289</v>
      </c>
      <c r="C11" s="0"/>
      <c r="D11" s="0"/>
      <c r="E11" s="0"/>
      <c r="F11" s="0"/>
      <c r="G11" s="0"/>
      <c r="H11" s="0"/>
      <c r="I11" s="0"/>
      <c r="J11" s="4" t="s">
        <v>132</v>
      </c>
      <c r="K11" s="0"/>
      <c r="L11" s="169" t="s">
        <v>142</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132</v>
      </c>
      <c r="K12" s="0"/>
      <c r="L12" s="169" t="s">
        <v>142</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132</v>
      </c>
      <c r="K13" s="0"/>
      <c r="L13" s="169" t="s">
        <v>142</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152</v>
      </c>
      <c r="C14" s="0"/>
      <c r="D14" s="0"/>
      <c r="E14" s="0"/>
      <c r="F14" s="0"/>
      <c r="G14" s="0"/>
      <c r="H14" s="0"/>
      <c r="I14" s="0"/>
      <c r="J14" s="4" t="s">
        <v>132</v>
      </c>
      <c r="K14" s="0"/>
      <c r="L14" s="169" t="s">
        <v>142</v>
      </c>
      <c r="M14" s="115"/>
      <c r="N14" s="115" t="n">
        <v>93330000</v>
      </c>
      <c r="O14" s="115"/>
      <c r="P14" s="115" t="n">
        <v>0</v>
      </c>
      <c r="Q14" s="115"/>
      <c r="R14" s="115" t="n">
        <v>250000</v>
      </c>
      <c r="S14" s="115"/>
      <c r="T14" s="115" t="n">
        <v>0</v>
      </c>
      <c r="U14" s="115"/>
      <c r="V14" s="115" t="n">
        <v>0</v>
      </c>
      <c r="X14" s="115" t="n">
        <v>0</v>
      </c>
      <c r="Z14" s="115" t="n">
        <v>0</v>
      </c>
      <c r="AB14" s="115" t="n">
        <v>0</v>
      </c>
      <c r="AD14" s="115" t="n">
        <v>0</v>
      </c>
      <c r="AF14" s="115" t="n">
        <v>0</v>
      </c>
      <c r="AH14" s="115" t="n">
        <v>0</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107199</v>
      </c>
      <c r="BO14" s="115"/>
      <c r="BP14" s="115" t="n">
        <v>0</v>
      </c>
      <c r="BQ14" s="115"/>
      <c r="BR14" s="115" t="n">
        <f aca="false">IF(+R14-BN14+BP14&gt;0,R14-BN14+BP14,0)</f>
        <v>142801</v>
      </c>
      <c r="BT14" s="115" t="n">
        <f aca="false">+BN14+BR14</f>
        <v>250000</v>
      </c>
      <c r="BV14" s="115" t="n">
        <f aca="false">+R14-BT14</f>
        <v>0</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93580000</v>
      </c>
      <c r="S16" s="115"/>
      <c r="T16" s="170" t="n">
        <f aca="false">SUM(T9:T15)</f>
        <v>0</v>
      </c>
      <c r="U16" s="115"/>
      <c r="V16" s="170" t="n">
        <f aca="false">SUM(V9:V15)</f>
        <v>0</v>
      </c>
      <c r="X16" s="170" t="n">
        <f aca="false">SUM(X9:X15)</f>
        <v>0</v>
      </c>
      <c r="Z16" s="170" t="n">
        <f aca="false">SUM(Z9:Z15)</f>
        <v>0</v>
      </c>
      <c r="AB16" s="170" t="n">
        <f aca="false">SUM(AB9:AB15)</f>
        <v>0</v>
      </c>
      <c r="AD16" s="170" t="n">
        <f aca="false">SUM(AD9:AD15)</f>
        <v>0</v>
      </c>
      <c r="AF16" s="170" t="n">
        <f aca="false">SUM(AF9:AF15)</f>
        <v>0</v>
      </c>
      <c r="AH16" s="170" t="n">
        <f aca="false">SUM(AH9:AH15)</f>
        <v>0</v>
      </c>
      <c r="AJ16" s="170" t="n">
        <f aca="false">SUM(AJ9:AJ15)</f>
        <v>0</v>
      </c>
      <c r="AL16" s="170" t="n">
        <f aca="false">SUM(AL9:AL15)</f>
        <v>86082379</v>
      </c>
      <c r="AM16" s="170"/>
      <c r="AN16" s="170" t="n">
        <f aca="false">SUM(AN9:AN15)</f>
        <v>0</v>
      </c>
      <c r="AP16" s="170" t="n">
        <f aca="false">SUM(AP9:AP15)</f>
        <v>1282310</v>
      </c>
      <c r="AR16" s="170" t="n">
        <f aca="false">SUM(AR9:AR15)</f>
        <v>144155</v>
      </c>
      <c r="AT16" s="170" t="n">
        <f aca="false">SUM(AT9:AT15)</f>
        <v>0</v>
      </c>
      <c r="AV16" s="170" t="n">
        <f aca="false">SUM(AV9:AV15)</f>
        <v>0</v>
      </c>
      <c r="AX16" s="170" t="n">
        <f aca="false">SUM(AX9:AX15)</f>
        <v>0</v>
      </c>
      <c r="AZ16" s="170" t="n">
        <f aca="false">SUM(AZ9:AZ15)</f>
        <v>1240525</v>
      </c>
      <c r="BB16" s="170" t="n">
        <f aca="false">SUM(BB9:BB15)</f>
        <v>0</v>
      </c>
      <c r="BD16" s="170" t="n">
        <f aca="false">SUM(BD9:BD15)</f>
        <v>1735000.05</v>
      </c>
      <c r="BF16" s="170" t="n">
        <f aca="false">SUM(BF9:BF15)</f>
        <v>0</v>
      </c>
      <c r="BH16" s="170" t="n">
        <f aca="false">SUM(BH9:BH15)</f>
        <v>0</v>
      </c>
      <c r="BJ16" s="170" t="n">
        <f aca="false">SUM(BJ9:BJ15)</f>
        <v>0</v>
      </c>
      <c r="BL16" s="170" t="n">
        <f aca="false">SUM(BL9:BL15)</f>
        <v>0</v>
      </c>
      <c r="BM16" s="115"/>
      <c r="BN16" s="170" t="n">
        <f aca="false">SUM(BN9:BN15)</f>
        <v>90484369.05</v>
      </c>
      <c r="BO16" s="115"/>
      <c r="BP16" s="170" t="n">
        <f aca="false">SUM(BP9:BP15)</f>
        <v>1981044</v>
      </c>
      <c r="BQ16" s="115"/>
      <c r="BR16" s="170" t="n">
        <f aca="false">SUM(BR9:BR15)</f>
        <v>5076674.95</v>
      </c>
      <c r="BT16" s="170" t="n">
        <f aca="false">SUM(BT9:BT15)</f>
        <v>95561044</v>
      </c>
      <c r="BV16" s="170" t="n">
        <f aca="false">SUM(BV9:BV15)</f>
        <v>-1981044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154</v>
      </c>
      <c r="C18" s="0"/>
      <c r="D18" s="0"/>
      <c r="E18" s="0"/>
      <c r="F18" s="0"/>
      <c r="G18" s="0"/>
      <c r="H18" s="0"/>
      <c r="I18" s="0"/>
      <c r="J18" s="4"/>
      <c r="K18" s="0"/>
      <c r="L18" s="169" t="s">
        <v>142</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155</v>
      </c>
      <c r="C19" s="0"/>
      <c r="D19" s="0"/>
      <c r="E19" s="0"/>
      <c r="F19" s="0"/>
      <c r="G19" s="0"/>
      <c r="H19" s="0"/>
      <c r="I19" s="0"/>
      <c r="J19" s="4" t="s">
        <v>132</v>
      </c>
      <c r="K19" s="0"/>
      <c r="L19" s="169" t="s">
        <v>142</v>
      </c>
      <c r="M19" s="115"/>
      <c r="N19" s="115" t="n">
        <v>0</v>
      </c>
      <c r="O19" s="115"/>
      <c r="P19" s="115" t="n">
        <v>0</v>
      </c>
      <c r="Q19" s="115"/>
      <c r="R19" s="115" t="n">
        <v>5885811</v>
      </c>
      <c r="S19" s="115"/>
      <c r="T19" s="115" t="n">
        <v>0</v>
      </c>
      <c r="U19" s="115"/>
      <c r="V19" s="115" t="n">
        <v>0</v>
      </c>
      <c r="X19" s="115" t="n">
        <v>0</v>
      </c>
      <c r="Z19" s="115" t="n">
        <v>0</v>
      </c>
      <c r="AB19" s="115" t="n">
        <v>0</v>
      </c>
      <c r="AD19" s="115" t="n">
        <v>0</v>
      </c>
      <c r="AF19" s="115" t="n">
        <v>0</v>
      </c>
      <c r="AL19" s="115" t="n">
        <v>1177162</v>
      </c>
      <c r="AN19" s="115" t="n">
        <v>0</v>
      </c>
      <c r="AP19" s="115" t="n">
        <v>0</v>
      </c>
      <c r="AT19" s="115" t="n">
        <v>1765743.3</v>
      </c>
      <c r="AV19" s="115" t="n">
        <f aca="false">569673+1196070.3</f>
        <v>1765743.3</v>
      </c>
      <c r="AX19" s="115" t="n">
        <v>0</v>
      </c>
      <c r="AZ19" s="115" t="n">
        <f aca="false">2354324-1765743</f>
        <v>588581</v>
      </c>
      <c r="BB19" s="115" t="n">
        <v>382350</v>
      </c>
      <c r="BD19" s="115" t="n">
        <v>588581.1</v>
      </c>
      <c r="BF19" s="115" t="n">
        <v>0</v>
      </c>
      <c r="BH19" s="115" t="n">
        <v>0</v>
      </c>
      <c r="BJ19" s="115" t="n">
        <v>0</v>
      </c>
      <c r="BL19" s="115" t="n">
        <v>0</v>
      </c>
      <c r="BM19" s="115"/>
      <c r="BN19" s="115" t="n">
        <f aca="false">SUM(T19:BM19)</f>
        <v>6268160.7</v>
      </c>
      <c r="BO19" s="115"/>
      <c r="BP19" s="115" t="n">
        <f aca="false">220650+161700</f>
        <v>382350</v>
      </c>
      <c r="BQ19" s="115"/>
      <c r="BR19" s="115" t="n">
        <f aca="false">IF(+R19-BN19+BP19&gt;0,R19-BN19+BP19,0)</f>
        <v>0.300000000745058</v>
      </c>
      <c r="BT19" s="115" t="n">
        <f aca="false">+BN19+BR19</f>
        <v>6268161</v>
      </c>
      <c r="BV19" s="115" t="n">
        <f aca="false">+R19-BT19</f>
        <v>-382350</v>
      </c>
      <c r="BW19" s="115"/>
    </row>
    <row r="20" customFormat="false" ht="12.75" hidden="false" customHeight="false" outlineLevel="0" collapsed="false">
      <c r="A20" s="171"/>
      <c r="B20" s="165" t="s">
        <v>156</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AR20" s="115" t="n">
        <v>58500</v>
      </c>
      <c r="BL20" s="115"/>
      <c r="BM20" s="115"/>
      <c r="BN20" s="115" t="n">
        <f aca="false">SUM(T20:BM20)</f>
        <v>58500</v>
      </c>
      <c r="BO20" s="115"/>
      <c r="BP20" s="115"/>
      <c r="BQ20" s="115"/>
      <c r="BR20" s="115" t="n">
        <f aca="false">IF(+R20-BN20+BP20&gt;0,R20-BN20+BP20,0)</f>
        <v>0</v>
      </c>
      <c r="BT20" s="115" t="n">
        <f aca="false">+BN20+BR20</f>
        <v>58500</v>
      </c>
      <c r="BV20" s="115" t="n">
        <f aca="false">+R20-BT20</f>
        <v>-58500</v>
      </c>
      <c r="BW20" s="115"/>
    </row>
    <row r="21" customFormat="false" ht="12.75" hidden="false" customHeight="false" outlineLevel="0" collapsed="false">
      <c r="A21" s="171"/>
      <c r="B21" s="165" t="s">
        <v>157</v>
      </c>
      <c r="C21" s="0"/>
      <c r="D21" s="0"/>
      <c r="E21" s="0"/>
      <c r="F21" s="0"/>
      <c r="G21" s="0"/>
      <c r="H21" s="0"/>
      <c r="I21" s="0"/>
      <c r="J21" s="4" t="s">
        <v>132</v>
      </c>
      <c r="K21" s="0"/>
      <c r="L21" s="169" t="s">
        <v>142</v>
      </c>
      <c r="M21" s="115"/>
      <c r="O21" s="115"/>
      <c r="Q21" s="115"/>
      <c r="S21" s="115"/>
      <c r="T21" s="115"/>
      <c r="U21" s="115"/>
      <c r="V21" s="115"/>
      <c r="X21" s="115"/>
      <c r="Z21" s="115"/>
      <c r="AB21" s="115"/>
      <c r="AD21" s="115"/>
      <c r="BL21" s="115"/>
      <c r="BM21" s="115"/>
      <c r="BN21" s="115" t="n">
        <f aca="false">SUM(T21:BM21)</f>
        <v>0</v>
      </c>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158</v>
      </c>
      <c r="C22" s="0"/>
      <c r="D22" s="0"/>
      <c r="E22" s="0"/>
      <c r="F22" s="0"/>
      <c r="G22" s="0"/>
      <c r="H22" s="0"/>
      <c r="I22" s="0"/>
      <c r="J22" s="4" t="s">
        <v>132</v>
      </c>
      <c r="K22" s="0"/>
      <c r="L22" s="169" t="s">
        <v>142</v>
      </c>
      <c r="M22" s="115"/>
      <c r="O22" s="115"/>
      <c r="Q22" s="115"/>
      <c r="S22" s="115"/>
      <c r="T22" s="115"/>
      <c r="U22" s="115"/>
      <c r="V22" s="115"/>
      <c r="X22" s="115"/>
      <c r="Z22" s="115"/>
      <c r="AB22" s="115"/>
      <c r="AD22" s="115"/>
      <c r="BL22" s="115"/>
      <c r="BM22" s="115"/>
      <c r="BN22" s="115" t="n">
        <f aca="false">SUM(T22:BM22)</f>
        <v>0</v>
      </c>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159</v>
      </c>
      <c r="C23" s="0"/>
      <c r="D23" s="0"/>
      <c r="E23" s="0"/>
      <c r="F23" s="0"/>
      <c r="G23" s="0"/>
      <c r="H23" s="0"/>
      <c r="I23" s="0"/>
      <c r="J23" s="4" t="s">
        <v>132</v>
      </c>
      <c r="K23" s="0"/>
      <c r="L23" s="169" t="s">
        <v>142</v>
      </c>
      <c r="M23" s="115"/>
      <c r="O23" s="115"/>
      <c r="Q23" s="115"/>
      <c r="S23" s="115"/>
      <c r="T23" s="115"/>
      <c r="U23" s="115"/>
      <c r="V23" s="115"/>
      <c r="X23" s="115"/>
      <c r="Z23" s="115"/>
      <c r="AB23" s="115"/>
      <c r="AD23" s="115"/>
      <c r="BL23" s="115"/>
      <c r="BM23" s="115"/>
      <c r="BN23" s="115" t="n">
        <f aca="false">SUM(T23:BM23)</f>
        <v>0</v>
      </c>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132</v>
      </c>
      <c r="K24" s="0"/>
      <c r="L24" s="169"/>
      <c r="M24" s="115"/>
      <c r="O24" s="115"/>
      <c r="Q24" s="115"/>
      <c r="S24" s="115"/>
      <c r="T24" s="115"/>
      <c r="U24" s="115"/>
      <c r="V24" s="115"/>
      <c r="X24" s="115"/>
      <c r="Z24" s="115"/>
      <c r="AB24" s="115"/>
      <c r="AD24" s="115"/>
      <c r="BL24" s="115"/>
      <c r="BM24" s="115"/>
      <c r="BN24" s="115" t="n">
        <f aca="false">SUM(T24:BM24)</f>
        <v>0</v>
      </c>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160</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161</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162</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163</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164</v>
      </c>
      <c r="C29" s="0"/>
      <c r="D29" s="0"/>
      <c r="E29" s="0"/>
      <c r="F29" s="0"/>
      <c r="G29" s="0"/>
      <c r="H29" s="0"/>
      <c r="I29" s="0"/>
      <c r="J29" s="4" t="s">
        <v>132</v>
      </c>
      <c r="K29" s="0"/>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165</v>
      </c>
      <c r="C30" s="0"/>
      <c r="D30" s="0"/>
      <c r="E30" s="0"/>
      <c r="F30" s="0"/>
      <c r="G30" s="0"/>
      <c r="H30" s="0"/>
      <c r="I30" s="0"/>
      <c r="J30" s="4" t="s">
        <v>132</v>
      </c>
      <c r="K30" s="0"/>
      <c r="L30" s="169" t="s">
        <v>142</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166</v>
      </c>
      <c r="C31" s="0"/>
      <c r="D31" s="0"/>
      <c r="E31" s="0"/>
      <c r="F31" s="0"/>
      <c r="G31" s="0"/>
      <c r="H31" s="0"/>
      <c r="I31" s="0"/>
      <c r="J31" s="4" t="s">
        <v>132</v>
      </c>
      <c r="K31" s="0"/>
      <c r="L31" s="169" t="s">
        <v>142</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167</v>
      </c>
      <c r="C32" s="18"/>
      <c r="D32" s="18"/>
      <c r="E32" s="18"/>
      <c r="F32" s="18"/>
      <c r="G32" s="18"/>
      <c r="H32" s="18"/>
      <c r="I32" s="18"/>
      <c r="J32" s="4" t="s">
        <v>132</v>
      </c>
      <c r="K32" s="18"/>
      <c r="L32" s="169" t="s">
        <v>142</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152</v>
      </c>
      <c r="C33" s="0"/>
      <c r="D33" s="0"/>
      <c r="E33" s="0"/>
      <c r="F33" s="0"/>
      <c r="G33" s="0"/>
      <c r="H33" s="0"/>
      <c r="I33" s="0"/>
      <c r="J33" s="4" t="s">
        <v>132</v>
      </c>
      <c r="K33" s="0"/>
      <c r="L33" s="169" t="s">
        <v>142</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8000</v>
      </c>
      <c r="AV33" s="115" t="n">
        <v>130800</v>
      </c>
      <c r="AX33" s="115" t="n">
        <v>0</v>
      </c>
      <c r="AZ33" s="115" t="n">
        <v>0</v>
      </c>
      <c r="BB33" s="115" t="n">
        <v>0</v>
      </c>
      <c r="BD33" s="115" t="n">
        <v>0</v>
      </c>
      <c r="BF33" s="115" t="n">
        <v>0</v>
      </c>
      <c r="BH33" s="115" t="n">
        <v>0</v>
      </c>
      <c r="BJ33" s="115" t="n">
        <v>0</v>
      </c>
      <c r="BL33" s="115" t="n">
        <v>0</v>
      </c>
      <c r="BM33" s="115"/>
      <c r="BN33" s="115" t="n">
        <f aca="false">SUM(T33:BM33)</f>
        <v>138800</v>
      </c>
      <c r="BO33" s="115"/>
      <c r="BP33" s="115" t="n">
        <v>0</v>
      </c>
      <c r="BQ33" s="115"/>
      <c r="BR33" s="115" t="n">
        <f aca="false">IF(+R33-BN33+BP33&gt;0,R33-BN33+BP33,0)</f>
        <v>0</v>
      </c>
      <c r="BT33" s="115" t="n">
        <f aca="false">+BN33+BR33</f>
        <v>138800</v>
      </c>
      <c r="BV33" s="115" t="n">
        <f aca="false">+R33-BT33</f>
        <v>-138800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168</v>
      </c>
      <c r="C35" s="0"/>
      <c r="D35" s="0"/>
      <c r="E35" s="0"/>
      <c r="F35" s="0"/>
      <c r="G35" s="0"/>
      <c r="H35" s="0"/>
      <c r="I35" s="0"/>
      <c r="J35" s="4"/>
      <c r="K35" s="0"/>
      <c r="L35" s="169"/>
      <c r="M35" s="115"/>
      <c r="N35" s="170" t="n">
        <f aca="false">SUM(N18:N34)</f>
        <v>0</v>
      </c>
      <c r="O35" s="115"/>
      <c r="P35" s="170" t="n">
        <f aca="false">SUM(P18:P34)</f>
        <v>0</v>
      </c>
      <c r="Q35" s="115"/>
      <c r="R35" s="170" t="n">
        <f aca="false">SUM(R18:R34)</f>
        <v>5885811</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0</v>
      </c>
      <c r="AJ35" s="170" t="n">
        <f aca="false">SUM(AJ18:AJ34)</f>
        <v>0</v>
      </c>
      <c r="AL35" s="170" t="n">
        <f aca="false">SUM(AL18:AL34)</f>
        <v>1177162</v>
      </c>
      <c r="AM35" s="170"/>
      <c r="AN35" s="170" t="n">
        <f aca="false">SUM(AN18:AN34)</f>
        <v>0</v>
      </c>
      <c r="AP35" s="170" t="n">
        <f aca="false">SUM(AP18:AP34)</f>
        <v>0</v>
      </c>
      <c r="AR35" s="170" t="n">
        <f aca="false">SUM(AR18:AR34)</f>
        <v>58500</v>
      </c>
      <c r="AT35" s="170" t="n">
        <f aca="false">SUM(AT18:AT34)</f>
        <v>1773743.3</v>
      </c>
      <c r="AV35" s="170" t="n">
        <f aca="false">SUM(AV18:AV34)</f>
        <v>1896543.3</v>
      </c>
      <c r="AX35" s="170" t="n">
        <f aca="false">SUM(AX18:AX34)</f>
        <v>0</v>
      </c>
      <c r="AZ35" s="170" t="n">
        <f aca="false">SUM(AZ18:AZ34)</f>
        <v>588581</v>
      </c>
      <c r="BB35" s="170" t="n">
        <f aca="false">SUM(BB18:BB34)</f>
        <v>382350</v>
      </c>
      <c r="BD35" s="170" t="n">
        <f aca="false">SUM(BD18:BD34)</f>
        <v>588581.1</v>
      </c>
      <c r="BF35" s="170" t="n">
        <f aca="false">SUM(BF18:BF34)</f>
        <v>0</v>
      </c>
      <c r="BH35" s="170" t="n">
        <f aca="false">SUM(BH18:BH34)</f>
        <v>0</v>
      </c>
      <c r="BJ35" s="170" t="n">
        <f aca="false">SUM(BJ18:BJ34)</f>
        <v>0</v>
      </c>
      <c r="BL35" s="170" t="n">
        <f aca="false">SUM(BL18:BL34)</f>
        <v>0</v>
      </c>
      <c r="BM35" s="115"/>
      <c r="BN35" s="170" t="n">
        <f aca="false">SUM(BN18:BN34)</f>
        <v>6465460.7</v>
      </c>
      <c r="BO35" s="115"/>
      <c r="BP35" s="170" t="n">
        <f aca="false">SUM(BP18:BP34)</f>
        <v>382350</v>
      </c>
      <c r="BQ35" s="115"/>
      <c r="BR35" s="170" t="n">
        <f aca="false">SUM(BR18:BR34)</f>
        <v>0.300000000745058</v>
      </c>
      <c r="BT35" s="170" t="n">
        <f aca="false">SUM(BT18:BT34)</f>
        <v>6465461</v>
      </c>
      <c r="BV35" s="170" t="n">
        <f aca="false">SUM(BV18:BV34)</f>
        <v>-579650</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169</v>
      </c>
      <c r="C37" s="177"/>
      <c r="D37" s="177"/>
      <c r="E37" s="177"/>
      <c r="F37" s="177"/>
      <c r="G37" s="177"/>
      <c r="H37" s="177"/>
      <c r="I37" s="177"/>
      <c r="J37" s="178"/>
      <c r="K37" s="177"/>
      <c r="L37" s="179"/>
      <c r="M37" s="180"/>
      <c r="N37" s="180" t="n">
        <f aca="false">+N35+N16</f>
        <v>93330000</v>
      </c>
      <c r="O37" s="180"/>
      <c r="P37" s="180" t="n">
        <f aca="false">+P35+P16</f>
        <v>0</v>
      </c>
      <c r="Q37" s="180"/>
      <c r="R37" s="180" t="n">
        <f aca="false">+R35+R16</f>
        <v>99465811</v>
      </c>
      <c r="S37" s="180"/>
      <c r="T37" s="180" t="n">
        <f aca="false">+T35+T16</f>
        <v>0</v>
      </c>
      <c r="U37" s="180"/>
      <c r="V37" s="180" t="n">
        <f aca="false">+V35+V16</f>
        <v>0</v>
      </c>
      <c r="W37" s="180"/>
      <c r="X37" s="180" t="n">
        <f aca="false">+X35+X16</f>
        <v>0</v>
      </c>
      <c r="Y37" s="180"/>
      <c r="Z37" s="180" t="n">
        <f aca="false">+Z35+Z16</f>
        <v>0</v>
      </c>
      <c r="AA37" s="180"/>
      <c r="AB37" s="180" t="n">
        <f aca="false">+AB35+AB16</f>
        <v>0</v>
      </c>
      <c r="AC37" s="180"/>
      <c r="AD37" s="180" t="n">
        <f aca="false">+AD35+AD16</f>
        <v>0</v>
      </c>
      <c r="AE37" s="180"/>
      <c r="AF37" s="180" t="n">
        <f aca="false">+AF35+AF16</f>
        <v>0</v>
      </c>
      <c r="AG37" s="180"/>
      <c r="AH37" s="180" t="n">
        <f aca="false">+AH35+AH16</f>
        <v>0</v>
      </c>
      <c r="AI37" s="180"/>
      <c r="AJ37" s="180" t="n">
        <f aca="false">+AJ35+AJ16</f>
        <v>0</v>
      </c>
      <c r="AK37" s="180"/>
      <c r="AL37" s="180" t="n">
        <f aca="false">+AL35+AL16</f>
        <v>87259541</v>
      </c>
      <c r="AM37" s="180"/>
      <c r="AN37" s="180" t="n">
        <f aca="false">+AN35+AN16</f>
        <v>0</v>
      </c>
      <c r="AO37" s="180"/>
      <c r="AP37" s="180" t="n">
        <f aca="false">+AP35+AP16</f>
        <v>1282310</v>
      </c>
      <c r="AQ37" s="180"/>
      <c r="AR37" s="180" t="n">
        <f aca="false">+AR35+AR16</f>
        <v>202655</v>
      </c>
      <c r="AS37" s="180"/>
      <c r="AT37" s="180" t="n">
        <f aca="false">+AT35+AT16</f>
        <v>1773743.3</v>
      </c>
      <c r="AU37" s="180"/>
      <c r="AV37" s="180" t="n">
        <f aca="false">+AV35+AV16</f>
        <v>1896543.3</v>
      </c>
      <c r="AW37" s="180"/>
      <c r="AX37" s="180" t="n">
        <f aca="false">+AX35+AX16</f>
        <v>0</v>
      </c>
      <c r="AY37" s="180"/>
      <c r="AZ37" s="180" t="n">
        <f aca="false">+AZ35+AZ16</f>
        <v>1829106</v>
      </c>
      <c r="BA37" s="180"/>
      <c r="BB37" s="180" t="n">
        <f aca="false">+BB35+BB16</f>
        <v>382350</v>
      </c>
      <c r="BC37" s="180"/>
      <c r="BD37" s="180" t="n">
        <f aca="false">+BD35+BD16</f>
        <v>2323581.15</v>
      </c>
      <c r="BE37" s="180"/>
      <c r="BF37" s="180" t="n">
        <f aca="false">+BF35+BF16</f>
        <v>0</v>
      </c>
      <c r="BG37" s="180"/>
      <c r="BH37" s="180" t="n">
        <f aca="false">+BH35+BH16</f>
        <v>0</v>
      </c>
      <c r="BI37" s="180"/>
      <c r="BJ37" s="180" t="n">
        <f aca="false">+BJ35+BJ16</f>
        <v>0</v>
      </c>
      <c r="BK37" s="180"/>
      <c r="BL37" s="180" t="n">
        <f aca="false">+BL35+BL16</f>
        <v>0</v>
      </c>
      <c r="BM37" s="180"/>
      <c r="BN37" s="180" t="n">
        <f aca="false">+BN35+BN16</f>
        <v>96949829.75</v>
      </c>
      <c r="BO37" s="180"/>
      <c r="BP37" s="180" t="n">
        <f aca="false">+BP35+BP16</f>
        <v>2363394</v>
      </c>
      <c r="BQ37" s="180"/>
      <c r="BR37" s="180" t="n">
        <f aca="false">+BR35+BR16</f>
        <v>5076675.25</v>
      </c>
      <c r="BS37" s="180"/>
      <c r="BT37" s="180" t="n">
        <f aca="false">+BT35+BT16</f>
        <v>102026505</v>
      </c>
      <c r="BU37" s="180"/>
      <c r="BV37" s="180" t="n">
        <f aca="false">+BV35+BV16</f>
        <v>-2560694</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170</v>
      </c>
      <c r="B40" s="165"/>
      <c r="C40" s="0"/>
      <c r="D40" s="0"/>
      <c r="E40" s="0"/>
      <c r="F40" s="0"/>
      <c r="G40" s="0"/>
      <c r="H40" s="0"/>
      <c r="I40" s="0"/>
      <c r="J40" s="4"/>
      <c r="K40" s="0"/>
      <c r="L40" s="169"/>
      <c r="M40" s="115"/>
      <c r="O40" s="115"/>
      <c r="Q40" s="115"/>
      <c r="S40" s="115"/>
      <c r="T40" s="115"/>
      <c r="U40" s="115"/>
      <c r="V40" s="115"/>
      <c r="X40" s="115"/>
      <c r="Z40" s="115"/>
      <c r="AB40" s="115"/>
      <c r="AD40" s="115"/>
      <c r="AI40" s="0"/>
      <c r="AK40" s="0"/>
      <c r="AM40" s="0"/>
      <c r="BL40" s="115"/>
      <c r="BM40" s="115"/>
      <c r="BO40" s="115"/>
      <c r="BP40" s="115"/>
      <c r="BQ40" s="115"/>
      <c r="BV40" s="123"/>
    </row>
    <row r="41" customFormat="false" ht="12.75" hidden="false" customHeight="false" outlineLevel="0" collapsed="false">
      <c r="A41" s="171"/>
      <c r="B41" s="165"/>
      <c r="C41" s="0"/>
      <c r="D41" s="0"/>
      <c r="E41" s="0"/>
      <c r="F41" s="0"/>
      <c r="G41" s="0"/>
      <c r="H41" s="0"/>
      <c r="I41" s="0"/>
      <c r="J41" s="4"/>
      <c r="K41" s="0"/>
      <c r="L41" s="169"/>
      <c r="M41" s="115"/>
      <c r="O41" s="115"/>
      <c r="Q41" s="115"/>
      <c r="S41" s="115"/>
      <c r="T41" s="115" t="n">
        <v>0</v>
      </c>
      <c r="U41" s="115"/>
      <c r="V41" s="115" t="n">
        <v>0</v>
      </c>
      <c r="X41" s="115" t="n">
        <v>0</v>
      </c>
      <c r="Z41" s="115" t="n">
        <v>0</v>
      </c>
      <c r="AB41" s="115" t="n">
        <v>0</v>
      </c>
      <c r="AD41" s="115" t="n">
        <v>0</v>
      </c>
      <c r="AF41" s="115" t="n">
        <v>0</v>
      </c>
      <c r="AH41" s="115" t="n">
        <v>0</v>
      </c>
      <c r="AI41" s="0"/>
      <c r="AJ41" s="115" t="n">
        <v>0</v>
      </c>
      <c r="AK41" s="0"/>
      <c r="AL41" s="115" t="n">
        <v>0</v>
      </c>
      <c r="AM41" s="0"/>
      <c r="AN41" s="115" t="n">
        <v>0</v>
      </c>
      <c r="AP41" s="115" t="n">
        <v>0</v>
      </c>
      <c r="AR41" s="115" t="n">
        <v>0</v>
      </c>
      <c r="AT41" s="115" t="n">
        <v>0</v>
      </c>
      <c r="AV41" s="115" t="n">
        <v>0</v>
      </c>
      <c r="AX41" s="115" t="n">
        <v>0</v>
      </c>
      <c r="AZ41" s="115" t="n">
        <v>0</v>
      </c>
      <c r="BB41" s="115" t="n">
        <v>0</v>
      </c>
      <c r="BD41" s="115" t="n">
        <v>0</v>
      </c>
      <c r="BF41" s="115" t="n">
        <v>0</v>
      </c>
      <c r="BH41" s="115" t="n">
        <v>0</v>
      </c>
      <c r="BJ41" s="115" t="n">
        <v>0</v>
      </c>
      <c r="BL41" s="115"/>
      <c r="BM41" s="115"/>
      <c r="BO41" s="115"/>
      <c r="BP41" s="115"/>
      <c r="BQ41" s="115"/>
      <c r="BV41" s="123"/>
    </row>
    <row r="42" customFormat="false" ht="12.75" hidden="false" customHeight="false" outlineLevel="0" collapsed="false">
      <c r="A42" s="171"/>
      <c r="B42" s="183" t="s">
        <v>171</v>
      </c>
      <c r="C42" s="0"/>
      <c r="D42" s="0"/>
      <c r="E42" s="0"/>
      <c r="F42" s="0"/>
      <c r="G42" s="0"/>
      <c r="H42" s="0"/>
      <c r="I42" s="0"/>
      <c r="J42" s="4"/>
      <c r="K42" s="0"/>
      <c r="L42" s="169"/>
      <c r="M42" s="115"/>
      <c r="O42" s="115"/>
      <c r="Q42" s="115"/>
      <c r="S42" s="115"/>
      <c r="T42" s="115"/>
      <c r="U42" s="115"/>
      <c r="V42" s="115"/>
      <c r="X42" s="115"/>
      <c r="Z42" s="115"/>
      <c r="AB42" s="115"/>
      <c r="AD42" s="115"/>
      <c r="AI42" s="0"/>
      <c r="AK42" s="0"/>
      <c r="AM42" s="0"/>
      <c r="BL42" s="115"/>
      <c r="BM42" s="115"/>
      <c r="BO42" s="115"/>
      <c r="BP42" s="115"/>
      <c r="BQ42" s="115"/>
      <c r="BV42" s="123"/>
    </row>
    <row r="43" customFormat="false" ht="12.75" hidden="false" customHeight="false" outlineLevel="0" collapsed="false">
      <c r="A43" s="171"/>
      <c r="B43" s="184" t="s">
        <v>172</v>
      </c>
      <c r="C43" s="0"/>
      <c r="D43" s="0"/>
      <c r="E43" s="0"/>
      <c r="F43" s="0"/>
      <c r="G43" s="0"/>
      <c r="H43" s="0"/>
      <c r="I43" s="0"/>
      <c r="J43" s="4" t="s">
        <v>173</v>
      </c>
      <c r="K43" s="0"/>
      <c r="L43" s="169" t="s">
        <v>142</v>
      </c>
      <c r="M43" s="115"/>
      <c r="O43" s="115"/>
      <c r="Q43" s="115"/>
      <c r="R43" s="185" t="n">
        <v>1493645</v>
      </c>
      <c r="S43" s="115"/>
      <c r="T43" s="115"/>
      <c r="U43" s="115"/>
      <c r="V43" s="115"/>
      <c r="X43" s="115"/>
      <c r="Z43" s="115"/>
      <c r="AB43" s="115"/>
      <c r="AD43" s="115"/>
      <c r="AI43" s="0"/>
      <c r="AK43" s="0"/>
      <c r="AM43" s="0"/>
      <c r="AR43" s="115" t="n">
        <v>11452</v>
      </c>
      <c r="AV43" s="115" t="n">
        <f aca="false">104705-11452</f>
        <v>93253</v>
      </c>
      <c r="AZ43" s="115" t="n">
        <f aca="false">490688-104705</f>
        <v>385983</v>
      </c>
      <c r="BL43" s="0"/>
      <c r="BM43" s="115"/>
      <c r="BN43" s="115" t="n">
        <f aca="false">SUM(T43:BM43)</f>
        <v>490688</v>
      </c>
      <c r="BO43" s="115"/>
      <c r="BP43" s="115" t="n">
        <f aca="false">1508635-1493645</f>
        <v>14990</v>
      </c>
      <c r="BQ43" s="115"/>
      <c r="BR43" s="115" t="n">
        <f aca="false">IF(+R43-AR43+BP43&gt;0,R43-AR43+BP43,0)</f>
        <v>1497183</v>
      </c>
      <c r="BT43" s="115" t="n">
        <f aca="false">+AR43+BR43</f>
        <v>1508635</v>
      </c>
      <c r="BV43" s="115" t="n">
        <f aca="false">+R43-BT43</f>
        <v>-14990</v>
      </c>
    </row>
    <row r="44" customFormat="false" ht="12.75" hidden="false" customHeight="false" outlineLevel="0" collapsed="false">
      <c r="A44" s="171"/>
      <c r="B44" s="184" t="s">
        <v>174</v>
      </c>
      <c r="C44" s="0"/>
      <c r="D44" s="0"/>
      <c r="E44" s="0"/>
      <c r="F44" s="0"/>
      <c r="G44" s="0"/>
      <c r="H44" s="0"/>
      <c r="I44" s="0"/>
      <c r="J44" s="4" t="s">
        <v>173</v>
      </c>
      <c r="K44" s="0"/>
      <c r="L44" s="169" t="s">
        <v>142</v>
      </c>
      <c r="M44" s="115"/>
      <c r="O44" s="115"/>
      <c r="Q44" s="115"/>
      <c r="R44" s="185" t="n">
        <v>1564045</v>
      </c>
      <c r="S44" s="115"/>
      <c r="T44" s="115"/>
      <c r="U44" s="115"/>
      <c r="V44" s="115"/>
      <c r="X44" s="115"/>
      <c r="Z44" s="115"/>
      <c r="AB44" s="115"/>
      <c r="AD44" s="115"/>
      <c r="AI44" s="0"/>
      <c r="AK44" s="0"/>
      <c r="AM44" s="0"/>
      <c r="AR44" s="115" t="n">
        <f aca="false">43084+12404</f>
        <v>55488</v>
      </c>
      <c r="AV44" s="115" t="n">
        <f aca="false">101222-43084+6007</f>
        <v>64145</v>
      </c>
      <c r="AZ44" s="115" t="n">
        <f aca="false">454688-119633</f>
        <v>335055</v>
      </c>
      <c r="BL44" s="0"/>
      <c r="BM44" s="115"/>
      <c r="BN44" s="115" t="n">
        <f aca="false">SUM(T44:BM44)</f>
        <v>454688</v>
      </c>
      <c r="BO44" s="115"/>
      <c r="BP44" s="115" t="n">
        <f aca="false">2075718-1564045</f>
        <v>511673</v>
      </c>
      <c r="BQ44" s="115"/>
      <c r="BR44" s="115" t="n">
        <f aca="false">IF(+R44-AR44+BP44&gt;0,R44-AR44+BP44,0)</f>
        <v>2020230</v>
      </c>
      <c r="BT44" s="115" t="n">
        <f aca="false">+AR44+BR44</f>
        <v>2075718</v>
      </c>
      <c r="BV44" s="115" t="n">
        <f aca="false">+R44-BT44</f>
        <v>-511673</v>
      </c>
    </row>
    <row r="45" customFormat="false" ht="12.75" hidden="false" customHeight="false" outlineLevel="0" collapsed="false">
      <c r="A45" s="171"/>
      <c r="B45" s="184" t="s">
        <v>175</v>
      </c>
      <c r="C45" s="0"/>
      <c r="D45" s="0"/>
      <c r="E45" s="0"/>
      <c r="F45" s="0"/>
      <c r="G45" s="0"/>
      <c r="H45" s="0"/>
      <c r="I45" s="0"/>
      <c r="J45" s="4" t="s">
        <v>173</v>
      </c>
      <c r="K45" s="0"/>
      <c r="L45" s="169" t="s">
        <v>142</v>
      </c>
      <c r="M45" s="115"/>
      <c r="O45" s="115"/>
      <c r="Q45" s="115"/>
      <c r="R45" s="185" t="n">
        <v>11021245</v>
      </c>
      <c r="S45" s="115"/>
      <c r="T45" s="115"/>
      <c r="U45" s="115"/>
      <c r="V45" s="115"/>
      <c r="X45" s="115"/>
      <c r="Z45" s="115"/>
      <c r="AB45" s="115"/>
      <c r="AD45" s="115"/>
      <c r="AI45" s="0"/>
      <c r="AK45" s="0"/>
      <c r="AM45" s="0"/>
      <c r="AR45" s="115" t="n">
        <f aca="false">12159+19967+81333+95392+14212+60494</f>
        <v>283557</v>
      </c>
      <c r="AV45" s="115" t="n">
        <f aca="false">255585-12159+144018+47209+57725+37856+633442+59744</f>
        <v>1223420</v>
      </c>
      <c r="AZ45" s="242" t="n">
        <f aca="false">2452211-1506977</f>
        <v>945234</v>
      </c>
      <c r="BL45" s="0"/>
      <c r="BM45" s="115"/>
      <c r="BN45" s="115" t="n">
        <f aca="false">SUM(T45:BM45)</f>
        <v>2452211</v>
      </c>
      <c r="BO45" s="115"/>
      <c r="BP45" s="115" t="n">
        <f aca="false">11814208-11021245</f>
        <v>792963</v>
      </c>
      <c r="BQ45" s="115"/>
      <c r="BR45" s="115" t="n">
        <f aca="false">IF(+R45-AR45+BP45&gt;0,R45-AR45+BP45,0)</f>
        <v>11530651</v>
      </c>
      <c r="BT45" s="115" t="n">
        <f aca="false">+AR45+BR45</f>
        <v>11814208</v>
      </c>
      <c r="BV45" s="115" t="n">
        <f aca="false">+R45-BT45</f>
        <v>-792963</v>
      </c>
    </row>
    <row r="46" customFormat="false" ht="12.75" hidden="false" customHeight="false" outlineLevel="0" collapsed="false">
      <c r="A46" s="171"/>
      <c r="B46" s="184" t="s">
        <v>176</v>
      </c>
      <c r="C46" s="0"/>
      <c r="D46" s="0"/>
      <c r="E46" s="0"/>
      <c r="F46" s="0"/>
      <c r="G46" s="0"/>
      <c r="H46" s="0"/>
      <c r="I46" s="0"/>
      <c r="J46" s="4" t="s">
        <v>173</v>
      </c>
      <c r="K46" s="0"/>
      <c r="L46" s="169" t="s">
        <v>142</v>
      </c>
      <c r="M46" s="115"/>
      <c r="N46" s="115" t="n">
        <v>0</v>
      </c>
      <c r="O46" s="115"/>
      <c r="P46" s="115" t="n">
        <v>0</v>
      </c>
      <c r="Q46" s="115"/>
      <c r="R46" s="185" t="n">
        <v>538785</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58714</v>
      </c>
      <c r="AT46" s="115" t="n">
        <v>0</v>
      </c>
      <c r="AV46" s="115" t="n">
        <f aca="false">97285-58714</f>
        <v>38571</v>
      </c>
      <c r="AX46" s="115" t="n">
        <v>0</v>
      </c>
      <c r="AZ46" s="115" t="n">
        <f aca="false">272628-97285</f>
        <v>175343</v>
      </c>
      <c r="BB46" s="115" t="n">
        <v>0</v>
      </c>
      <c r="BD46" s="115" t="n">
        <v>0</v>
      </c>
      <c r="BF46" s="115" t="n">
        <v>0</v>
      </c>
      <c r="BH46" s="115" t="n">
        <v>0</v>
      </c>
      <c r="BJ46" s="115" t="n">
        <v>0</v>
      </c>
      <c r="BL46" s="0"/>
      <c r="BM46" s="115"/>
      <c r="BN46" s="115" t="n">
        <f aca="false">SUM(T46:BM46)</f>
        <v>272628</v>
      </c>
      <c r="BO46" s="115"/>
      <c r="BP46" s="115" t="n">
        <f aca="false">592469-538785</f>
        <v>53684</v>
      </c>
      <c r="BQ46" s="115"/>
      <c r="BR46" s="115" t="n">
        <f aca="false">IF(+R46-AR46+BP46&gt;0,R46-AR46+BP46,0)</f>
        <v>533755</v>
      </c>
      <c r="BT46" s="115" t="n">
        <f aca="false">+AR46+BR46</f>
        <v>592469</v>
      </c>
      <c r="BV46" s="115" t="n">
        <f aca="false">+R46-BT46</f>
        <v>-53684</v>
      </c>
    </row>
    <row r="47" customFormat="false" ht="12.75" hidden="false" customHeight="false" outlineLevel="0" collapsed="false">
      <c r="A47" s="171"/>
      <c r="B47" s="184" t="s">
        <v>177</v>
      </c>
      <c r="C47" s="0"/>
      <c r="D47" s="0"/>
      <c r="E47" s="0"/>
      <c r="F47" s="0"/>
      <c r="G47" s="0"/>
      <c r="H47" s="0"/>
      <c r="I47" s="0"/>
      <c r="J47" s="4" t="s">
        <v>173</v>
      </c>
      <c r="K47" s="0"/>
      <c r="L47" s="169" t="s">
        <v>142</v>
      </c>
      <c r="M47" s="115"/>
      <c r="N47" s="115" t="n">
        <v>0</v>
      </c>
      <c r="O47" s="115"/>
      <c r="P47" s="115" t="n">
        <v>0</v>
      </c>
      <c r="Q47" s="115"/>
      <c r="R47" s="185" t="n">
        <v>150000</v>
      </c>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11607</v>
      </c>
      <c r="AT47" s="115" t="n">
        <v>0</v>
      </c>
      <c r="AV47" s="115" t="n">
        <f aca="false">77250-11607</f>
        <v>65643</v>
      </c>
      <c r="AX47" s="115" t="n">
        <v>0</v>
      </c>
      <c r="AZ47" s="115" t="n">
        <f aca="false">57394-77250</f>
        <v>-19856</v>
      </c>
      <c r="BB47" s="115" t="n">
        <v>0</v>
      </c>
      <c r="BD47" s="115" t="n">
        <v>0</v>
      </c>
      <c r="BF47" s="115" t="n">
        <v>0</v>
      </c>
      <c r="BH47" s="115" t="n">
        <v>0</v>
      </c>
      <c r="BJ47" s="115" t="n">
        <v>0</v>
      </c>
      <c r="BL47" s="0"/>
      <c r="BM47" s="115"/>
      <c r="BN47" s="115" t="n">
        <f aca="false">SUM(T47:BM47)</f>
        <v>57394</v>
      </c>
      <c r="BO47" s="115"/>
      <c r="BP47" s="115" t="n">
        <v>0</v>
      </c>
      <c r="BQ47" s="115"/>
      <c r="BR47" s="115" t="n">
        <f aca="false">IF(+R47-AR47+BP47&gt;0,R47-AR47+BP47,0)</f>
        <v>138393</v>
      </c>
      <c r="BT47" s="115" t="n">
        <f aca="false">+AR47+BR47</f>
        <v>150000</v>
      </c>
      <c r="BV47" s="115" t="n">
        <f aca="false">+R47-BT47</f>
        <v>0</v>
      </c>
    </row>
    <row r="48" customFormat="false" ht="12.75" hidden="false" customHeight="false" outlineLevel="0" collapsed="false">
      <c r="A48" s="171"/>
      <c r="B48" s="184" t="s">
        <v>178</v>
      </c>
      <c r="C48" s="0"/>
      <c r="D48" s="0"/>
      <c r="E48" s="0"/>
      <c r="F48" s="0"/>
      <c r="G48" s="0"/>
      <c r="H48" s="0"/>
      <c r="I48" s="0"/>
      <c r="J48" s="4" t="s">
        <v>173</v>
      </c>
      <c r="K48" s="0"/>
      <c r="L48" s="169" t="s">
        <v>142</v>
      </c>
      <c r="M48" s="115"/>
      <c r="N48" s="115" t="n">
        <v>0</v>
      </c>
      <c r="O48" s="115"/>
      <c r="P48" s="115" t="n">
        <v>0</v>
      </c>
      <c r="Q48" s="115"/>
      <c r="R48" s="185" t="n">
        <v>0</v>
      </c>
      <c r="S48" s="115"/>
      <c r="T48" s="115" t="n">
        <v>0</v>
      </c>
      <c r="U48" s="115"/>
      <c r="V48" s="115" t="n">
        <v>0</v>
      </c>
      <c r="X48" s="115" t="n">
        <v>0</v>
      </c>
      <c r="Z48" s="115" t="n">
        <v>0</v>
      </c>
      <c r="AB48" s="115" t="n">
        <v>0</v>
      </c>
      <c r="AD48" s="115" t="n">
        <v>0</v>
      </c>
      <c r="AF48" s="115" t="n">
        <v>0</v>
      </c>
      <c r="AH48" s="115" t="n">
        <v>0</v>
      </c>
      <c r="AI48" s="0"/>
      <c r="AJ48" s="115" t="n">
        <v>0</v>
      </c>
      <c r="AK48" s="0"/>
      <c r="AL48" s="115" t="n">
        <v>0</v>
      </c>
      <c r="AM48" s="0"/>
      <c r="AN48" s="115" t="n">
        <v>0</v>
      </c>
      <c r="AP48" s="115" t="n">
        <v>0</v>
      </c>
      <c r="AR48" s="115" t="n">
        <v>0</v>
      </c>
      <c r="AT48" s="115" t="n">
        <v>0</v>
      </c>
      <c r="AV48" s="115" t="n">
        <v>0</v>
      </c>
      <c r="AX48" s="115" t="n">
        <v>0</v>
      </c>
      <c r="AZ48" s="115" t="n">
        <v>0</v>
      </c>
      <c r="BB48" s="115" t="n">
        <v>0</v>
      </c>
      <c r="BD48" s="115" t="n">
        <v>0</v>
      </c>
      <c r="BF48" s="115" t="n">
        <v>0</v>
      </c>
      <c r="BH48" s="115" t="n">
        <v>0</v>
      </c>
      <c r="BJ48" s="115" t="n">
        <v>0</v>
      </c>
      <c r="BL48" s="115"/>
      <c r="BM48" s="115"/>
      <c r="BN48" s="115" t="n">
        <f aca="false">SUM(T48:BM48)</f>
        <v>0</v>
      </c>
      <c r="BO48" s="115"/>
      <c r="BP48" s="115" t="n">
        <v>421112</v>
      </c>
      <c r="BQ48" s="115"/>
      <c r="BR48" s="115" t="n">
        <f aca="false">IF(+R48-BN48+BP48&gt;0,R48-BN48+BP48,0)</f>
        <v>421112</v>
      </c>
      <c r="BT48" s="115" t="n">
        <f aca="false">+BN48+BR48</f>
        <v>421112</v>
      </c>
      <c r="BV48" s="115" t="n">
        <f aca="false">+R48-BT48</f>
        <v>-421112</v>
      </c>
    </row>
    <row r="49" customFormat="false" ht="12.75" hidden="false" customHeight="false" outlineLevel="0" collapsed="false">
      <c r="A49" s="171"/>
      <c r="B49" s="184" t="s">
        <v>179</v>
      </c>
      <c r="C49" s="0"/>
      <c r="D49" s="0"/>
      <c r="E49" s="0"/>
      <c r="F49" s="0"/>
      <c r="G49" s="0"/>
      <c r="H49" s="0"/>
      <c r="I49" s="0"/>
      <c r="J49" s="4"/>
      <c r="K49" s="0"/>
      <c r="L49" s="169" t="s">
        <v>142</v>
      </c>
      <c r="M49" s="115"/>
      <c r="N49" s="115" t="n">
        <v>0</v>
      </c>
      <c r="O49" s="115"/>
      <c r="P49" s="115" t="n">
        <v>0</v>
      </c>
      <c r="Q49" s="115"/>
      <c r="R49" s="185" t="n">
        <v>-2832</v>
      </c>
      <c r="S49" s="115"/>
      <c r="T49" s="115" t="n">
        <v>0</v>
      </c>
      <c r="U49" s="115"/>
      <c r="V49" s="115" t="n">
        <v>0</v>
      </c>
      <c r="X49" s="115" t="n">
        <v>0</v>
      </c>
      <c r="Z49" s="115" t="n">
        <v>0</v>
      </c>
      <c r="AB49" s="115" t="n">
        <v>0</v>
      </c>
      <c r="AD49" s="115" t="n">
        <v>0</v>
      </c>
      <c r="AF49" s="115" t="n">
        <v>0</v>
      </c>
      <c r="AH49" s="115" t="n">
        <v>0</v>
      </c>
      <c r="AI49" s="0"/>
      <c r="AJ49" s="115" t="n">
        <v>0</v>
      </c>
      <c r="AK49" s="0"/>
      <c r="AL49" s="115" t="n">
        <v>0</v>
      </c>
      <c r="AM49" s="0"/>
      <c r="AN49" s="115" t="n">
        <v>0</v>
      </c>
      <c r="AP49" s="115" t="n">
        <v>0</v>
      </c>
      <c r="AR49" s="115" t="n">
        <v>0</v>
      </c>
      <c r="AT49" s="115" t="n">
        <v>0</v>
      </c>
      <c r="AV49" s="115" t="n">
        <v>0</v>
      </c>
      <c r="AX49" s="115" t="n">
        <v>0</v>
      </c>
      <c r="AZ49" s="115" t="n">
        <v>0</v>
      </c>
      <c r="BB49" s="115" t="n">
        <v>0</v>
      </c>
      <c r="BD49" s="115" t="n">
        <v>0</v>
      </c>
      <c r="BF49" s="115" t="n">
        <v>0</v>
      </c>
      <c r="BH49" s="115" t="n">
        <v>0</v>
      </c>
      <c r="BJ49" s="115" t="n">
        <v>0</v>
      </c>
      <c r="BL49" s="115"/>
      <c r="BM49" s="115"/>
      <c r="BN49" s="115" t="n">
        <f aca="false">SUM(T49:BM49)</f>
        <v>0</v>
      </c>
      <c r="BO49" s="115"/>
      <c r="BP49" s="115"/>
      <c r="BQ49" s="115"/>
      <c r="BR49" s="115" t="n">
        <f aca="false">IF(+R49-BN49+BP49&gt;0,R49-BN49+BP49,0)</f>
        <v>0</v>
      </c>
      <c r="BT49" s="115" t="n">
        <f aca="false">+BN49+BR49</f>
        <v>0</v>
      </c>
      <c r="BV49" s="115" t="n">
        <f aca="false">+R49-BT49</f>
        <v>-2832</v>
      </c>
    </row>
    <row r="50" customFormat="false" ht="12.75" hidden="false" customHeight="false" outlineLevel="0" collapsed="false">
      <c r="A50" s="171"/>
      <c r="B50" s="184" t="s">
        <v>208</v>
      </c>
      <c r="C50" s="0"/>
      <c r="D50" s="0"/>
      <c r="E50" s="0"/>
      <c r="F50" s="0"/>
      <c r="G50" s="0"/>
      <c r="H50" s="0"/>
      <c r="I50" s="0"/>
      <c r="J50" s="4"/>
      <c r="K50" s="0"/>
      <c r="L50" s="169"/>
      <c r="M50" s="115"/>
      <c r="O50" s="115"/>
      <c r="Q50" s="115"/>
      <c r="R50" s="185"/>
      <c r="S50" s="115"/>
      <c r="T50" s="115"/>
      <c r="U50" s="115"/>
      <c r="V50" s="115"/>
      <c r="X50" s="115"/>
      <c r="Z50" s="115"/>
      <c r="AB50" s="115"/>
      <c r="AD50" s="115"/>
      <c r="AI50" s="0"/>
      <c r="AK50" s="0"/>
      <c r="AM50" s="0"/>
      <c r="AZ50" s="115" t="n">
        <v>34274</v>
      </c>
      <c r="BL50" s="115"/>
      <c r="BM50" s="115"/>
      <c r="BN50" s="115" t="n">
        <f aca="false">SUM(T50:BM50)</f>
        <v>34274</v>
      </c>
      <c r="BO50" s="115"/>
      <c r="BP50" s="115" t="n">
        <v>0</v>
      </c>
      <c r="BQ50" s="115"/>
      <c r="BR50" s="115" t="n">
        <f aca="false">IF(+R50-BN50+BP50&gt;0,R50-BN50+BP50,0)</f>
        <v>0</v>
      </c>
      <c r="BT50" s="115" t="n">
        <f aca="false">+BN50+BR50</f>
        <v>34274</v>
      </c>
      <c r="BV50" s="115" t="n">
        <f aca="false">+R50-BT50</f>
        <v>-34274</v>
      </c>
    </row>
    <row r="51" customFormat="false" ht="12.75" hidden="false" customHeight="false" outlineLevel="0" collapsed="false">
      <c r="A51" s="171"/>
      <c r="B51" s="184" t="s">
        <v>371</v>
      </c>
      <c r="C51" s="0"/>
      <c r="D51" s="0"/>
      <c r="E51" s="0"/>
      <c r="F51" s="0"/>
      <c r="G51" s="0"/>
      <c r="H51" s="0"/>
      <c r="I51" s="0"/>
      <c r="J51" s="4"/>
      <c r="K51" s="0"/>
      <c r="L51" s="169"/>
      <c r="M51" s="115"/>
      <c r="O51" s="115"/>
      <c r="Q51" s="115"/>
      <c r="S51" s="115"/>
      <c r="T51" s="115"/>
      <c r="U51" s="115"/>
      <c r="V51" s="115"/>
      <c r="X51" s="115"/>
      <c r="Z51" s="115"/>
      <c r="AB51" s="115"/>
      <c r="AD51" s="115"/>
      <c r="AI51" s="0"/>
      <c r="AK51" s="0"/>
      <c r="AM51" s="0"/>
      <c r="AV51" s="115" t="n">
        <v>19839</v>
      </c>
      <c r="AZ51" s="115" t="n">
        <f aca="false">61465-19839</f>
        <v>41626</v>
      </c>
      <c r="BL51" s="115"/>
      <c r="BM51" s="115"/>
      <c r="BN51" s="115" t="n">
        <f aca="false">SUM(T51:BM51)</f>
        <v>61465</v>
      </c>
      <c r="BO51" s="115"/>
      <c r="BP51" s="115" t="n">
        <v>0</v>
      </c>
      <c r="BQ51" s="115"/>
      <c r="BR51" s="115" t="n">
        <f aca="false">IF(+R51-BN51+BP51&gt;0,R51-BN51+BP51,0)</f>
        <v>0</v>
      </c>
      <c r="BT51" s="115" t="n">
        <f aca="false">+BN51+BR51</f>
        <v>61465</v>
      </c>
      <c r="BV51" s="115" t="n">
        <f aca="false">+R51-BT51</f>
        <v>-61465</v>
      </c>
    </row>
    <row r="52" customFormat="false" ht="12.75" hidden="false" customHeight="false" outlineLevel="0" collapsed="false">
      <c r="A52" s="171"/>
      <c r="B52" s="184" t="s">
        <v>372</v>
      </c>
      <c r="C52" s="0"/>
      <c r="D52" s="0"/>
      <c r="E52" s="0"/>
      <c r="F52" s="0"/>
      <c r="G52" s="0"/>
      <c r="H52" s="0"/>
      <c r="I52" s="0"/>
      <c r="J52" s="4"/>
      <c r="K52" s="0"/>
      <c r="L52" s="169"/>
      <c r="M52" s="115"/>
      <c r="O52" s="115"/>
      <c r="Q52" s="115"/>
      <c r="S52" s="115"/>
      <c r="T52" s="115"/>
      <c r="U52" s="115"/>
      <c r="V52" s="115"/>
      <c r="X52" s="115"/>
      <c r="Z52" s="115"/>
      <c r="AB52" s="115"/>
      <c r="AD52" s="115"/>
      <c r="AI52" s="0"/>
      <c r="AK52" s="0"/>
      <c r="AM52" s="0"/>
      <c r="AV52" s="115" t="n">
        <v>264288</v>
      </c>
      <c r="AZ52" s="115" t="n">
        <f aca="false">281729-264288</f>
        <v>17441</v>
      </c>
      <c r="BL52" s="115"/>
      <c r="BM52" s="115"/>
      <c r="BN52" s="115" t="n">
        <f aca="false">SUM(T52:BM52)</f>
        <v>281729</v>
      </c>
      <c r="BO52" s="115"/>
      <c r="BP52" s="115" t="n">
        <v>263743</v>
      </c>
      <c r="BQ52" s="115"/>
      <c r="BR52" s="115" t="n">
        <f aca="false">IF(+R52-BN52+BP52&gt;0,R52-BN52+BP52,0)</f>
        <v>0</v>
      </c>
      <c r="BT52" s="115" t="n">
        <f aca="false">+BN52+BR52</f>
        <v>281729</v>
      </c>
      <c r="BV52" s="115" t="n">
        <f aca="false">+R52-BT52</f>
        <v>-281729</v>
      </c>
    </row>
    <row r="53" customFormat="false" ht="12.75" hidden="false" customHeight="false" outlineLevel="0" collapsed="false">
      <c r="A53" s="171"/>
      <c r="B53" s="184"/>
      <c r="C53" s="0"/>
      <c r="D53" s="0"/>
      <c r="E53" s="0"/>
      <c r="F53" s="0"/>
      <c r="G53" s="0"/>
      <c r="H53" s="0"/>
      <c r="I53" s="0"/>
      <c r="J53" s="4"/>
      <c r="K53" s="0"/>
      <c r="L53" s="169" t="s">
        <v>142</v>
      </c>
      <c r="M53" s="115"/>
      <c r="N53" s="115" t="n">
        <v>0</v>
      </c>
      <c r="O53" s="115"/>
      <c r="P53" s="115" t="n">
        <v>0</v>
      </c>
      <c r="Q53" s="115"/>
      <c r="S53" s="115"/>
      <c r="T53" s="115" t="n">
        <v>0</v>
      </c>
      <c r="U53" s="115"/>
      <c r="V53" s="115" t="n">
        <v>0</v>
      </c>
      <c r="X53" s="115" t="n">
        <v>0</v>
      </c>
      <c r="Z53" s="115" t="n">
        <v>0</v>
      </c>
      <c r="AB53" s="115" t="n">
        <v>0</v>
      </c>
      <c r="AD53" s="115" t="n">
        <v>0</v>
      </c>
      <c r="AF53" s="115" t="n">
        <v>0</v>
      </c>
      <c r="AH53" s="115" t="n">
        <v>0</v>
      </c>
      <c r="AI53" s="0"/>
      <c r="AJ53" s="115" t="n">
        <v>0</v>
      </c>
      <c r="AK53" s="0"/>
      <c r="AL53" s="115" t="n">
        <v>0</v>
      </c>
      <c r="AM53" s="0"/>
      <c r="AN53" s="115" t="n">
        <v>0</v>
      </c>
      <c r="AP53" s="115" t="n">
        <v>0</v>
      </c>
      <c r="AR53" s="115" t="n">
        <v>0</v>
      </c>
      <c r="AT53" s="115" t="n">
        <v>0</v>
      </c>
      <c r="AV53" s="115" t="n">
        <v>0</v>
      </c>
      <c r="AX53" s="115" t="n">
        <v>0</v>
      </c>
      <c r="AZ53" s="115" t="n">
        <v>0</v>
      </c>
      <c r="BB53" s="115" t="n">
        <v>0</v>
      </c>
      <c r="BD53" s="115" t="n">
        <v>0</v>
      </c>
      <c r="BF53" s="115" t="n">
        <v>0</v>
      </c>
      <c r="BH53" s="115" t="n">
        <v>0</v>
      </c>
      <c r="BJ53" s="115" t="n">
        <v>0</v>
      </c>
      <c r="BL53" s="115"/>
      <c r="BM53" s="115"/>
      <c r="BN53" s="115" t="n">
        <f aca="false">SUM(T53:BM53)</f>
        <v>0</v>
      </c>
      <c r="BO53" s="115"/>
      <c r="BP53" s="115"/>
      <c r="BQ53" s="115"/>
      <c r="BR53" s="115" t="n">
        <f aca="false">IF(+R53-BN53+BP53&gt;0,R53-BN53+BP53,0)</f>
        <v>0</v>
      </c>
      <c r="BT53" s="115" t="n">
        <f aca="false">+BN53+BR53</f>
        <v>0</v>
      </c>
      <c r="BV53" s="115" t="n">
        <f aca="false">+R53-BT53</f>
        <v>0</v>
      </c>
    </row>
    <row r="54" customFormat="false" ht="12.75" hidden="false" customHeight="false" outlineLevel="0" collapsed="false">
      <c r="A54" s="186"/>
      <c r="B54" s="187" t="s">
        <v>180</v>
      </c>
      <c r="C54" s="2"/>
      <c r="D54" s="2"/>
      <c r="E54" s="2"/>
      <c r="F54" s="2"/>
      <c r="G54" s="2"/>
      <c r="H54" s="2"/>
      <c r="I54" s="2"/>
      <c r="J54" s="3"/>
      <c r="K54" s="2"/>
      <c r="L54" s="188" t="s">
        <v>142</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71"/>
      <c r="B55" s="189"/>
      <c r="C55" s="0"/>
      <c r="D55" s="0"/>
      <c r="E55" s="0"/>
      <c r="F55" s="0"/>
      <c r="G55" s="0"/>
      <c r="H55" s="0"/>
      <c r="I55" s="0"/>
      <c r="J55" s="4"/>
      <c r="K55" s="0"/>
      <c r="L55" s="169"/>
      <c r="M55" s="115"/>
      <c r="O55" s="115"/>
      <c r="Q55" s="115"/>
      <c r="S55" s="115"/>
      <c r="T55" s="115"/>
      <c r="U55" s="115"/>
      <c r="V55" s="115"/>
      <c r="X55" s="115"/>
      <c r="Z55" s="115"/>
      <c r="AB55" s="115"/>
      <c r="AD55" s="115"/>
      <c r="AI55" s="0"/>
      <c r="AK55" s="0"/>
      <c r="AM55" s="0"/>
      <c r="BL55" s="115"/>
      <c r="BM55" s="115"/>
      <c r="BO55" s="115"/>
      <c r="BP55" s="115"/>
      <c r="BQ55" s="115"/>
      <c r="BV55" s="123"/>
    </row>
    <row r="56" customFormat="false" ht="12.75" hidden="false" customHeight="false" outlineLevel="0" collapsed="false">
      <c r="B56" s="2" t="s">
        <v>181</v>
      </c>
      <c r="C56" s="0"/>
      <c r="D56" s="0"/>
      <c r="E56" s="0"/>
      <c r="F56" s="0"/>
      <c r="G56" s="0"/>
      <c r="H56" s="0"/>
      <c r="I56" s="0"/>
      <c r="J56" s="4"/>
      <c r="K56" s="0"/>
      <c r="L56" s="169"/>
      <c r="M56" s="115"/>
      <c r="O56" s="115"/>
      <c r="Q56" s="115"/>
      <c r="S56" s="115"/>
      <c r="T56" s="115"/>
      <c r="U56" s="115"/>
      <c r="V56" s="115"/>
      <c r="X56" s="115"/>
      <c r="Z56" s="115"/>
      <c r="AB56" s="115"/>
      <c r="AD56" s="115"/>
      <c r="AI56" s="0"/>
      <c r="AK56" s="0"/>
      <c r="AM56" s="0"/>
      <c r="BL56" s="115"/>
      <c r="BM56" s="115"/>
      <c r="BO56" s="115"/>
      <c r="BP56" s="115"/>
      <c r="BQ56" s="115"/>
      <c r="BV56" s="123"/>
    </row>
    <row r="57" customFormat="false" ht="12.75" hidden="false" customHeight="false" outlineLevel="0" collapsed="false">
      <c r="A57" s="0"/>
      <c r="B57" s="184" t="s">
        <v>182</v>
      </c>
      <c r="C57" s="0"/>
      <c r="D57" s="0"/>
      <c r="E57" s="0"/>
      <c r="F57" s="0"/>
      <c r="G57" s="0"/>
      <c r="H57" s="0"/>
      <c r="I57" s="0"/>
      <c r="J57" s="4" t="s">
        <v>173</v>
      </c>
      <c r="K57" s="0"/>
      <c r="L57" s="169"/>
      <c r="M57" s="115"/>
      <c r="O57" s="115"/>
      <c r="Q57" s="115"/>
      <c r="R57" s="185" t="n">
        <v>200485</v>
      </c>
      <c r="S57" s="115"/>
      <c r="T57" s="115"/>
      <c r="U57" s="115"/>
      <c r="V57" s="115"/>
      <c r="X57" s="115"/>
      <c r="Z57" s="115"/>
      <c r="AB57" s="115"/>
      <c r="AD57" s="115"/>
      <c r="AI57" s="0"/>
      <c r="AK57" s="0"/>
      <c r="AM57" s="0"/>
      <c r="AV57" s="115" t="n">
        <v>557</v>
      </c>
      <c r="AZ57" s="115" t="n">
        <f aca="false">117841-557</f>
        <v>117284</v>
      </c>
      <c r="BL57" s="115"/>
      <c r="BM57" s="115"/>
      <c r="BN57" s="115" t="n">
        <f aca="false">SUM(T57:BM57)</f>
        <v>117841</v>
      </c>
      <c r="BO57" s="115"/>
      <c r="BP57" s="115"/>
      <c r="BQ57" s="115"/>
      <c r="BR57" s="115" t="n">
        <f aca="false">IF(+R57-BN57+BP57&gt;0,R57-BN57+BP57,0)</f>
        <v>82644</v>
      </c>
      <c r="BT57" s="115" t="n">
        <f aca="false">+BN57+BR57</f>
        <v>200485</v>
      </c>
      <c r="BV57" s="115" t="n">
        <f aca="false">+R57-BT57</f>
        <v>0</v>
      </c>
    </row>
    <row r="58" customFormat="false" ht="12.75" hidden="false" customHeight="false" outlineLevel="0" collapsed="false">
      <c r="A58" s="0"/>
      <c r="B58" s="184" t="s">
        <v>183</v>
      </c>
      <c r="C58" s="0"/>
      <c r="D58" s="0"/>
      <c r="E58" s="0"/>
      <c r="F58" s="0"/>
      <c r="G58" s="0"/>
      <c r="H58" s="0"/>
      <c r="I58" s="0"/>
      <c r="J58" s="4" t="s">
        <v>173</v>
      </c>
      <c r="K58" s="0"/>
      <c r="L58" s="169"/>
      <c r="M58" s="115"/>
      <c r="O58" s="115"/>
      <c r="Q58" s="115"/>
      <c r="R58" s="185" t="n">
        <v>3824394</v>
      </c>
      <c r="S58" s="115"/>
      <c r="T58" s="115"/>
      <c r="U58" s="115"/>
      <c r="V58" s="115"/>
      <c r="X58" s="115"/>
      <c r="Z58" s="115"/>
      <c r="AB58" s="115"/>
      <c r="AD58" s="115"/>
      <c r="AI58" s="0"/>
      <c r="AK58" s="0"/>
      <c r="AM58" s="0"/>
      <c r="AR58" s="115" t="n">
        <v>84021</v>
      </c>
      <c r="AV58" s="115" t="n">
        <v>224712</v>
      </c>
      <c r="AZ58" s="115" t="n">
        <f aca="false">2894530-308733</f>
        <v>2585797</v>
      </c>
      <c r="BL58" s="115"/>
      <c r="BM58" s="115"/>
      <c r="BN58" s="115" t="n">
        <f aca="false">SUM(T58:BM58)</f>
        <v>2894530</v>
      </c>
      <c r="BO58" s="115"/>
      <c r="BP58" s="115" t="n">
        <f aca="false">3006669-3824394</f>
        <v>-817725</v>
      </c>
      <c r="BQ58" s="115"/>
      <c r="BR58" s="115" t="n">
        <f aca="false">IF(+R58-BN58+BP58&gt;0,R58-BN58+BP58,0)</f>
        <v>112139</v>
      </c>
      <c r="BT58" s="115" t="n">
        <f aca="false">+BN58+BR58</f>
        <v>3006669</v>
      </c>
      <c r="BV58" s="115" t="n">
        <f aca="false">+R58-BT58</f>
        <v>817725</v>
      </c>
    </row>
    <row r="59" customFormat="false" ht="12.75" hidden="false" customHeight="false" outlineLevel="0" collapsed="false">
      <c r="A59" s="0"/>
      <c r="B59" s="184" t="s">
        <v>184</v>
      </c>
      <c r="C59" s="0"/>
      <c r="D59" s="0"/>
      <c r="E59" s="0"/>
      <c r="F59" s="0"/>
      <c r="G59" s="0"/>
      <c r="H59" s="0"/>
      <c r="I59" s="0"/>
      <c r="J59" s="4" t="s">
        <v>173</v>
      </c>
      <c r="K59" s="0"/>
      <c r="L59" s="169"/>
      <c r="M59" s="115"/>
      <c r="O59" s="115"/>
      <c r="Q59" s="115"/>
      <c r="R59" s="185" t="n">
        <v>789260</v>
      </c>
      <c r="S59" s="115"/>
      <c r="T59" s="115"/>
      <c r="U59" s="115"/>
      <c r="V59" s="115"/>
      <c r="X59" s="115"/>
      <c r="Z59" s="115"/>
      <c r="AB59" s="115"/>
      <c r="AD59" s="115"/>
      <c r="AI59" s="0"/>
      <c r="AK59" s="0"/>
      <c r="AM59" s="0"/>
      <c r="AZ59" s="115" t="n">
        <v>276231</v>
      </c>
      <c r="BL59" s="115"/>
      <c r="BM59" s="115"/>
      <c r="BN59" s="115" t="n">
        <f aca="false">SUM(T59:BM59)</f>
        <v>276231</v>
      </c>
      <c r="BO59" s="115"/>
      <c r="BP59" s="115" t="n">
        <v>0</v>
      </c>
      <c r="BQ59" s="115"/>
      <c r="BR59" s="115" t="n">
        <f aca="false">IF(+R59-BN59+BP59&gt;0,R59-BN59+BP59,0)</f>
        <v>513029</v>
      </c>
      <c r="BT59" s="115" t="n">
        <f aca="false">+BN59+BR59</f>
        <v>789260</v>
      </c>
      <c r="BV59" s="115" t="n">
        <f aca="false">+R59-BT59</f>
        <v>0</v>
      </c>
    </row>
    <row r="60" customFormat="false" ht="12.75" hidden="false" customHeight="false" outlineLevel="0" collapsed="false">
      <c r="A60" s="0"/>
      <c r="B60" s="184" t="s">
        <v>185</v>
      </c>
      <c r="C60" s="0"/>
      <c r="D60" s="0"/>
      <c r="E60" s="0"/>
      <c r="F60" s="0"/>
      <c r="G60" s="0"/>
      <c r="H60" s="0"/>
      <c r="I60" s="0"/>
      <c r="J60" s="4" t="s">
        <v>173</v>
      </c>
      <c r="K60" s="0"/>
      <c r="L60" s="169"/>
      <c r="M60" s="115"/>
      <c r="O60" s="115"/>
      <c r="Q60" s="115"/>
      <c r="R60" s="185" t="n">
        <v>482700</v>
      </c>
      <c r="S60" s="115"/>
      <c r="T60" s="115"/>
      <c r="U60" s="115"/>
      <c r="V60" s="115"/>
      <c r="X60" s="115"/>
      <c r="Z60" s="115"/>
      <c r="AB60" s="115"/>
      <c r="AD60" s="115"/>
      <c r="AI60" s="0"/>
      <c r="AK60" s="0"/>
      <c r="AM60" s="0"/>
      <c r="AZ60" s="115" t="n">
        <v>174035</v>
      </c>
      <c r="BL60" s="115"/>
      <c r="BM60" s="115"/>
      <c r="BN60" s="115" t="n">
        <f aca="false">SUM(T60:BM60)</f>
        <v>174035</v>
      </c>
      <c r="BO60" s="115"/>
      <c r="BP60" s="115" t="n">
        <f aca="false">442495-482700</f>
        <v>-40205</v>
      </c>
      <c r="BQ60" s="115"/>
      <c r="BR60" s="115" t="n">
        <f aca="false">IF(+R60-BN60+BP60&gt;0,R60-BN60+BP60,0)</f>
        <v>268460</v>
      </c>
      <c r="BT60" s="115" t="n">
        <f aca="false">+BN60+BR60</f>
        <v>442495</v>
      </c>
      <c r="BV60" s="115" t="n">
        <f aca="false">+R60-BT60</f>
        <v>40205</v>
      </c>
    </row>
    <row r="61" customFormat="false" ht="12.75" hidden="false" customHeight="false" outlineLevel="0" collapsed="false">
      <c r="A61" s="0"/>
      <c r="B61" s="184" t="s">
        <v>328</v>
      </c>
      <c r="C61" s="0"/>
      <c r="D61" s="0"/>
      <c r="E61" s="0"/>
      <c r="F61" s="0"/>
      <c r="G61" s="0"/>
      <c r="H61" s="0"/>
      <c r="I61" s="0"/>
      <c r="J61" s="4" t="s">
        <v>173</v>
      </c>
      <c r="K61" s="0"/>
      <c r="L61" s="169"/>
      <c r="M61" s="115"/>
      <c r="O61" s="115"/>
      <c r="Q61" s="115"/>
      <c r="R61" s="185" t="n">
        <v>0</v>
      </c>
      <c r="S61" s="115"/>
      <c r="T61" s="115"/>
      <c r="U61" s="115"/>
      <c r="V61" s="115"/>
      <c r="X61" s="115"/>
      <c r="Z61" s="115"/>
      <c r="AB61" s="115"/>
      <c r="AD61" s="115"/>
      <c r="AI61" s="0"/>
      <c r="AK61" s="0"/>
      <c r="AM61" s="0"/>
      <c r="AZ61" s="115" t="n">
        <v>20223</v>
      </c>
      <c r="BL61" s="115"/>
      <c r="BM61" s="115"/>
      <c r="BN61" s="115" t="n">
        <f aca="false">SUM(T61:BM61)</f>
        <v>20223</v>
      </c>
      <c r="BO61" s="115"/>
      <c r="BP61" s="115" t="n">
        <v>0</v>
      </c>
      <c r="BQ61" s="115"/>
      <c r="BR61" s="115" t="n">
        <f aca="false">IF(+R61-BN61+BP61&gt;0,R61-BN61+BP61,0)</f>
        <v>0</v>
      </c>
      <c r="BT61" s="115" t="n">
        <f aca="false">+BN61+BR61</f>
        <v>20223</v>
      </c>
      <c r="BV61" s="115" t="n">
        <f aca="false">+R61-BT61</f>
        <v>-20223</v>
      </c>
    </row>
    <row r="62" customFormat="false" ht="12.75" hidden="false" customHeight="false" outlineLevel="0" collapsed="false">
      <c r="A62" s="0"/>
      <c r="B62" s="184"/>
      <c r="C62" s="0"/>
      <c r="D62" s="0"/>
      <c r="E62" s="0"/>
      <c r="F62" s="0"/>
      <c r="G62" s="0"/>
      <c r="H62" s="0"/>
      <c r="I62" s="0"/>
      <c r="J62" s="4"/>
      <c r="K62" s="0"/>
      <c r="L62" s="169"/>
      <c r="M62" s="115"/>
      <c r="O62" s="115"/>
      <c r="Q62" s="115"/>
      <c r="R62" s="185"/>
      <c r="S62" s="115"/>
      <c r="T62" s="115"/>
      <c r="U62" s="115"/>
      <c r="V62" s="115"/>
      <c r="X62" s="115"/>
      <c r="Z62" s="115"/>
      <c r="AB62" s="115"/>
      <c r="AD62" s="115"/>
      <c r="AI62" s="0"/>
      <c r="AK62" s="0"/>
      <c r="AM62" s="0"/>
      <c r="BL62" s="115"/>
      <c r="BM62" s="115"/>
      <c r="BO62" s="115"/>
      <c r="BP62" s="115"/>
      <c r="BQ62" s="115"/>
    </row>
    <row r="63" customFormat="false" ht="12.75" hidden="false" customHeight="false" outlineLevel="0" collapsed="false">
      <c r="A63" s="2"/>
      <c r="B63" s="187" t="s">
        <v>186</v>
      </c>
      <c r="C63" s="2"/>
      <c r="D63" s="2"/>
      <c r="E63" s="2"/>
      <c r="F63" s="2"/>
      <c r="G63" s="2"/>
      <c r="H63" s="2"/>
      <c r="I63" s="2"/>
      <c r="J63" s="3"/>
      <c r="K63" s="2"/>
      <c r="L63" s="188" t="s">
        <v>142</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7"/>
      <c r="C64" s="2"/>
      <c r="D64" s="2"/>
      <c r="E64" s="2"/>
      <c r="F64" s="2"/>
      <c r="G64" s="2"/>
      <c r="H64" s="2"/>
      <c r="I64" s="2"/>
      <c r="J64" s="3"/>
      <c r="K64" s="2"/>
      <c r="L64" s="188"/>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0" t="s">
        <v>187</v>
      </c>
      <c r="C65" s="2"/>
      <c r="D65" s="2"/>
      <c r="E65" s="2"/>
      <c r="F65" s="2"/>
      <c r="G65" s="2"/>
      <c r="H65" s="2"/>
      <c r="I65" s="2"/>
      <c r="J65" s="3"/>
      <c r="K65" s="2"/>
      <c r="L65" s="188"/>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188</v>
      </c>
      <c r="C66" s="2"/>
      <c r="D66" s="2"/>
      <c r="E66" s="2"/>
      <c r="F66" s="2"/>
      <c r="G66" s="2"/>
      <c r="H66" s="2"/>
      <c r="I66" s="2"/>
      <c r="J66" s="3"/>
      <c r="K66" s="2"/>
      <c r="L66" s="188"/>
      <c r="M66" s="24"/>
      <c r="N66" s="24"/>
      <c r="O66" s="24"/>
      <c r="P66" s="24"/>
      <c r="Q66" s="24"/>
      <c r="R66" s="185"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204588</v>
      </c>
      <c r="AS66" s="24"/>
      <c r="AT66" s="24"/>
      <c r="AU66" s="24"/>
      <c r="AV66" s="115" t="n">
        <f aca="false">2389052-204588</f>
        <v>2184464</v>
      </c>
      <c r="AW66" s="24"/>
      <c r="AX66" s="24"/>
      <c r="AY66" s="24"/>
      <c r="AZ66" s="115" t="n">
        <f aca="false">2924606+28224-2389052</f>
        <v>563778</v>
      </c>
      <c r="BA66" s="24"/>
      <c r="BB66" s="24"/>
      <c r="BC66" s="24"/>
      <c r="BD66" s="24"/>
      <c r="BE66" s="24"/>
      <c r="BF66" s="24"/>
      <c r="BG66" s="24"/>
      <c r="BH66" s="24"/>
      <c r="BI66" s="24"/>
      <c r="BJ66" s="24"/>
      <c r="BK66" s="24"/>
      <c r="BL66" s="24"/>
      <c r="BM66" s="24"/>
      <c r="BN66" s="115" t="n">
        <f aca="false">SUM(T66:BM66)</f>
        <v>2952830</v>
      </c>
      <c r="BO66" s="24"/>
      <c r="BP66" s="115" t="n">
        <v>0</v>
      </c>
      <c r="BQ66" s="115"/>
      <c r="BR66" s="115" t="n">
        <f aca="false">IF(+R66-BN66+BP66&gt;0,R66-BN66+BP66,0)</f>
        <v>0</v>
      </c>
      <c r="BT66" s="115" t="n">
        <f aca="false">+BN66+BR66</f>
        <v>2952830</v>
      </c>
      <c r="BU66" s="24"/>
      <c r="BV66" s="115"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190</v>
      </c>
      <c r="C67" s="2"/>
      <c r="D67" s="2"/>
      <c r="E67" s="2"/>
      <c r="F67" s="2"/>
      <c r="G67" s="2"/>
      <c r="H67" s="2"/>
      <c r="I67" s="2"/>
      <c r="J67" s="3"/>
      <c r="K67" s="2"/>
      <c r="L67" s="188"/>
      <c r="M67" s="24"/>
      <c r="N67" s="24"/>
      <c r="O67" s="24"/>
      <c r="P67" s="24"/>
      <c r="Q67" s="24"/>
      <c r="R67" s="185"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15" t="n">
        <f aca="false">13499</f>
        <v>13499</v>
      </c>
      <c r="AW67" s="24"/>
      <c r="AX67" s="24"/>
      <c r="AY67" s="24"/>
      <c r="AZ67" s="115" t="n">
        <f aca="false">735944-13499</f>
        <v>722445</v>
      </c>
      <c r="BA67" s="24"/>
      <c r="BB67" s="24"/>
      <c r="BC67" s="24"/>
      <c r="BD67" s="24"/>
      <c r="BE67" s="24"/>
      <c r="BF67" s="24"/>
      <c r="BG67" s="24"/>
      <c r="BH67" s="24"/>
      <c r="BI67" s="24"/>
      <c r="BJ67" s="24"/>
      <c r="BK67" s="24"/>
      <c r="BL67" s="24"/>
      <c r="BM67" s="24"/>
      <c r="BN67" s="115" t="n">
        <f aca="false">SUM(T67:BM67)</f>
        <v>735944</v>
      </c>
      <c r="BO67" s="24"/>
      <c r="BP67" s="115" t="n">
        <f aca="false">508478-363263</f>
        <v>145215</v>
      </c>
      <c r="BQ67" s="115"/>
      <c r="BR67" s="115" t="n">
        <f aca="false">IF(+R67-BN67+BP67&gt;0,R67-BN67+BP67,0)</f>
        <v>0</v>
      </c>
      <c r="BT67" s="115" t="n">
        <f aca="false">+BN67+BR67</f>
        <v>735944</v>
      </c>
      <c r="BU67" s="24"/>
      <c r="BV67" s="115"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189</v>
      </c>
      <c r="C68" s="2"/>
      <c r="D68" s="2"/>
      <c r="E68" s="2"/>
      <c r="F68" s="2"/>
      <c r="G68" s="2"/>
      <c r="H68" s="2"/>
      <c r="I68" s="2"/>
      <c r="J68" s="3"/>
      <c r="K68" s="2"/>
      <c r="L68" s="188"/>
      <c r="M68" s="24"/>
      <c r="N68" s="24"/>
      <c r="O68" s="24"/>
      <c r="P68" s="24"/>
      <c r="Q68" s="24"/>
      <c r="R68" s="185"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15" t="n">
        <v>122734</v>
      </c>
      <c r="AW68" s="24"/>
      <c r="AX68" s="24"/>
      <c r="AY68" s="24"/>
      <c r="AZ68" s="115" t="n">
        <f aca="false">198522-122734</f>
        <v>75788</v>
      </c>
      <c r="BA68" s="24"/>
      <c r="BB68" s="24"/>
      <c r="BC68" s="24"/>
      <c r="BD68" s="24"/>
      <c r="BE68" s="24"/>
      <c r="BF68" s="24"/>
      <c r="BG68" s="24"/>
      <c r="BH68" s="24"/>
      <c r="BI68" s="24"/>
      <c r="BJ68" s="24"/>
      <c r="BK68" s="24"/>
      <c r="BL68" s="24"/>
      <c r="BM68" s="24"/>
      <c r="BN68" s="115" t="n">
        <f aca="false">SUM(T68:BM68)</f>
        <v>198522</v>
      </c>
      <c r="BO68" s="24"/>
      <c r="BP68" s="115"/>
      <c r="BQ68" s="115"/>
      <c r="BR68" s="115" t="n">
        <f aca="false">IF(+R68-BN68+BP68&gt;0,R68-BN68+BP68,0)</f>
        <v>73853</v>
      </c>
      <c r="BT68" s="115" t="n">
        <f aca="false">+BN68+BR68</f>
        <v>272375</v>
      </c>
      <c r="BU68" s="24"/>
      <c r="BV68" s="115"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191</v>
      </c>
      <c r="C69" s="2"/>
      <c r="D69" s="2"/>
      <c r="E69" s="2"/>
      <c r="F69" s="2"/>
      <c r="G69" s="2"/>
      <c r="H69" s="2"/>
      <c r="I69" s="2"/>
      <c r="J69" s="3"/>
      <c r="K69" s="2"/>
      <c r="L69" s="188"/>
      <c r="M69" s="24"/>
      <c r="N69" s="24"/>
      <c r="O69" s="24"/>
      <c r="P69" s="24"/>
      <c r="Q69" s="24"/>
      <c r="R69" s="185"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15" t="n">
        <v>555814</v>
      </c>
      <c r="BA69" s="24"/>
      <c r="BB69" s="24"/>
      <c r="BC69" s="24"/>
      <c r="BD69" s="24"/>
      <c r="BE69" s="24"/>
      <c r="BF69" s="24"/>
      <c r="BG69" s="24"/>
      <c r="BH69" s="24"/>
      <c r="BI69" s="24"/>
      <c r="BJ69" s="24"/>
      <c r="BK69" s="24"/>
      <c r="BL69" s="24"/>
      <c r="BM69" s="24"/>
      <c r="BN69" s="115" t="n">
        <f aca="false">SUM(T69:BM69)</f>
        <v>555814</v>
      </c>
      <c r="BO69" s="24"/>
      <c r="BP69" s="115" t="n">
        <f aca="false">374050-294546</f>
        <v>79504</v>
      </c>
      <c r="BQ69" s="115"/>
      <c r="BR69" s="115" t="n">
        <f aca="false">IF(+R69-BN69+BP69&gt;0,R69-BN69+BP69,0)</f>
        <v>0</v>
      </c>
      <c r="BT69" s="115" t="n">
        <f aca="false">+BN69+BR69</f>
        <v>555814</v>
      </c>
      <c r="BU69" s="24"/>
      <c r="BV69" s="115"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192</v>
      </c>
      <c r="C70" s="2"/>
      <c r="D70" s="2"/>
      <c r="E70" s="2"/>
      <c r="F70" s="2"/>
      <c r="G70" s="2"/>
      <c r="H70" s="2"/>
      <c r="I70" s="2"/>
      <c r="J70" s="3"/>
      <c r="K70" s="2"/>
      <c r="L70" s="188"/>
      <c r="M70" s="24"/>
      <c r="N70" s="24"/>
      <c r="O70" s="24"/>
      <c r="P70" s="24"/>
      <c r="Q70" s="24"/>
      <c r="R70" s="185"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15" t="n">
        <v>116875</v>
      </c>
      <c r="AW70" s="24"/>
      <c r="AX70" s="24"/>
      <c r="AY70" s="24"/>
      <c r="AZ70" s="115" t="n">
        <f aca="false">259344-116875</f>
        <v>142469</v>
      </c>
      <c r="BA70" s="24"/>
      <c r="BB70" s="24"/>
      <c r="BC70" s="24"/>
      <c r="BD70" s="24"/>
      <c r="BE70" s="24"/>
      <c r="BF70" s="24"/>
      <c r="BG70" s="24"/>
      <c r="BH70" s="24"/>
      <c r="BI70" s="24"/>
      <c r="BJ70" s="24"/>
      <c r="BK70" s="24"/>
      <c r="BL70" s="24"/>
      <c r="BM70" s="24"/>
      <c r="BN70" s="115" t="n">
        <f aca="false">SUM(T70:BM70)</f>
        <v>259344</v>
      </c>
      <c r="BO70" s="24"/>
      <c r="BP70" s="115" t="n">
        <v>0</v>
      </c>
      <c r="BQ70" s="115"/>
      <c r="BR70" s="115" t="n">
        <f aca="false">IF(+R70-BN70+BP70&gt;0,R70-BN70+BP70,0)</f>
        <v>0</v>
      </c>
      <c r="BT70" s="115" t="n">
        <f aca="false">+BN70+BR70</f>
        <v>259344</v>
      </c>
      <c r="BU70" s="24"/>
      <c r="BV70" s="115"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193</v>
      </c>
      <c r="C71" s="2"/>
      <c r="D71" s="2"/>
      <c r="E71" s="2"/>
      <c r="F71" s="2"/>
      <c r="G71" s="2"/>
      <c r="H71" s="2"/>
      <c r="I71" s="2"/>
      <c r="J71" s="3"/>
      <c r="K71" s="2"/>
      <c r="L71" s="188"/>
      <c r="M71" s="24"/>
      <c r="N71" s="24"/>
      <c r="O71" s="24"/>
      <c r="P71" s="24"/>
      <c r="Q71" s="24"/>
      <c r="R71" s="185"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15" t="n">
        <f aca="false">29294+12922</f>
        <v>42216</v>
      </c>
      <c r="AW71" s="24"/>
      <c r="AX71" s="24"/>
      <c r="AY71" s="24"/>
      <c r="AZ71" s="115" t="n">
        <f aca="false">1404467-42216</f>
        <v>1362251</v>
      </c>
      <c r="BA71" s="24"/>
      <c r="BB71" s="24"/>
      <c r="BC71" s="24"/>
      <c r="BD71" s="24"/>
      <c r="BE71" s="24"/>
      <c r="BF71" s="24"/>
      <c r="BG71" s="24"/>
      <c r="BH71" s="24"/>
      <c r="BI71" s="24"/>
      <c r="BJ71" s="24"/>
      <c r="BK71" s="24"/>
      <c r="BL71" s="24"/>
      <c r="BM71" s="24"/>
      <c r="BN71" s="115" t="n">
        <f aca="false">SUM(T71:BM71)</f>
        <v>1404467</v>
      </c>
      <c r="BO71" s="24"/>
      <c r="BP71" s="115" t="n">
        <f aca="false">1569522-1115136</f>
        <v>454386</v>
      </c>
      <c r="BQ71" s="115"/>
      <c r="BR71" s="115" t="n">
        <f aca="false">IF(+R71-BN71+BP71&gt;0,R71-BN71+BP71,0)</f>
        <v>165055</v>
      </c>
      <c r="BT71" s="115" t="n">
        <f aca="false">+BN71+BR71</f>
        <v>1569522</v>
      </c>
      <c r="BU71" s="24"/>
      <c r="BV71" s="115"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194</v>
      </c>
      <c r="C72" s="2"/>
      <c r="D72" s="2"/>
      <c r="E72" s="2"/>
      <c r="F72" s="2"/>
      <c r="G72" s="2"/>
      <c r="H72" s="2"/>
      <c r="I72" s="2"/>
      <c r="J72" s="3"/>
      <c r="K72" s="2"/>
      <c r="L72" s="188"/>
      <c r="M72" s="24"/>
      <c r="N72" s="24"/>
      <c r="O72" s="24"/>
      <c r="P72" s="24"/>
      <c r="Q72" s="24"/>
      <c r="R72" s="185"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15" t="n">
        <v>286589</v>
      </c>
      <c r="AW72" s="24"/>
      <c r="AX72" s="24"/>
      <c r="AY72" s="24"/>
      <c r="AZ72" s="115" t="n">
        <f aca="false">577419-286589</f>
        <v>290830</v>
      </c>
      <c r="BA72" s="24"/>
      <c r="BB72" s="24"/>
      <c r="BC72" s="24"/>
      <c r="BD72" s="24"/>
      <c r="BE72" s="24"/>
      <c r="BF72" s="24"/>
      <c r="BG72" s="24"/>
      <c r="BH72" s="24"/>
      <c r="BI72" s="24"/>
      <c r="BJ72" s="24"/>
      <c r="BK72" s="24"/>
      <c r="BL72" s="24"/>
      <c r="BM72" s="24"/>
      <c r="BN72" s="115" t="n">
        <f aca="false">SUM(T72:BM72)</f>
        <v>577419</v>
      </c>
      <c r="BO72" s="24"/>
      <c r="BP72" s="115"/>
      <c r="BQ72" s="115"/>
      <c r="BR72" s="115" t="n">
        <f aca="false">IF(+R72-BN72+BP72&gt;0,R72-BN72+BP72,0)</f>
        <v>173691</v>
      </c>
      <c r="BT72" s="115" t="n">
        <f aca="false">+BN72+BR72</f>
        <v>751110</v>
      </c>
      <c r="BU72" s="24"/>
      <c r="BV72" s="115"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195</v>
      </c>
      <c r="C73" s="2"/>
      <c r="D73" s="2"/>
      <c r="E73" s="2"/>
      <c r="F73" s="2"/>
      <c r="G73" s="2"/>
      <c r="H73" s="2"/>
      <c r="I73" s="2"/>
      <c r="J73" s="3"/>
      <c r="K73" s="2"/>
      <c r="L73" s="188"/>
      <c r="M73" s="24"/>
      <c r="N73" s="24"/>
      <c r="O73" s="24"/>
      <c r="P73" s="24"/>
      <c r="Q73" s="24"/>
      <c r="R73" s="185"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15" t="n">
        <v>0</v>
      </c>
      <c r="AW73" s="24"/>
      <c r="AX73" s="24"/>
      <c r="AY73" s="24"/>
      <c r="AZ73" s="115" t="n">
        <v>22214</v>
      </c>
      <c r="BA73" s="24"/>
      <c r="BB73" s="24"/>
      <c r="BC73" s="24"/>
      <c r="BD73" s="24"/>
      <c r="BE73" s="24"/>
      <c r="BF73" s="24"/>
      <c r="BG73" s="24"/>
      <c r="BH73" s="24"/>
      <c r="BI73" s="24"/>
      <c r="BJ73" s="24"/>
      <c r="BK73" s="24"/>
      <c r="BL73" s="24"/>
      <c r="BM73" s="24"/>
      <c r="BN73" s="115" t="n">
        <f aca="false">SUM(T73:BM73)</f>
        <v>22214</v>
      </c>
      <c r="BO73" s="24"/>
      <c r="BP73" s="115" t="n">
        <f aca="false">108008-79049</f>
        <v>28959</v>
      </c>
      <c r="BQ73" s="115"/>
      <c r="BR73" s="115" t="n">
        <f aca="false">IF(+R73-BN73+BP73&gt;0,R73-BN73+BP73,0)</f>
        <v>85794</v>
      </c>
      <c r="BT73" s="115" t="n">
        <f aca="false">+BN73+BR73</f>
        <v>108008</v>
      </c>
      <c r="BU73" s="24"/>
      <c r="BV73" s="115"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196</v>
      </c>
      <c r="C74" s="2"/>
      <c r="D74" s="2"/>
      <c r="E74" s="2"/>
      <c r="F74" s="2"/>
      <c r="G74" s="2"/>
      <c r="H74" s="2"/>
      <c r="I74" s="2"/>
      <c r="J74" s="3"/>
      <c r="K74" s="2"/>
      <c r="L74" s="188"/>
      <c r="M74" s="24"/>
      <c r="N74" s="24"/>
      <c r="O74" s="24"/>
      <c r="P74" s="24"/>
      <c r="Q74" s="24"/>
      <c r="R74" s="185"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15" t="n">
        <v>11125</v>
      </c>
      <c r="AW74" s="24"/>
      <c r="AX74" s="24"/>
      <c r="AY74" s="24"/>
      <c r="AZ74" s="115" t="n">
        <f aca="false">15847-11125</f>
        <v>4722</v>
      </c>
      <c r="BA74" s="24"/>
      <c r="BB74" s="24"/>
      <c r="BC74" s="24"/>
      <c r="BD74" s="24"/>
      <c r="BE74" s="24"/>
      <c r="BF74" s="24"/>
      <c r="BG74" s="24"/>
      <c r="BH74" s="24"/>
      <c r="BI74" s="24"/>
      <c r="BJ74" s="24"/>
      <c r="BK74" s="24"/>
      <c r="BL74" s="24"/>
      <c r="BM74" s="24"/>
      <c r="BN74" s="115" t="n">
        <f aca="false">SUM(T74:BM74)</f>
        <v>15847</v>
      </c>
      <c r="BO74" s="24"/>
      <c r="BP74" s="115"/>
      <c r="BQ74" s="115"/>
      <c r="BR74" s="115" t="n">
        <f aca="false">IF(+R74-BN74+BP74&gt;0,R74-BN74+BP74,0)</f>
        <v>27653</v>
      </c>
      <c r="BT74" s="115" t="n">
        <f aca="false">+BN74+BR74</f>
        <v>43500</v>
      </c>
      <c r="BU74" s="24"/>
      <c r="BV74" s="115"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373</v>
      </c>
      <c r="C75" s="2"/>
      <c r="D75" s="2"/>
      <c r="E75" s="2"/>
      <c r="F75" s="2"/>
      <c r="G75" s="2"/>
      <c r="H75" s="2"/>
      <c r="I75" s="2"/>
      <c r="J75" s="3"/>
      <c r="K75" s="2"/>
      <c r="L75" s="188"/>
      <c r="M75" s="24"/>
      <c r="N75" s="24"/>
      <c r="O75" s="24"/>
      <c r="P75" s="24"/>
      <c r="Q75" s="24"/>
      <c r="R75" s="185"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15" t="n">
        <v>1183</v>
      </c>
      <c r="AW75" s="24"/>
      <c r="AX75" s="24"/>
      <c r="AY75" s="24"/>
      <c r="AZ75" s="115" t="n">
        <f aca="false">29878-1183</f>
        <v>28695</v>
      </c>
      <c r="BA75" s="24"/>
      <c r="BB75" s="24"/>
      <c r="BC75" s="24"/>
      <c r="BD75" s="24"/>
      <c r="BE75" s="24"/>
      <c r="BF75" s="24"/>
      <c r="BG75" s="24"/>
      <c r="BH75" s="24"/>
      <c r="BI75" s="24"/>
      <c r="BJ75" s="24"/>
      <c r="BK75" s="24"/>
      <c r="BL75" s="24"/>
      <c r="BM75" s="24"/>
      <c r="BN75" s="115" t="n">
        <f aca="false">SUM(T75:BM75)</f>
        <v>29878</v>
      </c>
      <c r="BO75" s="24"/>
      <c r="BP75" s="115" t="n">
        <f aca="false">101800-81956</f>
        <v>19844</v>
      </c>
      <c r="BQ75" s="115"/>
      <c r="BR75" s="115" t="n">
        <f aca="false">IF(+R75-BN75+BP75&gt;0,R75-BN75+BP75,0)</f>
        <v>71922</v>
      </c>
      <c r="BT75" s="115" t="n">
        <f aca="false">+BN75+BR75</f>
        <v>101800</v>
      </c>
      <c r="BU75" s="24"/>
      <c r="BV75" s="115"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198</v>
      </c>
      <c r="C76" s="2"/>
      <c r="D76" s="2"/>
      <c r="E76" s="2"/>
      <c r="F76" s="2"/>
      <c r="G76" s="2"/>
      <c r="H76" s="2"/>
      <c r="I76" s="2"/>
      <c r="J76" s="3"/>
      <c r="K76" s="2"/>
      <c r="L76" s="188"/>
      <c r="M76" s="24"/>
      <c r="N76" s="24"/>
      <c r="O76" s="24"/>
      <c r="P76" s="24"/>
      <c r="Q76" s="24"/>
      <c r="R76" s="185"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15" t="n">
        <f aca="false">SUM(T76:BM76)</f>
        <v>0</v>
      </c>
      <c r="BO76" s="24"/>
      <c r="BP76" s="115"/>
      <c r="BQ76" s="115"/>
      <c r="BR76" s="115" t="n">
        <f aca="false">IF(+R76-BN76+BP76&gt;0,R76-BN76+BP76,0)</f>
        <v>217350</v>
      </c>
      <c r="BT76" s="115" t="n">
        <f aca="false">+BN76+BR76</f>
        <v>217350</v>
      </c>
      <c r="BU76" s="24"/>
      <c r="BV76" s="115"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199</v>
      </c>
      <c r="C77" s="2"/>
      <c r="D77" s="2"/>
      <c r="E77" s="2"/>
      <c r="F77" s="2"/>
      <c r="G77" s="2"/>
      <c r="H77" s="2"/>
      <c r="I77" s="2"/>
      <c r="J77" s="3"/>
      <c r="K77" s="2"/>
      <c r="L77" s="188"/>
      <c r="M77" s="24"/>
      <c r="N77" s="24"/>
      <c r="O77" s="24"/>
      <c r="P77" s="24"/>
      <c r="Q77" s="24"/>
      <c r="R77" s="185"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15" t="n">
        <v>0</v>
      </c>
      <c r="AW77" s="24"/>
      <c r="AX77" s="24"/>
      <c r="AY77" s="24"/>
      <c r="AZ77" s="115" t="n">
        <v>9122</v>
      </c>
      <c r="BA77" s="24"/>
      <c r="BB77" s="24"/>
      <c r="BC77" s="24"/>
      <c r="BD77" s="24"/>
      <c r="BE77" s="24"/>
      <c r="BF77" s="24"/>
      <c r="BG77" s="24"/>
      <c r="BH77" s="24"/>
      <c r="BI77" s="24"/>
      <c r="BJ77" s="24"/>
      <c r="BK77" s="24"/>
      <c r="BL77" s="24"/>
      <c r="BM77" s="24"/>
      <c r="BN77" s="115" t="n">
        <f aca="false">SUM(T77:BM77)</f>
        <v>9122</v>
      </c>
      <c r="BO77" s="24"/>
      <c r="BP77" s="115" t="n">
        <f aca="false">200656-199748</f>
        <v>908</v>
      </c>
      <c r="BQ77" s="115"/>
      <c r="BR77" s="115" t="n">
        <f aca="false">IF(+R77-BN77+BP77&gt;0,R77-BN77+BP77,0)</f>
        <v>191534</v>
      </c>
      <c r="BT77" s="115" t="n">
        <f aca="false">+BN77+BR77</f>
        <v>200656</v>
      </c>
      <c r="BU77" s="24"/>
      <c r="BV77" s="115"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374</v>
      </c>
      <c r="C78" s="2"/>
      <c r="D78" s="2"/>
      <c r="E78" s="2"/>
      <c r="F78" s="2"/>
      <c r="G78" s="2"/>
      <c r="H78" s="2"/>
      <c r="I78" s="2"/>
      <c r="J78" s="3"/>
      <c r="K78" s="2"/>
      <c r="L78" s="188"/>
      <c r="M78" s="24"/>
      <c r="N78" s="24"/>
      <c r="O78" s="24"/>
      <c r="P78" s="24"/>
      <c r="Q78" s="24"/>
      <c r="R78" s="185"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15" t="n">
        <v>11300</v>
      </c>
      <c r="AW78" s="24"/>
      <c r="AX78" s="24"/>
      <c r="AY78" s="24"/>
      <c r="AZ78" s="115" t="n">
        <f aca="false">184450-11300</f>
        <v>173150</v>
      </c>
      <c r="BA78" s="24"/>
      <c r="BB78" s="24"/>
      <c r="BC78" s="24"/>
      <c r="BD78" s="24"/>
      <c r="BE78" s="24"/>
      <c r="BF78" s="24"/>
      <c r="BG78" s="24"/>
      <c r="BH78" s="24"/>
      <c r="BI78" s="24"/>
      <c r="BJ78" s="24"/>
      <c r="BK78" s="24"/>
      <c r="BL78" s="24"/>
      <c r="BM78" s="24"/>
      <c r="BN78" s="115" t="n">
        <f aca="false">SUM(T78:BM78)</f>
        <v>184450</v>
      </c>
      <c r="BO78" s="24"/>
      <c r="BP78" s="115"/>
      <c r="BQ78" s="115"/>
      <c r="BR78" s="115" t="n">
        <f aca="false">IF(+R78-BN78+BP78&gt;0,R78-BN78+BP78,0)</f>
        <v>205550</v>
      </c>
      <c r="BT78" s="115" t="n">
        <f aca="false">+BN78+BR78</f>
        <v>390000</v>
      </c>
      <c r="BU78" s="24"/>
      <c r="BV78" s="115"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91" t="s">
        <v>201</v>
      </c>
      <c r="C79" s="2"/>
      <c r="D79" s="2"/>
      <c r="E79" s="2"/>
      <c r="F79" s="2"/>
      <c r="G79" s="2"/>
      <c r="H79" s="2"/>
      <c r="I79" s="2"/>
      <c r="J79" s="3"/>
      <c r="K79" s="2"/>
      <c r="L79" s="188"/>
      <c r="M79" s="24"/>
      <c r="N79" s="24"/>
      <c r="O79" s="24"/>
      <c r="P79" s="24"/>
      <c r="Q79" s="24"/>
      <c r="R79" s="185"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15" t="n">
        <v>958</v>
      </c>
      <c r="AW79" s="24"/>
      <c r="AX79" s="24"/>
      <c r="AY79" s="24"/>
      <c r="AZ79" s="115" t="n">
        <f aca="false">21684-958</f>
        <v>20726</v>
      </c>
      <c r="BA79" s="24"/>
      <c r="BB79" s="24"/>
      <c r="BC79" s="24"/>
      <c r="BD79" s="24"/>
      <c r="BE79" s="24"/>
      <c r="BF79" s="24"/>
      <c r="BG79" s="24"/>
      <c r="BH79" s="24"/>
      <c r="BI79" s="24"/>
      <c r="BJ79" s="24"/>
      <c r="BK79" s="24"/>
      <c r="BL79" s="24"/>
      <c r="BM79" s="24"/>
      <c r="BN79" s="115" t="n">
        <f aca="false">SUM(T79:BM79)</f>
        <v>21684</v>
      </c>
      <c r="BO79" s="24"/>
      <c r="BP79" s="115" t="n">
        <f aca="false">369817-290544</f>
        <v>79273</v>
      </c>
      <c r="BQ79" s="115"/>
      <c r="BR79" s="115" t="n">
        <f aca="false">IF(+R79-BN79+BP79&gt;0,R79-BN79+BP79,0)</f>
        <v>348133</v>
      </c>
      <c r="BT79" s="115" t="n">
        <f aca="false">+BN79+BR79</f>
        <v>369817</v>
      </c>
      <c r="BU79" s="24"/>
      <c r="BV79" s="115"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91" t="s">
        <v>202</v>
      </c>
      <c r="C80" s="2"/>
      <c r="D80" s="2"/>
      <c r="E80" s="2"/>
      <c r="F80" s="2"/>
      <c r="G80" s="2"/>
      <c r="H80" s="2"/>
      <c r="I80" s="2"/>
      <c r="J80" s="3"/>
      <c r="K80" s="2"/>
      <c r="L80" s="188"/>
      <c r="M80" s="24"/>
      <c r="N80" s="24"/>
      <c r="O80" s="24"/>
      <c r="P80" s="24"/>
      <c r="Q80" s="24"/>
      <c r="R80" s="185"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15" t="n">
        <v>148038</v>
      </c>
      <c r="BA80" s="24"/>
      <c r="BB80" s="24"/>
      <c r="BC80" s="24"/>
      <c r="BD80" s="24"/>
      <c r="BE80" s="24"/>
      <c r="BF80" s="24"/>
      <c r="BG80" s="24"/>
      <c r="BH80" s="24"/>
      <c r="BI80" s="24"/>
      <c r="BJ80" s="24"/>
      <c r="BK80" s="24"/>
      <c r="BL80" s="24"/>
      <c r="BM80" s="24"/>
      <c r="BN80" s="115" t="n">
        <f aca="false">SUM(T80:BM80)</f>
        <v>148038</v>
      </c>
      <c r="BO80" s="24"/>
      <c r="BP80" s="115" t="n">
        <f aca="false">1887865-1025638</f>
        <v>862227</v>
      </c>
      <c r="BQ80" s="115"/>
      <c r="BR80" s="115" t="n">
        <f aca="false">IF(+R80-BN80+BP80&gt;0,R80-BN80+BP80,0)</f>
        <v>1739827</v>
      </c>
      <c r="BT80" s="115" t="n">
        <f aca="false">+BN80+BR80</f>
        <v>1887865</v>
      </c>
      <c r="BU80" s="24"/>
      <c r="BV80" s="115"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1" t="s">
        <v>375</v>
      </c>
      <c r="C81" s="2"/>
      <c r="D81" s="2"/>
      <c r="E81" s="2"/>
      <c r="F81" s="2"/>
      <c r="G81" s="2"/>
      <c r="H81" s="2"/>
      <c r="I81" s="2"/>
      <c r="J81" s="3"/>
      <c r="K81" s="2"/>
      <c r="L81" s="188"/>
      <c r="M81" s="24"/>
      <c r="N81" s="24"/>
      <c r="O81" s="24"/>
      <c r="P81" s="24"/>
      <c r="Q81" s="24"/>
      <c r="R81" s="185"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15" t="n">
        <f aca="false">SUM(T81:BM81)</f>
        <v>0</v>
      </c>
      <c r="BO81" s="24"/>
      <c r="BP81" s="115" t="n">
        <f aca="false">382731-347524</f>
        <v>35207</v>
      </c>
      <c r="BQ81" s="115"/>
      <c r="BR81" s="115" t="n">
        <f aca="false">IF(+R81-BN81+BP81&gt;0,R81-BN81+BP81,0)</f>
        <v>382731</v>
      </c>
      <c r="BT81" s="115" t="n">
        <f aca="false">+BN81+BR81</f>
        <v>382731</v>
      </c>
      <c r="BU81" s="24"/>
      <c r="BV81" s="115"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204</v>
      </c>
      <c r="C82" s="2"/>
      <c r="D82" s="2"/>
      <c r="E82" s="2"/>
      <c r="F82" s="2"/>
      <c r="G82" s="2"/>
      <c r="H82" s="2"/>
      <c r="I82" s="2"/>
      <c r="J82" s="3"/>
      <c r="K82" s="2"/>
      <c r="L82" s="188"/>
      <c r="M82" s="24"/>
      <c r="N82" s="24"/>
      <c r="O82" s="24"/>
      <c r="P82" s="24"/>
      <c r="Q82" s="24"/>
      <c r="R82" s="185"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15" t="n">
        <v>0</v>
      </c>
      <c r="BA82" s="24"/>
      <c r="BB82" s="24"/>
      <c r="BC82" s="24"/>
      <c r="BD82" s="24"/>
      <c r="BE82" s="24"/>
      <c r="BF82" s="24"/>
      <c r="BG82" s="24"/>
      <c r="BH82" s="24"/>
      <c r="BI82" s="24"/>
      <c r="BJ82" s="24"/>
      <c r="BK82" s="24"/>
      <c r="BL82" s="24"/>
      <c r="BM82" s="24"/>
      <c r="BN82" s="115" t="n">
        <f aca="false">SUM(T82:BM82)</f>
        <v>0</v>
      </c>
      <c r="BO82" s="24"/>
      <c r="BP82" s="115" t="n">
        <v>0</v>
      </c>
      <c r="BQ82" s="115"/>
      <c r="BR82" s="115" t="n">
        <f aca="false">IF(+R82-BN82+BP82&gt;0,R82-BN82+BP82,0)</f>
        <v>564947</v>
      </c>
      <c r="BT82" s="115" t="n">
        <f aca="false">+BN82+BR82</f>
        <v>564947</v>
      </c>
      <c r="BU82" s="24"/>
      <c r="BV82" s="115"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205</v>
      </c>
      <c r="C83" s="2"/>
      <c r="D83" s="2"/>
      <c r="E83" s="2"/>
      <c r="F83" s="2"/>
      <c r="G83" s="2"/>
      <c r="H83" s="2"/>
      <c r="I83" s="2"/>
      <c r="J83" s="3"/>
      <c r="K83" s="2"/>
      <c r="L83" s="188"/>
      <c r="M83" s="24"/>
      <c r="N83" s="24"/>
      <c r="O83" s="24"/>
      <c r="P83" s="24"/>
      <c r="Q83" s="24"/>
      <c r="R83" s="185"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15" t="n">
        <v>1953</v>
      </c>
      <c r="AW83" s="24"/>
      <c r="AX83" s="24"/>
      <c r="AY83" s="24"/>
      <c r="AZ83" s="115" t="n">
        <f aca="false">684606-1953</f>
        <v>682653</v>
      </c>
      <c r="BA83" s="24"/>
      <c r="BB83" s="24"/>
      <c r="BC83" s="24"/>
      <c r="BD83" s="24"/>
      <c r="BE83" s="24"/>
      <c r="BF83" s="24"/>
      <c r="BG83" s="24"/>
      <c r="BH83" s="24"/>
      <c r="BI83" s="24"/>
      <c r="BJ83" s="24"/>
      <c r="BK83" s="24"/>
      <c r="BL83" s="24"/>
      <c r="BM83" s="24"/>
      <c r="BN83" s="115" t="n">
        <f aca="false">SUM(T83:BM83)</f>
        <v>684606</v>
      </c>
      <c r="BO83" s="24"/>
      <c r="BP83" s="115" t="n">
        <f aca="false">4361334-3436815</f>
        <v>924519</v>
      </c>
      <c r="BQ83" s="115"/>
      <c r="BR83" s="115" t="n">
        <f aca="false">IF(+R83-BN83+BP83&gt;0,R83-BN83+BP83,0)</f>
        <v>3676728</v>
      </c>
      <c r="BT83" s="115" t="n">
        <f aca="false">+BN83+BR83</f>
        <v>4361334</v>
      </c>
      <c r="BU83" s="24"/>
      <c r="BV83" s="115"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91" t="s">
        <v>376</v>
      </c>
      <c r="C84" s="2"/>
      <c r="D84" s="2"/>
      <c r="E84" s="2"/>
      <c r="F84" s="2"/>
      <c r="G84" s="2"/>
      <c r="H84" s="2"/>
      <c r="I84" s="2"/>
      <c r="J84" s="3"/>
      <c r="K84" s="2"/>
      <c r="L84" s="188"/>
      <c r="M84" s="24"/>
      <c r="N84" s="24"/>
      <c r="O84" s="24"/>
      <c r="P84" s="24"/>
      <c r="Q84" s="24"/>
      <c r="R84" s="185"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15" t="n">
        <v>72428</v>
      </c>
      <c r="BA84" s="24"/>
      <c r="BB84" s="24"/>
      <c r="BC84" s="24"/>
      <c r="BD84" s="24"/>
      <c r="BE84" s="24"/>
      <c r="BF84" s="24"/>
      <c r="BG84" s="24"/>
      <c r="BH84" s="24"/>
      <c r="BI84" s="24"/>
      <c r="BJ84" s="24"/>
      <c r="BK84" s="24"/>
      <c r="BL84" s="24"/>
      <c r="BM84" s="24"/>
      <c r="BN84" s="115" t="n">
        <f aca="false">SUM(T84:BM84)</f>
        <v>72428</v>
      </c>
      <c r="BO84" s="24"/>
      <c r="BP84" s="115" t="n">
        <f aca="false">836221-582144</f>
        <v>254077</v>
      </c>
      <c r="BQ84" s="115"/>
      <c r="BR84" s="115" t="n">
        <f aca="false">IF(+R84-BN84+BP84&gt;0,R84-BN84+BP84,0)</f>
        <v>763793</v>
      </c>
      <c r="BT84" s="115" t="n">
        <f aca="false">+BN84+BR84</f>
        <v>836221</v>
      </c>
      <c r="BU84" s="24"/>
      <c r="BV84" s="115"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3"/>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15" t="n">
        <f aca="false">IF(+R85-BN85+BP85&gt;0,R85-BN85+BP85,0)</f>
        <v>0</v>
      </c>
      <c r="BT85" s="115" t="n">
        <f aca="false">+BN85+BR85</f>
        <v>0</v>
      </c>
      <c r="BU85" s="24"/>
      <c r="BV85" s="115"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211</v>
      </c>
      <c r="C86" s="2"/>
      <c r="D86" s="2"/>
      <c r="E86" s="2"/>
      <c r="F86" s="2"/>
      <c r="G86" s="2"/>
      <c r="H86" s="2"/>
      <c r="I86" s="2"/>
      <c r="J86" s="3"/>
      <c r="K86" s="2"/>
      <c r="L86" s="188"/>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2" t="s">
        <v>212</v>
      </c>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3" t="s">
        <v>213</v>
      </c>
      <c r="C89" s="2"/>
      <c r="D89" s="2"/>
      <c r="E89" s="2"/>
      <c r="F89" s="2"/>
      <c r="G89" s="2"/>
      <c r="H89" s="2"/>
      <c r="I89" s="2"/>
      <c r="J89" s="3"/>
      <c r="K89" s="2"/>
      <c r="L89" s="188"/>
      <c r="M89" s="24"/>
      <c r="N89" s="24"/>
      <c r="O89" s="24"/>
      <c r="P89" s="24"/>
      <c r="Q89" s="24"/>
      <c r="R89" s="185"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15" t="n">
        <v>848349</v>
      </c>
      <c r="AW89" s="24"/>
      <c r="AX89" s="24"/>
      <c r="AY89" s="24"/>
      <c r="AZ89" s="115" t="n">
        <f aca="false">8708878-848349</f>
        <v>7860529</v>
      </c>
      <c r="BA89" s="24"/>
      <c r="BB89" s="24"/>
      <c r="BC89" s="24"/>
      <c r="BD89" s="24"/>
      <c r="BE89" s="24"/>
      <c r="BF89" s="24"/>
      <c r="BG89" s="24"/>
      <c r="BH89" s="24"/>
      <c r="BI89" s="24"/>
      <c r="BJ89" s="24"/>
      <c r="BK89" s="24"/>
      <c r="BL89" s="24"/>
      <c r="BM89" s="24"/>
      <c r="BN89" s="115" t="n">
        <f aca="false">SUM(T89:BM89)</f>
        <v>8708878</v>
      </c>
      <c r="BO89" s="24"/>
      <c r="BP89" s="115" t="n">
        <f aca="false">12136758-9230000</f>
        <v>2906758</v>
      </c>
      <c r="BQ89" s="115"/>
      <c r="BR89" s="115" t="n">
        <f aca="false">IF(+R89-BN89+BP89&gt;0,R89-BN89+BP89,0)</f>
        <v>3427880</v>
      </c>
      <c r="BT89" s="115" t="n">
        <f aca="false">+BN89+BR89</f>
        <v>12136758</v>
      </c>
      <c r="BU89" s="24"/>
      <c r="BV89" s="115"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9" t="s">
        <v>214</v>
      </c>
      <c r="C91" s="2"/>
      <c r="D91" s="2"/>
      <c r="E91" s="2"/>
      <c r="F91" s="2"/>
      <c r="G91" s="2"/>
      <c r="H91" s="2"/>
      <c r="I91" s="2"/>
      <c r="J91" s="3"/>
      <c r="K91" s="2"/>
      <c r="L91" s="188"/>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9"/>
      <c r="C92" s="2"/>
      <c r="D92" s="2"/>
      <c r="E92" s="2"/>
      <c r="F92" s="2"/>
      <c r="G92" s="2"/>
      <c r="H92" s="2"/>
      <c r="I92" s="2"/>
      <c r="J92" s="3"/>
      <c r="K92" s="2"/>
      <c r="L92" s="188"/>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2" t="s">
        <v>377</v>
      </c>
      <c r="C93" s="2"/>
      <c r="D93" s="2"/>
      <c r="E93" s="2"/>
      <c r="F93" s="2"/>
      <c r="G93" s="2"/>
      <c r="H93" s="2"/>
      <c r="I93" s="2"/>
      <c r="J93" s="3"/>
      <c r="K93" s="2"/>
      <c r="L93" s="188"/>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15" t="n">
        <f aca="false">SUM(T93:BM93)</f>
        <v>0</v>
      </c>
      <c r="BO93" s="24"/>
      <c r="BP93" s="24"/>
      <c r="BQ93" s="24"/>
      <c r="BR93" s="115" t="n">
        <v>-3387761</v>
      </c>
      <c r="BS93" s="24"/>
      <c r="BT93" s="115" t="n">
        <v>-3387761</v>
      </c>
      <c r="BU93" s="24"/>
      <c r="BV93" s="115"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9"/>
      <c r="C94" s="2"/>
      <c r="D94" s="2"/>
      <c r="E94" s="2"/>
      <c r="F94" s="2"/>
      <c r="G94" s="2"/>
      <c r="H94" s="2"/>
      <c r="I94" s="2"/>
      <c r="J94" s="3"/>
      <c r="K94" s="2"/>
      <c r="L94" s="188"/>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2" t="s">
        <v>378</v>
      </c>
      <c r="C95" s="2"/>
      <c r="D95" s="2"/>
      <c r="E95" s="2"/>
      <c r="F95" s="2"/>
      <c r="G95" s="2"/>
      <c r="H95" s="2"/>
      <c r="I95" s="2"/>
      <c r="J95" s="3"/>
      <c r="K95" s="2"/>
      <c r="L95" s="188"/>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15" t="n">
        <f aca="false">-5344605+5295206-291068</f>
        <v>-340467</v>
      </c>
      <c r="AW95" s="24"/>
      <c r="AX95" s="24" t="n">
        <v>6512226</v>
      </c>
      <c r="AY95" s="24"/>
      <c r="AZ95" s="24" t="n">
        <v>-9645865</v>
      </c>
      <c r="BA95" s="24"/>
      <c r="BB95" s="24" t="n">
        <v>7581129</v>
      </c>
      <c r="BC95" s="24"/>
      <c r="BD95" s="24"/>
      <c r="BE95" s="24"/>
      <c r="BF95" s="24"/>
      <c r="BG95" s="24"/>
      <c r="BH95" s="24"/>
      <c r="BI95" s="24"/>
      <c r="BJ95" s="24"/>
      <c r="BK95" s="24"/>
      <c r="BL95" s="24"/>
      <c r="BM95" s="24"/>
      <c r="BN95" s="115" t="n">
        <f aca="false">SUM(T95:BM95)</f>
        <v>9451627.56</v>
      </c>
      <c r="BO95" s="24"/>
      <c r="BP95" s="24"/>
      <c r="BQ95" s="24"/>
      <c r="BR95" s="24" t="n">
        <v>-9451628</v>
      </c>
      <c r="BS95" s="24"/>
      <c r="BT95" s="115" t="n">
        <f aca="false">+BN95+BR95</f>
        <v>-0.440000001341105</v>
      </c>
      <c r="BU95" s="24"/>
      <c r="BV95" s="115" t="n">
        <f aca="false">+R95-BT95</f>
        <v>0.440000001341105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c r="C96" s="2"/>
      <c r="D96" s="2"/>
      <c r="E96" s="2"/>
      <c r="F96" s="2"/>
      <c r="G96" s="2"/>
      <c r="H96" s="2"/>
      <c r="I96" s="2"/>
      <c r="J96" s="3"/>
      <c r="K96" s="2"/>
      <c r="L96" s="188"/>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5"/>
      <c r="B97" s="196" t="s">
        <v>218</v>
      </c>
      <c r="C97" s="197"/>
      <c r="D97" s="197"/>
      <c r="E97" s="197"/>
      <c r="F97" s="197"/>
      <c r="G97" s="197"/>
      <c r="H97" s="197"/>
      <c r="I97" s="197"/>
      <c r="J97" s="198"/>
      <c r="K97" s="197"/>
      <c r="L97" s="199"/>
      <c r="M97" s="200"/>
      <c r="N97" s="201" t="n">
        <f aca="false">SUM(N41:N96)</f>
        <v>0</v>
      </c>
      <c r="O97" s="200"/>
      <c r="P97" s="201" t="n">
        <f aca="false">SUM(P41:P96)</f>
        <v>0</v>
      </c>
      <c r="Q97" s="200"/>
      <c r="R97" s="201" t="n">
        <f aca="false">R91+R86+R63+R54+R95</f>
        <v>41741400</v>
      </c>
      <c r="S97" s="201" t="n">
        <f aca="false">S91+S86+S63+S54+S95</f>
        <v>0</v>
      </c>
      <c r="T97" s="201" t="n">
        <f aca="false">T91+T86+T63+T54+T95</f>
        <v>0</v>
      </c>
      <c r="U97" s="201" t="n">
        <f aca="false">U91+U86+U63+U54+U95</f>
        <v>0</v>
      </c>
      <c r="V97" s="201" t="n">
        <f aca="false">V91+V86+V63+V54+V95</f>
        <v>0</v>
      </c>
      <c r="W97" s="201" t="n">
        <f aca="false">W91+W86+W63+W54+W95</f>
        <v>0</v>
      </c>
      <c r="X97" s="201" t="n">
        <f aca="false">X91+X86+X63+X54+X95</f>
        <v>0</v>
      </c>
      <c r="Y97" s="201" t="n">
        <f aca="false">Y91+Y86+Y63+Y54+Y95</f>
        <v>0</v>
      </c>
      <c r="Z97" s="201" t="n">
        <f aca="false">Z91+Z86+Z63+Z54+Z95</f>
        <v>0</v>
      </c>
      <c r="AA97" s="201" t="n">
        <f aca="false">AA91+AA86+AA63+AA54+AA95</f>
        <v>0</v>
      </c>
      <c r="AB97" s="201" t="n">
        <f aca="false">AB91+AB86+AB63+AB54+AB95</f>
        <v>0</v>
      </c>
      <c r="AC97" s="201" t="n">
        <f aca="false">AC91+AC86+AC63+AC54+AC95</f>
        <v>0</v>
      </c>
      <c r="AD97" s="201" t="n">
        <f aca="false">AD91+AD86+AD63+AD54+AD95</f>
        <v>0</v>
      </c>
      <c r="AE97" s="201" t="n">
        <f aca="false">AE91+AE86+AE63+AE54+AE95</f>
        <v>0</v>
      </c>
      <c r="AF97" s="201" t="n">
        <f aca="false">AF91+AF86+AF63+AF54+AF95</f>
        <v>0</v>
      </c>
      <c r="AG97" s="201" t="n">
        <f aca="false">AG91+AG86+AG63+AG54+AG95</f>
        <v>0</v>
      </c>
      <c r="AH97" s="201" t="n">
        <f aca="false">AH91+AH86+AH63+AH54+AH95</f>
        <v>0</v>
      </c>
      <c r="AI97" s="201"/>
      <c r="AJ97" s="201" t="n">
        <f aca="false">AJ91+AJ86+AJ63+AJ54+AJ95</f>
        <v>0</v>
      </c>
      <c r="AK97" s="201"/>
      <c r="AL97" s="201" t="n">
        <f aca="false">AL91+AL86+AL63+AL54+AL95</f>
        <v>0</v>
      </c>
      <c r="AM97" s="201"/>
      <c r="AN97" s="201" t="n">
        <f aca="false">AN91+AN86+AN63+AN54+AN95</f>
        <v>0</v>
      </c>
      <c r="AO97" s="201"/>
      <c r="AP97" s="201" t="n">
        <f aca="false">AP91+AP86+AP63+AP54+AP95</f>
        <v>0</v>
      </c>
      <c r="AQ97" s="201"/>
      <c r="AR97" s="201" t="n">
        <f aca="false">AR91+AR86+AR63+AR54+AR95</f>
        <v>6054031.56</v>
      </c>
      <c r="AS97" s="201" t="n">
        <f aca="false">AS91+AS86+AS63+AS54+AS95</f>
        <v>0</v>
      </c>
      <c r="AT97" s="201" t="n">
        <f aca="false">AT91+AT86+AT63+AT54+AT95</f>
        <v>0</v>
      </c>
      <c r="AU97" s="201" t="n">
        <f aca="false">AU91+AU86+AU63+AU54+AU95</f>
        <v>0</v>
      </c>
      <c r="AV97" s="201" t="n">
        <f aca="false">AV91+AV86+AV63+AV54+AV95+AV93</f>
        <v>5295206</v>
      </c>
      <c r="AW97" s="201" t="n">
        <f aca="false">AW91+AW86+AW63+AW54+AW95+AW93</f>
        <v>0</v>
      </c>
      <c r="AX97" s="201" t="n">
        <f aca="false">AX91+AX86+AX63+AX54+AX95+AX93</f>
        <v>6512226</v>
      </c>
      <c r="AY97" s="201" t="n">
        <f aca="false">AY91+AY86+AY63+AY54+AY95+AY93</f>
        <v>0</v>
      </c>
      <c r="AZ97" s="201" t="n">
        <f aca="false">AZ91+AZ86+AZ63+AZ54+AZ95+AZ93</f>
        <v>8178457</v>
      </c>
      <c r="BA97" s="201" t="n">
        <f aca="false">BA91+BA86+BA63+BA54+BA95+BA93</f>
        <v>0</v>
      </c>
      <c r="BB97" s="201" t="n">
        <f aca="false">BB91+BB86+BB63+BB54+BB95+BB93</f>
        <v>7581129</v>
      </c>
      <c r="BC97" s="201" t="n">
        <f aca="false">BC91+BC86+BC63+BC54+BC95+BC93</f>
        <v>0</v>
      </c>
      <c r="BD97" s="201" t="n">
        <f aca="false">BD91+BD86+BD63+BD54+BD95+BD93</f>
        <v>0</v>
      </c>
      <c r="BE97" s="201" t="n">
        <f aca="false">BE91+BE86+BE63+BE54+BE95+BE93</f>
        <v>0</v>
      </c>
      <c r="BF97" s="201" t="n">
        <f aca="false">BF91+BF86+BF63+BF54+BF95+BF93</f>
        <v>0</v>
      </c>
      <c r="BG97" s="201" t="n">
        <f aca="false">BG91+BG86+BG63+BG54+BG95+BG93</f>
        <v>0</v>
      </c>
      <c r="BH97" s="201" t="n">
        <f aca="false">BH91+BH86+BH63+BH54+BH95+BH93</f>
        <v>0</v>
      </c>
      <c r="BI97" s="201" t="n">
        <f aca="false">BI91+BI86+BI63+BI54+BI95+BI93</f>
        <v>0</v>
      </c>
      <c r="BJ97" s="201" t="n">
        <f aca="false">BJ91+BJ86+BJ63+BJ54+BJ95+BJ93</f>
        <v>0</v>
      </c>
      <c r="BK97" s="201" t="n">
        <f aca="false">BK91+BK86+BK63+BK54+BK95+BK93</f>
        <v>0</v>
      </c>
      <c r="BL97" s="201" t="n">
        <f aca="false">BL91+BL86+BL63+BL54+BL95+BL93</f>
        <v>0</v>
      </c>
      <c r="BM97" s="201" t="n">
        <f aca="false">BM91+BM86+BM63+BM54+BM95+BM93</f>
        <v>0</v>
      </c>
      <c r="BN97" s="201" t="n">
        <f aca="false">BN91+BN86+BN63+BN54+BN95+BN93</f>
        <v>33621049.56</v>
      </c>
      <c r="BO97" s="201" t="n">
        <f aca="false">BO91+BO86+BO63+BO54+BO95+BO93</f>
        <v>0</v>
      </c>
      <c r="BP97" s="201" t="n">
        <f aca="false">BP91+BP86+BP63+BP54+BP95+BP93</f>
        <v>6991112</v>
      </c>
      <c r="BQ97" s="201" t="n">
        <f aca="false">BQ91+BQ86+BQ63+BQ54+BQ95+BQ93</f>
        <v>0</v>
      </c>
      <c r="BR97" s="201" t="n">
        <f aca="false">BR91+BR86+BR63+BR54+BR95+BR93</f>
        <v>16394648</v>
      </c>
      <c r="BS97" s="201" t="n">
        <f aca="false">BS91+BS86+BS63+BS54+BS95+BS93</f>
        <v>0</v>
      </c>
      <c r="BT97" s="201" t="n">
        <f aca="false">BT91+BT86+BT63+BT54+BT95+BT93</f>
        <v>46708906.56</v>
      </c>
      <c r="BU97" s="201" t="n">
        <f aca="false">BU91+BU86+BU63+BU54+BU95+BU93</f>
        <v>0</v>
      </c>
      <c r="BV97" s="201" t="n">
        <f aca="false">BV91+BV86+BV63+BV54+BV95+BV93</f>
        <v>-4967506.56</v>
      </c>
      <c r="BW97" s="201" t="n">
        <f aca="false">BW91+BW86+BW63+BW54+BW95+BW93</f>
        <v>0</v>
      </c>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197"/>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197"/>
      <c r="ES97" s="197"/>
      <c r="ET97" s="197"/>
      <c r="EU97" s="197"/>
      <c r="EV97" s="197"/>
      <c r="EW97" s="197"/>
      <c r="EX97" s="197"/>
      <c r="EY97" s="197"/>
      <c r="EZ97" s="197"/>
      <c r="FA97" s="197"/>
      <c r="FB97" s="197"/>
      <c r="FC97" s="197"/>
      <c r="FD97" s="197"/>
      <c r="FE97" s="197"/>
      <c r="FF97" s="197"/>
      <c r="FG97" s="197"/>
      <c r="FH97" s="197"/>
      <c r="FI97" s="197"/>
      <c r="FJ97" s="197"/>
      <c r="FK97" s="197"/>
      <c r="FL97" s="197"/>
      <c r="FM97" s="197"/>
      <c r="FN97" s="197"/>
      <c r="FO97" s="197"/>
      <c r="FP97" s="197"/>
      <c r="FQ97" s="197"/>
      <c r="FR97" s="197"/>
      <c r="FS97" s="197"/>
      <c r="FT97" s="197"/>
      <c r="FU97" s="197"/>
      <c r="FV97" s="197"/>
      <c r="FW97" s="197"/>
      <c r="FX97" s="197"/>
      <c r="FY97" s="197"/>
      <c r="FZ97" s="197"/>
      <c r="GA97" s="197"/>
      <c r="GB97" s="197"/>
      <c r="GC97" s="197"/>
      <c r="GD97" s="197"/>
      <c r="GE97" s="197"/>
      <c r="GF97" s="197"/>
      <c r="GG97" s="197"/>
      <c r="GH97" s="197"/>
      <c r="GI97" s="197"/>
      <c r="GJ97" s="197"/>
      <c r="GK97" s="197"/>
      <c r="GL97" s="197"/>
      <c r="GM97" s="197"/>
      <c r="GN97" s="197"/>
      <c r="GO97" s="197"/>
      <c r="GP97" s="197"/>
      <c r="GQ97" s="197"/>
      <c r="GR97" s="197"/>
      <c r="GS97" s="197"/>
      <c r="GT97" s="197"/>
      <c r="GU97" s="197"/>
      <c r="GV97" s="197"/>
      <c r="GW97" s="197"/>
      <c r="GX97" s="197"/>
      <c r="GY97" s="197"/>
      <c r="GZ97" s="197"/>
      <c r="HA97" s="197"/>
      <c r="HB97" s="197"/>
      <c r="HC97" s="197"/>
      <c r="HD97" s="197"/>
      <c r="HE97" s="197"/>
      <c r="HF97" s="197"/>
      <c r="HG97" s="197"/>
      <c r="HH97" s="197"/>
      <c r="HI97" s="197"/>
      <c r="HJ97" s="197"/>
      <c r="HK97" s="197"/>
      <c r="HL97" s="197"/>
      <c r="HM97" s="197"/>
      <c r="HN97" s="197"/>
      <c r="HO97" s="197"/>
      <c r="HP97" s="197"/>
      <c r="HQ97" s="197"/>
      <c r="HR97" s="197"/>
      <c r="HS97" s="197"/>
      <c r="HT97" s="197"/>
      <c r="HU97" s="197"/>
      <c r="HV97" s="197"/>
      <c r="HW97" s="197"/>
      <c r="HX97" s="197"/>
      <c r="HY97" s="197"/>
      <c r="HZ97" s="197"/>
      <c r="IA97" s="197"/>
      <c r="IB97" s="197"/>
      <c r="IC97" s="197"/>
      <c r="ID97" s="197"/>
      <c r="IE97" s="197"/>
      <c r="IF97" s="197"/>
      <c r="IG97" s="197"/>
      <c r="IH97" s="197"/>
      <c r="II97" s="197"/>
      <c r="IJ97" s="197"/>
      <c r="IK97" s="197"/>
      <c r="IL97" s="197"/>
      <c r="IM97" s="197"/>
      <c r="IN97" s="197"/>
      <c r="IO97" s="197"/>
      <c r="IP97" s="197"/>
      <c r="IQ97" s="197"/>
      <c r="IR97" s="197"/>
      <c r="IS97" s="197"/>
      <c r="IT97" s="197"/>
      <c r="IU97" s="197"/>
      <c r="IV97" s="197"/>
      <c r="IW97" s="197"/>
    </row>
    <row r="98" customFormat="false" ht="12.75" hidden="false" customHeight="false" outlineLevel="0" collapsed="false">
      <c r="A98" s="171"/>
      <c r="B98" s="165"/>
      <c r="C98" s="0"/>
      <c r="D98" s="0"/>
      <c r="E98" s="0"/>
      <c r="F98" s="0"/>
      <c r="G98" s="0"/>
      <c r="H98" s="0"/>
      <c r="I98" s="0"/>
      <c r="J98" s="4"/>
      <c r="K98" s="0"/>
      <c r="L98" s="169"/>
      <c r="M98" s="115"/>
      <c r="O98" s="115"/>
      <c r="Q98" s="115"/>
      <c r="S98" s="115"/>
      <c r="T98" s="115"/>
      <c r="U98" s="115"/>
      <c r="V98" s="115"/>
      <c r="X98" s="115"/>
      <c r="Z98" s="115"/>
      <c r="AB98" s="115"/>
      <c r="AD98" s="115"/>
      <c r="BL98" s="115"/>
      <c r="BM98" s="115"/>
      <c r="BO98" s="115"/>
      <c r="BP98" s="115"/>
      <c r="BQ98" s="115"/>
      <c r="BW98" s="115"/>
    </row>
    <row r="99" customFormat="false" ht="12.75" hidden="false" customHeight="false" outlineLevel="0" collapsed="false">
      <c r="A99" s="182" t="s">
        <v>219</v>
      </c>
      <c r="B99" s="174"/>
      <c r="C99" s="0"/>
      <c r="D99" s="0"/>
      <c r="E99" s="0"/>
      <c r="F99" s="0"/>
      <c r="G99" s="0"/>
      <c r="H99" s="0"/>
      <c r="I99" s="0"/>
      <c r="J99" s="4"/>
      <c r="K99" s="0"/>
      <c r="L99" s="169"/>
      <c r="M99" s="115"/>
      <c r="O99" s="115"/>
      <c r="Q99" s="115"/>
      <c r="S99" s="115"/>
      <c r="T99" s="115"/>
      <c r="U99" s="115"/>
      <c r="V99" s="115"/>
      <c r="X99" s="115"/>
      <c r="Z99" s="115"/>
      <c r="AB99" s="115"/>
      <c r="AD99" s="115"/>
      <c r="BL99" s="115"/>
      <c r="BM99" s="115"/>
      <c r="BO99" s="115"/>
      <c r="BP99" s="115"/>
      <c r="BQ99" s="115"/>
      <c r="BW99" s="115"/>
    </row>
    <row r="100" customFormat="false" ht="12.75" hidden="false" customHeight="false" outlineLevel="0" collapsed="false">
      <c r="A100" s="202"/>
      <c r="B100" s="165" t="s">
        <v>220</v>
      </c>
      <c r="C100" s="0"/>
      <c r="D100" s="0"/>
      <c r="E100" s="0"/>
      <c r="F100" s="0"/>
      <c r="G100" s="0"/>
      <c r="H100" s="0"/>
      <c r="I100" s="0"/>
      <c r="J100" s="4" t="s">
        <v>221</v>
      </c>
      <c r="K100" s="0"/>
      <c r="L100" s="169" t="s">
        <v>142</v>
      </c>
      <c r="M100" s="115"/>
      <c r="N100" s="115" t="n">
        <v>0</v>
      </c>
      <c r="O100" s="115"/>
      <c r="P100" s="115" t="n">
        <v>0</v>
      </c>
      <c r="Q100" s="115"/>
      <c r="R100" s="115" t="n">
        <v>929800</v>
      </c>
      <c r="S100" s="115"/>
      <c r="T100" s="115" t="n">
        <v>0</v>
      </c>
      <c r="U100" s="115"/>
      <c r="V100" s="115" t="n">
        <v>0</v>
      </c>
      <c r="X100" s="115" t="n">
        <v>0</v>
      </c>
      <c r="Z100" s="115" t="n">
        <v>0</v>
      </c>
      <c r="AB100" s="115" t="n">
        <v>0</v>
      </c>
      <c r="AD100" s="115" t="n">
        <v>0</v>
      </c>
      <c r="AF100" s="115" t="n">
        <v>0</v>
      </c>
      <c r="AH100" s="115" t="n">
        <v>0</v>
      </c>
      <c r="AJ100" s="115" t="n">
        <v>0</v>
      </c>
      <c r="AL100" s="115" t="n">
        <v>232450</v>
      </c>
      <c r="AN100" s="115" t="n">
        <v>0</v>
      </c>
      <c r="AP100" s="115" t="n">
        <v>77483.34</v>
      </c>
      <c r="AR100" s="115" t="n">
        <v>77483.33</v>
      </c>
      <c r="AT100" s="115" t="n">
        <v>77483.33</v>
      </c>
      <c r="AV100" s="115" t="n">
        <v>77483.34</v>
      </c>
      <c r="AX100" s="115" t="n">
        <v>77483.34</v>
      </c>
      <c r="AZ100" s="115" t="n">
        <v>77483.33</v>
      </c>
      <c r="BB100" s="115" t="n">
        <v>77483</v>
      </c>
      <c r="BD100" s="115" t="n">
        <v>77483.33</v>
      </c>
      <c r="BF100" s="115" t="n">
        <v>0</v>
      </c>
      <c r="BH100" s="115" t="n">
        <v>0</v>
      </c>
      <c r="BJ100" s="115" t="n">
        <v>0</v>
      </c>
      <c r="BL100" s="115" t="n">
        <v>0</v>
      </c>
      <c r="BM100" s="115"/>
      <c r="BN100" s="115" t="n">
        <f aca="false">SUM(T100:BM100)</f>
        <v>852316.34</v>
      </c>
      <c r="BO100" s="115"/>
      <c r="BP100" s="115" t="n">
        <v>0</v>
      </c>
      <c r="BQ100" s="115"/>
      <c r="BR100" s="115" t="n">
        <f aca="false">IF(+R100-BN100+BP100&gt;0,R100-BN100+BP100,0)</f>
        <v>77483.66</v>
      </c>
      <c r="BT100" s="115" t="n">
        <f aca="false">+BN100+BR100</f>
        <v>929800</v>
      </c>
      <c r="BV100" s="115" t="n">
        <f aca="false">+R100-BT100</f>
        <v>0</v>
      </c>
      <c r="BW100" s="115"/>
    </row>
    <row r="101" customFormat="false" ht="12.75" hidden="false" customHeight="false" outlineLevel="0" collapsed="false">
      <c r="A101" s="202"/>
      <c r="B101" s="165" t="s">
        <v>222</v>
      </c>
      <c r="C101" s="0"/>
      <c r="D101" s="0"/>
      <c r="E101" s="0"/>
      <c r="F101" s="0"/>
      <c r="G101" s="0"/>
      <c r="H101" s="0"/>
      <c r="I101" s="0"/>
      <c r="J101" s="4" t="s">
        <v>222</v>
      </c>
      <c r="K101" s="0"/>
      <c r="L101" s="169" t="s">
        <v>142</v>
      </c>
      <c r="M101" s="115"/>
      <c r="N101" s="115" t="n">
        <v>0</v>
      </c>
      <c r="O101" s="115"/>
      <c r="P101" s="115" t="n">
        <v>0</v>
      </c>
      <c r="Q101" s="115"/>
      <c r="R101" s="115" t="n">
        <v>2840700</v>
      </c>
      <c r="S101" s="115"/>
      <c r="T101" s="115" t="n">
        <v>0</v>
      </c>
      <c r="U101" s="115"/>
      <c r="V101" s="115" t="n">
        <v>0</v>
      </c>
      <c r="X101" s="115" t="n">
        <v>0</v>
      </c>
      <c r="Z101" s="115" t="n">
        <v>0</v>
      </c>
      <c r="AB101" s="115" t="n">
        <v>0</v>
      </c>
      <c r="AD101" s="115" t="n">
        <v>0</v>
      </c>
      <c r="AF101" s="115" t="n">
        <v>0</v>
      </c>
      <c r="AH101" s="115" t="n">
        <v>0</v>
      </c>
      <c r="AJ101" s="115" t="n">
        <v>0</v>
      </c>
      <c r="AL101" s="115" t="n">
        <v>710172</v>
      </c>
      <c r="AN101" s="115" t="n">
        <v>0</v>
      </c>
      <c r="AP101" s="115" t="n">
        <v>236722.33</v>
      </c>
      <c r="AR101" s="115" t="n">
        <v>236722.33</v>
      </c>
      <c r="AT101" s="115" t="n">
        <v>236722</v>
      </c>
      <c r="AV101" s="115" t="n">
        <v>236722</v>
      </c>
      <c r="AX101" s="115" t="n">
        <v>236722</v>
      </c>
      <c r="AZ101" s="115" t="n">
        <v>236722</v>
      </c>
      <c r="BB101" s="115" t="n">
        <v>236722</v>
      </c>
      <c r="BD101" s="115" t="n">
        <v>236722</v>
      </c>
      <c r="BF101" s="115" t="n">
        <v>0</v>
      </c>
      <c r="BH101" s="115" t="n">
        <v>0</v>
      </c>
      <c r="BJ101" s="115" t="n">
        <v>0</v>
      </c>
      <c r="BL101" s="115" t="n">
        <v>0</v>
      </c>
      <c r="BM101" s="115"/>
      <c r="BN101" s="115" t="n">
        <f aca="false">SUM(T101:BM101)</f>
        <v>2603948.66</v>
      </c>
      <c r="BO101" s="115"/>
      <c r="BP101" s="115" t="n">
        <v>0</v>
      </c>
      <c r="BQ101" s="115"/>
      <c r="BR101" s="115" t="n">
        <f aca="false">IF(+R101-BN101+BP101&gt;0,R101-BN101+BP101,0)</f>
        <v>236751.34</v>
      </c>
      <c r="BT101" s="115" t="n">
        <f aca="false">+BN101+BR101</f>
        <v>2840700</v>
      </c>
      <c r="BV101" s="115" t="n">
        <f aca="false">+R101-BT101</f>
        <v>0</v>
      </c>
      <c r="BW101" s="115"/>
    </row>
    <row r="102" customFormat="false" ht="12.75" hidden="false" customHeight="false" outlineLevel="0" collapsed="false">
      <c r="A102" s="202"/>
      <c r="B102" s="165" t="s">
        <v>223</v>
      </c>
      <c r="C102" s="0"/>
      <c r="D102" s="0"/>
      <c r="E102" s="0"/>
      <c r="F102" s="0"/>
      <c r="G102" s="0"/>
      <c r="H102" s="0"/>
      <c r="I102" s="0"/>
      <c r="J102" s="4" t="s">
        <v>221</v>
      </c>
      <c r="K102" s="0"/>
      <c r="L102" s="169" t="s">
        <v>142</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IF(+R102-BN102+BP102&gt;0,R102-BN102+BP102,0)</f>
        <v>0</v>
      </c>
      <c r="BT102" s="115" t="n">
        <f aca="false">+BN102+BR102</f>
        <v>0</v>
      </c>
      <c r="BV102" s="115" t="n">
        <f aca="false">+R102-BT102</f>
        <v>0</v>
      </c>
      <c r="BW102" s="115"/>
    </row>
    <row r="103" customFormat="false" ht="12.75" hidden="false" customHeight="false" outlineLevel="0" collapsed="false">
      <c r="A103" s="202"/>
      <c r="B103" s="165" t="s">
        <v>224</v>
      </c>
      <c r="C103" s="0"/>
      <c r="D103" s="0"/>
      <c r="E103" s="0"/>
      <c r="F103" s="0"/>
      <c r="G103" s="0"/>
      <c r="H103" s="0"/>
      <c r="I103" s="0"/>
      <c r="J103" s="4" t="s">
        <v>221</v>
      </c>
      <c r="K103" s="0"/>
      <c r="L103" s="169" t="s">
        <v>142</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IF(+R103-BN103+BP103&gt;0,R103-BN103+BP103,0)</f>
        <v>0</v>
      </c>
      <c r="BT103" s="115" t="n">
        <f aca="false">+BN103+BR103</f>
        <v>0</v>
      </c>
      <c r="BV103" s="115" t="n">
        <f aca="false">+R103-BT103</f>
        <v>0</v>
      </c>
      <c r="BW103" s="115"/>
    </row>
    <row r="104" customFormat="false" ht="12.75" hidden="false" customHeight="false" outlineLevel="0" collapsed="false">
      <c r="A104" s="165"/>
      <c r="B104" s="165" t="s">
        <v>225</v>
      </c>
      <c r="C104" s="18"/>
      <c r="D104" s="18"/>
      <c r="E104" s="18"/>
      <c r="F104" s="18"/>
      <c r="G104" s="18"/>
      <c r="H104" s="18"/>
      <c r="I104" s="18"/>
      <c r="J104" s="204" t="s">
        <v>221</v>
      </c>
      <c r="K104" s="18"/>
      <c r="L104" s="169" t="s">
        <v>142</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IF(+R104-BN104+BP104&gt;0,R104-BN104+BP104,0)</f>
        <v>0</v>
      </c>
      <c r="BT104" s="115" t="n">
        <f aca="false">+BN104+BR104</f>
        <v>0</v>
      </c>
      <c r="BV104" s="115" t="n">
        <f aca="false">+R104-BT104</f>
        <v>0</v>
      </c>
      <c r="BW104" s="115"/>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174"/>
      <c r="EZ104" s="174"/>
      <c r="FA104" s="174"/>
      <c r="FB104" s="174"/>
      <c r="FC104" s="174"/>
      <c r="FD104" s="174"/>
      <c r="FE104" s="174"/>
      <c r="FF104" s="174"/>
      <c r="FG104" s="174"/>
      <c r="FH104" s="174"/>
      <c r="FI104" s="174"/>
      <c r="FJ104" s="174"/>
      <c r="FK104" s="174"/>
      <c r="FL104" s="174"/>
      <c r="FM104" s="174"/>
      <c r="FN104" s="174"/>
      <c r="FO104" s="174"/>
      <c r="FP104" s="174"/>
      <c r="FQ104" s="174"/>
      <c r="FR104" s="174"/>
      <c r="FS104" s="174"/>
      <c r="FT104" s="174"/>
      <c r="FU104" s="174"/>
      <c r="FV104" s="174"/>
      <c r="FW104" s="174"/>
      <c r="FX104" s="174"/>
      <c r="FY104" s="174"/>
      <c r="FZ104" s="174"/>
      <c r="GA104" s="174"/>
      <c r="GB104" s="174"/>
      <c r="GC104" s="174"/>
      <c r="GD104" s="174"/>
      <c r="GE104" s="174"/>
      <c r="GF104" s="174"/>
      <c r="GG104" s="174"/>
      <c r="GH104" s="174"/>
      <c r="GI104" s="174"/>
      <c r="GJ104" s="174"/>
      <c r="GK104" s="174"/>
      <c r="GL104" s="174"/>
      <c r="GM104" s="174"/>
      <c r="GN104" s="174"/>
      <c r="GO104" s="174"/>
      <c r="GP104" s="174"/>
      <c r="GQ104" s="174"/>
      <c r="GR104" s="174"/>
      <c r="GS104" s="174"/>
      <c r="GT104" s="174"/>
      <c r="GU104" s="174"/>
      <c r="GV104" s="174"/>
      <c r="GW104" s="174"/>
      <c r="GX104" s="174"/>
      <c r="GY104" s="174"/>
      <c r="GZ104" s="174"/>
      <c r="HA104" s="174"/>
      <c r="HB104" s="174"/>
      <c r="HC104" s="174"/>
      <c r="HD104" s="174"/>
      <c r="HE104" s="174"/>
      <c r="HF104" s="174"/>
      <c r="HG104" s="174"/>
      <c r="HH104" s="174"/>
      <c r="HI104" s="174"/>
      <c r="HJ104" s="174"/>
      <c r="HK104" s="174"/>
      <c r="HL104" s="174"/>
      <c r="HM104" s="174"/>
      <c r="HN104" s="174"/>
      <c r="HO104" s="174"/>
      <c r="HP104" s="174"/>
      <c r="HQ104" s="174"/>
      <c r="HR104" s="174"/>
      <c r="HS104" s="174"/>
      <c r="HT104" s="174"/>
      <c r="HU104" s="174"/>
      <c r="HV104" s="174"/>
      <c r="HW104" s="174"/>
      <c r="HX104" s="174"/>
      <c r="HY104" s="174"/>
      <c r="HZ104" s="174"/>
      <c r="IA104" s="174"/>
      <c r="IB104" s="174"/>
      <c r="IC104" s="174"/>
      <c r="ID104" s="174"/>
      <c r="IE104" s="174"/>
      <c r="IF104" s="174"/>
      <c r="IG104" s="174"/>
      <c r="IH104" s="174"/>
      <c r="II104" s="174"/>
      <c r="IJ104" s="174"/>
      <c r="IK104" s="174"/>
      <c r="IL104" s="174"/>
      <c r="IM104" s="174"/>
      <c r="IN104" s="174"/>
      <c r="IO104" s="174"/>
      <c r="IP104" s="174"/>
      <c r="IQ104" s="174"/>
      <c r="IR104" s="174"/>
      <c r="IS104" s="174"/>
      <c r="IT104" s="174"/>
      <c r="IU104" s="174"/>
      <c r="IV104" s="174"/>
      <c r="IW104" s="174"/>
    </row>
    <row r="105" customFormat="false" ht="12.75" hidden="false" customHeight="false" outlineLevel="0" collapsed="false">
      <c r="A105" s="202"/>
      <c r="B105" s="165" t="s">
        <v>122</v>
      </c>
      <c r="C105" s="0"/>
      <c r="D105" s="0"/>
      <c r="E105" s="0"/>
      <c r="F105" s="0"/>
      <c r="G105" s="0"/>
      <c r="H105" s="0"/>
      <c r="I105" s="0"/>
      <c r="J105" s="4"/>
      <c r="K105" s="0"/>
      <c r="L105" s="169" t="s">
        <v>142</v>
      </c>
      <c r="M105" s="115"/>
      <c r="N105" s="115" t="n">
        <v>0</v>
      </c>
      <c r="O105" s="115"/>
      <c r="P105" s="115" t="n">
        <v>0</v>
      </c>
      <c r="Q105" s="115"/>
      <c r="R105" s="115" t="n">
        <f aca="false">+N105+P105</f>
        <v>0</v>
      </c>
      <c r="S105" s="115"/>
      <c r="T105" s="115" t="n">
        <v>0</v>
      </c>
      <c r="U105" s="115"/>
      <c r="V105" s="115" t="n">
        <v>0</v>
      </c>
      <c r="X105" s="115" t="n">
        <v>0</v>
      </c>
      <c r="Z105" s="115" t="n">
        <v>0</v>
      </c>
      <c r="AB105" s="115" t="n">
        <v>0</v>
      </c>
      <c r="AD105" s="115" t="n">
        <v>0</v>
      </c>
      <c r="AF105" s="115" t="n">
        <v>0</v>
      </c>
      <c r="AH105" s="115" t="n">
        <v>0</v>
      </c>
      <c r="AJ105" s="115" t="n">
        <v>0</v>
      </c>
      <c r="AN105" s="115" t="n">
        <v>0</v>
      </c>
      <c r="AP105" s="115" t="n">
        <v>0</v>
      </c>
      <c r="AR105" s="115" t="n">
        <v>0</v>
      </c>
      <c r="AT105" s="115" t="n">
        <v>-250000</v>
      </c>
      <c r="AV105" s="115" t="n">
        <v>0</v>
      </c>
      <c r="AX105" s="115" t="n">
        <v>0</v>
      </c>
      <c r="AZ105" s="115" t="n">
        <v>0</v>
      </c>
      <c r="BB105" s="115" t="n">
        <v>0</v>
      </c>
      <c r="BD105" s="115" t="n">
        <v>0</v>
      </c>
      <c r="BF105" s="115" t="n">
        <v>0</v>
      </c>
      <c r="BH105" s="115" t="n">
        <v>0</v>
      </c>
      <c r="BJ105" s="115" t="n">
        <v>0</v>
      </c>
      <c r="BL105" s="115" t="n">
        <v>0</v>
      </c>
      <c r="BM105" s="115"/>
      <c r="BN105" s="115" t="n">
        <f aca="false">SUM(T105:BM105)</f>
        <v>-250000</v>
      </c>
      <c r="BO105" s="115"/>
      <c r="BP105" s="115" t="n">
        <v>0</v>
      </c>
      <c r="BQ105" s="115"/>
      <c r="BR105" s="115" t="n">
        <v>0</v>
      </c>
      <c r="BT105" s="24" t="n">
        <f aca="false">+BN105+BR105</f>
        <v>-250000</v>
      </c>
      <c r="BV105" s="115" t="n">
        <f aca="false">+R105-BT105</f>
        <v>250000</v>
      </c>
      <c r="BW105" s="115"/>
    </row>
    <row r="106" customFormat="false" ht="12.75" hidden="false" customHeight="false" outlineLevel="0" collapsed="false">
      <c r="A106" s="202"/>
      <c r="B106" s="165"/>
      <c r="C106" s="0"/>
      <c r="D106" s="0"/>
      <c r="E106" s="0"/>
      <c r="F106" s="0"/>
      <c r="G106" s="0"/>
      <c r="H106" s="0"/>
      <c r="I106" s="0"/>
      <c r="J106" s="4"/>
      <c r="K106" s="0"/>
      <c r="L106" s="169"/>
      <c r="M106" s="115"/>
      <c r="O106" s="115"/>
      <c r="Q106" s="115"/>
      <c r="S106" s="115"/>
      <c r="T106" s="115"/>
      <c r="U106" s="115"/>
      <c r="V106" s="115"/>
      <c r="X106" s="115"/>
      <c r="Z106" s="115"/>
      <c r="AB106" s="115"/>
      <c r="AD106" s="115"/>
      <c r="BL106" s="115"/>
      <c r="BM106" s="115"/>
      <c r="BO106" s="115"/>
      <c r="BP106" s="115"/>
      <c r="BQ106" s="115"/>
      <c r="BR106" s="115" t="n">
        <f aca="false">IF(+R106-BN106+BP106&gt;0,R106-BN106+BP106,0)</f>
        <v>0</v>
      </c>
      <c r="BW106" s="115"/>
    </row>
    <row r="107" customFormat="false" ht="12.75" hidden="false" customHeight="false" outlineLevel="0" collapsed="false">
      <c r="A107" s="175"/>
      <c r="B107" s="176" t="s">
        <v>226</v>
      </c>
      <c r="C107" s="177"/>
      <c r="D107" s="177"/>
      <c r="E107" s="177"/>
      <c r="F107" s="177"/>
      <c r="G107" s="177"/>
      <c r="H107" s="177"/>
      <c r="I107" s="177"/>
      <c r="J107" s="178"/>
      <c r="K107" s="177"/>
      <c r="L107" s="179"/>
      <c r="M107" s="180"/>
      <c r="N107" s="205" t="n">
        <f aca="false">SUM(N100:N106)</f>
        <v>0</v>
      </c>
      <c r="O107" s="180"/>
      <c r="P107" s="205" t="n">
        <f aca="false">SUM(P100:P106)</f>
        <v>0</v>
      </c>
      <c r="Q107" s="180"/>
      <c r="R107" s="205" t="n">
        <f aca="false">SUM(R100:R106)</f>
        <v>3770500</v>
      </c>
      <c r="S107" s="180"/>
      <c r="T107" s="205" t="n">
        <f aca="false">SUM(T100:T106)</f>
        <v>0</v>
      </c>
      <c r="U107" s="180"/>
      <c r="V107" s="205" t="n">
        <f aca="false">SUM(V100:V106)</f>
        <v>0</v>
      </c>
      <c r="W107" s="180"/>
      <c r="X107" s="205" t="n">
        <f aca="false">SUM(X100:X106)</f>
        <v>0</v>
      </c>
      <c r="Y107" s="180"/>
      <c r="Z107" s="205" t="n">
        <f aca="false">SUM(Z100:Z106)</f>
        <v>0</v>
      </c>
      <c r="AA107" s="180"/>
      <c r="AB107" s="205" t="n">
        <f aca="false">SUM(AB100:AB106)</f>
        <v>0</v>
      </c>
      <c r="AC107" s="180"/>
      <c r="AD107" s="205" t="n">
        <f aca="false">SUM(AD100:AD106)</f>
        <v>0</v>
      </c>
      <c r="AE107" s="180"/>
      <c r="AF107" s="205" t="n">
        <f aca="false">SUM(AF100:AF106)</f>
        <v>0</v>
      </c>
      <c r="AG107" s="180"/>
      <c r="AH107" s="205" t="n">
        <f aca="false">SUM(AH100:AH106)</f>
        <v>0</v>
      </c>
      <c r="AI107" s="180"/>
      <c r="AJ107" s="205" t="n">
        <f aca="false">SUM(AJ100:AJ106)</f>
        <v>0</v>
      </c>
      <c r="AK107" s="180"/>
      <c r="AL107" s="205" t="n">
        <f aca="false">SUM(AL100:AL106)</f>
        <v>942622</v>
      </c>
      <c r="AM107" s="205"/>
      <c r="AN107" s="205" t="n">
        <f aca="false">SUM(AN100:AN106)</f>
        <v>0</v>
      </c>
      <c r="AO107" s="180"/>
      <c r="AP107" s="205" t="n">
        <f aca="false">SUM(AP100:AP106)</f>
        <v>314205.67</v>
      </c>
      <c r="AQ107" s="180"/>
      <c r="AR107" s="205" t="n">
        <f aca="false">SUM(AR100:AR106)</f>
        <v>314205.66</v>
      </c>
      <c r="AS107" s="180"/>
      <c r="AT107" s="205" t="n">
        <f aca="false">SUM(AT100:AT106)</f>
        <v>64205.33</v>
      </c>
      <c r="AU107" s="180"/>
      <c r="AV107" s="205" t="n">
        <f aca="false">SUM(AV100:AV106)</f>
        <v>314205.34</v>
      </c>
      <c r="AW107" s="180"/>
      <c r="AX107" s="205" t="n">
        <f aca="false">SUM(AX100:AX106)</f>
        <v>314205.34</v>
      </c>
      <c r="AY107" s="180"/>
      <c r="AZ107" s="205" t="n">
        <f aca="false">SUM(AZ100:AZ106)</f>
        <v>314205.33</v>
      </c>
      <c r="BA107" s="180"/>
      <c r="BB107" s="205" t="n">
        <f aca="false">SUM(BB100:BB106)</f>
        <v>314205</v>
      </c>
      <c r="BC107" s="180"/>
      <c r="BD107" s="205" t="n">
        <f aca="false">SUM(BD100:BD106)</f>
        <v>314205.33</v>
      </c>
      <c r="BE107" s="180"/>
      <c r="BF107" s="205" t="n">
        <f aca="false">SUM(BF100:BF106)</f>
        <v>0</v>
      </c>
      <c r="BG107" s="180"/>
      <c r="BH107" s="205" t="n">
        <f aca="false">SUM(BH100:BH106)</f>
        <v>0</v>
      </c>
      <c r="BI107" s="180"/>
      <c r="BJ107" s="205" t="n">
        <f aca="false">SUM(BJ100:BJ106)</f>
        <v>0</v>
      </c>
      <c r="BK107" s="180"/>
      <c r="BL107" s="205" t="n">
        <f aca="false">SUM(BL100:BL106)</f>
        <v>0</v>
      </c>
      <c r="BM107" s="180"/>
      <c r="BN107" s="205" t="n">
        <f aca="false">SUM(BN100:BN106)</f>
        <v>3206265</v>
      </c>
      <c r="BO107" s="180"/>
      <c r="BP107" s="205" t="n">
        <f aca="false">SUM(BP100:BP106)</f>
        <v>0</v>
      </c>
      <c r="BQ107" s="180"/>
      <c r="BR107" s="205" t="n">
        <f aca="false">SUM(BR100:BR106)</f>
        <v>314235</v>
      </c>
      <c r="BS107" s="180"/>
      <c r="BT107" s="205" t="n">
        <f aca="false">SUM(BT100:BT106)</f>
        <v>3520500</v>
      </c>
      <c r="BU107" s="180"/>
      <c r="BV107" s="205" t="n">
        <f aca="false">SUM(BV100:BV106)</f>
        <v>250000</v>
      </c>
      <c r="BW107" s="180"/>
      <c r="BX107" s="177"/>
      <c r="BY107" s="177"/>
      <c r="BZ107" s="177"/>
      <c r="CA107" s="177"/>
      <c r="CB107" s="177"/>
      <c r="CC107" s="177"/>
      <c r="CD107" s="177"/>
      <c r="CE107" s="177"/>
      <c r="CF107" s="177"/>
      <c r="CG107" s="177"/>
      <c r="CH107" s="177"/>
      <c r="CI107" s="177"/>
      <c r="CJ107" s="177"/>
      <c r="CK107" s="177"/>
      <c r="CL107" s="177"/>
      <c r="CM107" s="177"/>
      <c r="CN107" s="177"/>
      <c r="CO107" s="177"/>
      <c r="CP107" s="177"/>
      <c r="CQ107" s="177"/>
      <c r="CR107" s="177"/>
      <c r="CS107" s="177"/>
      <c r="CT107" s="177"/>
      <c r="CU107" s="177"/>
      <c r="CV107" s="177"/>
      <c r="CW107" s="177"/>
      <c r="CX107" s="177"/>
      <c r="CY107" s="177"/>
      <c r="CZ107" s="177"/>
      <c r="DA107" s="177"/>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77"/>
      <c r="EF107" s="177"/>
      <c r="EG107" s="177"/>
      <c r="EH107" s="177"/>
      <c r="EI107" s="177"/>
      <c r="EJ107" s="177"/>
      <c r="EK107" s="177"/>
      <c r="EL107" s="177"/>
      <c r="EM107" s="177"/>
      <c r="EN107" s="177"/>
      <c r="EO107" s="177"/>
      <c r="EP107" s="177"/>
      <c r="EQ107" s="177"/>
      <c r="ER107" s="177"/>
      <c r="ES107" s="177"/>
      <c r="ET107" s="177"/>
      <c r="EU107" s="177"/>
      <c r="EV107" s="177"/>
      <c r="EW107" s="177"/>
      <c r="EX107" s="177"/>
      <c r="EY107" s="177"/>
      <c r="EZ107" s="177"/>
      <c r="FA107" s="177"/>
      <c r="FB107" s="177"/>
      <c r="FC107" s="177"/>
      <c r="FD107" s="177"/>
      <c r="FE107" s="177"/>
      <c r="FF107" s="177"/>
      <c r="FG107" s="177"/>
      <c r="FH107" s="177"/>
      <c r="FI107" s="177"/>
      <c r="FJ107" s="177"/>
      <c r="FK107" s="177"/>
      <c r="FL107" s="177"/>
      <c r="FM107" s="177"/>
      <c r="FN107" s="177"/>
      <c r="FO107" s="177"/>
      <c r="FP107" s="177"/>
      <c r="FQ107" s="177"/>
      <c r="FR107" s="177"/>
      <c r="FS107" s="177"/>
      <c r="FT107" s="177"/>
      <c r="FU107" s="177"/>
      <c r="FV107" s="177"/>
      <c r="FW107" s="177"/>
      <c r="FX107" s="177"/>
      <c r="FY107" s="177"/>
      <c r="FZ107" s="177"/>
      <c r="GA107" s="177"/>
      <c r="GB107" s="177"/>
      <c r="GC107" s="177"/>
      <c r="GD107" s="177"/>
      <c r="GE107" s="177"/>
      <c r="GF107" s="177"/>
      <c r="GG107" s="177"/>
      <c r="GH107" s="177"/>
      <c r="GI107" s="177"/>
      <c r="GJ107" s="177"/>
      <c r="GK107" s="177"/>
      <c r="GL107" s="177"/>
      <c r="GM107" s="177"/>
      <c r="GN107" s="177"/>
      <c r="GO107" s="177"/>
      <c r="GP107" s="177"/>
      <c r="GQ107" s="177"/>
      <c r="GR107" s="177"/>
      <c r="GS107" s="177"/>
      <c r="GT107" s="177"/>
      <c r="GU107" s="177"/>
      <c r="GV107" s="177"/>
      <c r="GW107" s="177"/>
      <c r="GX107" s="177"/>
      <c r="GY107" s="177"/>
      <c r="GZ107" s="177"/>
      <c r="HA107" s="177"/>
      <c r="HB107" s="177"/>
      <c r="HC107" s="177"/>
      <c r="HD107" s="177"/>
      <c r="HE107" s="177"/>
      <c r="HF107" s="177"/>
      <c r="HG107" s="177"/>
      <c r="HH107" s="177"/>
      <c r="HI107" s="177"/>
      <c r="HJ107" s="177"/>
      <c r="HK107" s="177"/>
      <c r="HL107" s="177"/>
      <c r="HM107" s="177"/>
      <c r="HN107" s="177"/>
      <c r="HO107" s="177"/>
      <c r="HP107" s="177"/>
      <c r="HQ107" s="177"/>
      <c r="HR107" s="177"/>
      <c r="HS107" s="177"/>
      <c r="HT107" s="177"/>
      <c r="HU107" s="177"/>
      <c r="HV107" s="177"/>
      <c r="HW107" s="177"/>
      <c r="HX107" s="177"/>
      <c r="HY107" s="177"/>
      <c r="HZ107" s="177"/>
      <c r="IA107" s="177"/>
      <c r="IB107" s="177"/>
      <c r="IC107" s="177"/>
      <c r="ID107" s="177"/>
      <c r="IE107" s="177"/>
      <c r="IF107" s="177"/>
      <c r="IG107" s="177"/>
      <c r="IH107" s="177"/>
      <c r="II107" s="177"/>
      <c r="IJ107" s="177"/>
      <c r="IK107" s="177"/>
      <c r="IL107" s="177"/>
      <c r="IM107" s="177"/>
      <c r="IN107" s="177"/>
      <c r="IO107" s="177"/>
      <c r="IP107" s="177"/>
      <c r="IQ107" s="177"/>
      <c r="IR107" s="177"/>
      <c r="IS107" s="177"/>
      <c r="IT107" s="177"/>
      <c r="IU107" s="177"/>
      <c r="IV107" s="177"/>
      <c r="IW107" s="177"/>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6" t="s">
        <v>227</v>
      </c>
      <c r="B109" s="165"/>
      <c r="C109" s="0"/>
      <c r="D109" s="0"/>
      <c r="E109" s="0"/>
      <c r="F109" s="0"/>
      <c r="G109" s="0"/>
      <c r="H109" s="0"/>
      <c r="I109" s="0"/>
      <c r="J109" s="4"/>
      <c r="K109" s="0"/>
      <c r="L109" s="169" t="s">
        <v>142</v>
      </c>
      <c r="M109" s="115"/>
      <c r="O109" s="115"/>
      <c r="Q109" s="115"/>
      <c r="S109" s="115"/>
      <c r="T109" s="115"/>
      <c r="U109" s="115"/>
      <c r="V109" s="115"/>
      <c r="X109" s="115"/>
      <c r="Z109" s="115"/>
      <c r="AB109" s="115"/>
      <c r="AD109" s="115"/>
      <c r="BL109" s="115"/>
      <c r="BM109" s="115"/>
      <c r="BO109" s="115"/>
      <c r="BP109" s="115"/>
      <c r="BQ109" s="115"/>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false" customHeight="false" outlineLevel="0" collapsed="false">
      <c r="A110" s="171"/>
      <c r="B110" s="165" t="s">
        <v>152</v>
      </c>
      <c r="C110" s="0"/>
      <c r="D110" s="0"/>
      <c r="E110" s="0"/>
      <c r="F110" s="0"/>
      <c r="G110" s="0"/>
      <c r="H110" s="0"/>
      <c r="I110" s="0"/>
      <c r="J110" s="4" t="s">
        <v>132</v>
      </c>
      <c r="K110" s="0"/>
      <c r="L110" s="169" t="s">
        <v>142</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IF(+R110-BN110+BP110&gt;0,R110-BN110+BP110,0)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71"/>
      <c r="B111" s="165"/>
      <c r="C111" s="0"/>
      <c r="D111" s="0"/>
      <c r="E111" s="0"/>
      <c r="F111" s="0"/>
      <c r="G111" s="0"/>
      <c r="H111" s="0"/>
      <c r="I111" s="0"/>
      <c r="J111" s="4"/>
      <c r="K111" s="0"/>
      <c r="L111" s="169"/>
      <c r="M111" s="115"/>
      <c r="O111" s="115"/>
      <c r="Q111" s="115"/>
      <c r="S111" s="115"/>
      <c r="T111" s="115"/>
      <c r="U111" s="115"/>
      <c r="V111" s="115"/>
      <c r="X111" s="115"/>
      <c r="Z111" s="115"/>
      <c r="AB111" s="115"/>
      <c r="AD111" s="115"/>
      <c r="BL111" s="115"/>
      <c r="BM111" s="115"/>
      <c r="BO111" s="115"/>
      <c r="BP111" s="115"/>
      <c r="BQ111" s="115"/>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208"/>
      <c r="B112" s="209" t="s">
        <v>233</v>
      </c>
      <c r="C112" s="2"/>
      <c r="D112" s="2"/>
      <c r="E112" s="2"/>
      <c r="F112" s="2"/>
      <c r="G112" s="2"/>
      <c r="H112" s="2"/>
      <c r="I112" s="2"/>
      <c r="J112" s="3"/>
      <c r="K112" s="2"/>
      <c r="L112" s="188"/>
      <c r="M112" s="24"/>
      <c r="N112" s="210" t="n">
        <f aca="false">SUM(N110:N111)</f>
        <v>0</v>
      </c>
      <c r="O112" s="24"/>
      <c r="P112" s="210" t="n">
        <f aca="false">SUM(P110:P111)</f>
        <v>0</v>
      </c>
      <c r="Q112" s="24"/>
      <c r="R112" s="210" t="n">
        <f aca="false">SUM(R110:R111)</f>
        <v>0</v>
      </c>
      <c r="S112" s="24"/>
      <c r="T112" s="210" t="n">
        <f aca="false">SUM(T110:T111)</f>
        <v>0</v>
      </c>
      <c r="U112" s="24"/>
      <c r="V112" s="210" t="n">
        <f aca="false">SUM(V110:V111)</f>
        <v>0</v>
      </c>
      <c r="W112" s="24"/>
      <c r="X112" s="210" t="n">
        <f aca="false">SUM(X110:X111)</f>
        <v>0</v>
      </c>
      <c r="Y112" s="24"/>
      <c r="Z112" s="210" t="n">
        <f aca="false">SUM(Z110:Z111)</f>
        <v>0</v>
      </c>
      <c r="AA112" s="24"/>
      <c r="AB112" s="210" t="n">
        <f aca="false">SUM(AB110:AB111)</f>
        <v>0</v>
      </c>
      <c r="AC112" s="24"/>
      <c r="AD112" s="210" t="n">
        <f aca="false">SUM(AD110:AD111)</f>
        <v>0</v>
      </c>
      <c r="AE112" s="24"/>
      <c r="AF112" s="210" t="n">
        <f aca="false">SUM(AF110:AF111)</f>
        <v>0</v>
      </c>
      <c r="AG112" s="24"/>
      <c r="AH112" s="210" t="n">
        <f aca="false">SUM(AH110:AH111)</f>
        <v>0</v>
      </c>
      <c r="AI112" s="24"/>
      <c r="AJ112" s="210" t="n">
        <f aca="false">SUM(AJ110:AJ111)</f>
        <v>0</v>
      </c>
      <c r="AK112" s="24"/>
      <c r="AL112" s="210" t="n">
        <f aca="false">SUM(AL110:AL111)</f>
        <v>0</v>
      </c>
      <c r="AM112" s="210"/>
      <c r="AN112" s="210" t="n">
        <f aca="false">SUM(AN110:AN111)</f>
        <v>0</v>
      </c>
      <c r="AO112" s="24"/>
      <c r="AP112" s="210" t="n">
        <f aca="false">SUM(AP110:AP111)</f>
        <v>0</v>
      </c>
      <c r="AQ112" s="24"/>
      <c r="AR112" s="210" t="n">
        <f aca="false">SUM(AR110:AR111)</f>
        <v>0</v>
      </c>
      <c r="AS112" s="24"/>
      <c r="AT112" s="210" t="n">
        <f aca="false">SUM(AT110:AT111)</f>
        <v>0</v>
      </c>
      <c r="AU112" s="24"/>
      <c r="AV112" s="210" t="n">
        <f aca="false">SUM(AV110:AV111)</f>
        <v>0</v>
      </c>
      <c r="AW112" s="24"/>
      <c r="AX112" s="210" t="n">
        <f aca="false">SUM(AX110:AX111)</f>
        <v>0</v>
      </c>
      <c r="AY112" s="24"/>
      <c r="AZ112" s="210" t="n">
        <f aca="false">SUM(AZ110:AZ111)</f>
        <v>0</v>
      </c>
      <c r="BA112" s="24"/>
      <c r="BB112" s="210" t="n">
        <f aca="false">SUM(BB110:BB111)</f>
        <v>0</v>
      </c>
      <c r="BC112" s="24"/>
      <c r="BD112" s="210" t="n">
        <f aca="false">SUM(BD110:BD111)</f>
        <v>0</v>
      </c>
      <c r="BE112" s="24"/>
      <c r="BF112" s="210" t="n">
        <f aca="false">SUM(BF110:BF111)</f>
        <v>0</v>
      </c>
      <c r="BG112" s="24"/>
      <c r="BH112" s="210" t="n">
        <f aca="false">SUM(BH110:BH111)</f>
        <v>0</v>
      </c>
      <c r="BI112" s="24"/>
      <c r="BJ112" s="210" t="n">
        <f aca="false">SUM(BJ110:BJ111)</f>
        <v>0</v>
      </c>
      <c r="BK112" s="24"/>
      <c r="BL112" s="210" t="n">
        <f aca="false">SUM(BL110:BL111)</f>
        <v>0</v>
      </c>
      <c r="BM112" s="24"/>
      <c r="BN112" s="210" t="n">
        <f aca="false">SUM(BN110:BN111)</f>
        <v>0</v>
      </c>
      <c r="BO112" s="24"/>
      <c r="BP112" s="210" t="n">
        <f aca="false">SUM(BP110:BP111)</f>
        <v>0</v>
      </c>
      <c r="BQ112" s="24"/>
      <c r="BR112" s="210" t="n">
        <f aca="false">SUM(BR110:BR111)</f>
        <v>0</v>
      </c>
      <c r="BS112" s="24"/>
      <c r="BT112" s="210" t="n">
        <f aca="false">SUM(BT110:BT111)</f>
        <v>0</v>
      </c>
      <c r="BU112" s="24"/>
      <c r="BV112" s="210" t="n">
        <f aca="false">SUM(BV110:BV111)</f>
        <v>0</v>
      </c>
      <c r="BW112" s="24"/>
      <c r="BX112" s="211"/>
      <c r="BY112" s="211"/>
      <c r="BZ112" s="211"/>
      <c r="CA112" s="211"/>
      <c r="CB112" s="211"/>
      <c r="CC112" s="211"/>
      <c r="CD112" s="211"/>
      <c r="CE112" s="211"/>
      <c r="CF112" s="211"/>
      <c r="CG112" s="211"/>
      <c r="CH112" s="211"/>
      <c r="CI112" s="211"/>
      <c r="CJ112" s="211"/>
      <c r="CK112" s="211"/>
      <c r="CL112" s="211"/>
      <c r="CM112" s="211"/>
      <c r="CN112" s="211"/>
      <c r="CO112" s="211"/>
      <c r="CP112" s="211"/>
      <c r="CQ112" s="211"/>
      <c r="CR112" s="211"/>
      <c r="CS112" s="211"/>
      <c r="CT112" s="211"/>
      <c r="CU112" s="211"/>
      <c r="CV112" s="211"/>
      <c r="CW112" s="211"/>
      <c r="CX112" s="211"/>
      <c r="CY112" s="211"/>
      <c r="CZ112" s="211"/>
      <c r="DA112" s="211"/>
      <c r="DB112" s="211"/>
      <c r="DC112" s="211"/>
      <c r="DD112" s="211"/>
      <c r="DE112" s="211"/>
      <c r="DF112" s="211"/>
      <c r="DG112" s="211"/>
      <c r="DH112" s="211"/>
      <c r="DI112" s="211"/>
      <c r="DJ112" s="211"/>
      <c r="DK112" s="211"/>
      <c r="DL112" s="211"/>
      <c r="DM112" s="211"/>
      <c r="DN112" s="211"/>
      <c r="DO112" s="211"/>
      <c r="DP112" s="211"/>
      <c r="DQ112" s="211"/>
      <c r="DR112" s="211"/>
      <c r="DS112" s="211"/>
      <c r="DT112" s="211"/>
      <c r="DU112" s="211"/>
      <c r="DV112" s="211"/>
      <c r="DW112" s="211"/>
      <c r="DX112" s="211"/>
      <c r="DY112" s="211"/>
      <c r="DZ112" s="211"/>
      <c r="EA112" s="211"/>
      <c r="EB112" s="211"/>
      <c r="EC112" s="211"/>
      <c r="ED112" s="211"/>
      <c r="EE112" s="211"/>
      <c r="EF112" s="211"/>
      <c r="EG112" s="211"/>
      <c r="EH112" s="211"/>
      <c r="EI112" s="211"/>
      <c r="EJ112" s="211"/>
      <c r="EK112" s="211"/>
      <c r="EL112" s="211"/>
      <c r="EM112" s="211"/>
      <c r="EN112" s="211"/>
      <c r="EO112" s="211"/>
      <c r="EP112" s="211"/>
      <c r="EQ112" s="211"/>
      <c r="ER112" s="211"/>
      <c r="ES112" s="211"/>
      <c r="ET112" s="211"/>
      <c r="EU112" s="211"/>
      <c r="EV112" s="211"/>
      <c r="EW112" s="211"/>
      <c r="EX112" s="211"/>
      <c r="EY112" s="211"/>
      <c r="EZ112" s="211"/>
      <c r="FA112" s="211"/>
      <c r="FB112" s="211"/>
      <c r="FC112" s="211"/>
      <c r="FD112" s="211"/>
      <c r="FE112" s="211"/>
      <c r="FF112" s="211"/>
      <c r="FG112" s="211"/>
      <c r="FH112" s="211"/>
      <c r="FI112" s="211"/>
      <c r="FJ112" s="211"/>
      <c r="FK112" s="211"/>
      <c r="FL112" s="211"/>
      <c r="FM112" s="211"/>
      <c r="FN112" s="211"/>
      <c r="FO112" s="211"/>
      <c r="FP112" s="211"/>
      <c r="FQ112" s="211"/>
      <c r="FR112" s="211"/>
      <c r="FS112" s="211"/>
      <c r="FT112" s="211"/>
      <c r="FU112" s="211"/>
      <c r="FV112" s="211"/>
      <c r="FW112" s="211"/>
      <c r="FX112" s="211"/>
      <c r="FY112" s="211"/>
      <c r="FZ112" s="211"/>
      <c r="GA112" s="211"/>
      <c r="GB112" s="211"/>
      <c r="GC112" s="211"/>
      <c r="GD112" s="211"/>
      <c r="GE112" s="211"/>
      <c r="GF112" s="211"/>
      <c r="GG112" s="211"/>
      <c r="GH112" s="211"/>
      <c r="GI112" s="211"/>
      <c r="GJ112" s="211"/>
      <c r="GK112" s="211"/>
      <c r="GL112" s="211"/>
      <c r="GM112" s="211"/>
      <c r="GN112" s="211"/>
      <c r="GO112" s="211"/>
      <c r="GP112" s="211"/>
      <c r="GQ112" s="211"/>
      <c r="GR112" s="211"/>
      <c r="GS112" s="211"/>
      <c r="GT112" s="211"/>
      <c r="GU112" s="211"/>
      <c r="GV112" s="211"/>
      <c r="GW112" s="211"/>
      <c r="GX112" s="211"/>
      <c r="GY112" s="211"/>
      <c r="GZ112" s="211"/>
      <c r="HA112" s="211"/>
      <c r="HB112" s="211"/>
      <c r="HC112" s="211"/>
      <c r="HD112" s="211"/>
      <c r="HE112" s="211"/>
      <c r="HF112" s="211"/>
      <c r="HG112" s="211"/>
      <c r="HH112" s="211"/>
      <c r="HI112" s="211"/>
      <c r="HJ112" s="211"/>
      <c r="HK112" s="211"/>
      <c r="HL112" s="211"/>
      <c r="HM112" s="211"/>
      <c r="HN112" s="211"/>
      <c r="HO112" s="211"/>
      <c r="HP112" s="211"/>
      <c r="HQ112" s="211"/>
      <c r="HR112" s="211"/>
      <c r="HS112" s="211"/>
      <c r="HT112" s="211"/>
      <c r="HU112" s="211"/>
      <c r="HV112" s="211"/>
      <c r="HW112" s="211"/>
      <c r="HX112" s="211"/>
      <c r="HY112" s="211"/>
      <c r="HZ112" s="211"/>
      <c r="IA112" s="211"/>
      <c r="IB112" s="211"/>
      <c r="IC112" s="211"/>
      <c r="ID112" s="211"/>
      <c r="IE112" s="211"/>
      <c r="IF112" s="211"/>
      <c r="IG112" s="211"/>
      <c r="IH112" s="211"/>
      <c r="II112" s="211"/>
      <c r="IJ112" s="211"/>
      <c r="IK112" s="211"/>
      <c r="IL112" s="211"/>
      <c r="IM112" s="211"/>
      <c r="IN112" s="211"/>
      <c r="IO112" s="211"/>
      <c r="IP112" s="211"/>
      <c r="IQ112" s="211"/>
      <c r="IR112" s="211"/>
      <c r="IS112" s="211"/>
      <c r="IT112" s="211"/>
      <c r="IU112" s="211"/>
      <c r="IV112" s="211"/>
      <c r="IW112" s="211"/>
    </row>
    <row r="113" customFormat="false" ht="12.75" hidden="false" customHeight="false" outlineLevel="0" collapsed="false">
      <c r="A113" s="171"/>
      <c r="B113" s="165"/>
      <c r="C113" s="0"/>
      <c r="D113" s="0"/>
      <c r="E113" s="0"/>
      <c r="F113" s="0"/>
      <c r="G113" s="0"/>
      <c r="H113" s="0"/>
      <c r="I113" s="0"/>
      <c r="J113" s="4"/>
      <c r="K113" s="0"/>
      <c r="L113" s="169"/>
      <c r="M113" s="115"/>
      <c r="O113" s="115"/>
      <c r="Q113" s="115"/>
      <c r="S113" s="115"/>
      <c r="T113" s="115"/>
      <c r="U113" s="115"/>
      <c r="V113" s="115"/>
      <c r="X113" s="115"/>
      <c r="Z113" s="115"/>
      <c r="AB113" s="115"/>
      <c r="AD113" s="115"/>
      <c r="BL113" s="115"/>
      <c r="BM113" s="115"/>
      <c r="BO113" s="115"/>
      <c r="BP113" s="115"/>
      <c r="BQ113" s="115"/>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false" customHeight="false" outlineLevel="0" collapsed="false">
      <c r="A114" s="212" t="s">
        <v>234</v>
      </c>
      <c r="B114" s="213"/>
      <c r="C114" s="197"/>
      <c r="D114" s="197"/>
      <c r="E114" s="197"/>
      <c r="F114" s="197"/>
      <c r="G114" s="197"/>
      <c r="H114" s="197"/>
      <c r="I114" s="197"/>
      <c r="J114" s="198"/>
      <c r="K114" s="197"/>
      <c r="L114" s="199"/>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BT114" s="200"/>
      <c r="BU114" s="200"/>
      <c r="BV114" s="200"/>
      <c r="BW114" s="200"/>
      <c r="BX114" s="197"/>
      <c r="BY114" s="197"/>
      <c r="BZ114" s="197"/>
      <c r="CA114" s="197"/>
      <c r="CB114" s="197"/>
      <c r="CC114" s="197"/>
      <c r="CD114" s="197"/>
      <c r="CE114" s="197"/>
      <c r="CF114" s="197"/>
      <c r="CG114" s="197"/>
      <c r="CH114" s="197"/>
      <c r="CI114" s="197"/>
      <c r="CJ114" s="197"/>
      <c r="CK114" s="197"/>
      <c r="CL114" s="197"/>
      <c r="CM114" s="197"/>
      <c r="CN114" s="197"/>
      <c r="CO114" s="197"/>
      <c r="CP114" s="197"/>
      <c r="CQ114" s="197"/>
      <c r="CR114" s="197"/>
      <c r="CS114" s="197"/>
      <c r="CT114" s="197"/>
      <c r="CU114" s="197"/>
      <c r="CV114" s="197"/>
      <c r="CW114" s="197"/>
      <c r="CX114" s="197"/>
      <c r="CY114" s="197"/>
      <c r="CZ114" s="197"/>
      <c r="DA114" s="197"/>
      <c r="DB114" s="197"/>
      <c r="DC114" s="197"/>
      <c r="DD114" s="197"/>
      <c r="DE114" s="197"/>
      <c r="DF114" s="197"/>
      <c r="DG114" s="197"/>
      <c r="DH114" s="197"/>
      <c r="DI114" s="197"/>
      <c r="DJ114" s="197"/>
      <c r="DK114" s="197"/>
      <c r="DL114" s="197"/>
      <c r="DM114" s="197"/>
      <c r="DN114" s="197"/>
      <c r="DO114" s="197"/>
      <c r="DP114" s="197"/>
      <c r="DQ114" s="197"/>
      <c r="DR114" s="197"/>
      <c r="DS114" s="197"/>
      <c r="DT114" s="197"/>
      <c r="DU114" s="197"/>
      <c r="DV114" s="197"/>
      <c r="DW114" s="197"/>
      <c r="DX114" s="197"/>
      <c r="DY114" s="197"/>
      <c r="DZ114" s="197"/>
      <c r="EA114" s="197"/>
      <c r="EB114" s="197"/>
      <c r="EC114" s="197"/>
      <c r="ED114" s="197"/>
      <c r="EE114" s="197"/>
      <c r="EF114" s="197"/>
      <c r="EG114" s="197"/>
      <c r="EH114" s="197"/>
      <c r="EI114" s="197"/>
      <c r="EJ114" s="197"/>
      <c r="EK114" s="197"/>
      <c r="EL114" s="197"/>
      <c r="EM114" s="197"/>
      <c r="EN114" s="197"/>
      <c r="EO114" s="197"/>
      <c r="EP114" s="197"/>
      <c r="EQ114" s="197"/>
      <c r="ER114" s="197"/>
      <c r="ES114" s="197"/>
      <c r="ET114" s="197"/>
      <c r="EU114" s="197"/>
      <c r="EV114" s="197"/>
      <c r="EW114" s="197"/>
      <c r="EX114" s="197"/>
      <c r="EY114" s="197"/>
      <c r="EZ114" s="197"/>
      <c r="FA114" s="197"/>
      <c r="FB114" s="197"/>
      <c r="FC114" s="197"/>
      <c r="FD114" s="197"/>
      <c r="FE114" s="197"/>
      <c r="FF114" s="197"/>
      <c r="FG114" s="197"/>
      <c r="FH114" s="197"/>
      <c r="FI114" s="197"/>
      <c r="FJ114" s="197"/>
      <c r="FK114" s="197"/>
      <c r="FL114" s="197"/>
      <c r="FM114" s="197"/>
      <c r="FN114" s="197"/>
      <c r="FO114" s="197"/>
      <c r="FP114" s="197"/>
      <c r="FQ114" s="197"/>
      <c r="FR114" s="197"/>
      <c r="FS114" s="197"/>
      <c r="FT114" s="197"/>
      <c r="FU114" s="197"/>
      <c r="FV114" s="197"/>
      <c r="FW114" s="197"/>
      <c r="FX114" s="197"/>
      <c r="FY114" s="197"/>
      <c r="FZ114" s="197"/>
      <c r="GA114" s="197"/>
      <c r="GB114" s="197"/>
      <c r="GC114" s="197"/>
      <c r="GD114" s="197"/>
      <c r="GE114" s="197"/>
      <c r="GF114" s="197"/>
      <c r="GG114" s="197"/>
      <c r="GH114" s="197"/>
      <c r="GI114" s="197"/>
      <c r="GJ114" s="197"/>
      <c r="GK114" s="197"/>
      <c r="GL114" s="197"/>
      <c r="GM114" s="197"/>
      <c r="GN114" s="197"/>
      <c r="GO114" s="197"/>
      <c r="GP114" s="197"/>
      <c r="GQ114" s="197"/>
      <c r="GR114" s="197"/>
      <c r="GS114" s="197"/>
      <c r="GT114" s="197"/>
      <c r="GU114" s="197"/>
      <c r="GV114" s="197"/>
      <c r="GW114" s="197"/>
      <c r="GX114" s="197"/>
      <c r="GY114" s="197"/>
      <c r="GZ114" s="197"/>
      <c r="HA114" s="197"/>
      <c r="HB114" s="197"/>
      <c r="HC114" s="197"/>
      <c r="HD114" s="197"/>
      <c r="HE114" s="197"/>
      <c r="HF114" s="197"/>
      <c r="HG114" s="197"/>
      <c r="HH114" s="197"/>
      <c r="HI114" s="197"/>
      <c r="HJ114" s="197"/>
      <c r="HK114" s="197"/>
      <c r="HL114" s="197"/>
      <c r="HM114" s="197"/>
      <c r="HN114" s="197"/>
      <c r="HO114" s="197"/>
      <c r="HP114" s="197"/>
      <c r="HQ114" s="197"/>
      <c r="HR114" s="197"/>
      <c r="HS114" s="197"/>
      <c r="HT114" s="197"/>
      <c r="HU114" s="197"/>
      <c r="HV114" s="197"/>
      <c r="HW114" s="197"/>
      <c r="HX114" s="197"/>
      <c r="HY114" s="197"/>
      <c r="HZ114" s="197"/>
      <c r="IA114" s="197"/>
      <c r="IB114" s="197"/>
      <c r="IC114" s="197"/>
      <c r="ID114" s="197"/>
      <c r="IE114" s="197"/>
      <c r="IF114" s="197"/>
      <c r="IG114" s="197"/>
      <c r="IH114" s="197"/>
      <c r="II114" s="197"/>
      <c r="IJ114" s="197"/>
      <c r="IK114" s="197"/>
      <c r="IL114" s="197"/>
      <c r="IM114" s="197"/>
      <c r="IN114" s="197"/>
      <c r="IO114" s="197"/>
      <c r="IP114" s="197"/>
      <c r="IQ114" s="197"/>
      <c r="IR114" s="197"/>
      <c r="IS114" s="197"/>
      <c r="IT114" s="197"/>
      <c r="IU114" s="197"/>
      <c r="IV114" s="197"/>
      <c r="IW114" s="197"/>
    </row>
    <row r="115" customFormat="false" ht="12.75" hidden="true" customHeight="false" outlineLevel="0" collapsed="false">
      <c r="A115" s="186" t="s">
        <v>176</v>
      </c>
      <c r="B115" s="165"/>
      <c r="C115" s="0"/>
      <c r="D115" s="0"/>
      <c r="E115" s="0"/>
      <c r="F115" s="0"/>
      <c r="G115" s="0"/>
      <c r="H115" s="0"/>
      <c r="I115" s="0"/>
      <c r="J115" s="4"/>
      <c r="K115" s="0"/>
      <c r="L115" s="169"/>
      <c r="M115" s="115"/>
      <c r="O115" s="115"/>
      <c r="Q115" s="115"/>
      <c r="S115" s="115"/>
      <c r="T115" s="115"/>
      <c r="U115" s="115"/>
      <c r="V115" s="115"/>
      <c r="X115" s="115"/>
      <c r="Z115" s="115"/>
      <c r="AB115" s="115"/>
      <c r="AD115" s="115"/>
      <c r="BL115" s="115"/>
      <c r="BM115" s="115"/>
      <c r="BO115" s="115"/>
      <c r="BP115" s="115"/>
      <c r="BQ115" s="115"/>
      <c r="BW115" s="115"/>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c r="GE115" s="206"/>
      <c r="GF115" s="206"/>
      <c r="GG115" s="206"/>
      <c r="GH115" s="206"/>
      <c r="GI115" s="206"/>
      <c r="GJ115" s="206"/>
      <c r="GK115" s="206"/>
      <c r="GL115" s="206"/>
      <c r="GM115" s="206"/>
      <c r="GN115" s="206"/>
      <c r="GO115" s="206"/>
      <c r="GP115" s="206"/>
      <c r="GQ115" s="206"/>
      <c r="GR115" s="206"/>
      <c r="GS115" s="206"/>
      <c r="GT115" s="206"/>
      <c r="GU115" s="206"/>
      <c r="GV115" s="206"/>
      <c r="GW115" s="206"/>
      <c r="GX115" s="206"/>
      <c r="GY115" s="206"/>
      <c r="GZ115" s="206"/>
      <c r="HA115" s="206"/>
      <c r="HB115" s="206"/>
      <c r="HC115" s="206"/>
      <c r="HD115" s="206"/>
      <c r="HE115" s="206"/>
      <c r="HF115" s="206"/>
      <c r="HG115" s="206"/>
      <c r="HH115" s="206"/>
      <c r="HI115" s="206"/>
      <c r="HJ115" s="206"/>
      <c r="HK115" s="206"/>
      <c r="HL115" s="206"/>
      <c r="HM115" s="206"/>
      <c r="HN115" s="206"/>
      <c r="HO115" s="206"/>
      <c r="HP115" s="206"/>
      <c r="HQ115" s="206"/>
      <c r="HR115" s="206"/>
      <c r="HS115" s="206"/>
      <c r="HT115" s="206"/>
      <c r="HU115" s="206"/>
      <c r="HV115" s="206"/>
      <c r="HW115" s="206"/>
      <c r="HX115" s="206"/>
      <c r="HY115" s="206"/>
      <c r="HZ115" s="206"/>
      <c r="IA115" s="206"/>
      <c r="IB115" s="206"/>
      <c r="IC115" s="206"/>
      <c r="ID115" s="206"/>
      <c r="IE115" s="206"/>
      <c r="IF115" s="206"/>
      <c r="IG115" s="206"/>
      <c r="IH115" s="206"/>
      <c r="II115" s="206"/>
      <c r="IJ115" s="206"/>
      <c r="IK115" s="206"/>
      <c r="IL115" s="206"/>
      <c r="IM115" s="206"/>
      <c r="IN115" s="206"/>
      <c r="IO115" s="206"/>
      <c r="IP115" s="206"/>
      <c r="IQ115" s="206"/>
      <c r="IR115" s="206"/>
      <c r="IS115" s="206"/>
      <c r="IT115" s="206"/>
      <c r="IU115" s="206"/>
      <c r="IV115" s="206"/>
      <c r="IW115" s="206"/>
    </row>
    <row r="116" customFormat="false" ht="12.75" hidden="true" customHeight="false" outlineLevel="0" collapsed="false">
      <c r="A116" s="186"/>
      <c r="B116" s="165" t="s">
        <v>340</v>
      </c>
      <c r="C116" s="0"/>
      <c r="D116" s="0"/>
      <c r="E116" s="0"/>
      <c r="F116" s="0"/>
      <c r="G116" s="0"/>
      <c r="H116" s="0"/>
      <c r="I116" s="0"/>
      <c r="J116" s="4"/>
      <c r="K116" s="0"/>
      <c r="L116" s="169" t="s">
        <v>142</v>
      </c>
      <c r="M116" s="115"/>
      <c r="N116" s="115" t="n">
        <v>0</v>
      </c>
      <c r="O116" s="115"/>
      <c r="P116" s="115" t="n">
        <v>0</v>
      </c>
      <c r="Q116" s="115"/>
      <c r="R116" s="115" t="n">
        <f aca="false">+N116+P116</f>
        <v>0</v>
      </c>
      <c r="S116" s="115"/>
      <c r="T116" s="115" t="n">
        <v>0</v>
      </c>
      <c r="U116" s="115"/>
      <c r="V116" s="115" t="n">
        <v>0</v>
      </c>
      <c r="X116" s="115" t="n">
        <v>0</v>
      </c>
      <c r="Z116" s="115" t="n">
        <v>0</v>
      </c>
      <c r="AB116" s="115" t="n">
        <v>0</v>
      </c>
      <c r="AD116" s="115" t="n">
        <v>0</v>
      </c>
      <c r="AF116" s="115" t="n">
        <v>0</v>
      </c>
      <c r="AH116" s="115" t="n">
        <v>0</v>
      </c>
      <c r="AJ116" s="115" t="n">
        <v>0</v>
      </c>
      <c r="AN116" s="115" t="n">
        <v>0</v>
      </c>
      <c r="AP116" s="115" t="n">
        <v>0</v>
      </c>
      <c r="AR116" s="115" t="n">
        <v>0</v>
      </c>
      <c r="AT116" s="115" t="n">
        <v>0</v>
      </c>
      <c r="AV116" s="115" t="n">
        <v>0</v>
      </c>
      <c r="AX116" s="115" t="n">
        <v>0</v>
      </c>
      <c r="AZ116" s="115" t="n">
        <v>0</v>
      </c>
      <c r="BB116" s="115" t="n">
        <v>0</v>
      </c>
      <c r="BD116" s="115" t="n">
        <v>0</v>
      </c>
      <c r="BF116" s="115" t="n">
        <v>0</v>
      </c>
      <c r="BH116" s="115" t="n">
        <v>0</v>
      </c>
      <c r="BJ116" s="115" t="n">
        <v>0</v>
      </c>
      <c r="BL116" s="115" t="n">
        <v>0</v>
      </c>
      <c r="BM116" s="115"/>
      <c r="BN116" s="115" t="n">
        <f aca="false">SUM(T116:BM116)</f>
        <v>0</v>
      </c>
      <c r="BO116" s="115"/>
      <c r="BP116" s="115" t="n">
        <v>0</v>
      </c>
      <c r="BQ116" s="115"/>
      <c r="BR116" s="115" t="n">
        <f aca="false">+R116-BN116+BP116</f>
        <v>0</v>
      </c>
      <c r="BT116" s="115" t="n">
        <f aca="false">+BN116+BR116</f>
        <v>0</v>
      </c>
      <c r="BV116" s="115" t="n">
        <f aca="false">+R116-BT116</f>
        <v>0</v>
      </c>
      <c r="BW116" s="115"/>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c r="FL116" s="206"/>
      <c r="FM116" s="206"/>
      <c r="FN116" s="206"/>
      <c r="FO116" s="206"/>
      <c r="FP116" s="206"/>
      <c r="FQ116" s="206"/>
      <c r="FR116" s="206"/>
      <c r="FS116" s="206"/>
      <c r="FT116" s="206"/>
      <c r="FU116" s="206"/>
      <c r="FV116" s="206"/>
      <c r="FW116" s="206"/>
      <c r="FX116" s="206"/>
      <c r="FY116" s="206"/>
      <c r="FZ116" s="206"/>
      <c r="GA116" s="206"/>
      <c r="GB116" s="206"/>
      <c r="GC116" s="206"/>
      <c r="GD116" s="206"/>
      <c r="GE116" s="206"/>
      <c r="GF116" s="206"/>
      <c r="GG116" s="206"/>
      <c r="GH116" s="206"/>
      <c r="GI116" s="206"/>
      <c r="GJ116" s="206"/>
      <c r="GK116" s="206"/>
      <c r="GL116" s="206"/>
      <c r="GM116" s="206"/>
      <c r="GN116" s="206"/>
      <c r="GO116" s="206"/>
      <c r="GP116" s="206"/>
      <c r="GQ116" s="206"/>
      <c r="GR116" s="206"/>
      <c r="GS116" s="206"/>
      <c r="GT116" s="206"/>
      <c r="GU116" s="206"/>
      <c r="GV116" s="206"/>
      <c r="GW116" s="206"/>
      <c r="GX116" s="206"/>
      <c r="GY116" s="206"/>
      <c r="GZ116" s="206"/>
      <c r="HA116" s="206"/>
      <c r="HB116" s="206"/>
      <c r="HC116" s="206"/>
      <c r="HD116" s="206"/>
      <c r="HE116" s="206"/>
      <c r="HF116" s="206"/>
      <c r="HG116" s="206"/>
      <c r="HH116" s="206"/>
      <c r="HI116" s="206"/>
      <c r="HJ116" s="206"/>
      <c r="HK116" s="206"/>
      <c r="HL116" s="206"/>
      <c r="HM116" s="206"/>
      <c r="HN116" s="206"/>
      <c r="HO116" s="206"/>
      <c r="HP116" s="206"/>
      <c r="HQ116" s="206"/>
      <c r="HR116" s="206"/>
      <c r="HS116" s="206"/>
      <c r="HT116" s="206"/>
      <c r="HU116" s="206"/>
      <c r="HV116" s="206"/>
      <c r="HW116" s="206"/>
      <c r="HX116" s="206"/>
      <c r="HY116" s="206"/>
      <c r="HZ116" s="206"/>
      <c r="IA116" s="206"/>
      <c r="IB116" s="206"/>
      <c r="IC116" s="206"/>
      <c r="ID116" s="206"/>
      <c r="IE116" s="206"/>
      <c r="IF116" s="206"/>
      <c r="IG116" s="206"/>
      <c r="IH116" s="206"/>
      <c r="II116" s="206"/>
      <c r="IJ116" s="206"/>
      <c r="IK116" s="206"/>
      <c r="IL116" s="206"/>
      <c r="IM116" s="206"/>
      <c r="IN116" s="206"/>
      <c r="IO116" s="206"/>
      <c r="IP116" s="206"/>
      <c r="IQ116" s="206"/>
      <c r="IR116" s="206"/>
      <c r="IS116" s="206"/>
      <c r="IT116" s="206"/>
      <c r="IU116" s="206"/>
      <c r="IV116" s="206"/>
      <c r="IW116" s="206"/>
    </row>
    <row r="117" customFormat="false" ht="12.75" hidden="true" customHeight="false" outlineLevel="0" collapsed="false">
      <c r="A117" s="186"/>
      <c r="B117" s="165" t="s">
        <v>341</v>
      </c>
      <c r="C117" s="0"/>
      <c r="D117" s="0"/>
      <c r="E117" s="0"/>
      <c r="F117" s="0"/>
      <c r="G117" s="0"/>
      <c r="H117" s="0"/>
      <c r="I117" s="0"/>
      <c r="J117" s="4"/>
      <c r="K117" s="0"/>
      <c r="L117" s="169" t="s">
        <v>142</v>
      </c>
      <c r="M117" s="115"/>
      <c r="N117" s="115" t="n">
        <v>0</v>
      </c>
      <c r="O117" s="115"/>
      <c r="P117" s="115" t="n">
        <v>0</v>
      </c>
      <c r="Q117" s="115"/>
      <c r="R117" s="115" t="n">
        <f aca="false">+N117+P117</f>
        <v>0</v>
      </c>
      <c r="S117" s="115"/>
      <c r="T117" s="115" t="n">
        <v>0</v>
      </c>
      <c r="U117" s="115"/>
      <c r="V117" s="115" t="n">
        <v>0</v>
      </c>
      <c r="X117" s="115" t="n">
        <v>0</v>
      </c>
      <c r="Z117" s="115" t="n">
        <v>0</v>
      </c>
      <c r="AB117" s="115" t="n">
        <v>0</v>
      </c>
      <c r="AD117" s="115" t="n">
        <v>0</v>
      </c>
      <c r="AF117" s="115" t="n">
        <v>0</v>
      </c>
      <c r="AH117" s="115" t="n">
        <v>0</v>
      </c>
      <c r="AJ117" s="115" t="n">
        <v>0</v>
      </c>
      <c r="AN117" s="115" t="n">
        <v>0</v>
      </c>
      <c r="AP117" s="115" t="n">
        <v>0</v>
      </c>
      <c r="AR117" s="115" t="n">
        <v>0</v>
      </c>
      <c r="AT117" s="115" t="n">
        <v>0</v>
      </c>
      <c r="AV117" s="115" t="n">
        <v>0</v>
      </c>
      <c r="AX117" s="115" t="n">
        <v>0</v>
      </c>
      <c r="AZ117" s="115" t="n">
        <v>0</v>
      </c>
      <c r="BB117" s="115" t="n">
        <v>0</v>
      </c>
      <c r="BD117" s="115" t="n">
        <v>0</v>
      </c>
      <c r="BF117" s="115" t="n">
        <v>0</v>
      </c>
      <c r="BH117" s="115" t="n">
        <v>0</v>
      </c>
      <c r="BJ117" s="115" t="n">
        <v>0</v>
      </c>
      <c r="BL117" s="115" t="n">
        <v>0</v>
      </c>
      <c r="BM117" s="115"/>
      <c r="BN117" s="115" t="n">
        <f aca="false">SUM(T117:BM117)</f>
        <v>0</v>
      </c>
      <c r="BO117" s="115"/>
      <c r="BP117" s="115" t="n">
        <v>0</v>
      </c>
      <c r="BQ117" s="115"/>
      <c r="BR117" s="115" t="n">
        <f aca="false">+R117-BN117+BP117</f>
        <v>0</v>
      </c>
      <c r="BT117" s="115" t="n">
        <f aca="false">+BN117+BR117</f>
        <v>0</v>
      </c>
      <c r="BV117" s="115" t="n">
        <f aca="false">+R117-BT117</f>
        <v>0</v>
      </c>
      <c r="BW117" s="115"/>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c r="GE117" s="206"/>
      <c r="GF117" s="206"/>
      <c r="GG117" s="206"/>
      <c r="GH117" s="206"/>
      <c r="GI117" s="206"/>
      <c r="GJ117" s="206"/>
      <c r="GK117" s="206"/>
      <c r="GL117" s="206"/>
      <c r="GM117" s="206"/>
      <c r="GN117" s="206"/>
      <c r="GO117" s="206"/>
      <c r="GP117" s="206"/>
      <c r="GQ117" s="206"/>
      <c r="GR117" s="206"/>
      <c r="GS117" s="206"/>
      <c r="GT117" s="206"/>
      <c r="GU117" s="206"/>
      <c r="GV117" s="206"/>
      <c r="GW117" s="206"/>
      <c r="GX117" s="206"/>
      <c r="GY117" s="206"/>
      <c r="GZ117" s="206"/>
      <c r="HA117" s="206"/>
      <c r="HB117" s="206"/>
      <c r="HC117" s="206"/>
      <c r="HD117" s="206"/>
      <c r="HE117" s="206"/>
      <c r="HF117" s="206"/>
      <c r="HG117" s="206"/>
      <c r="HH117" s="206"/>
      <c r="HI117" s="206"/>
      <c r="HJ117" s="206"/>
      <c r="HK117" s="206"/>
      <c r="HL117" s="206"/>
      <c r="HM117" s="206"/>
      <c r="HN117" s="206"/>
      <c r="HO117" s="206"/>
      <c r="HP117" s="206"/>
      <c r="HQ117" s="206"/>
      <c r="HR117" s="206"/>
      <c r="HS117" s="206"/>
      <c r="HT117" s="206"/>
      <c r="HU117" s="206"/>
      <c r="HV117" s="206"/>
      <c r="HW117" s="206"/>
      <c r="HX117" s="206"/>
      <c r="HY117" s="206"/>
      <c r="HZ117" s="206"/>
      <c r="IA117" s="206"/>
      <c r="IB117" s="206"/>
      <c r="IC117" s="206"/>
      <c r="ID117" s="206"/>
      <c r="IE117" s="206"/>
      <c r="IF117" s="206"/>
      <c r="IG117" s="206"/>
      <c r="IH117" s="206"/>
      <c r="II117" s="206"/>
      <c r="IJ117" s="206"/>
      <c r="IK117" s="206"/>
      <c r="IL117" s="206"/>
      <c r="IM117" s="206"/>
      <c r="IN117" s="206"/>
      <c r="IO117" s="206"/>
      <c r="IP117" s="206"/>
      <c r="IQ117" s="206"/>
      <c r="IR117" s="206"/>
      <c r="IS117" s="206"/>
      <c r="IT117" s="206"/>
      <c r="IU117" s="206"/>
      <c r="IV117" s="206"/>
      <c r="IW117" s="206"/>
    </row>
    <row r="118" customFormat="false" ht="12.75" hidden="true" customHeight="false" outlineLevel="0" collapsed="false">
      <c r="A118" s="186"/>
      <c r="B118" s="165" t="s">
        <v>342</v>
      </c>
      <c r="C118" s="0"/>
      <c r="D118" s="0"/>
      <c r="E118" s="0"/>
      <c r="F118" s="0"/>
      <c r="G118" s="0"/>
      <c r="H118" s="0"/>
      <c r="I118" s="0"/>
      <c r="J118" s="4"/>
      <c r="K118" s="0"/>
      <c r="L118" s="169" t="s">
        <v>142</v>
      </c>
      <c r="M118" s="115"/>
      <c r="N118" s="115" t="n">
        <v>0</v>
      </c>
      <c r="O118" s="115"/>
      <c r="P118" s="115" t="n">
        <v>0</v>
      </c>
      <c r="Q118" s="115"/>
      <c r="R118" s="115" t="n">
        <f aca="false">+N118+P118</f>
        <v>0</v>
      </c>
      <c r="S118" s="115"/>
      <c r="T118" s="115" t="n">
        <v>0</v>
      </c>
      <c r="U118" s="115"/>
      <c r="V118" s="115" t="n">
        <v>0</v>
      </c>
      <c r="X118" s="115" t="n">
        <v>0</v>
      </c>
      <c r="Z118" s="115" t="n">
        <v>0</v>
      </c>
      <c r="AB118" s="115" t="n">
        <v>0</v>
      </c>
      <c r="AD118" s="115" t="n">
        <v>0</v>
      </c>
      <c r="AF118" s="115" t="n">
        <v>0</v>
      </c>
      <c r="AH118" s="115" t="n">
        <v>0</v>
      </c>
      <c r="AJ118" s="115" t="n">
        <v>0</v>
      </c>
      <c r="AN118" s="115" t="n">
        <v>0</v>
      </c>
      <c r="AP118" s="115" t="n">
        <v>0</v>
      </c>
      <c r="AR118" s="115" t="n">
        <v>0</v>
      </c>
      <c r="AT118" s="115" t="n">
        <v>0</v>
      </c>
      <c r="AV118" s="115" t="n">
        <v>0</v>
      </c>
      <c r="AX118" s="115" t="n">
        <v>0</v>
      </c>
      <c r="AZ118" s="115" t="n">
        <v>0</v>
      </c>
      <c r="BB118" s="115" t="n">
        <v>0</v>
      </c>
      <c r="BD118" s="115" t="n">
        <v>0</v>
      </c>
      <c r="BF118" s="115" t="n">
        <v>0</v>
      </c>
      <c r="BH118" s="115" t="n">
        <v>0</v>
      </c>
      <c r="BJ118" s="115" t="n">
        <v>0</v>
      </c>
      <c r="BL118" s="115" t="n">
        <v>0</v>
      </c>
      <c r="BM118" s="115"/>
      <c r="BN118" s="115" t="n">
        <f aca="false">SUM(T118:BM118)</f>
        <v>0</v>
      </c>
      <c r="BO118" s="115"/>
      <c r="BP118" s="115" t="n">
        <v>0</v>
      </c>
      <c r="BQ118" s="115"/>
      <c r="BR118" s="115" t="n">
        <f aca="false">+R118-BN118+BP118</f>
        <v>0</v>
      </c>
      <c r="BT118" s="115" t="n">
        <f aca="false">+BN118+BR118</f>
        <v>0</v>
      </c>
      <c r="BV118" s="115" t="n">
        <f aca="false">+R118-BT118</f>
        <v>0</v>
      </c>
      <c r="BW118" s="115"/>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FX118" s="206"/>
      <c r="FY118" s="206"/>
      <c r="FZ118" s="206"/>
      <c r="GA118" s="206"/>
      <c r="GB118" s="206"/>
      <c r="GC118" s="206"/>
      <c r="GD118" s="206"/>
      <c r="GE118" s="206"/>
      <c r="GF118" s="206"/>
      <c r="GG118" s="206"/>
      <c r="GH118" s="206"/>
      <c r="GI118" s="206"/>
      <c r="GJ118" s="206"/>
      <c r="GK118" s="206"/>
      <c r="GL118" s="206"/>
      <c r="GM118" s="206"/>
      <c r="GN118" s="206"/>
      <c r="GO118" s="206"/>
      <c r="GP118" s="206"/>
      <c r="GQ118" s="206"/>
      <c r="GR118" s="206"/>
      <c r="GS118" s="206"/>
      <c r="GT118" s="206"/>
      <c r="GU118" s="206"/>
      <c r="GV118" s="206"/>
      <c r="GW118" s="206"/>
      <c r="GX118" s="206"/>
      <c r="GY118" s="206"/>
      <c r="GZ118" s="206"/>
      <c r="HA118" s="206"/>
      <c r="HB118" s="206"/>
      <c r="HC118" s="206"/>
      <c r="HD118" s="206"/>
      <c r="HE118" s="206"/>
      <c r="HF118" s="206"/>
      <c r="HG118" s="206"/>
      <c r="HH118" s="206"/>
      <c r="HI118" s="206"/>
      <c r="HJ118" s="206"/>
      <c r="HK118" s="206"/>
      <c r="HL118" s="206"/>
      <c r="HM118" s="206"/>
      <c r="HN118" s="206"/>
      <c r="HO118" s="206"/>
      <c r="HP118" s="206"/>
      <c r="HQ118" s="206"/>
      <c r="HR118" s="206"/>
      <c r="HS118" s="206"/>
      <c r="HT118" s="206"/>
      <c r="HU118" s="206"/>
      <c r="HV118" s="206"/>
      <c r="HW118" s="206"/>
      <c r="HX118" s="206"/>
      <c r="HY118" s="206"/>
      <c r="HZ118" s="206"/>
      <c r="IA118" s="206"/>
      <c r="IB118" s="206"/>
      <c r="IC118" s="206"/>
      <c r="ID118" s="206"/>
      <c r="IE118" s="206"/>
      <c r="IF118" s="206"/>
      <c r="IG118" s="206"/>
      <c r="IH118" s="206"/>
      <c r="II118" s="206"/>
      <c r="IJ118" s="206"/>
      <c r="IK118" s="206"/>
      <c r="IL118" s="206"/>
      <c r="IM118" s="206"/>
      <c r="IN118" s="206"/>
      <c r="IO118" s="206"/>
      <c r="IP118" s="206"/>
      <c r="IQ118" s="206"/>
      <c r="IR118" s="206"/>
      <c r="IS118" s="206"/>
      <c r="IT118" s="206"/>
      <c r="IU118" s="206"/>
      <c r="IV118" s="206"/>
      <c r="IW118" s="206"/>
    </row>
    <row r="119" customFormat="false" ht="12.75" hidden="true" customHeight="false" outlineLevel="0" collapsed="false">
      <c r="A119" s="186"/>
      <c r="B119" s="165" t="s">
        <v>343</v>
      </c>
      <c r="C119" s="0"/>
      <c r="D119" s="0"/>
      <c r="E119" s="0"/>
      <c r="F119" s="0"/>
      <c r="G119" s="0"/>
      <c r="H119" s="0"/>
      <c r="I119" s="0"/>
      <c r="J119" s="4"/>
      <c r="K119" s="0"/>
      <c r="L119" s="169" t="s">
        <v>142</v>
      </c>
      <c r="M119" s="115"/>
      <c r="N119" s="115" t="n">
        <v>0</v>
      </c>
      <c r="O119" s="115"/>
      <c r="P119" s="115" t="n">
        <v>0</v>
      </c>
      <c r="Q119" s="115"/>
      <c r="R119" s="115" t="n">
        <f aca="false">+N119+P119</f>
        <v>0</v>
      </c>
      <c r="S119" s="115"/>
      <c r="T119" s="115" t="n">
        <v>0</v>
      </c>
      <c r="U119" s="115"/>
      <c r="V119" s="115" t="n">
        <v>0</v>
      </c>
      <c r="X119" s="115" t="n">
        <v>0</v>
      </c>
      <c r="Z119" s="115" t="n">
        <v>0</v>
      </c>
      <c r="AB119" s="115" t="n">
        <v>0</v>
      </c>
      <c r="AD119" s="115" t="n">
        <v>0</v>
      </c>
      <c r="AF119" s="115" t="n">
        <v>0</v>
      </c>
      <c r="AH119" s="115" t="n">
        <v>0</v>
      </c>
      <c r="AJ119" s="115" t="n">
        <v>0</v>
      </c>
      <c r="AN119" s="115" t="n">
        <v>0</v>
      </c>
      <c r="AP119" s="115" t="n">
        <v>0</v>
      </c>
      <c r="AR119" s="115" t="n">
        <v>0</v>
      </c>
      <c r="AT119" s="115" t="n">
        <v>0</v>
      </c>
      <c r="AV119" s="115" t="n">
        <v>0</v>
      </c>
      <c r="AX119" s="115" t="n">
        <v>0</v>
      </c>
      <c r="AZ119" s="115" t="n">
        <v>0</v>
      </c>
      <c r="BB119" s="115" t="n">
        <v>0</v>
      </c>
      <c r="BD119" s="115" t="n">
        <v>0</v>
      </c>
      <c r="BF119" s="115" t="n">
        <v>0</v>
      </c>
      <c r="BH119" s="115" t="n">
        <v>0</v>
      </c>
      <c r="BJ119" s="115" t="n">
        <v>0</v>
      </c>
      <c r="BL119" s="115" t="n">
        <v>0</v>
      </c>
      <c r="BM119" s="115"/>
      <c r="BN119" s="115" t="n">
        <f aca="false">SUM(T119:BM119)</f>
        <v>0</v>
      </c>
      <c r="BO119" s="115"/>
      <c r="BP119" s="115" t="n">
        <v>0</v>
      </c>
      <c r="BQ119" s="115"/>
      <c r="BR119" s="115" t="n">
        <f aca="false">+R119-BN119+BP119</f>
        <v>0</v>
      </c>
      <c r="BT119" s="115" t="n">
        <f aca="false">+BN119+BR119</f>
        <v>0</v>
      </c>
      <c r="BV119" s="115" t="n">
        <f aca="false">+R119-BT119</f>
        <v>0</v>
      </c>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344</v>
      </c>
      <c r="C120" s="0"/>
      <c r="D120" s="0"/>
      <c r="E120" s="0"/>
      <c r="F120" s="0"/>
      <c r="G120" s="0"/>
      <c r="H120" s="0"/>
      <c r="I120" s="0"/>
      <c r="J120" s="4"/>
      <c r="K120" s="0"/>
      <c r="L120" s="169" t="s">
        <v>142</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345</v>
      </c>
      <c r="C121" s="0"/>
      <c r="D121" s="0"/>
      <c r="E121" s="0"/>
      <c r="F121" s="0"/>
      <c r="G121" s="0"/>
      <c r="H121" s="0"/>
      <c r="I121" s="0"/>
      <c r="J121" s="4"/>
      <c r="K121" s="0"/>
      <c r="L121" s="169" t="s">
        <v>142</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346</v>
      </c>
      <c r="C122" s="0"/>
      <c r="D122" s="0"/>
      <c r="E122" s="0"/>
      <c r="F122" s="0"/>
      <c r="G122" s="0"/>
      <c r="H122" s="0"/>
      <c r="I122" s="0"/>
      <c r="J122" s="4"/>
      <c r="K122" s="0"/>
      <c r="L122" s="169" t="s">
        <v>142</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347</v>
      </c>
      <c r="C123" s="0"/>
      <c r="D123" s="0"/>
      <c r="E123" s="0"/>
      <c r="F123" s="0"/>
      <c r="G123" s="0"/>
      <c r="H123" s="0"/>
      <c r="I123" s="0"/>
      <c r="J123" s="4"/>
      <c r="K123" s="0"/>
      <c r="L123" s="169" t="s">
        <v>142</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209"/>
      <c r="B124" s="165" t="s">
        <v>348</v>
      </c>
      <c r="C124" s="18"/>
      <c r="D124" s="18"/>
      <c r="E124" s="18"/>
      <c r="F124" s="18"/>
      <c r="G124" s="18"/>
      <c r="H124" s="18"/>
      <c r="I124" s="18"/>
      <c r="J124" s="204"/>
      <c r="K124" s="18"/>
      <c r="L124" s="169" t="s">
        <v>142</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c r="FG124" s="207"/>
      <c r="FH124" s="207"/>
      <c r="FI124" s="207"/>
      <c r="FJ124" s="207"/>
      <c r="FK124" s="207"/>
      <c r="FL124" s="207"/>
      <c r="FM124" s="207"/>
      <c r="FN124" s="207"/>
      <c r="FO124" s="207"/>
      <c r="FP124" s="207"/>
      <c r="FQ124" s="207"/>
      <c r="FR124" s="207"/>
      <c r="FS124" s="207"/>
      <c r="FT124" s="207"/>
      <c r="FU124" s="207"/>
      <c r="FV124" s="207"/>
      <c r="FW124" s="207"/>
      <c r="FX124" s="207"/>
      <c r="FY124" s="207"/>
      <c r="FZ124" s="207"/>
      <c r="GA124" s="207"/>
      <c r="GB124" s="207"/>
      <c r="GC124" s="207"/>
      <c r="GD124" s="207"/>
      <c r="GE124" s="207"/>
      <c r="GF124" s="207"/>
      <c r="GG124" s="207"/>
      <c r="GH124" s="207"/>
      <c r="GI124" s="207"/>
      <c r="GJ124" s="207"/>
      <c r="GK124" s="207"/>
      <c r="GL124" s="207"/>
      <c r="GM124" s="207"/>
      <c r="GN124" s="207"/>
      <c r="GO124" s="207"/>
      <c r="GP124" s="207"/>
      <c r="GQ124" s="207"/>
      <c r="GR124" s="207"/>
      <c r="GS124" s="207"/>
      <c r="GT124" s="207"/>
      <c r="GU124" s="207"/>
      <c r="GV124" s="207"/>
      <c r="GW124" s="207"/>
      <c r="GX124" s="207"/>
      <c r="GY124" s="207"/>
      <c r="GZ124" s="207"/>
      <c r="HA124" s="207"/>
      <c r="HB124" s="207"/>
      <c r="HC124" s="207"/>
      <c r="HD124" s="207"/>
      <c r="HE124" s="207"/>
      <c r="HF124" s="207"/>
      <c r="HG124" s="207"/>
      <c r="HH124" s="207"/>
      <c r="HI124" s="207"/>
      <c r="HJ124" s="207"/>
      <c r="HK124" s="207"/>
      <c r="HL124" s="207"/>
      <c r="HM124" s="207"/>
      <c r="HN124" s="207"/>
      <c r="HO124" s="207"/>
      <c r="HP124" s="207"/>
      <c r="HQ124" s="207"/>
      <c r="HR124" s="207"/>
      <c r="HS124" s="207"/>
      <c r="HT124" s="207"/>
      <c r="HU124" s="207"/>
      <c r="HV124" s="207"/>
      <c r="HW124" s="207"/>
      <c r="HX124" s="207"/>
      <c r="HY124" s="207"/>
      <c r="HZ124" s="207"/>
      <c r="IA124" s="207"/>
      <c r="IB124" s="207"/>
      <c r="IC124" s="207"/>
      <c r="ID124" s="207"/>
      <c r="IE124" s="207"/>
      <c r="IF124" s="207"/>
      <c r="IG124" s="207"/>
      <c r="IH124" s="207"/>
      <c r="II124" s="207"/>
      <c r="IJ124" s="207"/>
      <c r="IK124" s="207"/>
      <c r="IL124" s="207"/>
      <c r="IM124" s="207"/>
      <c r="IN124" s="207"/>
      <c r="IO124" s="207"/>
      <c r="IP124" s="207"/>
      <c r="IQ124" s="207"/>
      <c r="IR124" s="207"/>
      <c r="IS124" s="207"/>
      <c r="IT124" s="207"/>
      <c r="IU124" s="207"/>
      <c r="IV124" s="207"/>
      <c r="IW124" s="207"/>
    </row>
    <row r="125" customFormat="false" ht="12.75" hidden="true" customHeight="false" outlineLevel="0" collapsed="false">
      <c r="A125" s="209"/>
      <c r="B125" s="165" t="s">
        <v>152</v>
      </c>
      <c r="C125" s="18"/>
      <c r="D125" s="18"/>
      <c r="E125" s="18"/>
      <c r="F125" s="18"/>
      <c r="G125" s="18"/>
      <c r="H125" s="18"/>
      <c r="I125" s="18"/>
      <c r="J125" s="204"/>
      <c r="K125" s="18"/>
      <c r="L125" s="169" t="s">
        <v>142</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customFormat="false" ht="12.75" hidden="true" customHeight="false" outlineLevel="0" collapsed="false">
      <c r="A126" s="209"/>
      <c r="B126" s="165"/>
      <c r="C126" s="18"/>
      <c r="D126" s="18"/>
      <c r="E126" s="18"/>
      <c r="F126" s="18"/>
      <c r="G126" s="18"/>
      <c r="H126" s="18"/>
      <c r="I126" s="18"/>
      <c r="J126" s="204"/>
      <c r="K126" s="18"/>
      <c r="L126" s="239"/>
      <c r="M126" s="115"/>
      <c r="O126" s="115"/>
      <c r="Q126" s="115"/>
      <c r="S126" s="115"/>
      <c r="T126" s="115"/>
      <c r="U126" s="115"/>
      <c r="V126" s="115"/>
      <c r="X126" s="115"/>
      <c r="Z126" s="115"/>
      <c r="AB126" s="115"/>
      <c r="AD126" s="115"/>
      <c r="BL126" s="115"/>
      <c r="BM126" s="115"/>
      <c r="BO126" s="115"/>
      <c r="BP126" s="115"/>
      <c r="BQ126" s="115"/>
      <c r="BW126" s="115"/>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c r="FG126" s="207"/>
      <c r="FH126" s="207"/>
      <c r="FI126" s="207"/>
      <c r="FJ126" s="207"/>
      <c r="FK126" s="207"/>
      <c r="FL126" s="207"/>
      <c r="FM126" s="207"/>
      <c r="FN126" s="207"/>
      <c r="FO126" s="207"/>
      <c r="FP126" s="207"/>
      <c r="FQ126" s="207"/>
      <c r="FR126" s="207"/>
      <c r="FS126" s="207"/>
      <c r="FT126" s="207"/>
      <c r="FU126" s="207"/>
      <c r="FV126" s="207"/>
      <c r="FW126" s="207"/>
      <c r="FX126" s="207"/>
      <c r="FY126" s="207"/>
      <c r="FZ126" s="207"/>
      <c r="GA126" s="207"/>
      <c r="GB126" s="207"/>
      <c r="GC126" s="207"/>
      <c r="GD126" s="207"/>
      <c r="GE126" s="207"/>
      <c r="GF126" s="207"/>
      <c r="GG126" s="207"/>
      <c r="GH126" s="207"/>
      <c r="GI126" s="207"/>
      <c r="GJ126" s="207"/>
      <c r="GK126" s="207"/>
      <c r="GL126" s="207"/>
      <c r="GM126" s="207"/>
      <c r="GN126" s="207"/>
      <c r="GO126" s="207"/>
      <c r="GP126" s="207"/>
      <c r="GQ126" s="207"/>
      <c r="GR126" s="207"/>
      <c r="GS126" s="207"/>
      <c r="GT126" s="207"/>
      <c r="GU126" s="207"/>
      <c r="GV126" s="207"/>
      <c r="GW126" s="207"/>
      <c r="GX126" s="207"/>
      <c r="GY126" s="207"/>
      <c r="GZ126" s="207"/>
      <c r="HA126" s="207"/>
      <c r="HB126" s="207"/>
      <c r="HC126" s="207"/>
      <c r="HD126" s="207"/>
      <c r="HE126" s="207"/>
      <c r="HF126" s="207"/>
      <c r="HG126" s="207"/>
      <c r="HH126" s="207"/>
      <c r="HI126" s="207"/>
      <c r="HJ126" s="207"/>
      <c r="HK126" s="207"/>
      <c r="HL126" s="207"/>
      <c r="HM126" s="207"/>
      <c r="HN126" s="207"/>
      <c r="HO126" s="207"/>
      <c r="HP126" s="207"/>
      <c r="HQ126" s="207"/>
      <c r="HR126" s="207"/>
      <c r="HS126" s="207"/>
      <c r="HT126" s="207"/>
      <c r="HU126" s="207"/>
      <c r="HV126" s="207"/>
      <c r="HW126" s="207"/>
      <c r="HX126" s="207"/>
      <c r="HY126" s="207"/>
      <c r="HZ126" s="207"/>
      <c r="IA126" s="207"/>
      <c r="IB126" s="207"/>
      <c r="IC126" s="207"/>
      <c r="ID126" s="207"/>
      <c r="IE126" s="207"/>
      <c r="IF126" s="207"/>
      <c r="IG126" s="207"/>
      <c r="IH126" s="207"/>
      <c r="II126" s="207"/>
      <c r="IJ126" s="207"/>
      <c r="IK126" s="207"/>
      <c r="IL126" s="207"/>
      <c r="IM126" s="207"/>
      <c r="IN126" s="207"/>
      <c r="IO126" s="207"/>
      <c r="IP126" s="207"/>
      <c r="IQ126" s="207"/>
      <c r="IR126" s="207"/>
      <c r="IS126" s="207"/>
      <c r="IT126" s="207"/>
      <c r="IU126" s="207"/>
      <c r="IV126" s="207"/>
      <c r="IW126" s="207"/>
    </row>
    <row r="127" customFormat="false" ht="12.75" hidden="true" customHeight="false" outlineLevel="0" collapsed="false">
      <c r="A127" s="208"/>
      <c r="B127" s="209" t="s">
        <v>349</v>
      </c>
      <c r="C127" s="2"/>
      <c r="D127" s="2"/>
      <c r="E127" s="2"/>
      <c r="F127" s="2"/>
      <c r="G127" s="2"/>
      <c r="H127" s="2"/>
      <c r="I127" s="2"/>
      <c r="J127" s="3"/>
      <c r="K127" s="2"/>
      <c r="L127" s="188"/>
      <c r="M127" s="24"/>
      <c r="N127" s="210" t="n">
        <f aca="false">SUM(N116:N126)</f>
        <v>0</v>
      </c>
      <c r="O127" s="24"/>
      <c r="P127" s="210" t="n">
        <f aca="false">SUM(P116:P126)</f>
        <v>0</v>
      </c>
      <c r="Q127" s="24"/>
      <c r="R127" s="210" t="n">
        <f aca="false">SUM(R116:R126)</f>
        <v>0</v>
      </c>
      <c r="S127" s="24"/>
      <c r="T127" s="210" t="n">
        <f aca="false">SUM(T116:T126)</f>
        <v>0</v>
      </c>
      <c r="U127" s="24"/>
      <c r="V127" s="210" t="n">
        <f aca="false">SUM(V116:V126)</f>
        <v>0</v>
      </c>
      <c r="W127" s="24"/>
      <c r="X127" s="210" t="n">
        <f aca="false">SUM(X116:X126)</f>
        <v>0</v>
      </c>
      <c r="Y127" s="24"/>
      <c r="Z127" s="210" t="n">
        <f aca="false">SUM(Z116:Z126)</f>
        <v>0</v>
      </c>
      <c r="AA127" s="24"/>
      <c r="AB127" s="210" t="n">
        <f aca="false">SUM(AB116:AB126)</f>
        <v>0</v>
      </c>
      <c r="AC127" s="24"/>
      <c r="AD127" s="210" t="n">
        <f aca="false">SUM(AD116:AD126)</f>
        <v>0</v>
      </c>
      <c r="AE127" s="24"/>
      <c r="AF127" s="210" t="n">
        <f aca="false">SUM(AF116:AF126)</f>
        <v>0</v>
      </c>
      <c r="AG127" s="24"/>
      <c r="AH127" s="210" t="n">
        <f aca="false">SUM(AH116:AH126)</f>
        <v>0</v>
      </c>
      <c r="AI127" s="24"/>
      <c r="AJ127" s="210" t="n">
        <f aca="false">SUM(AJ116:AJ126)</f>
        <v>0</v>
      </c>
      <c r="AK127" s="24"/>
      <c r="AL127" s="210"/>
      <c r="AM127" s="24"/>
      <c r="AN127" s="210" t="n">
        <f aca="false">SUM(AN116:AN126)</f>
        <v>0</v>
      </c>
      <c r="AO127" s="24"/>
      <c r="AP127" s="210" t="n">
        <f aca="false">SUM(AP116:AP126)</f>
        <v>0</v>
      </c>
      <c r="AQ127" s="24"/>
      <c r="AR127" s="210" t="n">
        <f aca="false">SUM(AR116:AR126)</f>
        <v>0</v>
      </c>
      <c r="AS127" s="24"/>
      <c r="AT127" s="210" t="n">
        <f aca="false">SUM(AT116:AT126)</f>
        <v>0</v>
      </c>
      <c r="AU127" s="24"/>
      <c r="AV127" s="210" t="n">
        <f aca="false">SUM(AV116:AV126)</f>
        <v>0</v>
      </c>
      <c r="AW127" s="24"/>
      <c r="AX127" s="210" t="n">
        <f aca="false">SUM(AX116:AX126)</f>
        <v>0</v>
      </c>
      <c r="AY127" s="24"/>
      <c r="AZ127" s="210" t="n">
        <f aca="false">SUM(AZ116:AZ126)</f>
        <v>0</v>
      </c>
      <c r="BA127" s="24"/>
      <c r="BB127" s="210" t="n">
        <f aca="false">SUM(BB116:BB126)</f>
        <v>0</v>
      </c>
      <c r="BC127" s="24"/>
      <c r="BD127" s="210" t="n">
        <f aca="false">SUM(BD116:BD126)</f>
        <v>0</v>
      </c>
      <c r="BE127" s="24"/>
      <c r="BF127" s="210" t="n">
        <f aca="false">SUM(BF116:BF126)</f>
        <v>0</v>
      </c>
      <c r="BG127" s="24"/>
      <c r="BH127" s="210" t="n">
        <f aca="false">SUM(BH116:BH126)</f>
        <v>0</v>
      </c>
      <c r="BI127" s="24"/>
      <c r="BJ127" s="210" t="n">
        <f aca="false">SUM(BJ116:BJ126)</f>
        <v>0</v>
      </c>
      <c r="BK127" s="24"/>
      <c r="BL127" s="210" t="n">
        <f aca="false">SUM(BL116:BL126)</f>
        <v>0</v>
      </c>
      <c r="BM127" s="24"/>
      <c r="BN127" s="210" t="n">
        <f aca="false">SUM(BN116:BN126)</f>
        <v>0</v>
      </c>
      <c r="BO127" s="24"/>
      <c r="BP127" s="210" t="n">
        <f aca="false">SUM(BP116:BP126)</f>
        <v>0</v>
      </c>
      <c r="BQ127" s="24"/>
      <c r="BR127" s="210" t="n">
        <f aca="false">SUM(BR116:BR126)</f>
        <v>0</v>
      </c>
      <c r="BS127" s="24"/>
      <c r="BT127" s="210" t="n">
        <f aca="false">SUM(BT116:BT126)</f>
        <v>0</v>
      </c>
      <c r="BU127" s="24"/>
      <c r="BV127" s="210" t="n">
        <f aca="false">SUM(BV116:BV126)</f>
        <v>0</v>
      </c>
      <c r="BW127" s="24"/>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11"/>
      <c r="DM127" s="211"/>
      <c r="DN127" s="211"/>
      <c r="DO127" s="211"/>
      <c r="DP127" s="211"/>
      <c r="DQ127" s="211"/>
      <c r="DR127" s="211"/>
      <c r="DS127" s="211"/>
      <c r="DT127" s="211"/>
      <c r="DU127" s="211"/>
      <c r="DV127" s="211"/>
      <c r="DW127" s="211"/>
      <c r="DX127" s="211"/>
      <c r="DY127" s="211"/>
      <c r="DZ127" s="211"/>
      <c r="EA127" s="211"/>
      <c r="EB127" s="211"/>
      <c r="EC127" s="211"/>
      <c r="ED127" s="211"/>
      <c r="EE127" s="211"/>
      <c r="EF127" s="211"/>
      <c r="EG127" s="211"/>
      <c r="EH127" s="211"/>
      <c r="EI127" s="211"/>
      <c r="EJ127" s="211"/>
      <c r="EK127" s="211"/>
      <c r="EL127" s="211"/>
      <c r="EM127" s="211"/>
      <c r="EN127" s="211"/>
      <c r="EO127" s="211"/>
      <c r="EP127" s="211"/>
      <c r="EQ127" s="211"/>
      <c r="ER127" s="211"/>
      <c r="ES127" s="211"/>
      <c r="ET127" s="211"/>
      <c r="EU127" s="211"/>
      <c r="EV127" s="211"/>
      <c r="EW127" s="211"/>
      <c r="EX127" s="211"/>
      <c r="EY127" s="211"/>
      <c r="EZ127" s="211"/>
      <c r="FA127" s="211"/>
      <c r="FB127" s="211"/>
      <c r="FC127" s="211"/>
      <c r="FD127" s="211"/>
      <c r="FE127" s="211"/>
      <c r="FF127" s="211"/>
      <c r="FG127" s="211"/>
      <c r="FH127" s="211"/>
      <c r="FI127" s="211"/>
      <c r="FJ127" s="211"/>
      <c r="FK127" s="211"/>
      <c r="FL127" s="211"/>
      <c r="FM127" s="211"/>
      <c r="FN127" s="211"/>
      <c r="FO127" s="211"/>
      <c r="FP127" s="211"/>
      <c r="FQ127" s="211"/>
      <c r="FR127" s="211"/>
      <c r="FS127" s="211"/>
      <c r="FT127" s="211"/>
      <c r="FU127" s="211"/>
      <c r="FV127" s="211"/>
      <c r="FW127" s="211"/>
      <c r="FX127" s="211"/>
      <c r="FY127" s="211"/>
      <c r="FZ127" s="211"/>
      <c r="GA127" s="211"/>
      <c r="GB127" s="211"/>
      <c r="GC127" s="211"/>
      <c r="GD127" s="211"/>
      <c r="GE127" s="211"/>
      <c r="GF127" s="211"/>
      <c r="GG127" s="211"/>
      <c r="GH127" s="211"/>
      <c r="GI127" s="211"/>
      <c r="GJ127" s="211"/>
      <c r="GK127" s="211"/>
      <c r="GL127" s="211"/>
      <c r="GM127" s="211"/>
      <c r="GN127" s="211"/>
      <c r="GO127" s="211"/>
      <c r="GP127" s="211"/>
      <c r="GQ127" s="211"/>
      <c r="GR127" s="211"/>
      <c r="GS127" s="211"/>
      <c r="GT127" s="211"/>
      <c r="GU127" s="211"/>
      <c r="GV127" s="211"/>
      <c r="GW127" s="211"/>
      <c r="GX127" s="211"/>
      <c r="GY127" s="211"/>
      <c r="GZ127" s="211"/>
      <c r="HA127" s="211"/>
      <c r="HB127" s="211"/>
      <c r="HC127" s="211"/>
      <c r="HD127" s="211"/>
      <c r="HE127" s="211"/>
      <c r="HF127" s="211"/>
      <c r="HG127" s="211"/>
      <c r="HH127" s="211"/>
      <c r="HI127" s="211"/>
      <c r="HJ127" s="211"/>
      <c r="HK127" s="211"/>
      <c r="HL127" s="211"/>
      <c r="HM127" s="211"/>
      <c r="HN127" s="211"/>
      <c r="HO127" s="211"/>
      <c r="HP127" s="211"/>
      <c r="HQ127" s="211"/>
      <c r="HR127" s="211"/>
      <c r="HS127" s="211"/>
      <c r="HT127" s="211"/>
      <c r="HU127" s="211"/>
      <c r="HV127" s="211"/>
      <c r="HW127" s="211"/>
      <c r="HX127" s="211"/>
      <c r="HY127" s="211"/>
      <c r="HZ127" s="211"/>
      <c r="IA127" s="211"/>
      <c r="IB127" s="211"/>
      <c r="IC127" s="211"/>
      <c r="ID127" s="211"/>
      <c r="IE127" s="211"/>
      <c r="IF127" s="211"/>
      <c r="IG127" s="211"/>
      <c r="IH127" s="211"/>
      <c r="II127" s="211"/>
      <c r="IJ127" s="211"/>
      <c r="IK127" s="211"/>
      <c r="IL127" s="211"/>
      <c r="IM127" s="211"/>
      <c r="IN127" s="211"/>
      <c r="IO127" s="211"/>
      <c r="IP127" s="211"/>
      <c r="IQ127" s="211"/>
      <c r="IR127" s="211"/>
      <c r="IS127" s="211"/>
      <c r="IT127" s="211"/>
      <c r="IU127" s="211"/>
      <c r="IV127" s="211"/>
      <c r="IW127" s="211"/>
    </row>
    <row r="128" customFormat="false" ht="12.75" hidden="true" customHeight="false" outlineLevel="0" collapsed="false">
      <c r="A128" s="214"/>
      <c r="B128" s="173"/>
      <c r="C128" s="0"/>
      <c r="D128" s="0"/>
      <c r="E128" s="0"/>
      <c r="F128" s="0"/>
      <c r="G128" s="0"/>
      <c r="H128" s="0"/>
      <c r="I128" s="0"/>
      <c r="J128" s="4"/>
      <c r="K128" s="0"/>
      <c r="L128" s="169"/>
      <c r="M128" s="115"/>
      <c r="O128" s="115"/>
      <c r="Q128" s="115"/>
      <c r="S128" s="115"/>
      <c r="T128" s="115"/>
      <c r="U128" s="115"/>
      <c r="V128" s="115"/>
      <c r="X128" s="115"/>
      <c r="Z128" s="115"/>
      <c r="AB128" s="115"/>
      <c r="AD128" s="115"/>
      <c r="BL128" s="115"/>
      <c r="BM128" s="115"/>
      <c r="BO128" s="115"/>
      <c r="BP128" s="115"/>
      <c r="BQ128" s="115"/>
      <c r="BW128" s="115"/>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c r="FL128" s="206"/>
      <c r="FM128" s="206"/>
      <c r="FN128" s="206"/>
      <c r="FO128" s="206"/>
      <c r="FP128" s="206"/>
      <c r="FQ128" s="206"/>
      <c r="FR128" s="206"/>
      <c r="FS128" s="206"/>
      <c r="FT128" s="206"/>
      <c r="FU128" s="206"/>
      <c r="FV128" s="206"/>
      <c r="FW128" s="206"/>
      <c r="FX128" s="206"/>
      <c r="FY128" s="206"/>
      <c r="FZ128" s="206"/>
      <c r="GA128" s="206"/>
      <c r="GB128" s="206"/>
      <c r="GC128" s="206"/>
      <c r="GD128" s="206"/>
      <c r="GE128" s="206"/>
      <c r="GF128" s="206"/>
      <c r="GG128" s="206"/>
      <c r="GH128" s="206"/>
      <c r="GI128" s="206"/>
      <c r="GJ128" s="206"/>
      <c r="GK128" s="206"/>
      <c r="GL128" s="206"/>
      <c r="GM128" s="206"/>
      <c r="GN128" s="206"/>
      <c r="GO128" s="206"/>
      <c r="GP128" s="206"/>
      <c r="GQ128" s="206"/>
      <c r="GR128" s="206"/>
      <c r="GS128" s="206"/>
      <c r="GT128" s="206"/>
      <c r="GU128" s="206"/>
      <c r="GV128" s="206"/>
      <c r="GW128" s="206"/>
      <c r="GX128" s="206"/>
      <c r="GY128" s="206"/>
      <c r="GZ128" s="206"/>
      <c r="HA128" s="206"/>
      <c r="HB128" s="206"/>
      <c r="HC128" s="206"/>
      <c r="HD128" s="206"/>
      <c r="HE128" s="206"/>
      <c r="HF128" s="206"/>
      <c r="HG128" s="206"/>
      <c r="HH128" s="206"/>
      <c r="HI128" s="206"/>
      <c r="HJ128" s="206"/>
      <c r="HK128" s="206"/>
      <c r="HL128" s="206"/>
      <c r="HM128" s="206"/>
      <c r="HN128" s="206"/>
      <c r="HO128" s="206"/>
      <c r="HP128" s="206"/>
      <c r="HQ128" s="206"/>
      <c r="HR128" s="206"/>
      <c r="HS128" s="206"/>
      <c r="HT128" s="206"/>
      <c r="HU128" s="206"/>
      <c r="HV128" s="206"/>
      <c r="HW128" s="206"/>
      <c r="HX128" s="206"/>
      <c r="HY128" s="206"/>
      <c r="HZ128" s="206"/>
      <c r="IA128" s="206"/>
      <c r="IB128" s="206"/>
      <c r="IC128" s="206"/>
      <c r="ID128" s="206"/>
      <c r="IE128" s="206"/>
      <c r="IF128" s="206"/>
      <c r="IG128" s="206"/>
      <c r="IH128" s="206"/>
      <c r="II128" s="206"/>
      <c r="IJ128" s="206"/>
      <c r="IK128" s="206"/>
      <c r="IL128" s="206"/>
      <c r="IM128" s="206"/>
      <c r="IN128" s="206"/>
      <c r="IO128" s="206"/>
      <c r="IP128" s="206"/>
      <c r="IQ128" s="206"/>
      <c r="IR128" s="206"/>
      <c r="IS128" s="206"/>
      <c r="IT128" s="206"/>
      <c r="IU128" s="206"/>
      <c r="IV128" s="206"/>
      <c r="IW128" s="206"/>
    </row>
    <row r="129" customFormat="false" ht="12.75" hidden="false" customHeight="false" outlineLevel="0" collapsed="false">
      <c r="A129" s="214"/>
      <c r="B129" s="173"/>
      <c r="C129" s="0"/>
      <c r="D129" s="0"/>
      <c r="E129" s="0"/>
      <c r="F129" s="0"/>
      <c r="G129" s="0"/>
      <c r="H129" s="0"/>
      <c r="I129" s="0"/>
      <c r="J129" s="4"/>
      <c r="K129" s="0"/>
      <c r="L129" s="169"/>
      <c r="M129" s="115"/>
      <c r="O129" s="115"/>
      <c r="Q129" s="115"/>
      <c r="S129" s="115"/>
      <c r="T129" s="115"/>
      <c r="U129" s="115"/>
      <c r="V129" s="115"/>
      <c r="X129" s="115"/>
      <c r="Z129" s="115"/>
      <c r="AB129" s="115"/>
      <c r="AD129" s="115"/>
      <c r="BL129" s="115"/>
      <c r="BM129" s="115"/>
      <c r="BO129" s="115"/>
      <c r="BP129" s="115"/>
      <c r="BQ129" s="115"/>
      <c r="BW129" s="115"/>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c r="FL129" s="206"/>
      <c r="FM129" s="206"/>
      <c r="FN129" s="206"/>
      <c r="FO129" s="206"/>
      <c r="FP129" s="206"/>
      <c r="FQ129" s="206"/>
      <c r="FR129" s="206"/>
      <c r="FS129" s="206"/>
      <c r="FT129" s="206"/>
      <c r="FU129" s="206"/>
      <c r="FV129" s="206"/>
      <c r="FW129" s="206"/>
      <c r="FX129" s="206"/>
      <c r="FY129" s="206"/>
      <c r="FZ129" s="206"/>
      <c r="GA129" s="206"/>
      <c r="GB129" s="206"/>
      <c r="GC129" s="206"/>
      <c r="GD129" s="206"/>
      <c r="GE129" s="206"/>
      <c r="GF129" s="206"/>
      <c r="GG129" s="206"/>
      <c r="GH129" s="206"/>
      <c r="GI129" s="206"/>
      <c r="GJ129" s="206"/>
      <c r="GK129" s="206"/>
      <c r="GL129" s="206"/>
      <c r="GM129" s="206"/>
      <c r="GN129" s="206"/>
      <c r="GO129" s="206"/>
      <c r="GP129" s="206"/>
      <c r="GQ129" s="206"/>
      <c r="GR129" s="206"/>
      <c r="GS129" s="206"/>
      <c r="GT129" s="206"/>
      <c r="GU129" s="206"/>
      <c r="GV129" s="206"/>
      <c r="GW129" s="206"/>
      <c r="GX129" s="206"/>
      <c r="GY129" s="206"/>
      <c r="GZ129" s="206"/>
      <c r="HA129" s="206"/>
      <c r="HB129" s="206"/>
      <c r="HC129" s="206"/>
      <c r="HD129" s="206"/>
      <c r="HE129" s="206"/>
      <c r="HF129" s="206"/>
      <c r="HG129" s="206"/>
      <c r="HH129" s="206"/>
      <c r="HI129" s="206"/>
      <c r="HJ129" s="206"/>
      <c r="HK129" s="206"/>
      <c r="HL129" s="206"/>
      <c r="HM129" s="206"/>
      <c r="HN129" s="206"/>
      <c r="HO129" s="206"/>
      <c r="HP129" s="206"/>
      <c r="HQ129" s="206"/>
      <c r="HR129" s="206"/>
      <c r="HS129" s="206"/>
      <c r="HT129" s="206"/>
      <c r="HU129" s="206"/>
      <c r="HV129" s="206"/>
      <c r="HW129" s="206"/>
      <c r="HX129" s="206"/>
      <c r="HY129" s="206"/>
      <c r="HZ129" s="206"/>
      <c r="IA129" s="206"/>
      <c r="IB129" s="206"/>
      <c r="IC129" s="206"/>
      <c r="ID129" s="206"/>
      <c r="IE129" s="206"/>
      <c r="IF129" s="206"/>
      <c r="IG129" s="206"/>
      <c r="IH129" s="206"/>
      <c r="II129" s="206"/>
      <c r="IJ129" s="206"/>
      <c r="IK129" s="206"/>
      <c r="IL129" s="206"/>
      <c r="IM129" s="206"/>
      <c r="IN129" s="206"/>
      <c r="IO129" s="206"/>
      <c r="IP129" s="206"/>
      <c r="IQ129" s="206"/>
      <c r="IR129" s="206"/>
      <c r="IS129" s="206"/>
      <c r="IT129" s="206"/>
      <c r="IU129" s="206"/>
      <c r="IV129" s="206"/>
      <c r="IW129" s="206"/>
    </row>
    <row r="130" customFormat="false" ht="12.75" hidden="false" customHeight="false" outlineLevel="0" collapsed="false">
      <c r="A130" s="182" t="s">
        <v>235</v>
      </c>
      <c r="B130" s="215"/>
      <c r="C130" s="0"/>
      <c r="D130" s="0"/>
      <c r="E130" s="0"/>
      <c r="F130" s="0"/>
      <c r="G130" s="0"/>
      <c r="H130" s="0"/>
      <c r="I130" s="0"/>
      <c r="J130" s="4"/>
      <c r="K130" s="0"/>
      <c r="L130" s="169"/>
      <c r="M130" s="115"/>
      <c r="O130" s="115"/>
      <c r="Q130" s="115"/>
      <c r="S130" s="115"/>
      <c r="T130" s="115"/>
      <c r="U130" s="115"/>
      <c r="V130" s="115"/>
      <c r="X130" s="115"/>
      <c r="Z130" s="115"/>
      <c r="AB130" s="115"/>
      <c r="AD130" s="115"/>
      <c r="BL130" s="115"/>
      <c r="BM130" s="115"/>
      <c r="BO130" s="115"/>
      <c r="BP130" s="115"/>
      <c r="BQ130" s="115"/>
      <c r="BW130" s="115"/>
    </row>
    <row r="131" customFormat="false" ht="12.75" hidden="false" customHeight="false" outlineLevel="0" collapsed="false">
      <c r="A131" s="202"/>
      <c r="B131" s="165" t="s">
        <v>236</v>
      </c>
      <c r="E131" s="123"/>
      <c r="G131" s="123"/>
      <c r="I131" s="123"/>
      <c r="J131" s="124" t="s">
        <v>132</v>
      </c>
      <c r="L131" s="169" t="s">
        <v>142</v>
      </c>
      <c r="M131" s="115"/>
      <c r="N131" s="115" t="n">
        <v>0</v>
      </c>
      <c r="O131" s="115"/>
      <c r="P131" s="115" t="n">
        <v>0</v>
      </c>
      <c r="Q131" s="115"/>
      <c r="R131" s="115" t="n">
        <v>185000</v>
      </c>
      <c r="S131" s="115"/>
      <c r="T131" s="115" t="n">
        <v>0</v>
      </c>
      <c r="U131" s="115"/>
      <c r="V131" s="115" t="n">
        <v>0</v>
      </c>
      <c r="X131" s="115" t="n">
        <v>0</v>
      </c>
      <c r="Z131" s="115" t="n">
        <v>0</v>
      </c>
      <c r="AB131" s="115" t="n">
        <v>0</v>
      </c>
      <c r="AD131" s="115" t="n">
        <v>0</v>
      </c>
      <c r="AF131" s="115" t="n">
        <v>0</v>
      </c>
      <c r="AH131" s="115" t="n">
        <v>0</v>
      </c>
      <c r="AJ131" s="115" t="n">
        <v>0</v>
      </c>
      <c r="AN131" s="115" t="n">
        <v>0</v>
      </c>
      <c r="AP131" s="115" t="n">
        <v>0</v>
      </c>
      <c r="AR131" s="115" t="n">
        <v>0</v>
      </c>
      <c r="AT131" s="115" t="n">
        <v>0</v>
      </c>
      <c r="AV131" s="115" t="n">
        <v>0</v>
      </c>
      <c r="AX131" s="115" t="n">
        <v>37000</v>
      </c>
      <c r="AZ131" s="115" t="n">
        <v>37000</v>
      </c>
      <c r="BB131" s="115" t="n">
        <v>37000</v>
      </c>
      <c r="BD131" s="115" t="n">
        <v>37000</v>
      </c>
      <c r="BF131" s="115" t="n">
        <v>0</v>
      </c>
      <c r="BH131" s="115" t="n">
        <v>0</v>
      </c>
      <c r="BJ131" s="115" t="n">
        <v>0</v>
      </c>
      <c r="BL131" s="115" t="n">
        <v>0</v>
      </c>
      <c r="BM131" s="115"/>
      <c r="BN131" s="115" t="n">
        <f aca="false">SUM(T131:BM131)</f>
        <v>148000</v>
      </c>
      <c r="BO131" s="115"/>
      <c r="BP131" s="115" t="n">
        <v>0</v>
      </c>
      <c r="BQ131" s="115"/>
      <c r="BR131" s="115" t="n">
        <f aca="false">IF(+R131-BN131+BP131&gt;0,R131-BN131+BP131,0)</f>
        <v>37000</v>
      </c>
      <c r="BT131" s="115" t="n">
        <f aca="false">+BN131+BR131</f>
        <v>185000</v>
      </c>
      <c r="BV131" s="115" t="n">
        <f aca="false">+R131-BT131</f>
        <v>0</v>
      </c>
      <c r="BW131" s="115"/>
    </row>
    <row r="132" customFormat="false" ht="12.75" hidden="false" customHeight="false" outlineLevel="0" collapsed="false">
      <c r="A132" s="202"/>
      <c r="B132" s="165" t="s">
        <v>237</v>
      </c>
      <c r="E132" s="123"/>
      <c r="G132" s="123"/>
      <c r="I132" s="123"/>
      <c r="L132" s="169" t="s">
        <v>142</v>
      </c>
      <c r="M132" s="115"/>
      <c r="N132" s="115" t="n">
        <v>0</v>
      </c>
      <c r="O132" s="115"/>
      <c r="P132" s="115" t="n">
        <v>0</v>
      </c>
      <c r="Q132" s="115"/>
      <c r="R132" s="115" t="n">
        <v>723786</v>
      </c>
      <c r="S132" s="115"/>
      <c r="T132" s="115" t="n">
        <v>0</v>
      </c>
      <c r="U132" s="115"/>
      <c r="V132" s="115" t="n">
        <v>0</v>
      </c>
      <c r="X132" s="115" t="n">
        <v>0</v>
      </c>
      <c r="Z132" s="115" t="n">
        <v>0</v>
      </c>
      <c r="AB132" s="115" t="n">
        <v>0</v>
      </c>
      <c r="AD132" s="115" t="n">
        <v>0</v>
      </c>
      <c r="AF132" s="115" t="n">
        <v>0</v>
      </c>
      <c r="AH132" s="115" t="n">
        <v>0</v>
      </c>
      <c r="AJ132" s="115" t="n">
        <v>0</v>
      </c>
      <c r="AN132" s="115" t="n">
        <v>0</v>
      </c>
      <c r="AP132" s="115" t="n">
        <v>0</v>
      </c>
      <c r="AR132" s="115" t="n">
        <v>0</v>
      </c>
      <c r="AT132" s="115" t="n">
        <v>0</v>
      </c>
      <c r="AV132" s="115" t="n">
        <v>0</v>
      </c>
      <c r="AX132" s="115" t="n">
        <v>0</v>
      </c>
      <c r="AZ132" s="115" t="n">
        <f aca="false">55868.55+55613</f>
        <v>111481.55</v>
      </c>
      <c r="BB132" s="115" t="n">
        <v>138056.89</v>
      </c>
      <c r="BD132" s="115" t="n">
        <v>122389.86</v>
      </c>
      <c r="BF132" s="115" t="n">
        <v>0</v>
      </c>
      <c r="BH132" s="115" t="n">
        <v>0</v>
      </c>
      <c r="BJ132" s="115" t="n">
        <v>0</v>
      </c>
      <c r="BL132" s="115" t="n">
        <v>0</v>
      </c>
      <c r="BM132" s="115"/>
      <c r="BN132" s="115" t="n">
        <f aca="false">SUM(T132:BM132)</f>
        <v>371928.3</v>
      </c>
      <c r="BO132" s="115"/>
      <c r="BP132" s="115" t="n">
        <v>0</v>
      </c>
      <c r="BQ132" s="115"/>
      <c r="BR132" s="115" t="n">
        <f aca="false">+R132-BN132+BP132</f>
        <v>351857.7</v>
      </c>
      <c r="BT132" s="115" t="n">
        <f aca="false">+BN132+BR132</f>
        <v>723786</v>
      </c>
      <c r="BV132" s="115" t="n">
        <f aca="false">+R132-BT132</f>
        <v>0</v>
      </c>
      <c r="BW132" s="115"/>
    </row>
    <row r="133" customFormat="false" ht="12.75" hidden="true" customHeight="false" outlineLevel="0" collapsed="false">
      <c r="A133" s="202"/>
      <c r="B133" s="165" t="s">
        <v>152</v>
      </c>
      <c r="E133" s="123"/>
      <c r="G133" s="123"/>
      <c r="I133" s="123"/>
      <c r="L133" s="169" t="s">
        <v>142</v>
      </c>
      <c r="M133" s="115"/>
      <c r="N133" s="115" t="n">
        <v>0</v>
      </c>
      <c r="O133" s="115"/>
      <c r="P133" s="115" t="n">
        <v>0</v>
      </c>
      <c r="Q133" s="115"/>
      <c r="R133" s="115" t="n">
        <v>0</v>
      </c>
      <c r="S133" s="115"/>
      <c r="T133" s="115" t="n">
        <v>0</v>
      </c>
      <c r="U133" s="115"/>
      <c r="V133" s="115" t="n">
        <v>0</v>
      </c>
      <c r="X133" s="115" t="n">
        <v>0</v>
      </c>
      <c r="Z133" s="115" t="n">
        <v>0</v>
      </c>
      <c r="AB133" s="115" t="n">
        <v>0</v>
      </c>
      <c r="AD133" s="115" t="n">
        <v>0</v>
      </c>
      <c r="AF133" s="115" t="n">
        <v>0</v>
      </c>
      <c r="AH133" s="115" t="n">
        <v>0</v>
      </c>
      <c r="AJ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L133" s="115" t="n">
        <v>0</v>
      </c>
      <c r="BM133" s="115"/>
      <c r="BN133" s="115" t="n">
        <f aca="false">SUM(T133:BM133)</f>
        <v>0</v>
      </c>
      <c r="BO133" s="115"/>
      <c r="BP133" s="115" t="n">
        <v>0</v>
      </c>
      <c r="BQ133" s="115"/>
      <c r="BR133" s="115" t="n">
        <f aca="false">+R133-BN133+BP133</f>
        <v>0</v>
      </c>
      <c r="BT133" s="115" t="n">
        <f aca="false">+BN133+BR133</f>
        <v>0</v>
      </c>
      <c r="BV133" s="115" t="n">
        <f aca="false">+R133-BT133</f>
        <v>0</v>
      </c>
      <c r="BW133" s="115"/>
    </row>
    <row r="134" customFormat="false" ht="12.75" hidden="false" customHeight="false" outlineLevel="0" collapsed="false">
      <c r="A134" s="182"/>
      <c r="B134" s="215" t="s">
        <v>238</v>
      </c>
      <c r="C134" s="2"/>
      <c r="D134" s="2"/>
      <c r="E134" s="2"/>
      <c r="F134" s="2"/>
      <c r="G134" s="2"/>
      <c r="H134" s="2"/>
      <c r="I134" s="2"/>
      <c r="J134" s="3"/>
      <c r="K134" s="2"/>
      <c r="L134" s="188"/>
      <c r="M134" s="24"/>
      <c r="N134" s="210" t="n">
        <f aca="false">SUM(N131:N133)</f>
        <v>0</v>
      </c>
      <c r="O134" s="24"/>
      <c r="P134" s="210" t="n">
        <f aca="false">SUM(P131:P133)</f>
        <v>0</v>
      </c>
      <c r="Q134" s="24"/>
      <c r="R134" s="210" t="n">
        <f aca="false">SUM(R131:R133)</f>
        <v>908786</v>
      </c>
      <c r="S134" s="24"/>
      <c r="T134" s="210" t="n">
        <f aca="false">SUM(T131:T133)</f>
        <v>0</v>
      </c>
      <c r="U134" s="24"/>
      <c r="V134" s="210" t="n">
        <f aca="false">SUM(V131:V133)</f>
        <v>0</v>
      </c>
      <c r="W134" s="24"/>
      <c r="X134" s="210" t="n">
        <f aca="false">SUM(X131:X133)</f>
        <v>0</v>
      </c>
      <c r="Y134" s="24"/>
      <c r="Z134" s="210" t="n">
        <f aca="false">SUM(Z131:Z133)</f>
        <v>0</v>
      </c>
      <c r="AA134" s="24"/>
      <c r="AB134" s="210" t="n">
        <f aca="false">SUM(AB131:AB133)</f>
        <v>0</v>
      </c>
      <c r="AC134" s="24"/>
      <c r="AD134" s="210" t="n">
        <f aca="false">SUM(AD131:AD133)</f>
        <v>0</v>
      </c>
      <c r="AE134" s="24"/>
      <c r="AF134" s="210" t="n">
        <f aca="false">SUM(AF131:AF133)</f>
        <v>0</v>
      </c>
      <c r="AG134" s="24"/>
      <c r="AH134" s="210" t="n">
        <f aca="false">SUM(AH131:AH133)</f>
        <v>0</v>
      </c>
      <c r="AI134" s="24"/>
      <c r="AJ134" s="210" t="n">
        <f aca="false">SUM(AJ131:AJ133)</f>
        <v>0</v>
      </c>
      <c r="AK134" s="24"/>
      <c r="AL134" s="210" t="n">
        <f aca="false">SUM(AL131:AL133)</f>
        <v>0</v>
      </c>
      <c r="AM134" s="210"/>
      <c r="AN134" s="210" t="n">
        <f aca="false">SUM(AN131:AN133)</f>
        <v>0</v>
      </c>
      <c r="AO134" s="24"/>
      <c r="AP134" s="210" t="n">
        <f aca="false">SUM(AP131:AP133)</f>
        <v>0</v>
      </c>
      <c r="AQ134" s="24"/>
      <c r="AR134" s="210" t="n">
        <f aca="false">SUM(AR131:AR133)</f>
        <v>0</v>
      </c>
      <c r="AS134" s="24"/>
      <c r="AT134" s="210" t="n">
        <f aca="false">SUM(AT131:AT133)</f>
        <v>0</v>
      </c>
      <c r="AU134" s="24"/>
      <c r="AV134" s="210" t="n">
        <f aca="false">SUM(AV131:AV133)</f>
        <v>0</v>
      </c>
      <c r="AW134" s="24"/>
      <c r="AX134" s="210" t="n">
        <f aca="false">SUM(AX131:AX133)</f>
        <v>37000</v>
      </c>
      <c r="AY134" s="24"/>
      <c r="AZ134" s="210" t="n">
        <f aca="false">SUM(AZ131:AZ133)</f>
        <v>148481.55</v>
      </c>
      <c r="BA134" s="24"/>
      <c r="BB134" s="210" t="n">
        <f aca="false">SUM(BB131:BB133)</f>
        <v>175056.89</v>
      </c>
      <c r="BC134" s="24"/>
      <c r="BD134" s="210" t="n">
        <f aca="false">SUM(BD131:BD133)</f>
        <v>159389.86</v>
      </c>
      <c r="BE134" s="24"/>
      <c r="BF134" s="210" t="n">
        <f aca="false">SUM(BF131:BF133)</f>
        <v>0</v>
      </c>
      <c r="BG134" s="24"/>
      <c r="BH134" s="210" t="n">
        <f aca="false">SUM(BH131:BH133)</f>
        <v>0</v>
      </c>
      <c r="BI134" s="24"/>
      <c r="BJ134" s="210" t="n">
        <f aca="false">SUM(BJ131:BJ133)</f>
        <v>0</v>
      </c>
      <c r="BK134" s="24"/>
      <c r="BL134" s="210" t="n">
        <f aca="false">SUM(BL131:BL133)</f>
        <v>0</v>
      </c>
      <c r="BM134" s="24"/>
      <c r="BN134" s="210" t="n">
        <f aca="false">SUM(BN131:BN133)</f>
        <v>519928.3</v>
      </c>
      <c r="BO134" s="24"/>
      <c r="BP134" s="210" t="n">
        <f aca="false">SUM(BP131:BP133)</f>
        <v>0</v>
      </c>
      <c r="BQ134" s="24"/>
      <c r="BR134" s="210" t="n">
        <f aca="false">SUM(BR131:BR133)</f>
        <v>388857.7</v>
      </c>
      <c r="BS134" s="24"/>
      <c r="BT134" s="210" t="n">
        <f aca="false">SUM(BT131:BT133)</f>
        <v>908786</v>
      </c>
      <c r="BU134" s="24"/>
      <c r="BV134" s="210"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2"/>
      <c r="B135" s="215"/>
      <c r="C135" s="2"/>
      <c r="D135" s="2"/>
      <c r="E135" s="2"/>
      <c r="F135" s="2"/>
      <c r="G135" s="2"/>
      <c r="H135" s="2"/>
      <c r="I135" s="2"/>
      <c r="J135" s="3"/>
      <c r="K135" s="2"/>
      <c r="L135" s="188"/>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6" t="s">
        <v>379</v>
      </c>
      <c r="B136" s="215"/>
      <c r="C136" s="2"/>
      <c r="D136" s="2"/>
      <c r="E136" s="2"/>
      <c r="F136" s="2"/>
      <c r="G136" s="2"/>
      <c r="H136" s="2"/>
      <c r="I136" s="2"/>
      <c r="J136" s="3" t="s">
        <v>132</v>
      </c>
      <c r="K136" s="2"/>
      <c r="L136" s="188" t="s">
        <v>142</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f aca="false">190718.52-110182.74</f>
        <v>80535.78</v>
      </c>
      <c r="BE136" s="24"/>
      <c r="BF136" s="24" t="n">
        <v>0</v>
      </c>
      <c r="BG136" s="24"/>
      <c r="BH136" s="24" t="n">
        <v>0</v>
      </c>
      <c r="BI136" s="24"/>
      <c r="BJ136" s="24" t="n">
        <v>0</v>
      </c>
      <c r="BK136" s="24"/>
      <c r="BL136" s="24" t="n">
        <v>0</v>
      </c>
      <c r="BM136" s="24"/>
      <c r="BN136" s="24" t="n">
        <f aca="false">SUM(T136:BM136)</f>
        <v>80535.78</v>
      </c>
      <c r="BO136" s="24"/>
      <c r="BP136" s="24" t="n">
        <v>0</v>
      </c>
      <c r="BQ136" s="24"/>
      <c r="BR136" s="115" t="n">
        <f aca="false">IF(+R136-BN136+BP136&gt;0,R136-BN136+BP136,0)</f>
        <v>0</v>
      </c>
      <c r="BS136" s="24"/>
      <c r="BT136" s="24" t="n">
        <f aca="false">+BN136+BR136</f>
        <v>80535.78</v>
      </c>
      <c r="BU136" s="24"/>
      <c r="BV136" s="24" t="n">
        <f aca="false">+R136-BT136</f>
        <v>-80535.78</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6"/>
      <c r="B137" s="215"/>
      <c r="C137" s="2"/>
      <c r="D137" s="2"/>
      <c r="E137" s="2"/>
      <c r="F137" s="2"/>
      <c r="G137" s="2"/>
      <c r="H137" s="2"/>
      <c r="I137" s="2"/>
      <c r="J137" s="3"/>
      <c r="K137" s="2"/>
      <c r="L137" s="188"/>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2" t="s">
        <v>239</v>
      </c>
      <c r="B138" s="216"/>
      <c r="C138" s="2"/>
      <c r="D138" s="2"/>
      <c r="E138" s="2"/>
      <c r="F138" s="2"/>
      <c r="G138" s="2"/>
      <c r="H138" s="2"/>
      <c r="I138" s="2"/>
      <c r="J138" s="3" t="s">
        <v>132</v>
      </c>
      <c r="K138" s="2"/>
      <c r="L138" s="169" t="s">
        <v>142</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15"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2"/>
      <c r="B139" s="216"/>
      <c r="C139" s="2"/>
      <c r="D139" s="2"/>
      <c r="E139" s="2"/>
      <c r="F139" s="2"/>
      <c r="G139" s="2"/>
      <c r="H139" s="2"/>
      <c r="I139" s="2"/>
      <c r="J139" s="3"/>
      <c r="K139" s="2"/>
      <c r="L139" s="169"/>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5" t="s">
        <v>380</v>
      </c>
      <c r="B140" s="216"/>
      <c r="C140" s="216"/>
      <c r="D140" s="216"/>
      <c r="E140" s="216"/>
      <c r="F140" s="216"/>
      <c r="G140" s="216"/>
      <c r="H140" s="216"/>
      <c r="I140" s="216"/>
      <c r="J140" s="217" t="s">
        <v>132</v>
      </c>
      <c r="K140" s="216"/>
      <c r="L140" s="218" t="s">
        <v>142</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675000</v>
      </c>
      <c r="BS140" s="24"/>
      <c r="BT140" s="24" t="n">
        <f aca="false">+BN140+BR140</f>
        <v>675000</v>
      </c>
      <c r="BU140" s="24"/>
      <c r="BV140" s="24" t="n">
        <f aca="false">+R140-BT140</f>
        <v>0</v>
      </c>
      <c r="BW140" s="24"/>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c r="GY140" s="216"/>
      <c r="GZ140" s="216"/>
      <c r="HA140" s="216"/>
      <c r="HB140" s="216"/>
      <c r="HC140" s="216"/>
      <c r="HD140" s="216"/>
      <c r="HE140" s="216"/>
      <c r="HF140" s="216"/>
      <c r="HG140" s="216"/>
      <c r="HH140" s="216"/>
      <c r="HI140" s="216"/>
      <c r="HJ140" s="216"/>
      <c r="HK140" s="216"/>
      <c r="HL140" s="216"/>
      <c r="HM140" s="216"/>
      <c r="HN140" s="216"/>
      <c r="HO140" s="216"/>
      <c r="HP140" s="216"/>
      <c r="HQ140" s="216"/>
      <c r="HR140" s="216"/>
      <c r="HS140" s="216"/>
      <c r="HT140" s="216"/>
      <c r="HU140" s="216"/>
      <c r="HV140" s="216"/>
      <c r="HW140" s="216"/>
      <c r="HX140" s="216"/>
      <c r="HY140" s="216"/>
      <c r="HZ140" s="216"/>
      <c r="IA140" s="216"/>
      <c r="IB140" s="216"/>
      <c r="IC140" s="216"/>
      <c r="ID140" s="216"/>
      <c r="IE140" s="216"/>
      <c r="IF140" s="216"/>
      <c r="IG140" s="216"/>
      <c r="IH140" s="216"/>
      <c r="II140" s="216"/>
      <c r="IJ140" s="216"/>
      <c r="IK140" s="216"/>
      <c r="IL140" s="216"/>
      <c r="IM140" s="216"/>
      <c r="IN140" s="216"/>
      <c r="IO140" s="216"/>
      <c r="IP140" s="216"/>
      <c r="IQ140" s="216"/>
      <c r="IR140" s="216"/>
      <c r="IS140" s="216"/>
      <c r="IT140" s="216"/>
      <c r="IU140" s="216"/>
      <c r="IV140" s="216"/>
      <c r="IW140" s="216"/>
    </row>
    <row r="141" customFormat="false" ht="12.75" hidden="false" customHeight="false" outlineLevel="0" collapsed="false">
      <c r="A141" s="182"/>
      <c r="B141" s="216"/>
      <c r="C141" s="2"/>
      <c r="D141" s="2"/>
      <c r="E141" s="2"/>
      <c r="F141" s="2"/>
      <c r="G141" s="2"/>
      <c r="H141" s="2"/>
      <c r="I141" s="2"/>
      <c r="J141" s="3"/>
      <c r="K141" s="2"/>
      <c r="L141" s="169"/>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154</v>
      </c>
      <c r="B142" s="215"/>
      <c r="C142" s="2"/>
      <c r="D142" s="2"/>
      <c r="E142" s="2"/>
      <c r="F142" s="2"/>
      <c r="G142" s="2"/>
      <c r="H142" s="2"/>
      <c r="I142" s="2"/>
      <c r="J142" s="3" t="s">
        <v>132</v>
      </c>
      <c r="K142" s="2"/>
      <c r="L142" s="169" t="s">
        <v>142</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2" t="s">
        <v>241</v>
      </c>
      <c r="B144" s="174"/>
      <c r="C144" s="0"/>
      <c r="D144" s="0"/>
      <c r="E144" s="0"/>
      <c r="F144" s="0"/>
      <c r="G144" s="0"/>
      <c r="H144" s="0"/>
      <c r="I144" s="0"/>
      <c r="J144" s="4"/>
      <c r="K144" s="0"/>
      <c r="L144" s="169"/>
      <c r="M144" s="115"/>
      <c r="O144" s="115"/>
      <c r="Q144" s="115"/>
      <c r="S144" s="115"/>
      <c r="T144" s="115"/>
      <c r="U144" s="115"/>
      <c r="V144" s="115"/>
      <c r="X144" s="115"/>
      <c r="Z144" s="115"/>
      <c r="AB144" s="115"/>
      <c r="AD144" s="115"/>
      <c r="BL144" s="115"/>
      <c r="BM144" s="115"/>
      <c r="BO144" s="115"/>
      <c r="BP144" s="115"/>
      <c r="BQ144" s="115"/>
      <c r="BW144" s="115"/>
    </row>
    <row r="145" customFormat="false" ht="12.75" hidden="false" customHeight="false" outlineLevel="0" collapsed="false">
      <c r="A145" s="202"/>
      <c r="B145" s="174" t="s">
        <v>242</v>
      </c>
      <c r="E145" s="123"/>
      <c r="G145" s="123"/>
      <c r="I145" s="123"/>
      <c r="J145" s="124" t="s">
        <v>132</v>
      </c>
      <c r="L145" s="169" t="s">
        <v>142</v>
      </c>
      <c r="M145" s="115"/>
      <c r="N145" s="115" t="n">
        <v>0</v>
      </c>
      <c r="O145" s="115"/>
      <c r="P145" s="115" t="n">
        <v>0</v>
      </c>
      <c r="Q145" s="115"/>
      <c r="R145" s="115" t="n">
        <v>0</v>
      </c>
      <c r="S145" s="115"/>
      <c r="T145" s="115" t="n">
        <v>0</v>
      </c>
      <c r="U145" s="115"/>
      <c r="V145" s="115" t="n">
        <v>0</v>
      </c>
      <c r="X145" s="115" t="n">
        <v>0</v>
      </c>
      <c r="Z145" s="115" t="n">
        <v>0</v>
      </c>
      <c r="AB145" s="115" t="n">
        <v>0</v>
      </c>
      <c r="AD145" s="115" t="n">
        <v>0</v>
      </c>
      <c r="AF145" s="115" t="n">
        <v>0</v>
      </c>
      <c r="AH145" s="115" t="n">
        <v>0</v>
      </c>
      <c r="AJ145" s="115" t="n">
        <v>0</v>
      </c>
      <c r="AN145" s="115" t="n">
        <v>0</v>
      </c>
      <c r="AP145" s="115" t="n">
        <v>0</v>
      </c>
      <c r="AR145" s="115" t="n">
        <v>0</v>
      </c>
      <c r="AV145" s="115" t="n">
        <v>0</v>
      </c>
      <c r="AX145" s="115" t="n">
        <v>25010</v>
      </c>
      <c r="AZ145" s="115" t="n">
        <v>0</v>
      </c>
      <c r="BB145" s="115" t="n">
        <v>0</v>
      </c>
      <c r="BD145" s="115" t="n">
        <v>0</v>
      </c>
      <c r="BF145" s="115" t="n">
        <v>0</v>
      </c>
      <c r="BH145" s="115" t="n">
        <v>0</v>
      </c>
      <c r="BJ145" s="115" t="n">
        <v>0</v>
      </c>
      <c r="BL145" s="115" t="n">
        <v>0</v>
      </c>
      <c r="BM145" s="115"/>
      <c r="BN145" s="115" t="n">
        <f aca="false">SUM(T145:BM145)</f>
        <v>25010</v>
      </c>
      <c r="BO145" s="115"/>
      <c r="BP145" s="115" t="n">
        <v>0</v>
      </c>
      <c r="BQ145" s="115"/>
      <c r="BR145" s="115" t="n">
        <f aca="false">IF(+R145-BN145+BP145&gt;0,R145-BN145+BP145,0)</f>
        <v>0</v>
      </c>
      <c r="BT145" s="115" t="n">
        <f aca="false">+BN145+BR145</f>
        <v>25010</v>
      </c>
      <c r="BV145" s="115" t="n">
        <f aca="false">+R145-BT145</f>
        <v>-25010</v>
      </c>
      <c r="BW145" s="115"/>
    </row>
    <row r="146" customFormat="false" ht="12.75" hidden="false" customHeight="false" outlineLevel="0" collapsed="false">
      <c r="A146" s="202"/>
      <c r="B146" s="174" t="s">
        <v>243</v>
      </c>
      <c r="E146" s="123"/>
      <c r="G146" s="123"/>
      <c r="I146" s="123"/>
      <c r="J146" s="124" t="s">
        <v>132</v>
      </c>
      <c r="L146" s="169" t="s">
        <v>142</v>
      </c>
      <c r="M146" s="115"/>
      <c r="O146" s="115"/>
      <c r="Q146" s="115"/>
      <c r="R146" s="115" t="n">
        <v>0</v>
      </c>
      <c r="S146" s="115"/>
      <c r="T146" s="115" t="n">
        <v>0</v>
      </c>
      <c r="U146" s="115"/>
      <c r="V146" s="115" t="n">
        <v>0</v>
      </c>
      <c r="X146" s="115" t="n">
        <v>0</v>
      </c>
      <c r="Z146" s="115" t="n">
        <v>0</v>
      </c>
      <c r="AB146" s="115" t="n">
        <v>0</v>
      </c>
      <c r="AD146" s="115" t="n">
        <v>0</v>
      </c>
      <c r="AF146" s="115" t="n">
        <v>0</v>
      </c>
      <c r="AH146" s="115" t="n">
        <v>0</v>
      </c>
      <c r="AJ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L146" s="115" t="n">
        <v>0</v>
      </c>
      <c r="BM146" s="115"/>
      <c r="BN146" s="115" t="n">
        <f aca="false">SUM(T146:BM146)</f>
        <v>0</v>
      </c>
      <c r="BO146" s="115"/>
      <c r="BP146" s="115" t="n">
        <v>0</v>
      </c>
      <c r="BQ146" s="115"/>
      <c r="BR146" s="115" t="n">
        <f aca="false">IF(+R146-BN146+BP146&gt;0,R146-BN146+BP146,0)</f>
        <v>0</v>
      </c>
      <c r="BT146" s="115" t="n">
        <f aca="false">+BN146+BR146</f>
        <v>0</v>
      </c>
      <c r="BV146" s="115" t="n">
        <f aca="false">+R146-BT146</f>
        <v>0</v>
      </c>
      <c r="BW146" s="115"/>
    </row>
    <row r="147" customFormat="false" ht="12.75" hidden="false" customHeight="false" outlineLevel="0" collapsed="false">
      <c r="A147" s="202"/>
      <c r="B147" s="174" t="s">
        <v>244</v>
      </c>
      <c r="E147" s="123"/>
      <c r="G147" s="123"/>
      <c r="I147" s="123"/>
      <c r="J147" s="124" t="s">
        <v>132</v>
      </c>
      <c r="L147" s="169" t="s">
        <v>142</v>
      </c>
      <c r="M147" s="115"/>
      <c r="O147" s="115"/>
      <c r="Q147" s="115"/>
      <c r="R147" s="115" t="n">
        <v>369041</v>
      </c>
      <c r="S147" s="115"/>
      <c r="T147" s="115" t="n">
        <v>0</v>
      </c>
      <c r="U147" s="115"/>
      <c r="V147" s="115" t="n">
        <v>0</v>
      </c>
      <c r="X147" s="115" t="n">
        <v>0</v>
      </c>
      <c r="Z147" s="115" t="n">
        <v>0</v>
      </c>
      <c r="AB147" s="115" t="n">
        <v>0</v>
      </c>
      <c r="AD147" s="115" t="n">
        <v>0</v>
      </c>
      <c r="AF147" s="115" t="n">
        <v>0</v>
      </c>
      <c r="AH147" s="115" t="n">
        <v>0</v>
      </c>
      <c r="AJ147" s="115" t="n">
        <v>0</v>
      </c>
      <c r="AL147" s="115" t="n">
        <v>369041</v>
      </c>
      <c r="AN147" s="115" t="n">
        <v>0</v>
      </c>
      <c r="AP147" s="115" t="n">
        <v>0</v>
      </c>
      <c r="AR147" s="115" t="n">
        <v>0</v>
      </c>
      <c r="AT147" s="115" t="n">
        <v>0</v>
      </c>
      <c r="AV147" s="115" t="n">
        <v>14500</v>
      </c>
      <c r="AX147" s="115" t="n">
        <v>0</v>
      </c>
      <c r="AZ147" s="115" t="n">
        <v>0</v>
      </c>
      <c r="BB147" s="115" t="n">
        <v>0</v>
      </c>
      <c r="BD147" s="115" t="n">
        <v>0</v>
      </c>
      <c r="BF147" s="115" t="n">
        <v>0</v>
      </c>
      <c r="BH147" s="115" t="n">
        <v>0</v>
      </c>
      <c r="BJ147" s="115" t="n">
        <v>0</v>
      </c>
      <c r="BL147" s="115" t="n">
        <v>0</v>
      </c>
      <c r="BM147" s="115"/>
      <c r="BN147" s="115" t="n">
        <f aca="false">SUM(T147:BM147)</f>
        <v>383541</v>
      </c>
      <c r="BO147" s="115"/>
      <c r="BP147" s="115" t="n">
        <v>0</v>
      </c>
      <c r="BQ147" s="115"/>
      <c r="BR147" s="115" t="n">
        <f aca="false">IF(+R147-BN147+BP147&gt;0,R147-BN147+BP147,0)</f>
        <v>0</v>
      </c>
      <c r="BT147" s="115" t="n">
        <f aca="false">+BN147+BR147</f>
        <v>383541</v>
      </c>
      <c r="BV147" s="115" t="n">
        <f aca="false">+R147-BT147</f>
        <v>-14500</v>
      </c>
      <c r="BW147" s="115"/>
    </row>
    <row r="148" customFormat="false" ht="12.75" hidden="false" customHeight="false" outlineLevel="0" collapsed="false">
      <c r="A148" s="202"/>
      <c r="B148" s="174" t="s">
        <v>245</v>
      </c>
      <c r="E148" s="123"/>
      <c r="G148" s="123"/>
      <c r="I148" s="123"/>
      <c r="J148" s="124" t="s">
        <v>132</v>
      </c>
      <c r="L148" s="169" t="s">
        <v>142</v>
      </c>
      <c r="M148" s="115"/>
      <c r="O148" s="115"/>
      <c r="Q148" s="115"/>
      <c r="R148" s="115" t="n">
        <v>0</v>
      </c>
      <c r="S148" s="115"/>
      <c r="T148" s="115"/>
      <c r="U148" s="115"/>
      <c r="V148" s="115"/>
      <c r="X148" s="115"/>
      <c r="Z148" s="115"/>
      <c r="AB148" s="115"/>
      <c r="AD148" s="115"/>
      <c r="BL148" s="115"/>
      <c r="BM148" s="115"/>
      <c r="BO148" s="115"/>
      <c r="BP148" s="115"/>
      <c r="BQ148" s="115"/>
      <c r="BR148" s="115" t="n">
        <f aca="false">IF(+R148-BN148+BP148&gt;0,R148-BN148+BP148,0)</f>
        <v>0</v>
      </c>
      <c r="BT148" s="115" t="n">
        <f aca="false">+BN148+BR148</f>
        <v>0</v>
      </c>
      <c r="BV148" s="115" t="n">
        <f aca="false">+R148-BT148</f>
        <v>0</v>
      </c>
      <c r="BW148" s="115"/>
    </row>
    <row r="149" customFormat="false" ht="12.75" hidden="false" customHeight="false" outlineLevel="0" collapsed="false">
      <c r="A149" s="182"/>
      <c r="B149" s="216" t="s">
        <v>246</v>
      </c>
      <c r="C149" s="2"/>
      <c r="D149" s="2"/>
      <c r="E149" s="2"/>
      <c r="F149" s="2"/>
      <c r="G149" s="2"/>
      <c r="H149" s="2"/>
      <c r="I149" s="2"/>
      <c r="J149" s="3"/>
      <c r="K149" s="2"/>
      <c r="L149" s="188"/>
      <c r="M149" s="24"/>
      <c r="N149" s="210" t="n">
        <f aca="false">SUM(N145:N148)</f>
        <v>0</v>
      </c>
      <c r="O149" s="24"/>
      <c r="P149" s="210" t="n">
        <f aca="false">SUM(P145:P148)</f>
        <v>0</v>
      </c>
      <c r="Q149" s="24"/>
      <c r="R149" s="210" t="n">
        <f aca="false">SUM(R145:R148)</f>
        <v>369041</v>
      </c>
      <c r="S149" s="24"/>
      <c r="T149" s="210" t="n">
        <f aca="false">SUM(T145:T148)</f>
        <v>0</v>
      </c>
      <c r="U149" s="24"/>
      <c r="V149" s="210" t="n">
        <f aca="false">SUM(V145:V148)</f>
        <v>0</v>
      </c>
      <c r="W149" s="24"/>
      <c r="X149" s="210" t="n">
        <f aca="false">SUM(X145:X148)</f>
        <v>0</v>
      </c>
      <c r="Y149" s="24"/>
      <c r="Z149" s="210" t="n">
        <f aca="false">SUM(Z145:Z148)</f>
        <v>0</v>
      </c>
      <c r="AA149" s="24"/>
      <c r="AB149" s="210" t="n">
        <f aca="false">SUM(AB145:AB148)</f>
        <v>0</v>
      </c>
      <c r="AC149" s="24"/>
      <c r="AD149" s="210" t="n">
        <f aca="false">SUM(AD145:AD148)</f>
        <v>0</v>
      </c>
      <c r="AE149" s="24"/>
      <c r="AF149" s="210" t="n">
        <f aca="false">SUM(AF145:AF148)</f>
        <v>0</v>
      </c>
      <c r="AG149" s="24"/>
      <c r="AH149" s="210" t="n">
        <f aca="false">SUM(AH145:AH148)</f>
        <v>0</v>
      </c>
      <c r="AI149" s="24"/>
      <c r="AJ149" s="210" t="n">
        <f aca="false">SUM(AJ145:AJ148)</f>
        <v>0</v>
      </c>
      <c r="AK149" s="24"/>
      <c r="AL149" s="210" t="n">
        <f aca="false">SUM(AL145:AL148)</f>
        <v>369041</v>
      </c>
      <c r="AM149" s="210"/>
      <c r="AN149" s="210" t="n">
        <f aca="false">SUM(AN145:AN148)</f>
        <v>0</v>
      </c>
      <c r="AO149" s="24"/>
      <c r="AP149" s="210" t="n">
        <f aca="false">SUM(AP145:AP148)</f>
        <v>0</v>
      </c>
      <c r="AQ149" s="24"/>
      <c r="AR149" s="210" t="n">
        <f aca="false">SUM(AR145:AR148)</f>
        <v>0</v>
      </c>
      <c r="AS149" s="24"/>
      <c r="AT149" s="210" t="n">
        <f aca="false">SUM(AT145:AT148)</f>
        <v>0</v>
      </c>
      <c r="AU149" s="24"/>
      <c r="AV149" s="210" t="n">
        <f aca="false">SUM(AV145:AV148)</f>
        <v>14500</v>
      </c>
      <c r="AW149" s="24"/>
      <c r="AX149" s="210" t="n">
        <f aca="false">SUM(AX145:AX148)</f>
        <v>25010</v>
      </c>
      <c r="AY149" s="24"/>
      <c r="AZ149" s="210" t="n">
        <f aca="false">SUM(AZ145:AZ148)</f>
        <v>0</v>
      </c>
      <c r="BA149" s="24"/>
      <c r="BB149" s="210" t="n">
        <f aca="false">SUM(BB145:BB148)</f>
        <v>0</v>
      </c>
      <c r="BC149" s="24"/>
      <c r="BD149" s="210" t="n">
        <f aca="false">SUM(BD145:BD148)</f>
        <v>0</v>
      </c>
      <c r="BE149" s="24"/>
      <c r="BF149" s="210" t="n">
        <f aca="false">SUM(BF145:BF148)</f>
        <v>0</v>
      </c>
      <c r="BG149" s="24"/>
      <c r="BH149" s="210" t="n">
        <f aca="false">SUM(BH145:BH148)</f>
        <v>0</v>
      </c>
      <c r="BI149" s="24"/>
      <c r="BJ149" s="210" t="n">
        <f aca="false">SUM(BJ145:BJ148)</f>
        <v>0</v>
      </c>
      <c r="BK149" s="24"/>
      <c r="BL149" s="210" t="n">
        <f aca="false">SUM(BL145:BL148)</f>
        <v>0</v>
      </c>
      <c r="BM149" s="24"/>
      <c r="BN149" s="210" t="n">
        <f aca="false">SUM(BN145:BN148)</f>
        <v>408551</v>
      </c>
      <c r="BO149" s="24"/>
      <c r="BP149" s="210" t="n">
        <f aca="false">SUM(BP145:BP148)</f>
        <v>0</v>
      </c>
      <c r="BQ149" s="24"/>
      <c r="BR149" s="210" t="n">
        <f aca="false">SUM(BR145:BR148)</f>
        <v>0</v>
      </c>
      <c r="BS149" s="24"/>
      <c r="BT149" s="210" t="n">
        <f aca="false">SUM(BT145:BT148)</f>
        <v>408551</v>
      </c>
      <c r="BU149" s="24"/>
      <c r="BV149" s="210"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2"/>
      <c r="B150" s="216"/>
      <c r="C150" s="2"/>
      <c r="D150" s="2"/>
      <c r="E150" s="2"/>
      <c r="F150" s="2"/>
      <c r="G150" s="2"/>
      <c r="H150" s="2"/>
      <c r="I150" s="2"/>
      <c r="J150" s="3"/>
      <c r="K150" s="2"/>
      <c r="L150" s="169"/>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2" t="s">
        <v>247</v>
      </c>
      <c r="B151" s="174"/>
      <c r="C151" s="0"/>
      <c r="D151" s="0"/>
      <c r="E151" s="0"/>
      <c r="F151" s="0"/>
      <c r="G151" s="0"/>
      <c r="H151" s="0"/>
      <c r="I151" s="0"/>
      <c r="J151" s="4"/>
      <c r="K151" s="0"/>
      <c r="L151" s="169"/>
      <c r="M151" s="115"/>
      <c r="O151" s="115"/>
      <c r="Q151" s="115"/>
      <c r="S151" s="115"/>
      <c r="T151" s="115"/>
      <c r="U151" s="115"/>
      <c r="V151" s="115"/>
      <c r="X151" s="115"/>
      <c r="Z151" s="115"/>
      <c r="AB151" s="115"/>
      <c r="AD151" s="115"/>
      <c r="BL151" s="115"/>
      <c r="BM151" s="115"/>
      <c r="BO151" s="115"/>
      <c r="BP151" s="115"/>
      <c r="BQ151" s="115"/>
      <c r="BW151" s="115"/>
    </row>
    <row r="152" customFormat="false" ht="12.75" hidden="false" customHeight="false" outlineLevel="0" collapsed="false">
      <c r="A152" s="182"/>
      <c r="B152" s="174" t="s">
        <v>352</v>
      </c>
      <c r="C152" s="0"/>
      <c r="D152" s="0"/>
      <c r="E152" s="0"/>
      <c r="F152" s="0"/>
      <c r="G152" s="0"/>
      <c r="H152" s="0"/>
      <c r="I152" s="0"/>
      <c r="J152" s="4"/>
      <c r="K152" s="0"/>
      <c r="L152" s="169" t="s">
        <v>249</v>
      </c>
      <c r="M152" s="115"/>
      <c r="N152" s="115" t="n">
        <v>0</v>
      </c>
      <c r="O152" s="115"/>
      <c r="P152" s="115" t="n">
        <v>0</v>
      </c>
      <c r="Q152" s="115"/>
      <c r="R152" s="115" t="n">
        <v>69419</v>
      </c>
      <c r="S152" s="115"/>
      <c r="T152" s="115"/>
      <c r="U152" s="115"/>
      <c r="V152" s="115"/>
      <c r="X152" s="115"/>
      <c r="Z152" s="115"/>
      <c r="AB152" s="115"/>
      <c r="AD152" s="115"/>
      <c r="AL152" s="115" t="n">
        <v>69419</v>
      </c>
      <c r="AN152" s="115" t="n">
        <v>0</v>
      </c>
      <c r="AP152" s="115" t="n">
        <v>0</v>
      </c>
      <c r="AR152" s="115" t="n">
        <v>0</v>
      </c>
      <c r="AT152" s="115" t="n">
        <v>0</v>
      </c>
      <c r="AV152" s="115" t="n">
        <v>0</v>
      </c>
      <c r="AX152" s="115" t="n">
        <v>0</v>
      </c>
      <c r="AZ152" s="115" t="n">
        <v>0</v>
      </c>
      <c r="BB152" s="115" t="n">
        <v>0</v>
      </c>
      <c r="BD152" s="115" t="n">
        <v>0</v>
      </c>
      <c r="BF152" s="115" t="n">
        <v>0</v>
      </c>
      <c r="BH152" s="115" t="n">
        <v>0</v>
      </c>
      <c r="BJ152" s="115" t="n">
        <v>0</v>
      </c>
      <c r="BL152" s="115" t="n">
        <v>0</v>
      </c>
      <c r="BM152" s="115"/>
      <c r="BN152" s="115" t="n">
        <f aca="false">SUM(T152:BM152)</f>
        <v>69419</v>
      </c>
      <c r="BO152" s="115"/>
      <c r="BP152" s="126" t="n">
        <v>0</v>
      </c>
      <c r="BQ152" s="115"/>
      <c r="BR152" s="115" t="n">
        <f aca="false">IF(+R152-BN152+BP152&gt;0,R152-BN152+BP152,0)</f>
        <v>0</v>
      </c>
      <c r="BT152" s="115" t="n">
        <f aca="false">+BN152+BR152</f>
        <v>69419</v>
      </c>
      <c r="BV152" s="115" t="n">
        <f aca="false">+R152-BN152-BR152</f>
        <v>0</v>
      </c>
      <c r="BW152" s="115"/>
    </row>
    <row r="153" customFormat="false" ht="12.75" hidden="false" customHeight="false" outlineLevel="0" collapsed="false">
      <c r="A153" s="171"/>
      <c r="B153" s="165" t="s">
        <v>353</v>
      </c>
      <c r="C153" s="0"/>
      <c r="D153" s="0"/>
      <c r="E153" s="0"/>
      <c r="F153" s="0"/>
      <c r="G153" s="0"/>
      <c r="H153" s="0"/>
      <c r="I153" s="0"/>
      <c r="J153" s="4"/>
      <c r="K153" s="0"/>
      <c r="L153" s="169" t="s">
        <v>249</v>
      </c>
      <c r="M153" s="115"/>
      <c r="N153" s="115" t="n">
        <v>0</v>
      </c>
      <c r="O153" s="115"/>
      <c r="P153" s="115" t="n">
        <v>0</v>
      </c>
      <c r="Q153" s="115"/>
      <c r="R153" s="115" t="n">
        <v>0</v>
      </c>
      <c r="S153" s="115"/>
      <c r="T153" s="115"/>
      <c r="U153" s="115"/>
      <c r="V153" s="115"/>
      <c r="X153" s="115"/>
      <c r="Z153" s="115"/>
      <c r="AB153" s="115"/>
      <c r="AD153" s="115"/>
      <c r="AN153" s="115" t="n">
        <v>0</v>
      </c>
      <c r="AP153" s="115" t="n">
        <v>0</v>
      </c>
      <c r="AR153" s="115" t="n">
        <v>0</v>
      </c>
      <c r="AT153" s="115" t="n">
        <v>0</v>
      </c>
      <c r="AV153" s="115" t="n">
        <v>0</v>
      </c>
      <c r="AX153" s="115" t="n">
        <v>0</v>
      </c>
      <c r="AZ153" s="115" t="n">
        <v>0</v>
      </c>
      <c r="BB153" s="115" t="n">
        <v>0</v>
      </c>
      <c r="BD153" s="115" t="n">
        <v>302.41</v>
      </c>
      <c r="BF153" s="115" t="n">
        <v>0</v>
      </c>
      <c r="BH153" s="115" t="n">
        <v>0</v>
      </c>
      <c r="BJ153" s="115" t="n">
        <v>0</v>
      </c>
      <c r="BL153" s="115" t="n">
        <v>0</v>
      </c>
      <c r="BM153" s="115"/>
      <c r="BN153" s="115" t="n">
        <f aca="false">SUM(T153:BM153)</f>
        <v>302.41</v>
      </c>
      <c r="BO153" s="115"/>
      <c r="BP153" s="126" t="n">
        <v>0</v>
      </c>
      <c r="BQ153" s="115"/>
      <c r="BR153" s="115" t="n">
        <f aca="false">IF(+R153-BN153+BP153&gt;0,R153-BN153+BP153,0)</f>
        <v>0</v>
      </c>
      <c r="BT153" s="115" t="n">
        <f aca="false">+BN153+BR153</f>
        <v>302.41</v>
      </c>
      <c r="BV153" s="115" t="n">
        <f aca="false">+R153-BT153</f>
        <v>-302.41</v>
      </c>
      <c r="BW153" s="115"/>
    </row>
    <row r="154" customFormat="false" ht="12.75" hidden="false" customHeight="false" outlineLevel="0" collapsed="false">
      <c r="A154" s="171"/>
      <c r="B154" s="165" t="s">
        <v>354</v>
      </c>
      <c r="C154" s="0"/>
      <c r="D154" s="0"/>
      <c r="E154" s="0"/>
      <c r="F154" s="0"/>
      <c r="G154" s="0"/>
      <c r="H154" s="0"/>
      <c r="I154" s="0"/>
      <c r="J154" s="4"/>
      <c r="K154" s="0"/>
      <c r="L154" s="169" t="s">
        <v>249</v>
      </c>
      <c r="M154" s="115"/>
      <c r="O154" s="115"/>
      <c r="P154" s="115" t="n">
        <v>0</v>
      </c>
      <c r="Q154" s="115"/>
      <c r="R154" s="115" t="n">
        <v>0</v>
      </c>
      <c r="S154" s="115"/>
      <c r="T154" s="115"/>
      <c r="U154" s="115"/>
      <c r="V154" s="115"/>
      <c r="X154" s="115"/>
      <c r="Z154" s="115"/>
      <c r="AB154" s="115"/>
      <c r="AD154" s="115"/>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L154" s="115" t="n">
        <v>0</v>
      </c>
      <c r="BM154" s="115"/>
      <c r="BN154" s="115" t="n">
        <f aca="false">SUM(T154:BM154)</f>
        <v>0</v>
      </c>
      <c r="BO154" s="115"/>
      <c r="BP154" s="126" t="n">
        <v>0</v>
      </c>
      <c r="BQ154" s="115"/>
      <c r="BR154" s="115" t="n">
        <f aca="false">IF(+R154-BN154+BP154&gt;0,R154-BN154+BP154,0)</f>
        <v>0</v>
      </c>
      <c r="BT154" s="115" t="n">
        <f aca="false">+BN154+BR154</f>
        <v>0</v>
      </c>
      <c r="BV154" s="115" t="n">
        <f aca="false">+R154-BT154</f>
        <v>0</v>
      </c>
      <c r="BW154" s="115"/>
    </row>
    <row r="155" customFormat="false" ht="12.75" hidden="false" customHeight="false" outlineLevel="0" collapsed="false">
      <c r="A155" s="171"/>
      <c r="B155" s="165" t="s">
        <v>355</v>
      </c>
      <c r="C155" s="0"/>
      <c r="D155" s="0"/>
      <c r="E155" s="0"/>
      <c r="F155" s="0"/>
      <c r="G155" s="0"/>
      <c r="H155" s="0"/>
      <c r="I155" s="0"/>
      <c r="J155" s="4"/>
      <c r="K155" s="0"/>
      <c r="L155" s="169" t="s">
        <v>249</v>
      </c>
      <c r="M155" s="115"/>
      <c r="O155" s="115"/>
      <c r="P155" s="115" t="n">
        <v>0</v>
      </c>
      <c r="Q155" s="115"/>
      <c r="R155" s="115" t="n">
        <v>0</v>
      </c>
      <c r="S155" s="115"/>
      <c r="T155" s="115"/>
      <c r="U155" s="115"/>
      <c r="V155" s="115"/>
      <c r="X155" s="115"/>
      <c r="Z155" s="115"/>
      <c r="AB155" s="115"/>
      <c r="AD155" s="115"/>
      <c r="AN155" s="115" t="n">
        <v>0</v>
      </c>
      <c r="AP155" s="115" t="n">
        <v>0</v>
      </c>
      <c r="AR155" s="115" t="n">
        <v>0</v>
      </c>
      <c r="AT155" s="115" t="n">
        <v>0</v>
      </c>
      <c r="AX155" s="115" t="n">
        <v>0</v>
      </c>
      <c r="AZ155" s="115" t="n">
        <v>0</v>
      </c>
      <c r="BB155" s="115" t="n">
        <v>0</v>
      </c>
      <c r="BD155" s="115" t="n">
        <v>0</v>
      </c>
      <c r="BF155" s="115" t="n">
        <v>0</v>
      </c>
      <c r="BH155" s="115" t="n">
        <v>0</v>
      </c>
      <c r="BJ155" s="115" t="n">
        <v>0</v>
      </c>
      <c r="BL155" s="115" t="n">
        <v>0</v>
      </c>
      <c r="BM155" s="115"/>
      <c r="BN155" s="115" t="n">
        <f aca="false">SUM(T155:BM155)</f>
        <v>0</v>
      </c>
      <c r="BO155" s="115"/>
      <c r="BP155" s="126" t="n">
        <v>0</v>
      </c>
      <c r="BQ155" s="115"/>
      <c r="BR155" s="115" t="n">
        <f aca="false">IF(+R155-BN155+BP155&gt;0,R155-BN155+BP155,0)</f>
        <v>0</v>
      </c>
      <c r="BT155" s="115" t="n">
        <f aca="false">+BN155+BR155</f>
        <v>0</v>
      </c>
      <c r="BV155" s="115" t="n">
        <f aca="false">+R155-BT155</f>
        <v>0</v>
      </c>
      <c r="BW155" s="115"/>
    </row>
    <row r="156" customFormat="false" ht="12.75" hidden="false" customHeight="false" outlineLevel="0" collapsed="false">
      <c r="A156" s="171"/>
      <c r="B156" s="165" t="s">
        <v>356</v>
      </c>
      <c r="C156" s="0"/>
      <c r="D156" s="0"/>
      <c r="E156" s="0"/>
      <c r="F156" s="0"/>
      <c r="G156" s="0"/>
      <c r="H156" s="0"/>
      <c r="I156" s="0"/>
      <c r="J156" s="4"/>
      <c r="K156" s="0"/>
      <c r="L156" s="169" t="s">
        <v>249</v>
      </c>
      <c r="M156" s="115"/>
      <c r="O156" s="115"/>
      <c r="P156" s="115" t="n">
        <v>0</v>
      </c>
      <c r="Q156" s="115"/>
      <c r="R156" s="115" t="n">
        <v>0</v>
      </c>
      <c r="S156" s="115"/>
      <c r="T156" s="115"/>
      <c r="U156" s="115"/>
      <c r="V156" s="115"/>
      <c r="X156" s="115"/>
      <c r="Z156" s="115"/>
      <c r="AB156" s="115"/>
      <c r="AD156" s="115"/>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0</v>
      </c>
      <c r="BO156" s="115"/>
      <c r="BP156" s="126" t="n">
        <v>0</v>
      </c>
      <c r="BQ156" s="115"/>
      <c r="BR156" s="115" t="n">
        <f aca="false">IF(+R156-BN156+BP156&gt;0,R156-BN156+BP156,0)</f>
        <v>0</v>
      </c>
      <c r="BT156" s="115" t="n">
        <f aca="false">+BN156+BR156</f>
        <v>0</v>
      </c>
      <c r="BV156" s="115" t="n">
        <f aca="false">+R156-BT156</f>
        <v>0</v>
      </c>
      <c r="BW156" s="115"/>
    </row>
    <row r="157" customFormat="false" ht="12.75" hidden="false" customHeight="false" outlineLevel="0" collapsed="false">
      <c r="A157" s="171"/>
      <c r="B157" s="165" t="s">
        <v>152</v>
      </c>
      <c r="C157" s="0"/>
      <c r="D157" s="0"/>
      <c r="E157" s="0"/>
      <c r="F157" s="0"/>
      <c r="G157" s="0"/>
      <c r="H157" s="0"/>
      <c r="I157" s="0"/>
      <c r="J157" s="4"/>
      <c r="K157" s="0"/>
      <c r="L157" s="169"/>
      <c r="M157" s="115"/>
      <c r="O157" s="115"/>
      <c r="Q157" s="115"/>
      <c r="R157" s="115" t="n">
        <v>470581</v>
      </c>
      <c r="S157" s="115"/>
      <c r="T157" s="115"/>
      <c r="U157" s="115"/>
      <c r="V157" s="115"/>
      <c r="X157" s="115"/>
      <c r="Z157" s="115"/>
      <c r="AB157" s="115"/>
      <c r="AD157" s="115"/>
      <c r="AN157" s="115" t="n">
        <f aca="false">183926.3+6645.1</f>
        <v>190571.4</v>
      </c>
      <c r="AR157" s="115" t="n">
        <v>264856.32</v>
      </c>
      <c r="AV157" s="115" t="n">
        <v>38191.68</v>
      </c>
      <c r="AX157" s="115" t="n">
        <v>20091.86</v>
      </c>
      <c r="AZ157" s="115" t="n">
        <f aca="false">15594.76+131064</f>
        <v>146658.76</v>
      </c>
      <c r="BB157" s="115" t="n">
        <v>2040.3</v>
      </c>
      <c r="BD157" s="115" t="n">
        <v>49686.37</v>
      </c>
      <c r="BL157" s="115"/>
      <c r="BM157" s="115"/>
      <c r="BN157" s="115" t="n">
        <f aca="false">SUM(T157:BM157)</f>
        <v>712096.69</v>
      </c>
      <c r="BO157" s="115"/>
      <c r="BP157" s="126" t="n">
        <v>0</v>
      </c>
      <c r="BQ157" s="115"/>
      <c r="BR157" s="115" t="n">
        <f aca="false">IF(+R157-BN157+BP157&gt;0,R157-BN157+BP157,0)</f>
        <v>0</v>
      </c>
      <c r="BT157" s="115" t="n">
        <f aca="false">+BN157+BR157</f>
        <v>712096.69</v>
      </c>
      <c r="BV157" s="115" t="n">
        <f aca="false">+R157-BT157</f>
        <v>-241515.69</v>
      </c>
      <c r="BW157" s="115"/>
    </row>
    <row r="158" customFormat="false" ht="12.75" hidden="false" customHeight="false" outlineLevel="0" collapsed="false">
      <c r="A158" s="171"/>
      <c r="B158" s="165"/>
      <c r="C158" s="0"/>
      <c r="D158" s="0"/>
      <c r="E158" s="0"/>
      <c r="F158" s="0"/>
      <c r="G158" s="0"/>
      <c r="H158" s="0"/>
      <c r="I158" s="0"/>
      <c r="J158" s="4"/>
      <c r="K158" s="0"/>
      <c r="L158" s="169"/>
      <c r="M158" s="115"/>
      <c r="O158" s="115"/>
      <c r="Q158" s="115"/>
      <c r="S158" s="115"/>
      <c r="T158" s="115"/>
      <c r="U158" s="115"/>
      <c r="V158" s="115"/>
      <c r="X158" s="115"/>
      <c r="Z158" s="115"/>
      <c r="AB158" s="115"/>
      <c r="AD158" s="115"/>
      <c r="BL158" s="115"/>
      <c r="BM158" s="115"/>
      <c r="BO158" s="115"/>
      <c r="BQ158" s="115"/>
      <c r="BR158" s="115" t="n">
        <f aca="false">IF(+R158-BN158+BP158&gt;0,R158-BN158+BP158,0)</f>
        <v>0</v>
      </c>
      <c r="BW158" s="115"/>
    </row>
    <row r="159" customFormat="false" ht="12.75" hidden="false" customHeight="false" outlineLevel="0" collapsed="false">
      <c r="A159" s="186"/>
      <c r="B159" s="215" t="s">
        <v>252</v>
      </c>
      <c r="C159" s="2"/>
      <c r="D159" s="2"/>
      <c r="E159" s="2"/>
      <c r="F159" s="2"/>
      <c r="G159" s="2"/>
      <c r="H159" s="2"/>
      <c r="I159" s="2"/>
      <c r="J159" s="3"/>
      <c r="K159" s="2"/>
      <c r="L159" s="188"/>
      <c r="M159" s="24"/>
      <c r="N159" s="210" t="n">
        <f aca="false">SUM(N152:N158)</f>
        <v>0</v>
      </c>
      <c r="O159" s="24"/>
      <c r="P159" s="210" t="n">
        <f aca="false">SUM(P152:P158)</f>
        <v>0</v>
      </c>
      <c r="Q159" s="24"/>
      <c r="R159" s="210" t="n">
        <f aca="false">SUM(R152:R158)</f>
        <v>540000</v>
      </c>
      <c r="S159" s="24"/>
      <c r="T159" s="210" t="n">
        <f aca="false">SUM(T152:T158)</f>
        <v>0</v>
      </c>
      <c r="U159" s="24"/>
      <c r="V159" s="210" t="n">
        <f aca="false">SUM(V152:V158)</f>
        <v>0</v>
      </c>
      <c r="W159" s="24"/>
      <c r="X159" s="210" t="n">
        <f aca="false">SUM(X152:X158)</f>
        <v>0</v>
      </c>
      <c r="Y159" s="24"/>
      <c r="Z159" s="210" t="n">
        <f aca="false">SUM(Z152:Z158)</f>
        <v>0</v>
      </c>
      <c r="AA159" s="24"/>
      <c r="AB159" s="210" t="n">
        <f aca="false">SUM(AB152:AB158)</f>
        <v>0</v>
      </c>
      <c r="AC159" s="24"/>
      <c r="AD159" s="210" t="n">
        <f aca="false">SUM(AD152:AD158)</f>
        <v>0</v>
      </c>
      <c r="AE159" s="24"/>
      <c r="AF159" s="210" t="n">
        <f aca="false">SUM(AF152:AF158)</f>
        <v>0</v>
      </c>
      <c r="AG159" s="24"/>
      <c r="AH159" s="210" t="n">
        <f aca="false">SUM(AH152:AH158)</f>
        <v>0</v>
      </c>
      <c r="AI159" s="24"/>
      <c r="AJ159" s="210" t="n">
        <f aca="false">SUM(AJ152:AJ158)</f>
        <v>0</v>
      </c>
      <c r="AK159" s="24"/>
      <c r="AL159" s="210" t="n">
        <f aca="false">SUM(AL152:AL158)</f>
        <v>69419</v>
      </c>
      <c r="AM159" s="210"/>
      <c r="AN159" s="210" t="n">
        <f aca="false">SUM(AN152:AN158)</f>
        <v>190571.4</v>
      </c>
      <c r="AO159" s="24"/>
      <c r="AP159" s="210" t="n">
        <f aca="false">SUM(AP152:AP158)</f>
        <v>0</v>
      </c>
      <c r="AQ159" s="24"/>
      <c r="AR159" s="210" t="n">
        <f aca="false">SUM(AR152:AR158)</f>
        <v>264856.32</v>
      </c>
      <c r="AS159" s="24"/>
      <c r="AT159" s="210" t="n">
        <f aca="false">SUM(AT152:AT158)</f>
        <v>0</v>
      </c>
      <c r="AU159" s="24"/>
      <c r="AV159" s="210" t="n">
        <f aca="false">SUM(AV152:AV158)</f>
        <v>38191.68</v>
      </c>
      <c r="AW159" s="24"/>
      <c r="AX159" s="210" t="n">
        <f aca="false">SUM(AX152:AX158)</f>
        <v>20091.86</v>
      </c>
      <c r="AY159" s="24"/>
      <c r="AZ159" s="210" t="n">
        <f aca="false">SUM(AZ152:AZ158)</f>
        <v>146658.76</v>
      </c>
      <c r="BA159" s="24"/>
      <c r="BB159" s="210" t="n">
        <f aca="false">SUM(BB152:BB158)</f>
        <v>2040.3</v>
      </c>
      <c r="BC159" s="24"/>
      <c r="BD159" s="210" t="n">
        <f aca="false">SUM(BD152:BD158)</f>
        <v>49988.78</v>
      </c>
      <c r="BE159" s="24"/>
      <c r="BF159" s="210" t="n">
        <f aca="false">SUM(BF152:BF158)</f>
        <v>0</v>
      </c>
      <c r="BG159" s="24"/>
      <c r="BH159" s="210" t="n">
        <f aca="false">SUM(BH152:BH158)</f>
        <v>0</v>
      </c>
      <c r="BI159" s="24"/>
      <c r="BJ159" s="210" t="n">
        <f aca="false">SUM(BJ152:BJ158)</f>
        <v>0</v>
      </c>
      <c r="BK159" s="24"/>
      <c r="BL159" s="210" t="n">
        <f aca="false">SUM(BL152:BL158)</f>
        <v>0</v>
      </c>
      <c r="BM159" s="24"/>
      <c r="BN159" s="210" t="n">
        <f aca="false">SUM(BN152:BN158)</f>
        <v>781818.1</v>
      </c>
      <c r="BO159" s="24"/>
      <c r="BP159" s="210" t="n">
        <f aca="false">SUM(BP152:BP158)</f>
        <v>0</v>
      </c>
      <c r="BQ159" s="24"/>
      <c r="BR159" s="210" t="n">
        <f aca="false">SUM(BR152:BR158)</f>
        <v>0</v>
      </c>
      <c r="BS159" s="24"/>
      <c r="BT159" s="210" t="n">
        <f aca="false">SUM(BT152:BT158)</f>
        <v>781818.1</v>
      </c>
      <c r="BU159" s="24"/>
      <c r="BV159" s="210" t="n">
        <f aca="false">SUM(BV152:BV158)</f>
        <v>-241818.1</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6"/>
      <c r="B160" s="215"/>
      <c r="C160" s="2"/>
      <c r="D160" s="2"/>
      <c r="E160" s="2"/>
      <c r="F160" s="2"/>
      <c r="G160" s="2"/>
      <c r="H160" s="2"/>
      <c r="I160" s="2"/>
      <c r="J160" s="3"/>
      <c r="K160" s="2"/>
      <c r="L160" s="188"/>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t="s">
        <v>381</v>
      </c>
      <c r="B161" s="174"/>
      <c r="C161" s="0"/>
      <c r="D161" s="0"/>
      <c r="E161" s="0"/>
      <c r="F161" s="0"/>
      <c r="G161" s="0"/>
      <c r="H161" s="0"/>
      <c r="I161" s="0"/>
      <c r="J161" s="0"/>
      <c r="K161" s="169"/>
      <c r="L161" s="115"/>
      <c r="M161" s="115"/>
      <c r="O161" s="115"/>
      <c r="Q161" s="115"/>
      <c r="S161" s="115"/>
      <c r="T161" s="115"/>
      <c r="U161" s="115"/>
      <c r="V161" s="115"/>
      <c r="X161" s="115"/>
      <c r="Z161" s="115"/>
      <c r="AB161" s="115"/>
      <c r="AD161" s="115"/>
      <c r="BL161" s="115"/>
      <c r="BM161" s="115"/>
      <c r="BO161" s="115"/>
      <c r="BP161" s="115"/>
      <c r="BQ161" s="115"/>
      <c r="BV161" s="123"/>
    </row>
    <row r="162" customFormat="false" ht="12.75" hidden="false" customHeight="false" outlineLevel="0" collapsed="false">
      <c r="A162" s="182"/>
      <c r="B162" s="174" t="s">
        <v>358</v>
      </c>
      <c r="C162" s="0"/>
      <c r="D162" s="0"/>
      <c r="E162" s="0"/>
      <c r="F162" s="0"/>
      <c r="G162" s="0"/>
      <c r="H162" s="0"/>
      <c r="I162" s="0"/>
      <c r="J162" s="0"/>
      <c r="K162" s="169" t="s">
        <v>142</v>
      </c>
      <c r="L162" s="115"/>
      <c r="M162" s="115" t="n">
        <v>0</v>
      </c>
      <c r="O162" s="115" t="n">
        <v>60000</v>
      </c>
      <c r="Q162" s="115" t="n">
        <f aca="false">+M162+O162</f>
        <v>60000</v>
      </c>
      <c r="R162" s="115" t="n">
        <v>60000</v>
      </c>
      <c r="S162" s="115"/>
      <c r="T162" s="115" t="n">
        <v>0</v>
      </c>
      <c r="U162" s="115"/>
      <c r="V162" s="123"/>
      <c r="X162" s="115" t="n">
        <v>0</v>
      </c>
      <c r="Z162" s="115" t="n">
        <v>0</v>
      </c>
      <c r="AB162" s="115" t="n">
        <v>0</v>
      </c>
      <c r="AD162" s="115" t="n">
        <v>0</v>
      </c>
      <c r="AF162" s="115" t="n">
        <v>0</v>
      </c>
      <c r="AH162" s="115" t="n">
        <v>0</v>
      </c>
      <c r="AJ162" s="115" t="n">
        <v>0</v>
      </c>
      <c r="AN162" s="115" t="n">
        <v>0</v>
      </c>
      <c r="AP162" s="115" t="n">
        <v>7500</v>
      </c>
      <c r="AR162" s="115" t="n">
        <v>0</v>
      </c>
      <c r="AT162" s="115" t="n">
        <v>7500</v>
      </c>
      <c r="AV162" s="115" t="n">
        <v>20486.25</v>
      </c>
      <c r="AX162" s="115" t="n">
        <v>0</v>
      </c>
      <c r="AZ162" s="115" t="n">
        <v>0</v>
      </c>
      <c r="BD162" s="115" t="n">
        <v>110182.74</v>
      </c>
      <c r="BF162" s="115" t="n">
        <v>0</v>
      </c>
      <c r="BH162" s="115" t="n">
        <v>0</v>
      </c>
      <c r="BJ162" s="115" t="n">
        <v>0</v>
      </c>
      <c r="BL162" s="115" t="n">
        <v>0</v>
      </c>
      <c r="BM162" s="115"/>
      <c r="BN162" s="115" t="n">
        <f aca="false">SUM(T162:BM162)</f>
        <v>145668.99</v>
      </c>
      <c r="BO162" s="115"/>
      <c r="BP162" s="115" t="n">
        <v>0</v>
      </c>
      <c r="BQ162" s="115"/>
      <c r="BR162" s="115" t="n">
        <f aca="false">IF(+R162-BN162+BP162&gt;0,R162-BN162+BP162,0)</f>
        <v>0</v>
      </c>
      <c r="BT162" s="115" t="n">
        <f aca="false">+BN162+BR162</f>
        <v>145668.99</v>
      </c>
      <c r="BV162" s="115" t="n">
        <f aca="false">+R162-BT162</f>
        <v>-85668.99</v>
      </c>
    </row>
    <row r="163" customFormat="false" ht="12.75" hidden="false" customHeight="false" outlineLevel="0" collapsed="false">
      <c r="A163" s="182"/>
      <c r="B163" s="174" t="s">
        <v>359</v>
      </c>
      <c r="C163" s="0"/>
      <c r="D163" s="0"/>
      <c r="E163" s="0"/>
      <c r="F163" s="0"/>
      <c r="G163" s="0"/>
      <c r="H163" s="0"/>
      <c r="I163" s="0"/>
      <c r="J163" s="0"/>
      <c r="K163" s="169" t="s">
        <v>142</v>
      </c>
      <c r="L163" s="115"/>
      <c r="M163" s="115" t="n">
        <v>7500</v>
      </c>
      <c r="O163" s="115" t="n">
        <f aca="false">35000-M163</f>
        <v>27500</v>
      </c>
      <c r="Q163" s="115" t="n">
        <f aca="false">+M163+O163</f>
        <v>35000</v>
      </c>
      <c r="R163" s="115" t="n">
        <v>35000</v>
      </c>
      <c r="S163" s="115"/>
      <c r="T163" s="115" t="n">
        <v>0</v>
      </c>
      <c r="U163" s="115"/>
      <c r="V163" s="115" t="n">
        <v>0</v>
      </c>
      <c r="X163" s="115" t="n">
        <v>0</v>
      </c>
      <c r="Z163" s="115" t="n">
        <v>0</v>
      </c>
      <c r="AB163" s="115" t="n">
        <v>0</v>
      </c>
      <c r="AD163" s="115" t="n">
        <v>0</v>
      </c>
      <c r="AF163" s="115" t="n">
        <v>0</v>
      </c>
      <c r="AH163" s="115" t="n">
        <v>0</v>
      </c>
      <c r="AJ163" s="115" t="n">
        <v>0</v>
      </c>
      <c r="AN163" s="115" t="n">
        <v>0</v>
      </c>
      <c r="AP163" s="115" t="n">
        <v>10517.87</v>
      </c>
      <c r="AR163" s="115" t="n">
        <v>0</v>
      </c>
      <c r="AT163" s="115" t="n">
        <v>0</v>
      </c>
      <c r="AV163" s="115" t="n">
        <v>0</v>
      </c>
      <c r="AX163" s="115" t="n">
        <v>0</v>
      </c>
      <c r="AZ163" s="115" t="n">
        <v>10602.45</v>
      </c>
      <c r="BB163" s="115" t="n">
        <v>37563.52</v>
      </c>
      <c r="BD163" s="115" t="n">
        <v>0</v>
      </c>
      <c r="BF163" s="115" t="n">
        <v>0</v>
      </c>
      <c r="BH163" s="115" t="n">
        <v>0</v>
      </c>
      <c r="BJ163" s="115" t="n">
        <v>0</v>
      </c>
      <c r="BL163" s="115" t="n">
        <v>0</v>
      </c>
      <c r="BM163" s="115"/>
      <c r="BN163" s="115" t="n">
        <f aca="false">SUM(T163:BM163)</f>
        <v>58683.84</v>
      </c>
      <c r="BO163" s="115"/>
      <c r="BP163" s="115" t="n">
        <v>0</v>
      </c>
      <c r="BQ163" s="115"/>
      <c r="BR163" s="115" t="n">
        <f aca="false">IF(+R163-BN163+BP163&gt;0,R163-BN163+BP163,0)</f>
        <v>0</v>
      </c>
      <c r="BT163" s="115" t="n">
        <f aca="false">+BN163+BR163</f>
        <v>58683.84</v>
      </c>
      <c r="BV163" s="115" t="n">
        <f aca="false">+R163-BT163</f>
        <v>-23683.84</v>
      </c>
    </row>
    <row r="164" customFormat="false" ht="12.75" hidden="false" customHeight="false" outlineLevel="0" collapsed="false">
      <c r="A164" s="182"/>
      <c r="B164" s="174" t="s">
        <v>382</v>
      </c>
      <c r="C164" s="0"/>
      <c r="D164" s="0"/>
      <c r="E164" s="0"/>
      <c r="F164" s="0"/>
      <c r="G164" s="0"/>
      <c r="H164" s="0"/>
      <c r="I164" s="0"/>
      <c r="J164" s="0"/>
      <c r="K164" s="169" t="s">
        <v>142</v>
      </c>
      <c r="L164" s="244" t="n">
        <v>44468</v>
      </c>
      <c r="M164" s="115" t="n">
        <f aca="false">1992500</f>
        <v>1992500</v>
      </c>
      <c r="O164" s="115" t="n">
        <f aca="false">2200000-M164</f>
        <v>207500</v>
      </c>
      <c r="Q164" s="115" t="n">
        <f aca="false">+M164+O164</f>
        <v>2200000</v>
      </c>
      <c r="R164" s="115" t="n">
        <v>1604313</v>
      </c>
      <c r="S164" s="115"/>
      <c r="T164" s="115" t="n">
        <v>0</v>
      </c>
      <c r="U164" s="115"/>
      <c r="V164" s="115" t="n">
        <v>0</v>
      </c>
      <c r="X164" s="115" t="n">
        <v>0</v>
      </c>
      <c r="Z164" s="115" t="n">
        <v>0</v>
      </c>
      <c r="AB164" s="115" t="n">
        <v>0</v>
      </c>
      <c r="AD164" s="115" t="n">
        <v>0</v>
      </c>
      <c r="AF164" s="115" t="n">
        <v>0</v>
      </c>
      <c r="AH164" s="115" t="n">
        <v>0</v>
      </c>
      <c r="AJ164" s="115" t="n">
        <v>0</v>
      </c>
      <c r="AN164" s="115" t="n">
        <v>0</v>
      </c>
      <c r="AR164" s="115" t="n">
        <v>0</v>
      </c>
      <c r="AT164" s="115" t="n">
        <v>0</v>
      </c>
      <c r="AV164" s="115" t="n">
        <v>0</v>
      </c>
      <c r="AX164" s="115" t="n">
        <v>0</v>
      </c>
      <c r="AZ164" s="115" t="n">
        <v>0</v>
      </c>
      <c r="BB164" s="245" t="n">
        <f aca="false">4233+9786+3968+65917+481221+352403-1</f>
        <v>917527</v>
      </c>
      <c r="BD164" s="115" t="n">
        <v>0</v>
      </c>
      <c r="BF164" s="115" t="n">
        <v>0</v>
      </c>
      <c r="BH164" s="115" t="n">
        <v>0</v>
      </c>
      <c r="BJ164" s="115" t="n">
        <v>0</v>
      </c>
      <c r="BL164" s="115" t="n">
        <v>0</v>
      </c>
      <c r="BM164" s="115"/>
      <c r="BN164" s="115" t="n">
        <f aca="false">SUM(T164:BM164)</f>
        <v>917527</v>
      </c>
      <c r="BO164" s="115"/>
      <c r="BP164" s="115"/>
      <c r="BQ164" s="115"/>
      <c r="BR164" s="115" t="n">
        <f aca="false">IF(+R164-BN164+BP164&gt;0,R164-BN164+BP164,0)</f>
        <v>686786</v>
      </c>
      <c r="BT164" s="115" t="n">
        <f aca="false">+BN164+BR164</f>
        <v>1604313</v>
      </c>
      <c r="BV164" s="115" t="n">
        <f aca="false">+R164-BT164</f>
        <v>0</v>
      </c>
    </row>
    <row r="165" customFormat="false" ht="12.75" hidden="false" customHeight="false" outlineLevel="0" collapsed="false">
      <c r="A165" s="182"/>
      <c r="B165" s="174" t="s">
        <v>383</v>
      </c>
      <c r="C165" s="0"/>
      <c r="D165" s="0"/>
      <c r="E165" s="0"/>
      <c r="F165" s="0"/>
      <c r="G165" s="0"/>
      <c r="H165" s="0"/>
      <c r="I165" s="0"/>
      <c r="J165" s="0"/>
      <c r="K165" s="169"/>
      <c r="L165" s="244" t="n">
        <v>43853</v>
      </c>
      <c r="M165" s="115"/>
      <c r="O165" s="115"/>
      <c r="Q165" s="115"/>
      <c r="R165" s="115" t="n">
        <v>756363</v>
      </c>
      <c r="S165" s="115"/>
      <c r="T165" s="115"/>
      <c r="U165" s="115"/>
      <c r="V165" s="115"/>
      <c r="X165" s="115"/>
      <c r="Z165" s="115"/>
      <c r="AB165" s="115"/>
      <c r="AD165" s="115"/>
      <c r="BB165" s="115" t="n">
        <f aca="false">18675+43024+15924+156792+116797-1</f>
        <v>351211</v>
      </c>
      <c r="BL165" s="115"/>
      <c r="BM165" s="115"/>
      <c r="BN165" s="115" t="n">
        <f aca="false">SUM(T165:BM165)</f>
        <v>351211</v>
      </c>
      <c r="BO165" s="115"/>
      <c r="BP165" s="115"/>
      <c r="BQ165" s="115"/>
      <c r="BR165" s="115" t="n">
        <f aca="false">IF(+R165-BN165+BP165&gt;0,R165-BN165+BP165,0)</f>
        <v>405152</v>
      </c>
      <c r="BT165" s="115" t="n">
        <f aca="false">+BN165+BR165</f>
        <v>756363</v>
      </c>
      <c r="BV165" s="115" t="n">
        <f aca="false">+R165-BT165</f>
        <v>0</v>
      </c>
    </row>
    <row r="166" customFormat="false" ht="12.75" hidden="false" customHeight="false" outlineLevel="0" collapsed="false">
      <c r="A166" s="182"/>
      <c r="B166" s="174" t="s">
        <v>384</v>
      </c>
      <c r="C166" s="0"/>
      <c r="D166" s="0"/>
      <c r="E166" s="0"/>
      <c r="F166" s="0"/>
      <c r="G166" s="0"/>
      <c r="H166" s="0"/>
      <c r="I166" s="0"/>
      <c r="J166" s="0"/>
      <c r="K166" s="169"/>
      <c r="L166" s="244" t="n">
        <v>60299</v>
      </c>
      <c r="M166" s="115"/>
      <c r="O166" s="115"/>
      <c r="Q166" s="115"/>
      <c r="R166" s="115" t="n">
        <v>21072</v>
      </c>
      <c r="S166" s="115"/>
      <c r="T166" s="115"/>
      <c r="U166" s="115"/>
      <c r="V166" s="115"/>
      <c r="X166" s="115"/>
      <c r="Z166" s="115"/>
      <c r="AB166" s="115"/>
      <c r="AD166" s="115"/>
      <c r="BL166" s="115"/>
      <c r="BM166" s="115"/>
      <c r="BN166" s="115" t="n">
        <f aca="false">SUM(T166:BM166)</f>
        <v>0</v>
      </c>
      <c r="BO166" s="115"/>
      <c r="BP166" s="115"/>
      <c r="BQ166" s="115"/>
      <c r="BR166" s="115" t="n">
        <f aca="false">IF(+R166-BN166+BP166&gt;0,R166-BN166+BP166,0)</f>
        <v>21072</v>
      </c>
      <c r="BT166" s="115" t="n">
        <f aca="false">+BN166+BR166</f>
        <v>21072</v>
      </c>
      <c r="BV166" s="115" t="n">
        <f aca="false">+R166-BT166</f>
        <v>0</v>
      </c>
    </row>
    <row r="167" customFormat="false" ht="12.75" hidden="false" customHeight="false" outlineLevel="0" collapsed="false">
      <c r="A167" s="182"/>
      <c r="B167" s="174" t="s">
        <v>385</v>
      </c>
      <c r="C167" s="0"/>
      <c r="D167" s="0"/>
      <c r="E167" s="0"/>
      <c r="F167" s="0"/>
      <c r="G167" s="0"/>
      <c r="H167" s="0"/>
      <c r="I167" s="0"/>
      <c r="J167" s="0"/>
      <c r="K167" s="169"/>
      <c r="L167" s="244" t="n">
        <v>45630</v>
      </c>
      <c r="M167" s="115"/>
      <c r="O167" s="115"/>
      <c r="Q167" s="115"/>
      <c r="R167" s="115" t="n">
        <v>136716</v>
      </c>
      <c r="S167" s="115"/>
      <c r="T167" s="115"/>
      <c r="U167" s="115"/>
      <c r="V167" s="115"/>
      <c r="X167" s="115"/>
      <c r="Z167" s="115"/>
      <c r="AB167" s="115"/>
      <c r="AD167" s="115"/>
      <c r="BB167" s="115" t="n">
        <f aca="false">800+3344+41073+29332+7049</f>
        <v>81598</v>
      </c>
      <c r="BL167" s="115"/>
      <c r="BM167" s="115"/>
      <c r="BN167" s="115" t="n">
        <f aca="false">SUM(T167:BM167)</f>
        <v>81598</v>
      </c>
      <c r="BO167" s="115"/>
      <c r="BP167" s="115"/>
      <c r="BQ167" s="115"/>
      <c r="BR167" s="115" t="n">
        <f aca="false">IF(+R167-BN167+BP167&gt;0,R167-BN167+BP167,0)</f>
        <v>55118</v>
      </c>
      <c r="BT167" s="115" t="n">
        <f aca="false">+BN167+BR167</f>
        <v>136716</v>
      </c>
      <c r="BV167" s="115" t="n">
        <f aca="false">+R167-BT167</f>
        <v>0</v>
      </c>
    </row>
    <row r="168" customFormat="false" ht="12.75" hidden="false" customHeight="false" outlineLevel="0" collapsed="false">
      <c r="A168" s="182"/>
      <c r="B168" s="174" t="s">
        <v>386</v>
      </c>
      <c r="C168" s="0"/>
      <c r="D168" s="0"/>
      <c r="E168" s="0"/>
      <c r="F168" s="0"/>
      <c r="G168" s="0"/>
      <c r="H168" s="0"/>
      <c r="I168" s="0"/>
      <c r="J168" s="0"/>
      <c r="K168" s="169"/>
      <c r="L168" s="244" t="n">
        <v>45631</v>
      </c>
      <c r="M168" s="115"/>
      <c r="O168" s="115"/>
      <c r="Q168" s="115"/>
      <c r="R168" s="115" t="n">
        <v>418906</v>
      </c>
      <c r="S168" s="115"/>
      <c r="T168" s="115"/>
      <c r="U168" s="115"/>
      <c r="V168" s="115"/>
      <c r="X168" s="115"/>
      <c r="Z168" s="115"/>
      <c r="AB168" s="115"/>
      <c r="AD168" s="115"/>
      <c r="BB168" s="115" t="n">
        <f aca="false">535+49417+54003+86107+62011-1</f>
        <v>252072</v>
      </c>
      <c r="BD168" s="115" t="n">
        <v>0</v>
      </c>
      <c r="BL168" s="115"/>
      <c r="BM168" s="115"/>
      <c r="BN168" s="115" t="n">
        <f aca="false">SUM(T168:BM168)</f>
        <v>252072</v>
      </c>
      <c r="BO168" s="115"/>
      <c r="BP168" s="115"/>
      <c r="BQ168" s="115"/>
      <c r="BR168" s="115" t="n">
        <f aca="false">IF(+R168-BN168+BP168&gt;0,R168-BN168+BP168,0)</f>
        <v>166834</v>
      </c>
      <c r="BT168" s="115" t="n">
        <f aca="false">+BN168+BR168</f>
        <v>418906</v>
      </c>
      <c r="BV168" s="115" t="n">
        <f aca="false">+R168-BT168</f>
        <v>0</v>
      </c>
    </row>
    <row r="169" customFormat="false" ht="12.75" hidden="false" customHeight="false" outlineLevel="0" collapsed="false">
      <c r="A169" s="182"/>
      <c r="B169" s="174" t="s">
        <v>387</v>
      </c>
      <c r="C169" s="0"/>
      <c r="D169" s="0"/>
      <c r="E169" s="0"/>
      <c r="F169" s="0"/>
      <c r="G169" s="0"/>
      <c r="H169" s="0"/>
      <c r="I169" s="0"/>
      <c r="J169" s="0"/>
      <c r="K169" s="169"/>
      <c r="L169" s="244" t="n">
        <v>45632</v>
      </c>
      <c r="M169" s="115"/>
      <c r="O169" s="115"/>
      <c r="Q169" s="115"/>
      <c r="R169" s="115" t="n">
        <v>80018</v>
      </c>
      <c r="S169" s="115"/>
      <c r="T169" s="115"/>
      <c r="U169" s="115"/>
      <c r="V169" s="115"/>
      <c r="X169" s="115"/>
      <c r="Z169" s="115"/>
      <c r="AB169" s="115"/>
      <c r="AD169" s="115"/>
      <c r="BB169" s="115" t="n">
        <f aca="false">2216+5019+7461+1503+34872</f>
        <v>51071</v>
      </c>
      <c r="BL169" s="115"/>
      <c r="BM169" s="115"/>
      <c r="BN169" s="115" t="n">
        <f aca="false">SUM(T169:BM169)</f>
        <v>51071</v>
      </c>
      <c r="BO169" s="115"/>
      <c r="BP169" s="115"/>
      <c r="BQ169" s="115"/>
      <c r="BR169" s="115" t="n">
        <f aca="false">IF(+R169-BN169+BP169&gt;0,R169-BN169+BP169,0)</f>
        <v>28947</v>
      </c>
      <c r="BT169" s="115" t="n">
        <f aca="false">+BN169+BR169</f>
        <v>80018</v>
      </c>
      <c r="BV169" s="115" t="n">
        <f aca="false">+R169-BT169</f>
        <v>0</v>
      </c>
    </row>
    <row r="170" customFormat="false" ht="12.75" hidden="false" customHeight="false" outlineLevel="0" collapsed="false">
      <c r="A170" s="182"/>
      <c r="B170" s="174" t="s">
        <v>388</v>
      </c>
      <c r="C170" s="0"/>
      <c r="D170" s="0"/>
      <c r="E170" s="0"/>
      <c r="F170" s="0"/>
      <c r="G170" s="0"/>
      <c r="H170" s="0"/>
      <c r="I170" s="0"/>
      <c r="J170" s="0"/>
      <c r="K170" s="169"/>
      <c r="L170" s="244" t="n">
        <v>45633</v>
      </c>
      <c r="M170" s="115"/>
      <c r="O170" s="115"/>
      <c r="Q170" s="115"/>
      <c r="R170" s="115" t="n">
        <v>50029</v>
      </c>
      <c r="S170" s="115"/>
      <c r="T170" s="115"/>
      <c r="U170" s="115"/>
      <c r="V170" s="115"/>
      <c r="X170" s="115"/>
      <c r="Z170" s="115"/>
      <c r="AB170" s="115"/>
      <c r="AD170" s="115"/>
      <c r="BB170" s="115" t="n">
        <f aca="false">1180+2747+5434+6643+21028</f>
        <v>37032</v>
      </c>
      <c r="BL170" s="115"/>
      <c r="BM170" s="115"/>
      <c r="BN170" s="115" t="n">
        <f aca="false">SUM(T170:BM170)</f>
        <v>37032</v>
      </c>
      <c r="BO170" s="115"/>
      <c r="BP170" s="115"/>
      <c r="BQ170" s="115"/>
      <c r="BR170" s="115" t="n">
        <f aca="false">IF(+R170-BN170+BP170&gt;0,R170-BN170+BP170,0)</f>
        <v>12997</v>
      </c>
      <c r="BT170" s="115" t="n">
        <f aca="false">+BN170+BR170</f>
        <v>50029</v>
      </c>
      <c r="BV170" s="115" t="n">
        <f aca="false">+R170-BT170</f>
        <v>0</v>
      </c>
    </row>
    <row r="171" customFormat="false" ht="12.75" hidden="false" customHeight="false" outlineLevel="0" collapsed="false">
      <c r="A171" s="182"/>
      <c r="B171" s="174" t="s">
        <v>389</v>
      </c>
      <c r="C171" s="0"/>
      <c r="D171" s="0"/>
      <c r="E171" s="0"/>
      <c r="F171" s="0"/>
      <c r="G171" s="0"/>
      <c r="H171" s="0"/>
      <c r="I171" s="0"/>
      <c r="J171" s="0"/>
      <c r="K171" s="169"/>
      <c r="L171" s="244" t="n">
        <v>45634</v>
      </c>
      <c r="M171" s="115"/>
      <c r="O171" s="115"/>
      <c r="Q171" s="115"/>
      <c r="R171" s="115" t="n">
        <v>61757</v>
      </c>
      <c r="S171" s="115"/>
      <c r="T171" s="115"/>
      <c r="U171" s="115"/>
      <c r="V171" s="115"/>
      <c r="X171" s="115"/>
      <c r="Z171" s="115"/>
      <c r="AB171" s="115"/>
      <c r="AD171" s="115"/>
      <c r="BB171" s="115" t="n">
        <f aca="false">1072+8128+10987+8103+2831</f>
        <v>31121</v>
      </c>
      <c r="BL171" s="115"/>
      <c r="BM171" s="115"/>
      <c r="BN171" s="115" t="n">
        <f aca="false">SUM(T171:BM171)</f>
        <v>31121</v>
      </c>
      <c r="BO171" s="115"/>
      <c r="BP171" s="115"/>
      <c r="BQ171" s="115"/>
      <c r="BR171" s="115" t="n">
        <f aca="false">IF(+R171-BN171+BP171&gt;0,R171-BN171+BP171,0)</f>
        <v>30636</v>
      </c>
      <c r="BT171" s="115" t="n">
        <f aca="false">+BN171+BR171</f>
        <v>61757</v>
      </c>
      <c r="BV171" s="115" t="n">
        <f aca="false">+R171-BT171</f>
        <v>0</v>
      </c>
    </row>
    <row r="172" customFormat="false" ht="12.75" hidden="false" customHeight="false" outlineLevel="0" collapsed="false">
      <c r="A172" s="182"/>
      <c r="B172" s="174" t="s">
        <v>390</v>
      </c>
      <c r="C172" s="0"/>
      <c r="D172" s="0"/>
      <c r="E172" s="0"/>
      <c r="F172" s="0"/>
      <c r="G172" s="0"/>
      <c r="H172" s="0"/>
      <c r="I172" s="0"/>
      <c r="J172" s="0"/>
      <c r="K172" s="169"/>
      <c r="L172" s="244" t="n">
        <v>45635</v>
      </c>
      <c r="M172" s="115"/>
      <c r="O172" s="115"/>
      <c r="Q172" s="115"/>
      <c r="R172" s="115" t="n">
        <v>21962</v>
      </c>
      <c r="S172" s="115"/>
      <c r="T172" s="115"/>
      <c r="U172" s="115"/>
      <c r="V172" s="115"/>
      <c r="X172" s="115"/>
      <c r="Z172" s="115"/>
      <c r="AB172" s="115"/>
      <c r="AD172" s="115"/>
      <c r="BB172" s="115" t="n">
        <f aca="false">1397+1090+360</f>
        <v>2847</v>
      </c>
      <c r="BL172" s="115"/>
      <c r="BM172" s="115"/>
      <c r="BN172" s="115" t="n">
        <f aca="false">SUM(T172:BM172)</f>
        <v>2847</v>
      </c>
      <c r="BO172" s="115"/>
      <c r="BP172" s="115"/>
      <c r="BQ172" s="115"/>
      <c r="BR172" s="115" t="n">
        <f aca="false">IF(+R172-BN172+BP172&gt;0,R172-BN172+BP172,0)</f>
        <v>19115</v>
      </c>
      <c r="BT172" s="115" t="n">
        <f aca="false">+BN172+BR172</f>
        <v>21962</v>
      </c>
      <c r="BV172" s="115" t="n">
        <f aca="false">+R172-BT172</f>
        <v>0</v>
      </c>
    </row>
    <row r="173" customFormat="false" ht="12.75" hidden="false" customHeight="false" outlineLevel="0" collapsed="false">
      <c r="A173" s="182"/>
      <c r="B173" s="174" t="s">
        <v>391</v>
      </c>
      <c r="C173" s="0"/>
      <c r="D173" s="0"/>
      <c r="E173" s="0"/>
      <c r="F173" s="0"/>
      <c r="G173" s="0"/>
      <c r="H173" s="0"/>
      <c r="I173" s="0"/>
      <c r="J173" s="0"/>
      <c r="K173" s="169"/>
      <c r="L173" s="244" t="n">
        <v>45636</v>
      </c>
      <c r="M173" s="115"/>
      <c r="O173" s="115"/>
      <c r="Q173" s="115"/>
      <c r="R173" s="115" t="n">
        <v>125513</v>
      </c>
      <c r="S173" s="115"/>
      <c r="T173" s="115"/>
      <c r="U173" s="115"/>
      <c r="V173" s="115"/>
      <c r="X173" s="115"/>
      <c r="Z173" s="115"/>
      <c r="AB173" s="115"/>
      <c r="AD173" s="115"/>
      <c r="BB173" s="115" t="n">
        <f aca="false">21486+9708+3513+13253</f>
        <v>47960</v>
      </c>
      <c r="BL173" s="115"/>
      <c r="BM173" s="115"/>
      <c r="BN173" s="115" t="n">
        <f aca="false">SUM(T173:BM173)</f>
        <v>47960</v>
      </c>
      <c r="BO173" s="115"/>
      <c r="BP173" s="115"/>
      <c r="BQ173" s="115"/>
      <c r="BR173" s="115" t="n">
        <f aca="false">IF(+R173-BN173+BP173&gt;0,R173-BN173+BP173,0)</f>
        <v>77553</v>
      </c>
      <c r="BT173" s="115" t="n">
        <f aca="false">+BN173+BR173</f>
        <v>125513</v>
      </c>
      <c r="BV173" s="115" t="n">
        <f aca="false">+R173-BT173</f>
        <v>0</v>
      </c>
    </row>
    <row r="174" customFormat="false" ht="12.75" hidden="false" customHeight="false" outlineLevel="0" collapsed="false">
      <c r="A174" s="182"/>
      <c r="B174" s="174" t="s">
        <v>392</v>
      </c>
      <c r="C174" s="0"/>
      <c r="D174" s="0"/>
      <c r="E174" s="0"/>
      <c r="F174" s="0"/>
      <c r="G174" s="0"/>
      <c r="H174" s="0"/>
      <c r="I174" s="0"/>
      <c r="J174" s="0"/>
      <c r="K174" s="169"/>
      <c r="L174" s="244" t="n">
        <v>45637</v>
      </c>
      <c r="M174" s="115"/>
      <c r="O174" s="115"/>
      <c r="Q174" s="115"/>
      <c r="R174" s="115" t="n">
        <v>259130</v>
      </c>
      <c r="S174" s="115"/>
      <c r="T174" s="115"/>
      <c r="U174" s="115"/>
      <c r="V174" s="115"/>
      <c r="X174" s="115"/>
      <c r="Z174" s="115"/>
      <c r="AB174" s="115"/>
      <c r="AD174" s="115"/>
      <c r="BB174" s="115" t="n">
        <f aca="false">152+47111+9834+24500+36357</f>
        <v>117954</v>
      </c>
      <c r="BL174" s="115"/>
      <c r="BM174" s="115"/>
      <c r="BN174" s="115" t="n">
        <f aca="false">SUM(T174:BM174)</f>
        <v>117954</v>
      </c>
      <c r="BO174" s="115"/>
      <c r="BP174" s="115"/>
      <c r="BQ174" s="115"/>
      <c r="BR174" s="115" t="n">
        <f aca="false">IF(+R174-BN174+BP174&gt;0,R174-BN174+BP174,0)</f>
        <v>141176</v>
      </c>
      <c r="BT174" s="115" t="n">
        <f aca="false">+BN174+BR174</f>
        <v>259130</v>
      </c>
      <c r="BV174" s="115" t="n">
        <f aca="false">+R174-BT174</f>
        <v>0</v>
      </c>
    </row>
    <row r="175" customFormat="false" ht="12.75" hidden="false" customHeight="false" outlineLevel="0" collapsed="false">
      <c r="A175" s="182"/>
      <c r="B175" s="174" t="s">
        <v>393</v>
      </c>
      <c r="C175" s="0"/>
      <c r="D175" s="0"/>
      <c r="E175" s="0"/>
      <c r="F175" s="0"/>
      <c r="G175" s="0"/>
      <c r="H175" s="0"/>
      <c r="I175" s="0"/>
      <c r="J175" s="0"/>
      <c r="K175" s="169"/>
      <c r="L175" s="244" t="n">
        <v>45638</v>
      </c>
      <c r="M175" s="115"/>
      <c r="O175" s="115"/>
      <c r="Q175" s="115"/>
      <c r="R175" s="115" t="n">
        <v>30502</v>
      </c>
      <c r="S175" s="115"/>
      <c r="T175" s="115"/>
      <c r="U175" s="115"/>
      <c r="V175" s="115"/>
      <c r="X175" s="115"/>
      <c r="Z175" s="115"/>
      <c r="AB175" s="115"/>
      <c r="AD175" s="115"/>
      <c r="BB175" s="115" t="n">
        <f aca="false">1610+1653+233+2316</f>
        <v>5812</v>
      </c>
      <c r="BL175" s="115"/>
      <c r="BM175" s="115"/>
      <c r="BN175" s="115" t="n">
        <f aca="false">SUM(T175:BM175)</f>
        <v>5812</v>
      </c>
      <c r="BO175" s="115"/>
      <c r="BP175" s="115"/>
      <c r="BQ175" s="115"/>
      <c r="BR175" s="115" t="n">
        <f aca="false">IF(+R175-BN175+BP175&gt;0,R175-BN175+BP175,0)</f>
        <v>24690</v>
      </c>
      <c r="BT175" s="115" t="n">
        <f aca="false">+BN175+BR175</f>
        <v>30502</v>
      </c>
      <c r="BV175" s="115" t="n">
        <f aca="false">+R175-BT175</f>
        <v>0</v>
      </c>
    </row>
    <row r="176" customFormat="false" ht="12.75" hidden="false" customHeight="false" outlineLevel="0" collapsed="false">
      <c r="A176" s="182"/>
      <c r="B176" s="174" t="s">
        <v>394</v>
      </c>
      <c r="C176" s="0"/>
      <c r="D176" s="0"/>
      <c r="E176" s="0"/>
      <c r="F176" s="0"/>
      <c r="G176" s="0"/>
      <c r="H176" s="0"/>
      <c r="I176" s="0"/>
      <c r="J176" s="0"/>
      <c r="K176" s="169"/>
      <c r="L176" s="244" t="n">
        <v>45639</v>
      </c>
      <c r="M176" s="115"/>
      <c r="O176" s="115"/>
      <c r="Q176" s="115"/>
      <c r="R176" s="115" t="n">
        <v>12923</v>
      </c>
      <c r="S176" s="115"/>
      <c r="T176" s="115"/>
      <c r="U176" s="115"/>
      <c r="V176" s="115"/>
      <c r="X176" s="115"/>
      <c r="Z176" s="115"/>
      <c r="AB176" s="115"/>
      <c r="AD176" s="115"/>
      <c r="BB176" s="115" t="n">
        <f aca="false">177+793+608+489</f>
        <v>2067</v>
      </c>
      <c r="BL176" s="115"/>
      <c r="BM176" s="115"/>
      <c r="BN176" s="115" t="n">
        <f aca="false">SUM(T176:BM176)</f>
        <v>2067</v>
      </c>
      <c r="BO176" s="115"/>
      <c r="BP176" s="115"/>
      <c r="BQ176" s="115"/>
      <c r="BR176" s="115" t="n">
        <f aca="false">IF(+R176-BN176+BP176&gt;0,R176-BN176+BP176,0)</f>
        <v>10856</v>
      </c>
      <c r="BT176" s="115" t="n">
        <f aca="false">+BN176+BR176</f>
        <v>12923</v>
      </c>
      <c r="BV176" s="115" t="n">
        <f aca="false">+R176-BT176</f>
        <v>0</v>
      </c>
    </row>
    <row r="177" customFormat="false" ht="12.75" hidden="false" customHeight="false" outlineLevel="0" collapsed="false">
      <c r="A177" s="182"/>
      <c r="B177" s="174" t="s">
        <v>395</v>
      </c>
      <c r="C177" s="0"/>
      <c r="D177" s="0"/>
      <c r="E177" s="0"/>
      <c r="F177" s="0"/>
      <c r="G177" s="0"/>
      <c r="H177" s="0"/>
      <c r="I177" s="0"/>
      <c r="J177" s="0"/>
      <c r="K177" s="169"/>
      <c r="L177" s="244" t="n">
        <v>45642</v>
      </c>
      <c r="M177" s="115"/>
      <c r="O177" s="115"/>
      <c r="Q177" s="115"/>
      <c r="R177" s="115" t="n">
        <v>29543</v>
      </c>
      <c r="S177" s="115"/>
      <c r="T177" s="115"/>
      <c r="U177" s="115"/>
      <c r="V177" s="115"/>
      <c r="X177" s="115"/>
      <c r="Z177" s="115"/>
      <c r="AB177" s="115"/>
      <c r="AD177" s="115"/>
      <c r="BB177" s="115" t="n">
        <f aca="false">3035+4465+920+3264</f>
        <v>11684</v>
      </c>
      <c r="BL177" s="115"/>
      <c r="BM177" s="115"/>
      <c r="BN177" s="115" t="n">
        <f aca="false">SUM(T177:BM177)</f>
        <v>11684</v>
      </c>
      <c r="BO177" s="115"/>
      <c r="BP177" s="115"/>
      <c r="BQ177" s="115"/>
      <c r="BR177" s="115" t="n">
        <f aca="false">IF(+R177-BN177+BP177&gt;0,R177-BN177+BP177,0)</f>
        <v>17859</v>
      </c>
      <c r="BT177" s="115" t="n">
        <f aca="false">+BN177+BR177</f>
        <v>29543</v>
      </c>
      <c r="BV177" s="115" t="n">
        <f aca="false">+R177-BT177</f>
        <v>0</v>
      </c>
    </row>
    <row r="178" customFormat="false" ht="12.75" hidden="false" customHeight="false" outlineLevel="0" collapsed="false">
      <c r="A178" s="182"/>
      <c r="B178" s="174" t="s">
        <v>396</v>
      </c>
      <c r="C178" s="0"/>
      <c r="D178" s="0"/>
      <c r="E178" s="0"/>
      <c r="F178" s="0"/>
      <c r="G178" s="0"/>
      <c r="H178" s="0"/>
      <c r="I178" s="0"/>
      <c r="J178" s="0"/>
      <c r="K178" s="169"/>
      <c r="L178" s="244" t="n">
        <v>45643</v>
      </c>
      <c r="M178" s="115"/>
      <c r="O178" s="115"/>
      <c r="Q178" s="115"/>
      <c r="R178" s="115" t="n">
        <v>31391</v>
      </c>
      <c r="S178" s="115"/>
      <c r="T178" s="115"/>
      <c r="U178" s="115"/>
      <c r="V178" s="115"/>
      <c r="X178" s="115"/>
      <c r="Z178" s="115"/>
      <c r="AB178" s="115"/>
      <c r="AD178" s="115"/>
      <c r="BB178" s="115" t="n">
        <f aca="false">4715+8109+152+8983</f>
        <v>21959</v>
      </c>
      <c r="BL178" s="115"/>
      <c r="BM178" s="115"/>
      <c r="BN178" s="115" t="n">
        <f aca="false">SUM(T178:BM178)</f>
        <v>21959</v>
      </c>
      <c r="BO178" s="115"/>
      <c r="BP178" s="115"/>
      <c r="BQ178" s="115"/>
      <c r="BR178" s="115" t="n">
        <f aca="false">IF(+R178-BN178+BP178&gt;0,R178-BN178+BP178,0)</f>
        <v>9432</v>
      </c>
      <c r="BT178" s="115" t="n">
        <f aca="false">+BN178+BR178</f>
        <v>31391</v>
      </c>
      <c r="BV178" s="115" t="n">
        <f aca="false">+R178-BT178</f>
        <v>0</v>
      </c>
    </row>
    <row r="179" customFormat="false" ht="12.75" hidden="false" customHeight="false" outlineLevel="0" collapsed="false">
      <c r="A179" s="182"/>
      <c r="B179" s="174" t="s">
        <v>397</v>
      </c>
      <c r="C179" s="0"/>
      <c r="D179" s="0"/>
      <c r="E179" s="0"/>
      <c r="F179" s="0"/>
      <c r="G179" s="0"/>
      <c r="H179" s="0"/>
      <c r="I179" s="0"/>
      <c r="J179" s="0"/>
      <c r="K179" s="169"/>
      <c r="L179" s="244" t="n">
        <v>45644</v>
      </c>
      <c r="M179" s="115"/>
      <c r="O179" s="115"/>
      <c r="Q179" s="115"/>
      <c r="R179" s="115" t="n">
        <v>22237</v>
      </c>
      <c r="S179" s="115"/>
      <c r="T179" s="115"/>
      <c r="U179" s="115"/>
      <c r="V179" s="115"/>
      <c r="X179" s="115"/>
      <c r="Z179" s="115"/>
      <c r="AB179" s="115"/>
      <c r="AD179" s="115"/>
      <c r="BB179" s="115" t="n">
        <f aca="false">600+1287+1507+10660</f>
        <v>14054</v>
      </c>
      <c r="BL179" s="115"/>
      <c r="BM179" s="115"/>
      <c r="BN179" s="115" t="n">
        <f aca="false">SUM(T179:BM179)</f>
        <v>14054</v>
      </c>
      <c r="BO179" s="115"/>
      <c r="BP179" s="115"/>
      <c r="BQ179" s="115"/>
      <c r="BR179" s="115" t="n">
        <f aca="false">IF(+R179-BN179+BP179&gt;0,R179-BN179+BP179,0)</f>
        <v>8183</v>
      </c>
      <c r="BT179" s="115" t="n">
        <f aca="false">+BN179+BR179</f>
        <v>22237</v>
      </c>
      <c r="BV179" s="115" t="n">
        <f aca="false">+R179-BT179</f>
        <v>0</v>
      </c>
    </row>
    <row r="180" customFormat="false" ht="12.75" hidden="false" customHeight="false" outlineLevel="0" collapsed="false">
      <c r="A180" s="182"/>
      <c r="B180" s="174" t="s">
        <v>45</v>
      </c>
      <c r="C180" s="0"/>
      <c r="D180" s="0"/>
      <c r="E180" s="0"/>
      <c r="F180" s="0"/>
      <c r="G180" s="0"/>
      <c r="H180" s="0"/>
      <c r="I180" s="0"/>
      <c r="J180" s="0"/>
      <c r="K180" s="169"/>
      <c r="L180" s="244"/>
      <c r="M180" s="115"/>
      <c r="O180" s="115"/>
      <c r="Q180" s="115"/>
      <c r="S180" s="115"/>
      <c r="T180" s="115"/>
      <c r="U180" s="115"/>
      <c r="V180" s="115"/>
      <c r="X180" s="115"/>
      <c r="Z180" s="115"/>
      <c r="AB180" s="115"/>
      <c r="AD180" s="115"/>
      <c r="BB180" s="115" t="n">
        <v>837000</v>
      </c>
      <c r="BL180" s="115"/>
      <c r="BM180" s="115"/>
      <c r="BN180" s="115" t="n">
        <f aca="false">SUM(T180:BM180)</f>
        <v>837000</v>
      </c>
      <c r="BO180" s="115"/>
      <c r="BP180" s="115"/>
      <c r="BQ180" s="115"/>
    </row>
    <row r="181" customFormat="false" ht="12.75" hidden="false" customHeight="false" outlineLevel="0" collapsed="false">
      <c r="A181" s="182"/>
      <c r="B181" s="174" t="s">
        <v>398</v>
      </c>
      <c r="C181" s="0"/>
      <c r="D181" s="0"/>
      <c r="E181" s="0"/>
      <c r="F181" s="0"/>
      <c r="G181" s="0"/>
      <c r="H181" s="0"/>
      <c r="I181" s="0"/>
      <c r="J181" s="0"/>
      <c r="K181" s="169"/>
      <c r="L181" s="244"/>
      <c r="M181" s="115"/>
      <c r="O181" s="115"/>
      <c r="Q181" s="115"/>
      <c r="R181" s="115" t="n">
        <f aca="false">-3890117+2200000+132742</f>
        <v>-1557375</v>
      </c>
      <c r="S181" s="115"/>
      <c r="T181" s="115"/>
      <c r="U181" s="115"/>
      <c r="V181" s="115"/>
      <c r="X181" s="115"/>
      <c r="Z181" s="115"/>
      <c r="AB181" s="115"/>
      <c r="AD181" s="115"/>
      <c r="BL181" s="115"/>
      <c r="BM181" s="115"/>
      <c r="BN181" s="115" t="n">
        <f aca="false">SUM(T181:BM181)</f>
        <v>0</v>
      </c>
      <c r="BO181" s="115"/>
      <c r="BP181" s="115" t="n">
        <v>1690117</v>
      </c>
      <c r="BQ181" s="115"/>
      <c r="BR181" s="115" t="n">
        <f aca="false">IF(+R181-BN181+BP181&gt;0,R181-BN181+BP181,0)</f>
        <v>132742</v>
      </c>
      <c r="BT181" s="115" t="n">
        <f aca="false">+BN181+BR181</f>
        <v>132742</v>
      </c>
      <c r="BV181" s="115" t="n">
        <f aca="false">+R181-BT181</f>
        <v>-1690117</v>
      </c>
    </row>
    <row r="182" customFormat="false" ht="12.75" hidden="false" customHeight="false" outlineLevel="0" collapsed="false">
      <c r="A182" s="182"/>
      <c r="B182" s="216" t="s">
        <v>361</v>
      </c>
      <c r="C182" s="2"/>
      <c r="D182" s="2"/>
      <c r="E182" s="2"/>
      <c r="F182" s="2"/>
      <c r="G182" s="2"/>
      <c r="H182" s="2"/>
      <c r="I182" s="2"/>
      <c r="J182" s="2"/>
      <c r="K182" s="188"/>
      <c r="L182" s="24"/>
      <c r="M182" s="210" t="n">
        <f aca="false">SUM(M162:M177)</f>
        <v>2000000</v>
      </c>
      <c r="N182" s="24"/>
      <c r="O182" s="210" t="n">
        <f aca="false">SUM(O162:O177)</f>
        <v>295000</v>
      </c>
      <c r="P182" s="24"/>
      <c r="Q182" s="210" t="n">
        <f aca="false">SUM(Q162:Q177)</f>
        <v>2295000</v>
      </c>
      <c r="R182" s="210" t="n">
        <f aca="false">SUM(R162:R181)</f>
        <v>2200000</v>
      </c>
      <c r="S182" s="24"/>
      <c r="T182" s="210" t="n">
        <f aca="false">SUM(T162:T177)</f>
        <v>0</v>
      </c>
      <c r="U182" s="24"/>
      <c r="V182" s="210" t="n">
        <f aca="false">SUM(V162:V177)</f>
        <v>0</v>
      </c>
      <c r="W182" s="24"/>
      <c r="X182" s="210" t="n">
        <f aca="false">SUM(X162:X177)</f>
        <v>0</v>
      </c>
      <c r="Y182" s="24"/>
      <c r="Z182" s="210" t="n">
        <f aca="false">SUM(Z162:Z177)</f>
        <v>0</v>
      </c>
      <c r="AA182" s="24"/>
      <c r="AB182" s="210" t="n">
        <f aca="false">SUM(AB162:AB177)</f>
        <v>0</v>
      </c>
      <c r="AC182" s="24"/>
      <c r="AD182" s="210" t="n">
        <f aca="false">SUM(AD162:AD177)</f>
        <v>0</v>
      </c>
      <c r="AE182" s="24"/>
      <c r="AF182" s="210" t="n">
        <f aca="false">SUM(AF162:AF177)</f>
        <v>0</v>
      </c>
      <c r="AG182" s="24"/>
      <c r="AH182" s="210" t="n">
        <f aca="false">SUM(AH162:AH177)</f>
        <v>0</v>
      </c>
      <c r="AI182" s="24"/>
      <c r="AJ182" s="210" t="n">
        <f aca="false">SUM(AJ162:AJ177)</f>
        <v>0</v>
      </c>
      <c r="AK182" s="24"/>
      <c r="AL182" s="210" t="n">
        <f aca="false">SUM(AL162:AL177)</f>
        <v>0</v>
      </c>
      <c r="AM182" s="210"/>
      <c r="AN182" s="210" t="n">
        <f aca="false">SUM(AN162:AN177)</f>
        <v>0</v>
      </c>
      <c r="AO182" s="24"/>
      <c r="AP182" s="210" t="n">
        <f aca="false">SUM(AP162:AP177)</f>
        <v>18017.87</v>
      </c>
      <c r="AQ182" s="24"/>
      <c r="AR182" s="210" t="n">
        <f aca="false">SUM(AR162:AR177)</f>
        <v>0</v>
      </c>
      <c r="AS182" s="24"/>
      <c r="AT182" s="210" t="n">
        <f aca="false">SUM(AT162:AT181)</f>
        <v>7500</v>
      </c>
      <c r="AU182" s="210" t="n">
        <f aca="false">SUM(AU162:AU181)</f>
        <v>0</v>
      </c>
      <c r="AV182" s="210" t="n">
        <f aca="false">SUM(AV162:AV181)</f>
        <v>20486.25</v>
      </c>
      <c r="AW182" s="210" t="n">
        <f aca="false">SUM(AW162:AW181)</f>
        <v>0</v>
      </c>
      <c r="AX182" s="210" t="n">
        <f aca="false">SUM(AX162:AX181)</f>
        <v>0</v>
      </c>
      <c r="AY182" s="210" t="n">
        <f aca="false">SUM(AY162:AY181)</f>
        <v>0</v>
      </c>
      <c r="AZ182" s="210" t="n">
        <f aca="false">SUM(AZ162:AZ181)</f>
        <v>10602.45</v>
      </c>
      <c r="BA182" s="210" t="n">
        <f aca="false">SUM(BA162:BA181)</f>
        <v>0</v>
      </c>
      <c r="BB182" s="210" t="n">
        <f aca="false">SUM(BB162:BB181)</f>
        <v>2820532.52</v>
      </c>
      <c r="BC182" s="210" t="n">
        <f aca="false">SUM(BC162:BC181)</f>
        <v>0</v>
      </c>
      <c r="BD182" s="210" t="n">
        <f aca="false">SUM(BD162:BD181)</f>
        <v>110182.74</v>
      </c>
      <c r="BE182" s="210" t="n">
        <f aca="false">SUM(BE162:BE181)</f>
        <v>0</v>
      </c>
      <c r="BF182" s="210" t="n">
        <f aca="false">SUM(BF162:BF181)</f>
        <v>0</v>
      </c>
      <c r="BG182" s="210" t="n">
        <f aca="false">SUM(BG162:BG181)</f>
        <v>0</v>
      </c>
      <c r="BH182" s="210" t="n">
        <f aca="false">SUM(BH162:BH181)</f>
        <v>0</v>
      </c>
      <c r="BI182" s="210" t="n">
        <f aca="false">SUM(BI162:BI181)</f>
        <v>0</v>
      </c>
      <c r="BJ182" s="210" t="n">
        <f aca="false">SUM(BJ162:BJ181)</f>
        <v>0</v>
      </c>
      <c r="BK182" s="210" t="n">
        <f aca="false">SUM(BK162:BK181)</f>
        <v>0</v>
      </c>
      <c r="BL182" s="210" t="n">
        <f aca="false">SUM(BL162:BL181)</f>
        <v>0</v>
      </c>
      <c r="BM182" s="210" t="n">
        <f aca="false">SUM(BM162:BM181)</f>
        <v>0</v>
      </c>
      <c r="BN182" s="210" t="n">
        <f aca="false">SUM(BN162:BN181)</f>
        <v>2987321.83</v>
      </c>
      <c r="BO182" s="210" t="n">
        <f aca="false">SUM(BO162:BO181)</f>
        <v>0</v>
      </c>
      <c r="BP182" s="210" t="n">
        <f aca="false">SUM(BP162:BP181)</f>
        <v>1690117</v>
      </c>
      <c r="BQ182" s="210" t="n">
        <f aca="false">SUM(BQ162:BQ181)</f>
        <v>0</v>
      </c>
      <c r="BR182" s="210" t="n">
        <f aca="false">SUM(BR162:BR181)</f>
        <v>1849148</v>
      </c>
      <c r="BS182" s="210" t="n">
        <f aca="false">SUM(BS162:BS181)</f>
        <v>0</v>
      </c>
      <c r="BT182" s="210" t="n">
        <f aca="false">SUM(BT162:BT181)</f>
        <v>3999469.83</v>
      </c>
      <c r="BU182" s="210" t="n">
        <f aca="false">SUM(BU162:BU181)</f>
        <v>0</v>
      </c>
      <c r="BV182" s="210" t="n">
        <f aca="false">SUM(BV162:BV181)</f>
        <v>-1799469.83</v>
      </c>
      <c r="BW182" s="210"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c r="B183" s="216"/>
      <c r="C183" s="2"/>
      <c r="D183" s="2"/>
      <c r="E183" s="2"/>
      <c r="F183" s="2"/>
      <c r="G183" s="2"/>
      <c r="H183" s="2"/>
      <c r="I183" s="2"/>
      <c r="J183" s="2"/>
      <c r="K183" s="188"/>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2" t="s">
        <v>254</v>
      </c>
      <c r="B184" s="216"/>
      <c r="C184" s="2"/>
      <c r="D184" s="2"/>
      <c r="E184" s="2"/>
      <c r="F184" s="2"/>
      <c r="G184" s="2"/>
      <c r="H184" s="2"/>
      <c r="I184" s="2"/>
      <c r="J184" s="3" t="s">
        <v>132</v>
      </c>
      <c r="K184" s="2"/>
      <c r="L184" s="169" t="s">
        <v>142</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C184" s="24"/>
      <c r="BD184" s="24" t="n">
        <v>0</v>
      </c>
      <c r="BE184" s="24"/>
      <c r="BF184" s="24" t="n">
        <v>0</v>
      </c>
      <c r="BG184" s="24"/>
      <c r="BH184" s="24" t="n">
        <v>0</v>
      </c>
      <c r="BI184" s="24"/>
      <c r="BJ184" s="24" t="n">
        <v>0</v>
      </c>
      <c r="BK184" s="24"/>
      <c r="BL184" s="24" t="n">
        <v>0</v>
      </c>
      <c r="BM184" s="24"/>
      <c r="BN184" s="24" t="n">
        <f aca="false">SUM(T184:BM184)</f>
        <v>0</v>
      </c>
      <c r="BO184" s="24"/>
      <c r="BP184" s="24" t="n">
        <v>0</v>
      </c>
      <c r="BQ184" s="24"/>
      <c r="BR184" s="115" t="n">
        <f aca="false">IF(+R184-BN184+BP184&gt;0,R184-BN184+BP184,0)</f>
        <v>1100000</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6"/>
      <c r="B185" s="215"/>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8" t="s">
        <v>399</v>
      </c>
      <c r="B186" s="173"/>
      <c r="C186" s="0"/>
      <c r="D186" s="0"/>
      <c r="E186" s="0"/>
      <c r="F186" s="0"/>
      <c r="G186" s="0"/>
      <c r="H186" s="0"/>
      <c r="I186" s="0"/>
      <c r="J186" s="4"/>
      <c r="K186" s="0"/>
      <c r="L186" s="169"/>
      <c r="M186" s="115"/>
      <c r="O186" s="115"/>
      <c r="Q186" s="115"/>
      <c r="S186" s="115"/>
      <c r="T186" s="115"/>
      <c r="U186" s="115"/>
      <c r="V186" s="115"/>
      <c r="X186" s="115"/>
      <c r="Z186" s="115"/>
      <c r="AB186" s="115"/>
      <c r="AD186" s="115"/>
      <c r="BL186" s="115"/>
      <c r="BM186" s="115"/>
      <c r="BO186" s="115"/>
      <c r="BP186" s="115"/>
      <c r="BQ186" s="115"/>
      <c r="BW186" s="115"/>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c r="FL186" s="206"/>
      <c r="FM186" s="206"/>
      <c r="FN186" s="206"/>
      <c r="FO186" s="206"/>
      <c r="FP186" s="206"/>
      <c r="FQ186" s="206"/>
      <c r="FR186" s="206"/>
      <c r="FS186" s="206"/>
      <c r="FT186" s="206"/>
      <c r="FU186" s="206"/>
      <c r="FV186" s="206"/>
      <c r="FW186" s="206"/>
      <c r="FX186" s="206"/>
      <c r="FY186" s="206"/>
      <c r="FZ186" s="206"/>
      <c r="GA186" s="206"/>
      <c r="GB186" s="206"/>
      <c r="GC186" s="206"/>
      <c r="GD186" s="206"/>
      <c r="GE186" s="206"/>
      <c r="GF186" s="206"/>
      <c r="GG186" s="206"/>
      <c r="GH186" s="206"/>
      <c r="GI186" s="206"/>
      <c r="GJ186" s="206"/>
      <c r="GK186" s="206"/>
      <c r="GL186" s="206"/>
      <c r="GM186" s="206"/>
      <c r="GN186" s="206"/>
      <c r="GO186" s="206"/>
      <c r="GP186" s="206"/>
      <c r="GQ186" s="206"/>
      <c r="GR186" s="206"/>
      <c r="GS186" s="206"/>
      <c r="GT186" s="206"/>
      <c r="GU186" s="206"/>
      <c r="GV186" s="206"/>
      <c r="GW186" s="206"/>
      <c r="GX186" s="206"/>
      <c r="GY186" s="206"/>
      <c r="GZ186" s="206"/>
      <c r="HA186" s="206"/>
      <c r="HB186" s="206"/>
      <c r="HC186" s="206"/>
      <c r="HD186" s="206"/>
      <c r="HE186" s="206"/>
      <c r="HF186" s="206"/>
      <c r="HG186" s="206"/>
      <c r="HH186" s="206"/>
      <c r="HI186" s="206"/>
      <c r="HJ186" s="206"/>
      <c r="HK186" s="206"/>
      <c r="HL186" s="206"/>
      <c r="HM186" s="206"/>
      <c r="HN186" s="206"/>
      <c r="HO186" s="206"/>
      <c r="HP186" s="206"/>
      <c r="HQ186" s="206"/>
      <c r="HR186" s="206"/>
      <c r="HS186" s="206"/>
      <c r="HT186" s="206"/>
      <c r="HU186" s="206"/>
      <c r="HV186" s="206"/>
      <c r="HW186" s="206"/>
      <c r="HX186" s="206"/>
      <c r="HY186" s="206"/>
      <c r="HZ186" s="206"/>
      <c r="IA186" s="206"/>
      <c r="IB186" s="206"/>
      <c r="IC186" s="206"/>
      <c r="ID186" s="206"/>
      <c r="IE186" s="206"/>
      <c r="IF186" s="206"/>
      <c r="IG186" s="206"/>
      <c r="IH186" s="206"/>
      <c r="II186" s="206"/>
      <c r="IJ186" s="206"/>
      <c r="IK186" s="206"/>
      <c r="IL186" s="206"/>
      <c r="IM186" s="206"/>
      <c r="IN186" s="206"/>
      <c r="IO186" s="206"/>
      <c r="IP186" s="206"/>
      <c r="IQ186" s="206"/>
      <c r="IR186" s="206"/>
      <c r="IS186" s="206"/>
      <c r="IT186" s="206"/>
      <c r="IU186" s="206"/>
      <c r="IV186" s="206"/>
      <c r="IW186" s="206"/>
    </row>
    <row r="187" customFormat="false" ht="12.75" hidden="true" customHeight="false" outlineLevel="0" collapsed="false">
      <c r="A187" s="214"/>
      <c r="B187" s="173" t="s">
        <v>256</v>
      </c>
      <c r="C187" s="0"/>
      <c r="D187" s="0"/>
      <c r="E187" s="0"/>
      <c r="F187" s="0"/>
      <c r="G187" s="0"/>
      <c r="H187" s="0"/>
      <c r="I187" s="0"/>
      <c r="J187" s="4"/>
      <c r="K187" s="0"/>
      <c r="L187" s="169" t="s">
        <v>142</v>
      </c>
      <c r="M187" s="115"/>
      <c r="N187" s="115" t="n">
        <v>0</v>
      </c>
      <c r="O187" s="115"/>
      <c r="P187" s="115" t="n">
        <v>0</v>
      </c>
      <c r="Q187" s="115"/>
      <c r="R187" s="115" t="n">
        <f aca="false">+N187+P187</f>
        <v>0</v>
      </c>
      <c r="S187" s="115"/>
      <c r="T187" s="115" t="n">
        <v>0</v>
      </c>
      <c r="U187" s="115"/>
      <c r="V187" s="115" t="n">
        <v>0</v>
      </c>
      <c r="X187" s="115" t="n">
        <v>0</v>
      </c>
      <c r="Z187" s="115" t="n">
        <v>0</v>
      </c>
      <c r="AB187" s="115" t="n">
        <v>0</v>
      </c>
      <c r="AD187" s="115" t="n">
        <v>0</v>
      </c>
      <c r="AF187" s="115" t="n">
        <v>0</v>
      </c>
      <c r="AH187" s="115" t="n">
        <v>0</v>
      </c>
      <c r="AJ187" s="115" t="n">
        <v>0</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0</v>
      </c>
      <c r="BO187" s="115"/>
      <c r="BP187" s="115" t="n">
        <v>0</v>
      </c>
      <c r="BQ187" s="115"/>
      <c r="BR187" s="115" t="n">
        <f aca="false">+R187-BN187+BP187</f>
        <v>0</v>
      </c>
      <c r="BT187" s="115" t="n">
        <f aca="false">+BN187+BR187</f>
        <v>0</v>
      </c>
      <c r="BV187" s="115" t="n">
        <f aca="false">+R187-BT187</f>
        <v>0</v>
      </c>
      <c r="BW187" s="115"/>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c r="FL187" s="206"/>
      <c r="FM187" s="206"/>
      <c r="FN187" s="206"/>
      <c r="FO187" s="206"/>
      <c r="FP187" s="206"/>
      <c r="FQ187" s="206"/>
      <c r="FR187" s="206"/>
      <c r="FS187" s="206"/>
      <c r="FT187" s="206"/>
      <c r="FU187" s="206"/>
      <c r="FV187" s="206"/>
      <c r="FW187" s="206"/>
      <c r="FX187" s="206"/>
      <c r="FY187" s="206"/>
      <c r="FZ187" s="206"/>
      <c r="GA187" s="206"/>
      <c r="GB187" s="206"/>
      <c r="GC187" s="206"/>
      <c r="GD187" s="206"/>
      <c r="GE187" s="206"/>
      <c r="GF187" s="206"/>
      <c r="GG187" s="206"/>
      <c r="GH187" s="206"/>
      <c r="GI187" s="206"/>
      <c r="GJ187" s="206"/>
      <c r="GK187" s="206"/>
      <c r="GL187" s="206"/>
      <c r="GM187" s="206"/>
      <c r="GN187" s="206"/>
      <c r="GO187" s="206"/>
      <c r="GP187" s="206"/>
      <c r="GQ187" s="206"/>
      <c r="GR187" s="206"/>
      <c r="GS187" s="206"/>
      <c r="GT187" s="206"/>
      <c r="GU187" s="206"/>
      <c r="GV187" s="206"/>
      <c r="GW187" s="206"/>
      <c r="GX187" s="206"/>
      <c r="GY187" s="206"/>
      <c r="GZ187" s="206"/>
      <c r="HA187" s="206"/>
      <c r="HB187" s="206"/>
      <c r="HC187" s="206"/>
      <c r="HD187" s="206"/>
      <c r="HE187" s="206"/>
      <c r="HF187" s="206"/>
      <c r="HG187" s="206"/>
      <c r="HH187" s="206"/>
      <c r="HI187" s="206"/>
      <c r="HJ187" s="206"/>
      <c r="HK187" s="206"/>
      <c r="HL187" s="206"/>
      <c r="HM187" s="206"/>
      <c r="HN187" s="206"/>
      <c r="HO187" s="206"/>
      <c r="HP187" s="206"/>
      <c r="HQ187" s="206"/>
      <c r="HR187" s="206"/>
      <c r="HS187" s="206"/>
      <c r="HT187" s="206"/>
      <c r="HU187" s="206"/>
      <c r="HV187" s="206"/>
      <c r="HW187" s="206"/>
      <c r="HX187" s="206"/>
      <c r="HY187" s="206"/>
      <c r="HZ187" s="206"/>
      <c r="IA187" s="206"/>
      <c r="IB187" s="206"/>
      <c r="IC187" s="206"/>
      <c r="ID187" s="206"/>
      <c r="IE187" s="206"/>
      <c r="IF187" s="206"/>
      <c r="IG187" s="206"/>
      <c r="IH187" s="206"/>
      <c r="II187" s="206"/>
      <c r="IJ187" s="206"/>
      <c r="IK187" s="206"/>
      <c r="IL187" s="206"/>
      <c r="IM187" s="206"/>
      <c r="IN187" s="206"/>
      <c r="IO187" s="206"/>
      <c r="IP187" s="206"/>
      <c r="IQ187" s="206"/>
      <c r="IR187" s="206"/>
      <c r="IS187" s="206"/>
      <c r="IT187" s="206"/>
      <c r="IU187" s="206"/>
      <c r="IV187" s="206"/>
      <c r="IW187" s="206"/>
    </row>
    <row r="188" customFormat="false" ht="12.75" hidden="false" customHeight="false" outlineLevel="0" collapsed="false">
      <c r="A188" s="214"/>
      <c r="B188" s="173" t="s">
        <v>400</v>
      </c>
      <c r="C188" s="0"/>
      <c r="D188" s="0"/>
      <c r="E188" s="0"/>
      <c r="F188" s="0"/>
      <c r="G188" s="0"/>
      <c r="H188" s="0"/>
      <c r="I188" s="0"/>
      <c r="J188" s="4"/>
      <c r="K188" s="0"/>
      <c r="L188" s="169" t="s">
        <v>142</v>
      </c>
      <c r="M188" s="115"/>
      <c r="N188" s="115" t="n">
        <v>0</v>
      </c>
      <c r="O188" s="115"/>
      <c r="P188" s="115" t="n">
        <v>0</v>
      </c>
      <c r="Q188" s="115"/>
      <c r="R188" s="115" t="n">
        <v>500000</v>
      </c>
      <c r="S188" s="115"/>
      <c r="T188" s="115" t="n">
        <v>0</v>
      </c>
      <c r="U188" s="115"/>
      <c r="V188" s="115" t="n">
        <v>0</v>
      </c>
      <c r="X188" s="115" t="n">
        <v>0</v>
      </c>
      <c r="Z188" s="115" t="n">
        <v>0</v>
      </c>
      <c r="AB188" s="115" t="n">
        <v>0</v>
      </c>
      <c r="AD188" s="115" t="n">
        <v>0</v>
      </c>
      <c r="AF188" s="115" t="n">
        <v>0</v>
      </c>
      <c r="AH188" s="115" t="n">
        <v>0</v>
      </c>
      <c r="AJ188" s="115" t="n">
        <v>0</v>
      </c>
      <c r="AN188" s="115" t="n">
        <v>0</v>
      </c>
      <c r="AP188" s="115" t="n">
        <v>0</v>
      </c>
      <c r="AR188" s="115" t="n">
        <v>0</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0</v>
      </c>
      <c r="BO188" s="115"/>
      <c r="BP188" s="115" t="n">
        <v>0</v>
      </c>
      <c r="BQ188" s="115"/>
      <c r="BR188" s="115" t="n">
        <f aca="false">IF(+R188-BN188+BP188&gt;0,R188-BN188+BP188,0)</f>
        <v>500000</v>
      </c>
      <c r="BT188" s="115" t="n">
        <f aca="false">+BN188+BR188</f>
        <v>500000</v>
      </c>
      <c r="BV188" s="115" t="n">
        <f aca="false">+R188-BT188</f>
        <v>0</v>
      </c>
      <c r="BW188" s="115"/>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c r="FL188" s="206"/>
      <c r="FM188" s="206"/>
      <c r="FN188" s="206"/>
      <c r="FO188" s="206"/>
      <c r="FP188" s="206"/>
      <c r="FQ188" s="206"/>
      <c r="FR188" s="206"/>
      <c r="FS188" s="206"/>
      <c r="FT188" s="206"/>
      <c r="FU188" s="206"/>
      <c r="FV188" s="206"/>
      <c r="FW188" s="206"/>
      <c r="FX188" s="206"/>
      <c r="FY188" s="206"/>
      <c r="FZ188" s="206"/>
      <c r="GA188" s="206"/>
      <c r="GB188" s="206"/>
      <c r="GC188" s="206"/>
      <c r="GD188" s="206"/>
      <c r="GE188" s="206"/>
      <c r="GF188" s="206"/>
      <c r="GG188" s="206"/>
      <c r="GH188" s="206"/>
      <c r="GI188" s="206"/>
      <c r="GJ188" s="206"/>
      <c r="GK188" s="206"/>
      <c r="GL188" s="206"/>
      <c r="GM188" s="206"/>
      <c r="GN188" s="206"/>
      <c r="GO188" s="206"/>
      <c r="GP188" s="206"/>
      <c r="GQ188" s="206"/>
      <c r="GR188" s="206"/>
      <c r="GS188" s="206"/>
      <c r="GT188" s="206"/>
      <c r="GU188" s="206"/>
      <c r="GV188" s="206"/>
      <c r="GW188" s="206"/>
      <c r="GX188" s="206"/>
      <c r="GY188" s="206"/>
      <c r="GZ188" s="206"/>
      <c r="HA188" s="206"/>
      <c r="HB188" s="206"/>
      <c r="HC188" s="206"/>
      <c r="HD188" s="206"/>
      <c r="HE188" s="206"/>
      <c r="HF188" s="206"/>
      <c r="HG188" s="206"/>
      <c r="HH188" s="206"/>
      <c r="HI188" s="206"/>
      <c r="HJ188" s="206"/>
      <c r="HK188" s="206"/>
      <c r="HL188" s="206"/>
      <c r="HM188" s="206"/>
      <c r="HN188" s="206"/>
      <c r="HO188" s="206"/>
      <c r="HP188" s="206"/>
      <c r="HQ188" s="206"/>
      <c r="HR188" s="206"/>
      <c r="HS188" s="206"/>
      <c r="HT188" s="206"/>
      <c r="HU188" s="206"/>
      <c r="HV188" s="206"/>
      <c r="HW188" s="206"/>
      <c r="HX188" s="206"/>
      <c r="HY188" s="206"/>
      <c r="HZ188" s="206"/>
      <c r="IA188" s="206"/>
      <c r="IB188" s="206"/>
      <c r="IC188" s="206"/>
      <c r="ID188" s="206"/>
      <c r="IE188" s="206"/>
      <c r="IF188" s="206"/>
      <c r="IG188" s="206"/>
      <c r="IH188" s="206"/>
      <c r="II188" s="206"/>
      <c r="IJ188" s="206"/>
      <c r="IK188" s="206"/>
      <c r="IL188" s="206"/>
      <c r="IM188" s="206"/>
      <c r="IN188" s="206"/>
      <c r="IO188" s="206"/>
      <c r="IP188" s="206"/>
      <c r="IQ188" s="206"/>
      <c r="IR188" s="206"/>
      <c r="IS188" s="206"/>
      <c r="IT188" s="206"/>
      <c r="IU188" s="206"/>
      <c r="IV188" s="206"/>
      <c r="IW188" s="206"/>
    </row>
    <row r="189" customFormat="false" ht="12.75" hidden="true" customHeight="false" outlineLevel="0" collapsed="false">
      <c r="A189" s="214"/>
      <c r="B189" s="173" t="s">
        <v>152</v>
      </c>
      <c r="C189" s="0"/>
      <c r="D189" s="0"/>
      <c r="E189" s="0"/>
      <c r="F189" s="0"/>
      <c r="G189" s="0"/>
      <c r="H189" s="0"/>
      <c r="I189" s="0"/>
      <c r="J189" s="4"/>
      <c r="K189" s="0"/>
      <c r="L189" s="169" t="s">
        <v>142</v>
      </c>
      <c r="M189" s="115"/>
      <c r="N189" s="115" t="n">
        <v>0</v>
      </c>
      <c r="O189" s="115"/>
      <c r="P189" s="115" t="n">
        <v>0</v>
      </c>
      <c r="Q189" s="115"/>
      <c r="R189" s="115" t="n">
        <v>0</v>
      </c>
      <c r="S189" s="115"/>
      <c r="T189" s="115" t="n">
        <v>0</v>
      </c>
      <c r="U189" s="115"/>
      <c r="V189" s="115" t="n">
        <v>0</v>
      </c>
      <c r="X189" s="115" t="n">
        <v>0</v>
      </c>
      <c r="Z189" s="115" t="n">
        <v>0</v>
      </c>
      <c r="AB189" s="115" t="n">
        <v>0</v>
      </c>
      <c r="AD189" s="115" t="n">
        <v>0</v>
      </c>
      <c r="AF189" s="115" t="n">
        <v>0</v>
      </c>
      <c r="AH189" s="115" t="n">
        <v>0</v>
      </c>
      <c r="AJ189" s="115" t="n">
        <v>0</v>
      </c>
      <c r="AN189" s="115" t="n">
        <v>0</v>
      </c>
      <c r="AP189" s="115" t="n">
        <v>0</v>
      </c>
      <c r="AR189" s="115" t="n">
        <v>0</v>
      </c>
      <c r="AT189" s="115" t="n">
        <v>0</v>
      </c>
      <c r="AV189" s="115" t="n">
        <v>0</v>
      </c>
      <c r="AX189" s="115" t="n">
        <v>0</v>
      </c>
      <c r="AZ189" s="115" t="n">
        <v>0</v>
      </c>
      <c r="BB189" s="115" t="n">
        <v>0</v>
      </c>
      <c r="BD189" s="115" t="n">
        <v>0</v>
      </c>
      <c r="BF189" s="115" t="n">
        <v>0</v>
      </c>
      <c r="BH189" s="115" t="n">
        <v>0</v>
      </c>
      <c r="BJ189" s="115" t="n">
        <v>0</v>
      </c>
      <c r="BL189" s="115" t="n">
        <v>0</v>
      </c>
      <c r="BM189" s="115"/>
      <c r="BN189" s="115" t="n">
        <f aca="false">SUM(T189:BM189)</f>
        <v>0</v>
      </c>
      <c r="BO189" s="115"/>
      <c r="BP189" s="115" t="n">
        <v>0</v>
      </c>
      <c r="BQ189" s="115"/>
      <c r="BR189" s="115" t="n">
        <f aca="false">+R189-BN189+BP189</f>
        <v>0</v>
      </c>
      <c r="BT189" s="115" t="n">
        <f aca="false">+BN189+BR189</f>
        <v>0</v>
      </c>
      <c r="BV189" s="115" t="n">
        <f aca="false">+R189-BT189</f>
        <v>0</v>
      </c>
      <c r="BW189" s="115"/>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12.75" hidden="false" customHeight="false" outlineLevel="0" collapsed="false">
      <c r="A190" s="208"/>
      <c r="B190" s="209" t="s">
        <v>258</v>
      </c>
      <c r="C190" s="2"/>
      <c r="D190" s="2"/>
      <c r="E190" s="2"/>
      <c r="F190" s="2"/>
      <c r="G190" s="2"/>
      <c r="H190" s="2"/>
      <c r="I190" s="2"/>
      <c r="J190" s="3"/>
      <c r="K190" s="2"/>
      <c r="L190" s="188"/>
      <c r="M190" s="24"/>
      <c r="N190" s="210" t="n">
        <f aca="false">SUM(N187:N189)</f>
        <v>0</v>
      </c>
      <c r="O190" s="24"/>
      <c r="P190" s="210" t="n">
        <f aca="false">SUM(P187:P189)</f>
        <v>0</v>
      </c>
      <c r="Q190" s="24"/>
      <c r="R190" s="210" t="n">
        <f aca="false">SUM(R187:R189)</f>
        <v>500000</v>
      </c>
      <c r="S190" s="24"/>
      <c r="T190" s="210" t="n">
        <f aca="false">SUM(T187:T189)</f>
        <v>0</v>
      </c>
      <c r="U190" s="24"/>
      <c r="V190" s="210" t="n">
        <f aca="false">SUM(V187:V189)</f>
        <v>0</v>
      </c>
      <c r="W190" s="24"/>
      <c r="X190" s="210" t="n">
        <f aca="false">SUM(X187:X189)</f>
        <v>0</v>
      </c>
      <c r="Y190" s="24"/>
      <c r="Z190" s="210" t="n">
        <f aca="false">SUM(Z187:Z189)</f>
        <v>0</v>
      </c>
      <c r="AA190" s="24"/>
      <c r="AB190" s="210" t="n">
        <f aca="false">SUM(AB187:AB189)</f>
        <v>0</v>
      </c>
      <c r="AC190" s="24"/>
      <c r="AD190" s="210" t="n">
        <f aca="false">SUM(AD187:AD189)</f>
        <v>0</v>
      </c>
      <c r="AE190" s="24"/>
      <c r="AF190" s="210" t="n">
        <f aca="false">SUM(AF187:AF189)</f>
        <v>0</v>
      </c>
      <c r="AG190" s="24"/>
      <c r="AH190" s="210" t="n">
        <f aca="false">SUM(AH187:AH189)</f>
        <v>0</v>
      </c>
      <c r="AI190" s="24"/>
      <c r="AJ190" s="210" t="n">
        <f aca="false">SUM(AJ187:AJ189)</f>
        <v>0</v>
      </c>
      <c r="AK190" s="24"/>
      <c r="AL190" s="210" t="n">
        <f aca="false">SUM(AL187:AL189)</f>
        <v>0</v>
      </c>
      <c r="AM190" s="210"/>
      <c r="AN190" s="210" t="n">
        <f aca="false">SUM(AN187:AN189)</f>
        <v>0</v>
      </c>
      <c r="AO190" s="24"/>
      <c r="AP190" s="210" t="n">
        <f aca="false">SUM(AP187:AP189)</f>
        <v>0</v>
      </c>
      <c r="AQ190" s="24"/>
      <c r="AR190" s="210" t="n">
        <f aca="false">SUM(AR187:AR189)</f>
        <v>0</v>
      </c>
      <c r="AS190" s="24"/>
      <c r="AT190" s="210" t="n">
        <f aca="false">SUM(AT187:AT189)</f>
        <v>0</v>
      </c>
      <c r="AU190" s="24"/>
      <c r="AV190" s="210" t="n">
        <f aca="false">SUM(AV187:AV189)</f>
        <v>0</v>
      </c>
      <c r="AW190" s="24"/>
      <c r="AX190" s="210" t="n">
        <f aca="false">SUM(AX187:AX189)</f>
        <v>0</v>
      </c>
      <c r="AY190" s="24"/>
      <c r="AZ190" s="210" t="n">
        <f aca="false">SUM(AZ187:AZ189)</f>
        <v>0</v>
      </c>
      <c r="BA190" s="24"/>
      <c r="BB190" s="210" t="n">
        <f aca="false">SUM(BB187:BB189)</f>
        <v>0</v>
      </c>
      <c r="BC190" s="24"/>
      <c r="BD190" s="210" t="n">
        <f aca="false">SUM(BD187:BD189)</f>
        <v>0</v>
      </c>
      <c r="BE190" s="24"/>
      <c r="BF190" s="210" t="n">
        <f aca="false">SUM(BF187:BF189)</f>
        <v>0</v>
      </c>
      <c r="BG190" s="24"/>
      <c r="BH190" s="210" t="n">
        <f aca="false">SUM(BH187:BH189)</f>
        <v>0</v>
      </c>
      <c r="BI190" s="24"/>
      <c r="BJ190" s="210" t="n">
        <f aca="false">SUM(BJ187:BJ189)</f>
        <v>0</v>
      </c>
      <c r="BK190" s="24"/>
      <c r="BL190" s="210" t="n">
        <f aca="false">SUM(BL187:BL189)</f>
        <v>0</v>
      </c>
      <c r="BM190" s="24"/>
      <c r="BN190" s="210" t="n">
        <f aca="false">SUM(BN187:BN189)</f>
        <v>0</v>
      </c>
      <c r="BO190" s="24"/>
      <c r="BP190" s="210" t="n">
        <f aca="false">SUM(BP187:BP189)</f>
        <v>0</v>
      </c>
      <c r="BQ190" s="24"/>
      <c r="BR190" s="210" t="n">
        <f aca="false">SUM(BR187:BR189)</f>
        <v>500000</v>
      </c>
      <c r="BS190" s="24"/>
      <c r="BT190" s="210" t="n">
        <f aca="false">SUM(BT187:BT189)</f>
        <v>500000</v>
      </c>
      <c r="BU190" s="24"/>
      <c r="BV190" s="210" t="n">
        <f aca="false">SUM(BV187:BV189)</f>
        <v>0</v>
      </c>
      <c r="BW190" s="24"/>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1"/>
      <c r="DO190" s="211"/>
      <c r="DP190" s="211"/>
      <c r="DQ190" s="211"/>
      <c r="DR190" s="211"/>
      <c r="DS190" s="211"/>
      <c r="DT190" s="211"/>
      <c r="DU190" s="211"/>
      <c r="DV190" s="211"/>
      <c r="DW190" s="211"/>
      <c r="DX190" s="211"/>
      <c r="DY190" s="211"/>
      <c r="DZ190" s="211"/>
      <c r="EA190" s="211"/>
      <c r="EB190" s="211"/>
      <c r="EC190" s="211"/>
      <c r="ED190" s="211"/>
      <c r="EE190" s="211"/>
      <c r="EF190" s="211"/>
      <c r="EG190" s="211"/>
      <c r="EH190" s="211"/>
      <c r="EI190" s="211"/>
      <c r="EJ190" s="211"/>
      <c r="EK190" s="211"/>
      <c r="EL190" s="211"/>
      <c r="EM190" s="211"/>
      <c r="EN190" s="211"/>
      <c r="EO190" s="211"/>
      <c r="EP190" s="211"/>
      <c r="EQ190" s="211"/>
      <c r="ER190" s="211"/>
      <c r="ES190" s="211"/>
      <c r="ET190" s="211"/>
      <c r="EU190" s="211"/>
      <c r="EV190" s="211"/>
      <c r="EW190" s="211"/>
      <c r="EX190" s="211"/>
      <c r="EY190" s="211"/>
      <c r="EZ190" s="211"/>
      <c r="FA190" s="211"/>
      <c r="FB190" s="211"/>
      <c r="FC190" s="211"/>
      <c r="FD190" s="211"/>
      <c r="FE190" s="211"/>
      <c r="FF190" s="211"/>
      <c r="FG190" s="211"/>
      <c r="FH190" s="211"/>
      <c r="FI190" s="211"/>
      <c r="FJ190" s="211"/>
      <c r="FK190" s="211"/>
      <c r="FL190" s="211"/>
      <c r="FM190" s="211"/>
      <c r="FN190" s="211"/>
      <c r="FO190" s="211"/>
      <c r="FP190" s="211"/>
      <c r="FQ190" s="211"/>
      <c r="FR190" s="211"/>
      <c r="FS190" s="211"/>
      <c r="FT190" s="211"/>
      <c r="FU190" s="211"/>
      <c r="FV190" s="211"/>
      <c r="FW190" s="211"/>
      <c r="FX190" s="211"/>
      <c r="FY190" s="211"/>
      <c r="FZ190" s="211"/>
      <c r="GA190" s="211"/>
      <c r="GB190" s="211"/>
      <c r="GC190" s="211"/>
      <c r="GD190" s="211"/>
      <c r="GE190" s="211"/>
      <c r="GF190" s="211"/>
      <c r="GG190" s="211"/>
      <c r="GH190" s="211"/>
      <c r="GI190" s="211"/>
      <c r="GJ190" s="211"/>
      <c r="GK190" s="211"/>
      <c r="GL190" s="211"/>
      <c r="GM190" s="211"/>
      <c r="GN190" s="211"/>
      <c r="GO190" s="211"/>
      <c r="GP190" s="211"/>
      <c r="GQ190" s="211"/>
      <c r="GR190" s="211"/>
      <c r="GS190" s="211"/>
      <c r="GT190" s="211"/>
      <c r="GU190" s="211"/>
      <c r="GV190" s="211"/>
      <c r="GW190" s="211"/>
      <c r="GX190" s="211"/>
      <c r="GY190" s="211"/>
      <c r="GZ190" s="211"/>
      <c r="HA190" s="211"/>
      <c r="HB190" s="211"/>
      <c r="HC190" s="211"/>
      <c r="HD190" s="211"/>
      <c r="HE190" s="211"/>
      <c r="HF190" s="211"/>
      <c r="HG190" s="211"/>
      <c r="HH190" s="211"/>
      <c r="HI190" s="211"/>
      <c r="HJ190" s="211"/>
      <c r="HK190" s="211"/>
      <c r="HL190" s="211"/>
      <c r="HM190" s="211"/>
      <c r="HN190" s="211"/>
      <c r="HO190" s="211"/>
      <c r="HP190" s="211"/>
      <c r="HQ190" s="211"/>
      <c r="HR190" s="211"/>
      <c r="HS190" s="211"/>
      <c r="HT190" s="211"/>
      <c r="HU190" s="211"/>
      <c r="HV190" s="211"/>
      <c r="HW190" s="211"/>
      <c r="HX190" s="211"/>
      <c r="HY190" s="211"/>
      <c r="HZ190" s="211"/>
      <c r="IA190" s="211"/>
      <c r="IB190" s="211"/>
      <c r="IC190" s="211"/>
      <c r="ID190" s="211"/>
      <c r="IE190" s="211"/>
      <c r="IF190" s="211"/>
      <c r="IG190" s="211"/>
      <c r="IH190" s="211"/>
      <c r="II190" s="211"/>
      <c r="IJ190" s="211"/>
      <c r="IK190" s="211"/>
      <c r="IL190" s="211"/>
      <c r="IM190" s="211"/>
      <c r="IN190" s="211"/>
      <c r="IO190" s="211"/>
      <c r="IP190" s="211"/>
      <c r="IQ190" s="211"/>
      <c r="IR190" s="211"/>
      <c r="IS190" s="211"/>
      <c r="IT190" s="211"/>
      <c r="IU190" s="211"/>
      <c r="IV190" s="211"/>
      <c r="IW190" s="211"/>
    </row>
    <row r="191" customFormat="false" ht="12.75" hidden="false" customHeight="false" outlineLevel="0" collapsed="false">
      <c r="A191" s="219"/>
      <c r="B191" s="209"/>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1"/>
      <c r="DO191" s="211"/>
      <c r="DP191" s="211"/>
      <c r="DQ191" s="211"/>
      <c r="DR191" s="211"/>
      <c r="DS191" s="211"/>
      <c r="DT191" s="211"/>
      <c r="DU191" s="211"/>
      <c r="DV191" s="211"/>
      <c r="DW191" s="211"/>
      <c r="DX191" s="211"/>
      <c r="DY191" s="211"/>
      <c r="DZ191" s="211"/>
      <c r="EA191" s="211"/>
      <c r="EB191" s="211"/>
      <c r="EC191" s="211"/>
      <c r="ED191" s="211"/>
      <c r="EE191" s="211"/>
      <c r="EF191" s="211"/>
      <c r="EG191" s="211"/>
      <c r="EH191" s="211"/>
      <c r="EI191" s="211"/>
      <c r="EJ191" s="211"/>
      <c r="EK191" s="211"/>
      <c r="EL191" s="211"/>
      <c r="EM191" s="211"/>
      <c r="EN191" s="211"/>
      <c r="EO191" s="211"/>
      <c r="EP191" s="211"/>
      <c r="EQ191" s="211"/>
      <c r="ER191" s="211"/>
      <c r="ES191" s="211"/>
      <c r="ET191" s="211"/>
      <c r="EU191" s="211"/>
      <c r="EV191" s="211"/>
      <c r="EW191" s="211"/>
      <c r="EX191" s="211"/>
      <c r="EY191" s="211"/>
      <c r="EZ191" s="211"/>
      <c r="FA191" s="211"/>
      <c r="FB191" s="211"/>
      <c r="FC191" s="211"/>
      <c r="FD191" s="211"/>
      <c r="FE191" s="211"/>
      <c r="FF191" s="211"/>
      <c r="FG191" s="211"/>
      <c r="FH191" s="211"/>
      <c r="FI191" s="211"/>
      <c r="FJ191" s="211"/>
      <c r="FK191" s="211"/>
      <c r="FL191" s="211"/>
      <c r="FM191" s="211"/>
      <c r="FN191" s="211"/>
      <c r="FO191" s="211"/>
      <c r="FP191" s="211"/>
      <c r="FQ191" s="211"/>
      <c r="FR191" s="211"/>
      <c r="FS191" s="211"/>
      <c r="FT191" s="211"/>
      <c r="FU191" s="211"/>
      <c r="FV191" s="211"/>
      <c r="FW191" s="211"/>
      <c r="FX191" s="211"/>
      <c r="FY191" s="211"/>
      <c r="FZ191" s="211"/>
      <c r="GA191" s="211"/>
      <c r="GB191" s="211"/>
      <c r="GC191" s="211"/>
      <c r="GD191" s="211"/>
      <c r="GE191" s="211"/>
      <c r="GF191" s="211"/>
      <c r="GG191" s="211"/>
      <c r="GH191" s="211"/>
      <c r="GI191" s="211"/>
      <c r="GJ191" s="211"/>
      <c r="GK191" s="211"/>
      <c r="GL191" s="211"/>
      <c r="GM191" s="211"/>
      <c r="GN191" s="211"/>
      <c r="GO191" s="211"/>
      <c r="GP191" s="211"/>
      <c r="GQ191" s="211"/>
      <c r="GR191" s="211"/>
      <c r="GS191" s="211"/>
      <c r="GT191" s="211"/>
      <c r="GU191" s="211"/>
      <c r="GV191" s="211"/>
      <c r="GW191" s="211"/>
      <c r="GX191" s="211"/>
      <c r="GY191" s="211"/>
      <c r="GZ191" s="211"/>
      <c r="HA191" s="211"/>
      <c r="HB191" s="211"/>
      <c r="HC191" s="211"/>
      <c r="HD191" s="211"/>
      <c r="HE191" s="211"/>
      <c r="HF191" s="211"/>
      <c r="HG191" s="211"/>
      <c r="HH191" s="211"/>
      <c r="HI191" s="211"/>
      <c r="HJ191" s="211"/>
      <c r="HK191" s="211"/>
      <c r="HL191" s="211"/>
      <c r="HM191" s="211"/>
      <c r="HN191" s="211"/>
      <c r="HO191" s="211"/>
      <c r="HP191" s="211"/>
      <c r="HQ191" s="211"/>
      <c r="HR191" s="211"/>
      <c r="HS191" s="211"/>
      <c r="HT191" s="211"/>
      <c r="HU191" s="211"/>
      <c r="HV191" s="211"/>
      <c r="HW191" s="211"/>
      <c r="HX191" s="211"/>
      <c r="HY191" s="211"/>
      <c r="HZ191" s="211"/>
      <c r="IA191" s="211"/>
      <c r="IB191" s="211"/>
      <c r="IC191" s="211"/>
      <c r="ID191" s="211"/>
      <c r="IE191" s="211"/>
      <c r="IF191" s="211"/>
      <c r="IG191" s="211"/>
      <c r="IH191" s="211"/>
      <c r="II191" s="211"/>
      <c r="IJ191" s="211"/>
      <c r="IK191" s="211"/>
      <c r="IL191" s="211"/>
      <c r="IM191" s="211"/>
      <c r="IN191" s="211"/>
      <c r="IO191" s="211"/>
      <c r="IP191" s="211"/>
      <c r="IQ191" s="211"/>
      <c r="IR191" s="211"/>
      <c r="IS191" s="211"/>
      <c r="IT191" s="211"/>
      <c r="IU191" s="211"/>
      <c r="IV191" s="211"/>
      <c r="IW191" s="211"/>
    </row>
    <row r="192" customFormat="false" ht="12.75" hidden="false" customHeight="false" outlineLevel="0" collapsed="false">
      <c r="A192" s="215" t="s">
        <v>259</v>
      </c>
      <c r="B192" s="216"/>
      <c r="C192" s="216"/>
      <c r="D192" s="216"/>
      <c r="E192" s="216"/>
      <c r="F192" s="216"/>
      <c r="G192" s="216"/>
      <c r="H192" s="216"/>
      <c r="I192" s="216"/>
      <c r="J192" s="217"/>
      <c r="K192" s="216"/>
      <c r="L192" s="218" t="s">
        <v>142</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v>0</v>
      </c>
      <c r="BM192" s="24"/>
      <c r="BN192" s="24" t="n">
        <f aca="false">SUM(T192:BM192)</f>
        <v>200935.25</v>
      </c>
      <c r="BO192" s="24"/>
      <c r="BP192" s="24" t="n">
        <v>0</v>
      </c>
      <c r="BQ192" s="24"/>
      <c r="BR192" s="115" t="n">
        <f aca="false">IF(+R192-BN192+BP192&gt;0,R192-BN192+BP192,0)</f>
        <v>0</v>
      </c>
      <c r="BS192" s="24"/>
      <c r="BT192" s="24" t="n">
        <f aca="false">+BN192+BR192</f>
        <v>200935.25</v>
      </c>
      <c r="BU192" s="24"/>
      <c r="BV192" s="24" t="n">
        <f aca="false">+R192-BT192</f>
        <v>-935.25</v>
      </c>
      <c r="BW192" s="24"/>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6"/>
      <c r="CU192" s="216"/>
      <c r="CV192" s="216"/>
      <c r="CW192" s="216"/>
      <c r="CX192" s="216"/>
      <c r="CY192" s="216"/>
      <c r="CZ192" s="216"/>
      <c r="DA192" s="216"/>
      <c r="DB192" s="216"/>
      <c r="DC192" s="216"/>
      <c r="DD192" s="216"/>
      <c r="DE192" s="216"/>
      <c r="DF192" s="216"/>
      <c r="DG192" s="216"/>
      <c r="DH192" s="216"/>
      <c r="DI192" s="216"/>
      <c r="DJ192" s="216"/>
      <c r="DK192" s="216"/>
      <c r="DL192" s="216"/>
      <c r="DM192" s="216"/>
      <c r="DN192" s="216"/>
      <c r="DO192" s="216"/>
      <c r="DP192" s="216"/>
      <c r="DQ192" s="216"/>
      <c r="DR192" s="216"/>
      <c r="DS192" s="216"/>
      <c r="DT192" s="216"/>
      <c r="DU192" s="216"/>
      <c r="DV192" s="216"/>
      <c r="DW192" s="216"/>
      <c r="DX192" s="216"/>
      <c r="DY192" s="216"/>
      <c r="DZ192" s="216"/>
      <c r="EA192" s="216"/>
      <c r="EB192" s="216"/>
      <c r="EC192" s="216"/>
      <c r="ED192" s="216"/>
      <c r="EE192" s="216"/>
      <c r="EF192" s="216"/>
      <c r="EG192" s="216"/>
      <c r="EH192" s="216"/>
      <c r="EI192" s="216"/>
      <c r="EJ192" s="216"/>
      <c r="EK192" s="216"/>
      <c r="EL192" s="216"/>
      <c r="EM192" s="216"/>
      <c r="EN192" s="216"/>
      <c r="EO192" s="216"/>
      <c r="EP192" s="216"/>
      <c r="EQ192" s="216"/>
      <c r="ER192" s="216"/>
      <c r="ES192" s="216"/>
      <c r="ET192" s="216"/>
      <c r="EU192" s="216"/>
      <c r="EV192" s="216"/>
      <c r="EW192" s="216"/>
      <c r="EX192" s="216"/>
      <c r="EY192" s="216"/>
      <c r="EZ192" s="216"/>
      <c r="FA192" s="216"/>
      <c r="FB192" s="216"/>
      <c r="FC192" s="216"/>
      <c r="FD192" s="216"/>
      <c r="FE192" s="216"/>
      <c r="FF192" s="216"/>
      <c r="FG192" s="216"/>
      <c r="FH192" s="216"/>
      <c r="FI192" s="216"/>
      <c r="FJ192" s="216"/>
      <c r="FK192" s="216"/>
      <c r="FL192" s="216"/>
      <c r="FM192" s="216"/>
      <c r="FN192" s="216"/>
      <c r="FO192" s="216"/>
      <c r="FP192" s="216"/>
      <c r="FQ192" s="216"/>
      <c r="FR192" s="216"/>
      <c r="FS192" s="216"/>
      <c r="FT192" s="216"/>
      <c r="FU192" s="216"/>
      <c r="FV192" s="216"/>
      <c r="FW192" s="216"/>
      <c r="FX192" s="216"/>
      <c r="FY192" s="216"/>
      <c r="FZ192" s="216"/>
      <c r="GA192" s="216"/>
      <c r="GB192" s="216"/>
      <c r="GC192" s="216"/>
      <c r="GD192" s="216"/>
      <c r="GE192" s="216"/>
      <c r="GF192" s="216"/>
      <c r="GG192" s="216"/>
      <c r="GH192" s="216"/>
      <c r="GI192" s="216"/>
      <c r="GJ192" s="216"/>
      <c r="GK192" s="216"/>
      <c r="GL192" s="216"/>
      <c r="GM192" s="216"/>
      <c r="GN192" s="216"/>
      <c r="GO192" s="216"/>
      <c r="GP192" s="216"/>
      <c r="GQ192" s="216"/>
      <c r="GR192" s="216"/>
      <c r="GS192" s="216"/>
      <c r="GT192" s="216"/>
      <c r="GU192" s="216"/>
      <c r="GV192" s="216"/>
      <c r="GW192" s="216"/>
      <c r="GX192" s="216"/>
      <c r="GY192" s="216"/>
      <c r="GZ192" s="216"/>
      <c r="HA192" s="216"/>
      <c r="HB192" s="216"/>
      <c r="HC192" s="216"/>
      <c r="HD192" s="216"/>
      <c r="HE192" s="216"/>
      <c r="HF192" s="216"/>
      <c r="HG192" s="216"/>
      <c r="HH192" s="216"/>
      <c r="HI192" s="216"/>
      <c r="HJ192" s="216"/>
      <c r="HK192" s="216"/>
      <c r="HL192" s="216"/>
      <c r="HM192" s="216"/>
      <c r="HN192" s="216"/>
      <c r="HO192" s="216"/>
      <c r="HP192" s="216"/>
      <c r="HQ192" s="216"/>
      <c r="HR192" s="216"/>
      <c r="HS192" s="216"/>
      <c r="HT192" s="216"/>
      <c r="HU192" s="216"/>
      <c r="HV192" s="216"/>
      <c r="HW192" s="216"/>
      <c r="HX192" s="216"/>
      <c r="HY192" s="216"/>
      <c r="HZ192" s="216"/>
      <c r="IA192" s="216"/>
      <c r="IB192" s="216"/>
      <c r="IC192" s="216"/>
      <c r="ID192" s="216"/>
      <c r="IE192" s="216"/>
      <c r="IF192" s="216"/>
      <c r="IG192" s="216"/>
      <c r="IH192" s="216"/>
      <c r="II192" s="216"/>
      <c r="IJ192" s="216"/>
      <c r="IK192" s="216"/>
      <c r="IL192" s="216"/>
      <c r="IM192" s="216"/>
      <c r="IN192" s="216"/>
      <c r="IO192" s="216"/>
      <c r="IP192" s="216"/>
      <c r="IQ192" s="216"/>
      <c r="IR192" s="216"/>
      <c r="IS192" s="216"/>
      <c r="IT192" s="216"/>
      <c r="IU192" s="216"/>
      <c r="IV192" s="216"/>
      <c r="IW192" s="216"/>
    </row>
    <row r="193" customFormat="false" ht="12.75" hidden="false" customHeight="false" outlineLevel="0" collapsed="false">
      <c r="A193" s="214"/>
      <c r="B193" s="173"/>
      <c r="C193" s="0"/>
      <c r="D193" s="0"/>
      <c r="E193" s="0"/>
      <c r="F193" s="0"/>
      <c r="G193" s="0"/>
      <c r="H193" s="0"/>
      <c r="I193" s="0"/>
      <c r="J193" s="4"/>
      <c r="K193" s="0"/>
      <c r="L193" s="169"/>
      <c r="M193" s="115"/>
      <c r="O193" s="115"/>
      <c r="Q193" s="115"/>
      <c r="S193" s="115"/>
      <c r="T193" s="115"/>
      <c r="U193" s="115"/>
      <c r="V193" s="115"/>
      <c r="X193" s="115"/>
      <c r="Z193" s="115"/>
      <c r="AB193" s="115"/>
      <c r="AD193" s="115"/>
      <c r="BL193" s="115"/>
      <c r="BM193" s="115"/>
      <c r="BO193" s="115"/>
      <c r="BP193" s="115"/>
      <c r="BQ193" s="115"/>
      <c r="BW193" s="115"/>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c r="FI193" s="206"/>
      <c r="FJ193" s="206"/>
      <c r="FK193" s="206"/>
      <c r="FL193" s="206"/>
      <c r="FM193" s="206"/>
      <c r="FN193" s="206"/>
      <c r="FO193" s="206"/>
      <c r="FP193" s="206"/>
      <c r="FQ193" s="206"/>
      <c r="FR193" s="206"/>
      <c r="FS193" s="206"/>
      <c r="FT193" s="206"/>
      <c r="FU193" s="206"/>
      <c r="FV193" s="206"/>
      <c r="FW193" s="206"/>
      <c r="FX193" s="206"/>
      <c r="FY193" s="206"/>
      <c r="FZ193" s="206"/>
      <c r="GA193" s="206"/>
      <c r="GB193" s="206"/>
      <c r="GC193" s="206"/>
      <c r="GD193" s="206"/>
      <c r="GE193" s="206"/>
      <c r="GF193" s="206"/>
      <c r="GG193" s="206"/>
      <c r="GH193" s="206"/>
      <c r="GI193" s="206"/>
      <c r="GJ193" s="206"/>
      <c r="GK193" s="206"/>
      <c r="GL193" s="206"/>
      <c r="GM193" s="206"/>
      <c r="GN193" s="206"/>
      <c r="GO193" s="206"/>
      <c r="GP193" s="206"/>
      <c r="GQ193" s="206"/>
      <c r="GR193" s="206"/>
      <c r="GS193" s="206"/>
      <c r="GT193" s="206"/>
      <c r="GU193" s="206"/>
      <c r="GV193" s="206"/>
      <c r="GW193" s="206"/>
      <c r="GX193" s="206"/>
      <c r="GY193" s="206"/>
      <c r="GZ193" s="206"/>
      <c r="HA193" s="206"/>
      <c r="HB193" s="206"/>
      <c r="HC193" s="206"/>
      <c r="HD193" s="206"/>
      <c r="HE193" s="206"/>
      <c r="HF193" s="206"/>
      <c r="HG193" s="206"/>
      <c r="HH193" s="206"/>
      <c r="HI193" s="206"/>
      <c r="HJ193" s="206"/>
      <c r="HK193" s="206"/>
      <c r="HL193" s="206"/>
      <c r="HM193" s="206"/>
      <c r="HN193" s="206"/>
      <c r="HO193" s="206"/>
      <c r="HP193" s="206"/>
      <c r="HQ193" s="206"/>
      <c r="HR193" s="206"/>
      <c r="HS193" s="206"/>
      <c r="HT193" s="206"/>
      <c r="HU193" s="206"/>
      <c r="HV193" s="206"/>
      <c r="HW193" s="206"/>
      <c r="HX193" s="206"/>
      <c r="HY193" s="206"/>
      <c r="HZ193" s="206"/>
      <c r="IA193" s="206"/>
      <c r="IB193" s="206"/>
      <c r="IC193" s="206"/>
      <c r="ID193" s="206"/>
      <c r="IE193" s="206"/>
      <c r="IF193" s="206"/>
      <c r="IG193" s="206"/>
      <c r="IH193" s="206"/>
      <c r="II193" s="206"/>
      <c r="IJ193" s="206"/>
      <c r="IK193" s="206"/>
      <c r="IL193" s="206"/>
      <c r="IM193" s="206"/>
      <c r="IN193" s="206"/>
      <c r="IO193" s="206"/>
      <c r="IP193" s="206"/>
      <c r="IQ193" s="206"/>
      <c r="IR193" s="206"/>
      <c r="IS193" s="206"/>
      <c r="IT193" s="206"/>
      <c r="IU193" s="206"/>
      <c r="IV193" s="206"/>
      <c r="IW193" s="206"/>
    </row>
    <row r="194" customFormat="false" ht="12.75" hidden="false" customHeight="false" outlineLevel="0" collapsed="false">
      <c r="A194" s="215" t="s">
        <v>260</v>
      </c>
      <c r="B194" s="216"/>
      <c r="C194" s="216"/>
      <c r="D194" s="216"/>
      <c r="E194" s="216"/>
      <c r="F194" s="216"/>
      <c r="G194" s="216"/>
      <c r="H194" s="216"/>
      <c r="I194" s="216"/>
      <c r="J194" s="217"/>
      <c r="K194" s="216"/>
      <c r="L194" s="218" t="s">
        <v>142</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C194" s="24"/>
      <c r="BD194" s="24" t="n">
        <v>0</v>
      </c>
      <c r="BE194" s="24"/>
      <c r="BF194" s="24" t="n">
        <v>0</v>
      </c>
      <c r="BG194" s="24"/>
      <c r="BH194" s="24" t="n">
        <v>0</v>
      </c>
      <c r="BI194" s="24"/>
      <c r="BJ194" s="24" t="n">
        <v>0</v>
      </c>
      <c r="BK194" s="24"/>
      <c r="BL194" s="24" t="n">
        <v>0</v>
      </c>
      <c r="BM194" s="24"/>
      <c r="BN194" s="24" t="n">
        <f aca="false">SUM(T194:BM194)</f>
        <v>112115.35</v>
      </c>
      <c r="BO194" s="24"/>
      <c r="BP194" s="24" t="n">
        <v>0</v>
      </c>
      <c r="BQ194" s="24"/>
      <c r="BR194" s="115" t="n">
        <f aca="false">IF(+R194-BN194+BP194&gt;0,R194-BN194+BP194,0)</f>
        <v>87884.65</v>
      </c>
      <c r="BS194" s="24"/>
      <c r="BT194" s="24" t="n">
        <f aca="false">+BN194+BR194</f>
        <v>200000</v>
      </c>
      <c r="BU194" s="24"/>
      <c r="BV194" s="24" t="n">
        <f aca="false">+R194-BT194</f>
        <v>0</v>
      </c>
      <c r="BW194" s="24"/>
      <c r="BX194" s="216"/>
      <c r="BY194" s="216"/>
      <c r="BZ194" s="216"/>
      <c r="CA194" s="216"/>
      <c r="CB194" s="216"/>
      <c r="CC194" s="216"/>
      <c r="CD194" s="216"/>
      <c r="CE194" s="216"/>
      <c r="CF194" s="216"/>
      <c r="CG194" s="216"/>
      <c r="CH194" s="216"/>
      <c r="CI194" s="216"/>
      <c r="CJ194" s="216"/>
      <c r="CK194" s="216"/>
      <c r="CL194" s="216"/>
      <c r="CM194" s="216"/>
      <c r="CN194" s="216"/>
      <c r="CO194" s="216"/>
      <c r="CP194" s="216"/>
      <c r="CQ194" s="216"/>
      <c r="CR194" s="216"/>
      <c r="CS194" s="216"/>
      <c r="CT194" s="216"/>
      <c r="CU194" s="216"/>
      <c r="CV194" s="216"/>
      <c r="CW194" s="216"/>
      <c r="CX194" s="216"/>
      <c r="CY194" s="216"/>
      <c r="CZ194" s="216"/>
      <c r="DA194" s="216"/>
      <c r="DB194" s="216"/>
      <c r="DC194" s="216"/>
      <c r="DD194" s="216"/>
      <c r="DE194" s="216"/>
      <c r="DF194" s="216"/>
      <c r="DG194" s="216"/>
      <c r="DH194" s="216"/>
      <c r="DI194" s="216"/>
      <c r="DJ194" s="216"/>
      <c r="DK194" s="216"/>
      <c r="DL194" s="216"/>
      <c r="DM194" s="216"/>
      <c r="DN194" s="216"/>
      <c r="DO194" s="216"/>
      <c r="DP194" s="216"/>
      <c r="DQ194" s="216"/>
      <c r="DR194" s="216"/>
      <c r="DS194" s="216"/>
      <c r="DT194" s="216"/>
      <c r="DU194" s="216"/>
      <c r="DV194" s="216"/>
      <c r="DW194" s="216"/>
      <c r="DX194" s="216"/>
      <c r="DY194" s="216"/>
      <c r="DZ194" s="216"/>
      <c r="EA194" s="216"/>
      <c r="EB194" s="216"/>
      <c r="EC194" s="216"/>
      <c r="ED194" s="216"/>
      <c r="EE194" s="216"/>
      <c r="EF194" s="216"/>
      <c r="EG194" s="216"/>
      <c r="EH194" s="216"/>
      <c r="EI194" s="216"/>
      <c r="EJ194" s="216"/>
      <c r="EK194" s="216"/>
      <c r="EL194" s="216"/>
      <c r="EM194" s="216"/>
      <c r="EN194" s="216"/>
      <c r="EO194" s="216"/>
      <c r="EP194" s="216"/>
      <c r="EQ194" s="216"/>
      <c r="ER194" s="216"/>
      <c r="ES194" s="216"/>
      <c r="ET194" s="216"/>
      <c r="EU194" s="216"/>
      <c r="EV194" s="216"/>
      <c r="EW194" s="216"/>
      <c r="EX194" s="216"/>
      <c r="EY194" s="216"/>
      <c r="EZ194" s="216"/>
      <c r="FA194" s="216"/>
      <c r="FB194" s="216"/>
      <c r="FC194" s="216"/>
      <c r="FD194" s="216"/>
      <c r="FE194" s="216"/>
      <c r="FF194" s="216"/>
      <c r="FG194" s="216"/>
      <c r="FH194" s="216"/>
      <c r="FI194" s="216"/>
      <c r="FJ194" s="216"/>
      <c r="FK194" s="216"/>
      <c r="FL194" s="216"/>
      <c r="FM194" s="216"/>
      <c r="FN194" s="216"/>
      <c r="FO194" s="216"/>
      <c r="FP194" s="216"/>
      <c r="FQ194" s="216"/>
      <c r="FR194" s="216"/>
      <c r="FS194" s="216"/>
      <c r="FT194" s="216"/>
      <c r="FU194" s="216"/>
      <c r="FV194" s="216"/>
      <c r="FW194" s="216"/>
      <c r="FX194" s="216"/>
      <c r="FY194" s="216"/>
      <c r="FZ194" s="216"/>
      <c r="GA194" s="216"/>
      <c r="GB194" s="216"/>
      <c r="GC194" s="216"/>
      <c r="GD194" s="216"/>
      <c r="GE194" s="216"/>
      <c r="GF194" s="216"/>
      <c r="GG194" s="216"/>
      <c r="GH194" s="216"/>
      <c r="GI194" s="216"/>
      <c r="GJ194" s="216"/>
      <c r="GK194" s="216"/>
      <c r="GL194" s="216"/>
      <c r="GM194" s="216"/>
      <c r="GN194" s="216"/>
      <c r="GO194" s="216"/>
      <c r="GP194" s="216"/>
      <c r="GQ194" s="216"/>
      <c r="GR194" s="216"/>
      <c r="GS194" s="216"/>
      <c r="GT194" s="216"/>
      <c r="GU194" s="216"/>
      <c r="GV194" s="216"/>
      <c r="GW194" s="216"/>
      <c r="GX194" s="216"/>
      <c r="GY194" s="216"/>
      <c r="GZ194" s="216"/>
      <c r="HA194" s="216"/>
      <c r="HB194" s="216"/>
      <c r="HC194" s="216"/>
      <c r="HD194" s="216"/>
      <c r="HE194" s="216"/>
      <c r="HF194" s="216"/>
      <c r="HG194" s="216"/>
      <c r="HH194" s="216"/>
      <c r="HI194" s="216"/>
      <c r="HJ194" s="216"/>
      <c r="HK194" s="216"/>
      <c r="HL194" s="216"/>
      <c r="HM194" s="216"/>
      <c r="HN194" s="216"/>
      <c r="HO194" s="216"/>
      <c r="HP194" s="216"/>
      <c r="HQ194" s="216"/>
      <c r="HR194" s="216"/>
      <c r="HS194" s="216"/>
      <c r="HT194" s="216"/>
      <c r="HU194" s="216"/>
      <c r="HV194" s="216"/>
      <c r="HW194" s="216"/>
      <c r="HX194" s="216"/>
      <c r="HY194" s="216"/>
      <c r="HZ194" s="216"/>
      <c r="IA194" s="216"/>
      <c r="IB194" s="216"/>
      <c r="IC194" s="216"/>
      <c r="ID194" s="216"/>
      <c r="IE194" s="216"/>
      <c r="IF194" s="216"/>
      <c r="IG194" s="216"/>
      <c r="IH194" s="216"/>
      <c r="II194" s="216"/>
      <c r="IJ194" s="216"/>
      <c r="IK194" s="216"/>
      <c r="IL194" s="216"/>
      <c r="IM194" s="216"/>
      <c r="IN194" s="216"/>
      <c r="IO194" s="216"/>
      <c r="IP194" s="216"/>
      <c r="IQ194" s="216"/>
      <c r="IR194" s="216"/>
      <c r="IS194" s="216"/>
      <c r="IT194" s="216"/>
      <c r="IU194" s="216"/>
      <c r="IV194" s="216"/>
      <c r="IW194" s="216"/>
    </row>
    <row r="195" customFormat="false" ht="12.75" hidden="false" customHeight="false" outlineLevel="0" collapsed="false">
      <c r="A195" s="214"/>
      <c r="B195" s="173"/>
      <c r="C195" s="0"/>
      <c r="D195" s="0"/>
      <c r="E195" s="0"/>
      <c r="F195" s="0"/>
      <c r="G195" s="0"/>
      <c r="H195" s="0"/>
      <c r="I195" s="0"/>
      <c r="J195" s="4"/>
      <c r="K195" s="0"/>
      <c r="L195" s="169"/>
      <c r="M195" s="115"/>
      <c r="O195" s="115"/>
      <c r="Q195" s="115"/>
      <c r="S195" s="115"/>
      <c r="T195" s="115"/>
      <c r="U195" s="115"/>
      <c r="V195" s="115"/>
      <c r="X195" s="115"/>
      <c r="Z195" s="115"/>
      <c r="AB195" s="115"/>
      <c r="AD195" s="115"/>
      <c r="BL195" s="115"/>
      <c r="BM195" s="115"/>
      <c r="BO195" s="115"/>
      <c r="BP195" s="115"/>
      <c r="BQ195" s="115"/>
      <c r="BW195" s="115"/>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c r="FI195" s="206"/>
      <c r="FJ195" s="206"/>
      <c r="FK195" s="206"/>
      <c r="FL195" s="206"/>
      <c r="FM195" s="206"/>
      <c r="FN195" s="206"/>
      <c r="FO195" s="206"/>
      <c r="FP195" s="206"/>
      <c r="FQ195" s="206"/>
      <c r="FR195" s="206"/>
      <c r="FS195" s="206"/>
      <c r="FT195" s="206"/>
      <c r="FU195" s="206"/>
      <c r="FV195" s="206"/>
      <c r="FW195" s="206"/>
      <c r="FX195" s="206"/>
      <c r="FY195" s="206"/>
      <c r="FZ195" s="206"/>
      <c r="GA195" s="206"/>
      <c r="GB195" s="206"/>
      <c r="GC195" s="206"/>
      <c r="GD195" s="206"/>
      <c r="GE195" s="206"/>
      <c r="GF195" s="206"/>
      <c r="GG195" s="206"/>
      <c r="GH195" s="206"/>
      <c r="GI195" s="206"/>
      <c r="GJ195" s="206"/>
      <c r="GK195" s="206"/>
      <c r="GL195" s="206"/>
      <c r="GM195" s="206"/>
      <c r="GN195" s="206"/>
      <c r="GO195" s="206"/>
      <c r="GP195" s="206"/>
      <c r="GQ195" s="206"/>
      <c r="GR195" s="206"/>
      <c r="GS195" s="206"/>
      <c r="GT195" s="206"/>
      <c r="GU195" s="206"/>
      <c r="GV195" s="206"/>
      <c r="GW195" s="206"/>
      <c r="GX195" s="206"/>
      <c r="GY195" s="206"/>
      <c r="GZ195" s="206"/>
      <c r="HA195" s="206"/>
      <c r="HB195" s="206"/>
      <c r="HC195" s="206"/>
      <c r="HD195" s="206"/>
      <c r="HE195" s="206"/>
      <c r="HF195" s="206"/>
      <c r="HG195" s="206"/>
      <c r="HH195" s="206"/>
      <c r="HI195" s="206"/>
      <c r="HJ195" s="206"/>
      <c r="HK195" s="206"/>
      <c r="HL195" s="206"/>
      <c r="HM195" s="206"/>
      <c r="HN195" s="206"/>
      <c r="HO195" s="206"/>
      <c r="HP195" s="206"/>
      <c r="HQ195" s="206"/>
      <c r="HR195" s="206"/>
      <c r="HS195" s="206"/>
      <c r="HT195" s="206"/>
      <c r="HU195" s="206"/>
      <c r="HV195" s="206"/>
      <c r="HW195" s="206"/>
      <c r="HX195" s="206"/>
      <c r="HY195" s="206"/>
      <c r="HZ195" s="206"/>
      <c r="IA195" s="206"/>
      <c r="IB195" s="206"/>
      <c r="IC195" s="206"/>
      <c r="ID195" s="206"/>
      <c r="IE195" s="206"/>
      <c r="IF195" s="206"/>
      <c r="IG195" s="206"/>
      <c r="IH195" s="206"/>
      <c r="II195" s="206"/>
      <c r="IJ195" s="206"/>
      <c r="IK195" s="206"/>
      <c r="IL195" s="206"/>
      <c r="IM195" s="206"/>
      <c r="IN195" s="206"/>
      <c r="IO195" s="206"/>
      <c r="IP195" s="206"/>
      <c r="IQ195" s="206"/>
      <c r="IR195" s="206"/>
      <c r="IS195" s="206"/>
      <c r="IT195" s="206"/>
      <c r="IU195" s="206"/>
      <c r="IV195" s="206"/>
      <c r="IW195" s="206"/>
    </row>
    <row r="196" customFormat="false" ht="12.75" hidden="false" customHeight="false" outlineLevel="0" collapsed="false">
      <c r="A196" s="182" t="s">
        <v>261</v>
      </c>
      <c r="B196" s="174"/>
      <c r="C196" s="0"/>
      <c r="D196" s="0"/>
      <c r="E196" s="0"/>
      <c r="F196" s="0"/>
      <c r="G196" s="0"/>
      <c r="H196" s="0"/>
      <c r="I196" s="0"/>
      <c r="J196" s="4"/>
      <c r="K196" s="0"/>
      <c r="L196" s="169"/>
      <c r="M196" s="115"/>
      <c r="O196" s="115"/>
      <c r="Q196" s="115"/>
      <c r="S196" s="115"/>
      <c r="T196" s="115"/>
      <c r="U196" s="115"/>
      <c r="V196" s="115"/>
      <c r="X196" s="115"/>
      <c r="Z196" s="115"/>
      <c r="AB196" s="115"/>
      <c r="AD196" s="115"/>
      <c r="BL196" s="115"/>
      <c r="BM196" s="115"/>
      <c r="BO196" s="115"/>
      <c r="BP196" s="115"/>
      <c r="BQ196" s="115"/>
      <c r="BW196" s="115"/>
    </row>
    <row r="197" customFormat="false" ht="12.75" hidden="false" customHeight="false" outlineLevel="0" collapsed="false">
      <c r="A197" s="165"/>
      <c r="B197" s="174" t="s">
        <v>262</v>
      </c>
      <c r="C197" s="174"/>
      <c r="D197" s="174"/>
      <c r="E197" s="174"/>
      <c r="F197" s="174"/>
      <c r="G197" s="174"/>
      <c r="H197" s="174"/>
      <c r="I197" s="174"/>
      <c r="J197" s="220"/>
      <c r="K197" s="174"/>
      <c r="L197" s="221" t="s">
        <v>249</v>
      </c>
      <c r="M197" s="115"/>
      <c r="N197" s="115" t="n">
        <v>200000</v>
      </c>
      <c r="O197" s="115"/>
      <c r="P197" s="115" t="n">
        <v>0</v>
      </c>
      <c r="Q197" s="115"/>
      <c r="R197" s="115" t="n">
        <v>100000</v>
      </c>
      <c r="S197" s="115"/>
      <c r="T197" s="115" t="n">
        <v>0</v>
      </c>
      <c r="U197" s="115"/>
      <c r="V197" s="115"/>
      <c r="X197" s="115"/>
      <c r="Z197" s="115"/>
      <c r="AB197" s="115"/>
      <c r="AD197" s="115"/>
      <c r="AJ197" s="115" t="n">
        <f aca="false">11817+1362.81</f>
        <v>13179.81</v>
      </c>
      <c r="AP197" s="115" t="n">
        <v>0</v>
      </c>
      <c r="AR197" s="115" t="n">
        <v>0</v>
      </c>
      <c r="AT197" s="115" t="n">
        <v>0</v>
      </c>
      <c r="AV197" s="115" t="n">
        <v>0</v>
      </c>
      <c r="AX197" s="115" t="n">
        <v>0</v>
      </c>
      <c r="AZ197" s="115" t="n">
        <v>0</v>
      </c>
      <c r="BB197" s="115" t="n">
        <v>0</v>
      </c>
      <c r="BD197" s="115" t="n">
        <v>0</v>
      </c>
      <c r="BF197" s="115" t="n">
        <v>0</v>
      </c>
      <c r="BH197" s="115" t="n">
        <v>0</v>
      </c>
      <c r="BJ197" s="115" t="n">
        <v>0</v>
      </c>
      <c r="BL197" s="115" t="n">
        <v>0</v>
      </c>
      <c r="BM197" s="115"/>
      <c r="BN197" s="115" t="n">
        <f aca="false">SUM(T197:BM197)</f>
        <v>13179.81</v>
      </c>
      <c r="BO197" s="115"/>
      <c r="BP197" s="115" t="n">
        <v>0</v>
      </c>
      <c r="BQ197" s="115"/>
      <c r="BR197" s="115" t="n">
        <f aca="false">IF(+R197-BN197+BP197&gt;0,R197-BN197+BP197,0)</f>
        <v>86820.19</v>
      </c>
      <c r="BT197" s="115" t="n">
        <f aca="false">+BN197+BR197</f>
        <v>100000</v>
      </c>
      <c r="BV197" s="115" t="n">
        <f aca="false">+R197-BT197</f>
        <v>0</v>
      </c>
      <c r="BW197" s="115"/>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c r="IO197" s="174"/>
      <c r="IP197" s="174"/>
      <c r="IQ197" s="174"/>
      <c r="IR197" s="174"/>
      <c r="IS197" s="174"/>
      <c r="IT197" s="174"/>
      <c r="IU197" s="174"/>
      <c r="IV197" s="174"/>
      <c r="IW197" s="174"/>
    </row>
    <row r="198" customFormat="false" ht="12.75" hidden="false" customHeight="false" outlineLevel="0" collapsed="false">
      <c r="A198" s="165"/>
      <c r="B198" s="174" t="s">
        <v>263</v>
      </c>
      <c r="C198" s="174"/>
      <c r="D198" s="174"/>
      <c r="E198" s="174"/>
      <c r="F198" s="174"/>
      <c r="G198" s="174"/>
      <c r="H198" s="174"/>
      <c r="I198" s="174"/>
      <c r="J198" s="220"/>
      <c r="K198" s="174"/>
      <c r="L198" s="221" t="s">
        <v>249</v>
      </c>
      <c r="M198" s="115"/>
      <c r="N198" s="115" t="n">
        <v>0</v>
      </c>
      <c r="O198" s="115"/>
      <c r="P198" s="115" t="n">
        <v>50000</v>
      </c>
      <c r="Q198" s="115"/>
      <c r="R198" s="115" t="n">
        <v>150000</v>
      </c>
      <c r="S198" s="115"/>
      <c r="T198" s="115" t="n">
        <v>0</v>
      </c>
      <c r="U198" s="115"/>
      <c r="V198" s="115"/>
      <c r="X198" s="115"/>
      <c r="Z198" s="115"/>
      <c r="AB198" s="115"/>
      <c r="AD198" s="115"/>
      <c r="AL198" s="115" t="n">
        <v>67146.1</v>
      </c>
      <c r="AN198" s="115" t="n">
        <v>2410.51</v>
      </c>
      <c r="AP198" s="115" t="n">
        <v>7333.62</v>
      </c>
      <c r="AR198" s="115" t="n">
        <v>10298.6</v>
      </c>
      <c r="AT198" s="115" t="n">
        <f aca="false">9260.96+1975.58</f>
        <v>11236.54</v>
      </c>
      <c r="AV198" s="115" t="n">
        <f aca="false">1851.11</f>
        <v>1851.11</v>
      </c>
      <c r="AX198" s="115" t="n">
        <v>628.06</v>
      </c>
      <c r="AZ198" s="115" t="n">
        <v>0</v>
      </c>
      <c r="BB198" s="115" t="n">
        <v>0</v>
      </c>
      <c r="BD198" s="115" t="n">
        <v>0</v>
      </c>
      <c r="BF198" s="115" t="n">
        <v>0</v>
      </c>
      <c r="BH198" s="115" t="n">
        <v>0</v>
      </c>
      <c r="BJ198" s="115" t="n">
        <v>0</v>
      </c>
      <c r="BL198" s="115" t="n">
        <v>0</v>
      </c>
      <c r="BM198" s="115"/>
      <c r="BN198" s="115" t="n">
        <f aca="false">SUM(T198:BM198)</f>
        <v>100904.54</v>
      </c>
      <c r="BO198" s="115"/>
      <c r="BP198" s="115" t="n">
        <v>0</v>
      </c>
      <c r="BQ198" s="115"/>
      <c r="BR198" s="115" t="n">
        <f aca="false">IF(+R198-BN198+BP198&gt;0,R198-BN198+BP198,0)</f>
        <v>49095.46</v>
      </c>
      <c r="BT198" s="115" t="n">
        <f aca="false">+BN198+BR198</f>
        <v>150000</v>
      </c>
      <c r="BV198" s="115" t="n">
        <f aca="false">+R198-BT198</f>
        <v>0</v>
      </c>
      <c r="BW198" s="115"/>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c r="IV198" s="174"/>
      <c r="IW198" s="174"/>
    </row>
    <row r="199" customFormat="false" ht="12.75" hidden="false" customHeight="false" outlineLevel="0" collapsed="false">
      <c r="A199" s="165"/>
      <c r="B199" s="174" t="s">
        <v>362</v>
      </c>
      <c r="C199" s="174"/>
      <c r="D199" s="174"/>
      <c r="E199" s="174"/>
      <c r="F199" s="174"/>
      <c r="G199" s="174"/>
      <c r="H199" s="174"/>
      <c r="I199" s="174"/>
      <c r="J199" s="220"/>
      <c r="K199" s="174"/>
      <c r="L199" s="221" t="s">
        <v>249</v>
      </c>
      <c r="M199" s="115"/>
      <c r="N199" s="115" t="n">
        <v>0</v>
      </c>
      <c r="O199" s="115"/>
      <c r="P199" s="115" t="n">
        <v>24235</v>
      </c>
      <c r="Q199" s="115"/>
      <c r="R199" s="115" t="n">
        <f aca="false">+N199+P199</f>
        <v>24235</v>
      </c>
      <c r="S199" s="115"/>
      <c r="T199" s="115" t="n">
        <v>0</v>
      </c>
      <c r="U199" s="115"/>
      <c r="V199" s="115"/>
      <c r="X199" s="115"/>
      <c r="Z199" s="115"/>
      <c r="AB199" s="115"/>
      <c r="AD199" s="115"/>
      <c r="AL199" s="115" t="n">
        <v>17043.53</v>
      </c>
      <c r="AN199" s="115" t="n">
        <v>0</v>
      </c>
      <c r="AP199" s="115" t="n">
        <v>0</v>
      </c>
      <c r="AR199" s="115" t="n">
        <v>0</v>
      </c>
      <c r="AT199" s="115" t="n">
        <v>0</v>
      </c>
      <c r="AV199" s="115" t="n">
        <v>0</v>
      </c>
      <c r="AX199" s="115" t="n">
        <v>0</v>
      </c>
      <c r="AZ199" s="115" t="n">
        <v>0</v>
      </c>
      <c r="BB199" s="115" t="n">
        <v>0</v>
      </c>
      <c r="BD199" s="115" t="n">
        <v>0</v>
      </c>
      <c r="BF199" s="115" t="n">
        <v>0</v>
      </c>
      <c r="BH199" s="115" t="n">
        <v>0</v>
      </c>
      <c r="BJ199" s="115" t="n">
        <v>0</v>
      </c>
      <c r="BL199" s="115" t="n">
        <v>0</v>
      </c>
      <c r="BM199" s="115"/>
      <c r="BN199" s="115" t="n">
        <f aca="false">SUM(T199:BM199)</f>
        <v>17043.53</v>
      </c>
      <c r="BO199" s="115"/>
      <c r="BP199" s="115" t="n">
        <v>0</v>
      </c>
      <c r="BQ199" s="115"/>
      <c r="BR199" s="115" t="n">
        <f aca="false">IF(+R199-BN199+BP199&gt;0,R199-BN199+BP199,0)</f>
        <v>7191.47</v>
      </c>
      <c r="BT199" s="115" t="n">
        <f aca="false">+BN199+BR199</f>
        <v>24235</v>
      </c>
      <c r="BV199" s="115" t="n">
        <f aca="false">+R199-BT199</f>
        <v>0</v>
      </c>
      <c r="BW199" s="115"/>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c r="IO199" s="174"/>
      <c r="IP199" s="174"/>
      <c r="IQ199" s="174"/>
      <c r="IR199" s="174"/>
      <c r="IS199" s="174"/>
      <c r="IT199" s="174"/>
      <c r="IU199" s="174"/>
      <c r="IV199" s="174"/>
      <c r="IW199" s="174"/>
    </row>
    <row r="200" customFormat="false" ht="12.75" hidden="false" customHeight="false" outlineLevel="0" collapsed="false">
      <c r="A200" s="165"/>
      <c r="B200" s="174" t="s">
        <v>152</v>
      </c>
      <c r="C200" s="174"/>
      <c r="D200" s="174"/>
      <c r="E200" s="174"/>
      <c r="F200" s="174"/>
      <c r="G200" s="174"/>
      <c r="H200" s="174"/>
      <c r="I200" s="174"/>
      <c r="J200" s="220"/>
      <c r="K200" s="174"/>
      <c r="L200" s="221" t="s">
        <v>249</v>
      </c>
      <c r="M200" s="115"/>
      <c r="N200" s="115" t="n">
        <v>400000</v>
      </c>
      <c r="O200" s="115"/>
      <c r="P200" s="115" t="n">
        <f aca="false">49065-N200-6000</f>
        <v>-356935</v>
      </c>
      <c r="Q200" s="115"/>
      <c r="R200" s="115" t="n">
        <f aca="false">43065+82700</f>
        <v>125765</v>
      </c>
      <c r="S200" s="115"/>
      <c r="T200" s="115" t="n">
        <v>0</v>
      </c>
      <c r="U200" s="115"/>
      <c r="V200" s="115"/>
      <c r="X200" s="115"/>
      <c r="Z200" s="115"/>
      <c r="AB200" s="115"/>
      <c r="AD200" s="115"/>
      <c r="AJ200" s="115" t="n">
        <v>5904</v>
      </c>
      <c r="AL200" s="115" t="n">
        <v>2286</v>
      </c>
      <c r="AP200" s="115" t="n">
        <v>11540.01</v>
      </c>
      <c r="AR200" s="115" t="n">
        <f aca="false">19587.28</f>
        <v>19587.28</v>
      </c>
      <c r="AT200" s="115" t="n">
        <f aca="false">25566.56+6171+2683.37</f>
        <v>34420.93</v>
      </c>
      <c r="AV200" s="115" t="n">
        <f aca="false">28832.7+49463.67+9600</f>
        <v>87896.37</v>
      </c>
      <c r="AX200" s="115" t="n">
        <v>28768.8</v>
      </c>
      <c r="AZ200" s="115" t="n">
        <v>44082.48</v>
      </c>
      <c r="BB200" s="115" t="n">
        <v>165167.83</v>
      </c>
      <c r="BD200" s="115" t="n">
        <v>37080.42</v>
      </c>
      <c r="BF200" s="115" t="n">
        <v>0</v>
      </c>
      <c r="BH200" s="115" t="n">
        <v>0</v>
      </c>
      <c r="BJ200" s="115" t="n">
        <v>0</v>
      </c>
      <c r="BL200" s="115" t="n">
        <v>0</v>
      </c>
      <c r="BM200" s="115"/>
      <c r="BN200" s="115" t="n">
        <f aca="false">SUM(T200:BM200)</f>
        <v>436734.12</v>
      </c>
      <c r="BO200" s="115"/>
      <c r="BP200" s="115" t="n">
        <v>0</v>
      </c>
      <c r="BQ200" s="115"/>
      <c r="BR200" s="115" t="n">
        <f aca="false">IF(+R200-BN200+BP200&gt;0,R200-BN200+BP200,0)</f>
        <v>0</v>
      </c>
      <c r="BT200" s="115" t="n">
        <f aca="false">+BN200+BR200</f>
        <v>436734.12</v>
      </c>
      <c r="BV200" s="115" t="n">
        <f aca="false">+R200-BT200</f>
        <v>-310969.12</v>
      </c>
      <c r="BW200" s="115"/>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c r="IV200" s="174"/>
      <c r="IW200" s="174"/>
    </row>
    <row r="201" customFormat="false" ht="12.75" hidden="false" customHeight="false" outlineLevel="0" collapsed="false">
      <c r="A201" s="165"/>
      <c r="B201" s="174" t="s">
        <v>401</v>
      </c>
      <c r="C201" s="174"/>
      <c r="D201" s="174"/>
      <c r="E201" s="174"/>
      <c r="F201" s="174"/>
      <c r="G201" s="174"/>
      <c r="H201" s="174"/>
      <c r="I201" s="174"/>
      <c r="J201" s="220"/>
      <c r="K201" s="174"/>
      <c r="L201" s="221"/>
      <c r="M201" s="115"/>
      <c r="O201" s="115"/>
      <c r="Q201" s="115"/>
      <c r="S201" s="115"/>
      <c r="T201" s="115"/>
      <c r="U201" s="115"/>
      <c r="V201" s="115"/>
      <c r="X201" s="115"/>
      <c r="Z201" s="115"/>
      <c r="AB201" s="115"/>
      <c r="AD201" s="115"/>
      <c r="AR201" s="115" t="n">
        <v>83333.33</v>
      </c>
      <c r="AT201" s="115" t="n">
        <f aca="false">25346.24+82333.33</f>
        <v>107679.57</v>
      </c>
      <c r="BL201" s="115"/>
      <c r="BM201" s="115"/>
      <c r="BN201" s="115" t="n">
        <f aca="false">SUM(T201:BM201)</f>
        <v>191012.9</v>
      </c>
      <c r="BO201" s="115"/>
      <c r="BP201" s="115"/>
      <c r="BQ201" s="115"/>
      <c r="BR201" s="115" t="n">
        <f aca="false">IF(+R201-BN201+BP201&gt;0,R201-BN201+BP201,0)</f>
        <v>0</v>
      </c>
      <c r="BT201" s="115" t="n">
        <f aca="false">+BN201+BR201</f>
        <v>191012.9</v>
      </c>
      <c r="BV201" s="115" t="n">
        <f aca="false">+R201-BT201</f>
        <v>-191012.9</v>
      </c>
      <c r="BW201" s="115"/>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c r="IO201" s="174"/>
      <c r="IP201" s="174"/>
      <c r="IQ201" s="174"/>
      <c r="IR201" s="174"/>
      <c r="IS201" s="174"/>
      <c r="IT201" s="174"/>
      <c r="IU201" s="174"/>
      <c r="IV201" s="174"/>
      <c r="IW201" s="174"/>
    </row>
    <row r="202" customFormat="false" ht="12.75" hidden="false" customHeight="false" outlineLevel="0" collapsed="false">
      <c r="A202" s="165"/>
      <c r="B202" s="174" t="s">
        <v>363</v>
      </c>
      <c r="C202" s="174"/>
      <c r="D202" s="174"/>
      <c r="E202" s="174"/>
      <c r="F202" s="174"/>
      <c r="G202" s="174"/>
      <c r="H202" s="174"/>
      <c r="I202" s="174"/>
      <c r="J202" s="220"/>
      <c r="K202" s="174"/>
      <c r="L202" s="221"/>
      <c r="M202" s="115"/>
      <c r="O202" s="115"/>
      <c r="Q202" s="115"/>
      <c r="S202" s="115"/>
      <c r="T202" s="115"/>
      <c r="U202" s="115"/>
      <c r="V202" s="115"/>
      <c r="X202" s="115"/>
      <c r="Z202" s="115"/>
      <c r="AB202" s="115"/>
      <c r="AD202" s="115"/>
      <c r="AL202" s="115" t="n">
        <v>32203.28</v>
      </c>
      <c r="BL202" s="115"/>
      <c r="BM202" s="115"/>
      <c r="BN202" s="115" t="n">
        <f aca="false">SUM(T202:BM202)</f>
        <v>32203.28</v>
      </c>
      <c r="BO202" s="115"/>
      <c r="BP202" s="115" t="n">
        <v>0</v>
      </c>
      <c r="BQ202" s="115"/>
      <c r="BR202" s="115" t="n">
        <f aca="false">IF(+R202-BN202+BP202&gt;0,R202-BN202+BP202,0)</f>
        <v>0</v>
      </c>
      <c r="BT202" s="115" t="n">
        <f aca="false">+BN202+BR202</f>
        <v>32203.28</v>
      </c>
      <c r="BV202" s="115" t="n">
        <f aca="false">+R202-BT202</f>
        <v>-32203.28</v>
      </c>
      <c r="BW202" s="115"/>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c r="IV202" s="174"/>
      <c r="IW202" s="174"/>
    </row>
    <row r="203" customFormat="false" ht="12.75" hidden="false" customHeight="false" outlineLevel="0" collapsed="false">
      <c r="A203" s="182"/>
      <c r="B203" s="216" t="s">
        <v>267</v>
      </c>
      <c r="C203" s="2"/>
      <c r="D203" s="2"/>
      <c r="E203" s="2"/>
      <c r="F203" s="2"/>
      <c r="G203" s="2"/>
      <c r="H203" s="2"/>
      <c r="I203" s="2"/>
      <c r="J203" s="3"/>
      <c r="K203" s="2"/>
      <c r="L203" s="188"/>
      <c r="M203" s="24"/>
      <c r="N203" s="210" t="n">
        <f aca="false">SUM(N197:N200)</f>
        <v>600000</v>
      </c>
      <c r="O203" s="24"/>
      <c r="P203" s="210" t="n">
        <f aca="false">SUM(P197:P200)</f>
        <v>-282700</v>
      </c>
      <c r="Q203" s="24"/>
      <c r="R203" s="210" t="n">
        <f aca="false">SUM(R197:R202)</f>
        <v>400000</v>
      </c>
      <c r="S203" s="210" t="n">
        <f aca="false">SUM(S197:S202)</f>
        <v>0</v>
      </c>
      <c r="T203" s="210" t="n">
        <f aca="false">SUM(T197:T202)</f>
        <v>0</v>
      </c>
      <c r="U203" s="210" t="n">
        <f aca="false">SUM(U197:U202)</f>
        <v>0</v>
      </c>
      <c r="V203" s="210" t="n">
        <f aca="false">SUM(V197:V202)</f>
        <v>0</v>
      </c>
      <c r="W203" s="210" t="n">
        <f aca="false">SUM(W197:W202)</f>
        <v>0</v>
      </c>
      <c r="X203" s="210" t="n">
        <f aca="false">SUM(X197:X202)</f>
        <v>0</v>
      </c>
      <c r="Y203" s="210" t="n">
        <f aca="false">SUM(Y197:Y202)</f>
        <v>0</v>
      </c>
      <c r="Z203" s="210" t="n">
        <f aca="false">SUM(Z197:Z202)</f>
        <v>0</v>
      </c>
      <c r="AA203" s="210" t="n">
        <f aca="false">SUM(AA197:AA202)</f>
        <v>0</v>
      </c>
      <c r="AB203" s="210" t="n">
        <f aca="false">SUM(AB197:AB202)</f>
        <v>0</v>
      </c>
      <c r="AC203" s="210" t="n">
        <f aca="false">SUM(AC197:AC202)</f>
        <v>0</v>
      </c>
      <c r="AD203" s="210" t="n">
        <f aca="false">SUM(AD197:AD202)</f>
        <v>0</v>
      </c>
      <c r="AE203" s="210" t="n">
        <f aca="false">SUM(AE197:AE202)</f>
        <v>0</v>
      </c>
      <c r="AF203" s="210" t="n">
        <f aca="false">SUM(AF197:AF202)</f>
        <v>0</v>
      </c>
      <c r="AG203" s="210" t="n">
        <f aca="false">SUM(AG197:AG202)</f>
        <v>0</v>
      </c>
      <c r="AH203" s="210" t="n">
        <f aca="false">SUM(AH197:AH202)</f>
        <v>0</v>
      </c>
      <c r="AI203" s="210"/>
      <c r="AJ203" s="210" t="n">
        <f aca="false">SUM(AJ197:AJ202)</f>
        <v>19083.81</v>
      </c>
      <c r="AK203" s="210"/>
      <c r="AL203" s="210" t="n">
        <f aca="false">SUM(AL197:AL202)</f>
        <v>118678.91</v>
      </c>
      <c r="AM203" s="210"/>
      <c r="AN203" s="210" t="n">
        <f aca="false">SUM(AN197:AN202)</f>
        <v>2410.51</v>
      </c>
      <c r="AO203" s="210"/>
      <c r="AP203" s="210" t="n">
        <f aca="false">SUM(AP197:AP202)</f>
        <v>18873.63</v>
      </c>
      <c r="AQ203" s="210"/>
      <c r="AR203" s="210" t="n">
        <f aca="false">SUM(AR197:AR202)</f>
        <v>113219.21</v>
      </c>
      <c r="AS203" s="210" t="n">
        <f aca="false">SUM(AS197:AS202)</f>
        <v>0</v>
      </c>
      <c r="AT203" s="210" t="n">
        <f aca="false">SUM(AT197:AT202)</f>
        <v>153337.04</v>
      </c>
      <c r="AU203" s="210" t="n">
        <f aca="false">SUM(AU197:AU202)</f>
        <v>0</v>
      </c>
      <c r="AV203" s="210" t="n">
        <f aca="false">SUM(AV197:AV202)</f>
        <v>89747.48</v>
      </c>
      <c r="AW203" s="210" t="n">
        <f aca="false">SUM(AW197:AW202)</f>
        <v>0</v>
      </c>
      <c r="AX203" s="210" t="n">
        <f aca="false">SUM(AX197:AX202)</f>
        <v>29396.86</v>
      </c>
      <c r="AY203" s="210" t="n">
        <f aca="false">SUM(AY197:AY202)</f>
        <v>0</v>
      </c>
      <c r="AZ203" s="210" t="n">
        <f aca="false">SUM(AZ197:AZ202)</f>
        <v>44082.48</v>
      </c>
      <c r="BA203" s="210" t="n">
        <f aca="false">SUM(BA197:BA202)</f>
        <v>0</v>
      </c>
      <c r="BB203" s="210" t="n">
        <f aca="false">SUM(BB197:BB202)</f>
        <v>165167.83</v>
      </c>
      <c r="BC203" s="210" t="n">
        <f aca="false">SUM(BC197:BC202)</f>
        <v>0</v>
      </c>
      <c r="BD203" s="210" t="n">
        <f aca="false">SUM(BD197:BD202)</f>
        <v>37080.42</v>
      </c>
      <c r="BE203" s="210" t="n">
        <f aca="false">SUM(BE197:BE202)</f>
        <v>0</v>
      </c>
      <c r="BF203" s="210" t="n">
        <f aca="false">SUM(BF197:BF202)</f>
        <v>0</v>
      </c>
      <c r="BG203" s="210" t="n">
        <f aca="false">SUM(BG197:BG202)</f>
        <v>0</v>
      </c>
      <c r="BH203" s="210" t="n">
        <f aca="false">SUM(BH197:BH202)</f>
        <v>0</v>
      </c>
      <c r="BI203" s="210" t="n">
        <f aca="false">SUM(BI197:BI202)</f>
        <v>0</v>
      </c>
      <c r="BJ203" s="210" t="n">
        <f aca="false">SUM(BJ197:BJ202)</f>
        <v>0</v>
      </c>
      <c r="BK203" s="210" t="n">
        <f aca="false">SUM(BK197:BK202)</f>
        <v>0</v>
      </c>
      <c r="BL203" s="210" t="n">
        <f aca="false">SUM(BL197:BL202)</f>
        <v>0</v>
      </c>
      <c r="BM203" s="210" t="n">
        <f aca="false">SUM(BM197:BM202)</f>
        <v>0</v>
      </c>
      <c r="BN203" s="210" t="n">
        <f aca="false">SUM(BN197:BN202)</f>
        <v>791078.18</v>
      </c>
      <c r="BO203" s="210" t="n">
        <f aca="false">SUM(BO197:BO202)</f>
        <v>0</v>
      </c>
      <c r="BP203" s="210" t="n">
        <f aca="false">SUM(BP197:BP202)</f>
        <v>0</v>
      </c>
      <c r="BQ203" s="210" t="n">
        <f aca="false">SUM(BQ197:BQ202)</f>
        <v>0</v>
      </c>
      <c r="BR203" s="210" t="n">
        <f aca="false">SUM(BR197:BR202)</f>
        <v>143107.12</v>
      </c>
      <c r="BS203" s="210" t="n">
        <f aca="false">SUM(BS197:BS202)</f>
        <v>0</v>
      </c>
      <c r="BT203" s="210" t="n">
        <f aca="false">SUM(BT197:BT202)</f>
        <v>934185.3</v>
      </c>
      <c r="BU203" s="210" t="n">
        <f aca="false">SUM(BU197:BU202)</f>
        <v>0</v>
      </c>
      <c r="BV203" s="210" t="n">
        <f aca="false">SUM(BV197:BV202)</f>
        <v>-534185.3</v>
      </c>
      <c r="BW203" s="210"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82" t="s">
        <v>268</v>
      </c>
      <c r="B205" s="174"/>
      <c r="C205" s="0"/>
      <c r="D205" s="0"/>
      <c r="E205" s="0"/>
      <c r="F205" s="0"/>
      <c r="G205" s="0"/>
      <c r="H205" s="0"/>
      <c r="I205" s="0"/>
      <c r="J205" s="4"/>
      <c r="K205" s="0"/>
      <c r="L205" s="169"/>
      <c r="M205" s="115"/>
      <c r="O205" s="115"/>
      <c r="Q205" s="115"/>
      <c r="S205" s="115"/>
      <c r="T205" s="115"/>
      <c r="U205" s="115"/>
      <c r="V205" s="115"/>
      <c r="X205" s="115"/>
      <c r="Z205" s="115"/>
      <c r="AB205" s="115"/>
      <c r="AD205" s="115"/>
      <c r="BL205" s="115"/>
      <c r="BM205" s="115"/>
      <c r="BO205" s="115"/>
      <c r="BP205" s="115"/>
      <c r="BQ205" s="115"/>
      <c r="BW205" s="11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65"/>
      <c r="B206" s="174" t="s">
        <v>402</v>
      </c>
      <c r="C206" s="174"/>
      <c r="D206" s="174"/>
      <c r="E206" s="174"/>
      <c r="F206" s="174"/>
      <c r="G206" s="174"/>
      <c r="H206" s="174"/>
      <c r="I206" s="174"/>
      <c r="J206" s="220"/>
      <c r="K206" s="174"/>
      <c r="L206" s="221" t="s">
        <v>249</v>
      </c>
      <c r="M206" s="115"/>
      <c r="N206" s="115" t="n">
        <v>0</v>
      </c>
      <c r="O206" s="115"/>
      <c r="P206" s="115" t="n">
        <f aca="false">300000-5511</f>
        <v>294489</v>
      </c>
      <c r="Q206" s="115"/>
      <c r="R206" s="115" t="n">
        <v>500000</v>
      </c>
      <c r="S206" s="115"/>
      <c r="T206" s="115" t="n">
        <v>0</v>
      </c>
      <c r="U206" s="115"/>
      <c r="V206" s="115" t="n">
        <v>0</v>
      </c>
      <c r="X206" s="115"/>
      <c r="Z206" s="115"/>
      <c r="AB206" s="115"/>
      <c r="AD206" s="115"/>
      <c r="AJ206" s="115" t="n">
        <v>3543</v>
      </c>
      <c r="AL206" s="115" t="n">
        <v>14302.18</v>
      </c>
      <c r="AN206" s="115" t="n">
        <v>13885.7</v>
      </c>
      <c r="AP206" s="115" t="n">
        <v>27414.72</v>
      </c>
      <c r="AR206" s="115" t="n">
        <v>13907.58</v>
      </c>
      <c r="AT206" s="115" t="n">
        <f aca="false">1560.56+225.31+5848.5</f>
        <v>7634.37</v>
      </c>
      <c r="AV206" s="115" t="n">
        <v>0</v>
      </c>
      <c r="AX206" s="115" t="n">
        <v>0</v>
      </c>
      <c r="AZ206" s="115" t="n">
        <v>0</v>
      </c>
      <c r="BB206" s="115" t="n">
        <v>0</v>
      </c>
      <c r="BD206" s="115" t="n">
        <v>0</v>
      </c>
      <c r="BF206" s="115" t="n">
        <v>0</v>
      </c>
      <c r="BH206" s="115" t="n">
        <v>0</v>
      </c>
      <c r="BJ206" s="115" t="n">
        <v>0</v>
      </c>
      <c r="BL206" s="115" t="n">
        <v>0</v>
      </c>
      <c r="BM206" s="115"/>
      <c r="BN206" s="115" t="n">
        <f aca="false">SUM(T206:BM206)</f>
        <v>80687.55</v>
      </c>
      <c r="BO206" s="115"/>
      <c r="BP206" s="115" t="n">
        <v>0</v>
      </c>
      <c r="BQ206" s="115"/>
      <c r="BR206" s="115" t="n">
        <f aca="false">IF(+R206-BN206+BP206&gt;0,R206-BN206+BP206,0)</f>
        <v>419312.45</v>
      </c>
      <c r="BT206" s="115" t="n">
        <f aca="false">+BN206+BR206</f>
        <v>500000</v>
      </c>
      <c r="BV206" s="115" t="n">
        <f aca="false">+R206-BT206</f>
        <v>0</v>
      </c>
      <c r="BW206" s="115"/>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c r="IO206" s="174"/>
      <c r="IP206" s="174"/>
      <c r="IQ206" s="174"/>
      <c r="IR206" s="174"/>
      <c r="IS206" s="174"/>
      <c r="IT206" s="174"/>
      <c r="IU206" s="174"/>
      <c r="IV206" s="174"/>
      <c r="IW206" s="174"/>
    </row>
    <row r="207" customFormat="false" ht="12.75" hidden="false" customHeight="false" outlineLevel="0" collapsed="false">
      <c r="A207" s="165"/>
      <c r="B207" s="174" t="s">
        <v>119</v>
      </c>
      <c r="C207" s="174"/>
      <c r="D207" s="174"/>
      <c r="E207" s="174"/>
      <c r="F207" s="174"/>
      <c r="G207" s="174"/>
      <c r="H207" s="174"/>
      <c r="I207" s="174"/>
      <c r="J207" s="220"/>
      <c r="K207" s="174"/>
      <c r="L207" s="221" t="s">
        <v>249</v>
      </c>
      <c r="M207" s="115"/>
      <c r="N207" s="115" t="n">
        <v>500000</v>
      </c>
      <c r="O207" s="115"/>
      <c r="P207" s="115" t="n">
        <f aca="false">-300000-10271.2</f>
        <v>-310271.2</v>
      </c>
      <c r="Q207" s="115"/>
      <c r="R207" s="115" t="n">
        <v>0</v>
      </c>
      <c r="S207" s="115"/>
      <c r="T207" s="115" t="n">
        <v>0</v>
      </c>
      <c r="U207" s="115"/>
      <c r="V207" s="115" t="n">
        <v>0</v>
      </c>
      <c r="X207" s="115"/>
      <c r="Z207" s="115"/>
      <c r="AB207" s="115"/>
      <c r="AD207" s="115"/>
      <c r="AN207" s="115" t="n">
        <v>0</v>
      </c>
      <c r="AP207" s="115" t="n">
        <v>0</v>
      </c>
      <c r="AR207" s="115" t="n">
        <v>0</v>
      </c>
      <c r="AT207" s="115" t="n">
        <f aca="false">165893.1+86315.36</f>
        <v>252208.46</v>
      </c>
      <c r="AV207" s="115" t="n">
        <v>0</v>
      </c>
      <c r="AX207" s="115" t="n">
        <v>0</v>
      </c>
      <c r="AZ207" s="115" t="n">
        <v>0</v>
      </c>
      <c r="BB207" s="115" t="n">
        <v>0</v>
      </c>
      <c r="BD207" s="115" t="n">
        <v>0</v>
      </c>
      <c r="BF207" s="115" t="n">
        <v>0</v>
      </c>
      <c r="BH207" s="115" t="n">
        <v>0</v>
      </c>
      <c r="BJ207" s="115" t="n">
        <v>0</v>
      </c>
      <c r="BL207" s="115" t="n">
        <v>0</v>
      </c>
      <c r="BM207" s="115"/>
      <c r="BN207" s="115" t="n">
        <f aca="false">SUM(T207:BM207)</f>
        <v>252208.46</v>
      </c>
      <c r="BO207" s="115"/>
      <c r="BP207" s="115" t="n">
        <v>0</v>
      </c>
      <c r="BQ207" s="115"/>
      <c r="BR207" s="115" t="n">
        <f aca="false">IF(+R207-BN207+BP207&gt;0,R207-BN207+BP207,0)</f>
        <v>0</v>
      </c>
      <c r="BT207" s="115" t="n">
        <f aca="false">+BN207+BR207</f>
        <v>252208.46</v>
      </c>
      <c r="BV207" s="115" t="n">
        <f aca="false">+R207-BT207</f>
        <v>-252208.46</v>
      </c>
      <c r="BW207" s="115"/>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c r="IO207" s="174"/>
      <c r="IP207" s="174"/>
      <c r="IQ207" s="174"/>
      <c r="IR207" s="174"/>
      <c r="IS207" s="174"/>
      <c r="IT207" s="174"/>
      <c r="IU207" s="174"/>
      <c r="IV207" s="174"/>
      <c r="IW207" s="174"/>
    </row>
    <row r="208" customFormat="false" ht="12.75" hidden="false" customHeight="false" outlineLevel="0" collapsed="false">
      <c r="A208" s="165"/>
      <c r="B208" s="174"/>
      <c r="C208" s="174"/>
      <c r="D208" s="174"/>
      <c r="E208" s="174"/>
      <c r="F208" s="174"/>
      <c r="G208" s="174"/>
      <c r="H208" s="174"/>
      <c r="I208" s="174"/>
      <c r="J208" s="220"/>
      <c r="K208" s="174"/>
      <c r="L208" s="221"/>
      <c r="M208" s="115"/>
      <c r="O208" s="115"/>
      <c r="P208" s="115" t="n">
        <v>5511</v>
      </c>
      <c r="Q208" s="115"/>
      <c r="R208" s="115" t="n">
        <v>0</v>
      </c>
      <c r="S208" s="115"/>
      <c r="T208" s="115"/>
      <c r="U208" s="115"/>
      <c r="V208" s="115"/>
      <c r="X208" s="115"/>
      <c r="Z208" s="115"/>
      <c r="AB208" s="115"/>
      <c r="AD208" s="115"/>
      <c r="BL208" s="115"/>
      <c r="BM208" s="115"/>
      <c r="BN208" s="115" t="n">
        <f aca="false">SUM(T208:BM208)</f>
        <v>0</v>
      </c>
      <c r="BO208" s="115"/>
      <c r="BP208" s="115" t="n">
        <v>0</v>
      </c>
      <c r="BQ208" s="115"/>
      <c r="BR208" s="115" t="n">
        <f aca="false">IF(+R208-BN208+BP208&gt;0,R208-BN208+BP208,0)</f>
        <v>0</v>
      </c>
      <c r="BT208" s="115" t="n">
        <f aca="false">+BN208+BR208</f>
        <v>0</v>
      </c>
      <c r="BV208" s="115" t="n">
        <f aca="false">+R208-BT208</f>
        <v>0</v>
      </c>
      <c r="BW208" s="115"/>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c r="IO208" s="174"/>
      <c r="IP208" s="174"/>
      <c r="IQ208" s="174"/>
      <c r="IR208" s="174"/>
      <c r="IS208" s="174"/>
      <c r="IT208" s="174"/>
      <c r="IU208" s="174"/>
      <c r="IV208" s="174"/>
      <c r="IW208" s="174"/>
    </row>
    <row r="209" customFormat="false" ht="12.75" hidden="false" customHeight="false" outlineLevel="0" collapsed="false">
      <c r="A209" s="182"/>
      <c r="B209" s="216" t="s">
        <v>271</v>
      </c>
      <c r="C209" s="2"/>
      <c r="D209" s="2"/>
      <c r="E209" s="2"/>
      <c r="F209" s="2"/>
      <c r="G209" s="2"/>
      <c r="H209" s="2"/>
      <c r="I209" s="2"/>
      <c r="J209" s="3"/>
      <c r="K209" s="2"/>
      <c r="L209" s="188"/>
      <c r="M209" s="24"/>
      <c r="N209" s="210" t="n">
        <f aca="false">SUM(N206:N208)</f>
        <v>500000</v>
      </c>
      <c r="O209" s="210" t="n">
        <f aca="false">SUM(O206:O208)</f>
        <v>0</v>
      </c>
      <c r="P209" s="210" t="n">
        <f aca="false">SUM(P206:P208)</f>
        <v>-10271.2</v>
      </c>
      <c r="Q209" s="210" t="n">
        <f aca="false">SUM(Q206:Q208)</f>
        <v>0</v>
      </c>
      <c r="R209" s="210" t="n">
        <f aca="false">SUM(R206:R208)</f>
        <v>500000</v>
      </c>
      <c r="S209" s="24"/>
      <c r="T209" s="210" t="n">
        <f aca="false">SUM(T206:T208)</f>
        <v>0</v>
      </c>
      <c r="U209" s="24"/>
      <c r="V209" s="210" t="n">
        <f aca="false">SUM(V206:V208)</f>
        <v>0</v>
      </c>
      <c r="W209" s="24"/>
      <c r="X209" s="210" t="n">
        <f aca="false">SUM(X206:X208)</f>
        <v>0</v>
      </c>
      <c r="Y209" s="24"/>
      <c r="Z209" s="210" t="n">
        <f aca="false">SUM(Z206:Z208)</f>
        <v>0</v>
      </c>
      <c r="AA209" s="24"/>
      <c r="AB209" s="210" t="n">
        <f aca="false">SUM(AB206:AB208)</f>
        <v>0</v>
      </c>
      <c r="AC209" s="24"/>
      <c r="AD209" s="210" t="n">
        <f aca="false">SUM(AD206:AD208)</f>
        <v>0</v>
      </c>
      <c r="AE209" s="24"/>
      <c r="AF209" s="210" t="n">
        <f aca="false">SUM(AF206:AF208)</f>
        <v>0</v>
      </c>
      <c r="AG209" s="24"/>
      <c r="AH209" s="210" t="n">
        <f aca="false">SUM(AH206:AH208)</f>
        <v>0</v>
      </c>
      <c r="AI209" s="24"/>
      <c r="AJ209" s="210" t="n">
        <f aca="false">SUM(AJ206:AJ208)</f>
        <v>3543</v>
      </c>
      <c r="AK209" s="24"/>
      <c r="AL209" s="210" t="n">
        <f aca="false">SUM(AL206:AL208)</f>
        <v>14302.18</v>
      </c>
      <c r="AM209" s="210"/>
      <c r="AN209" s="210" t="n">
        <f aca="false">SUM(AN206:AN208)</f>
        <v>13885.7</v>
      </c>
      <c r="AO209" s="24"/>
      <c r="AP209" s="210" t="n">
        <f aca="false">SUM(AP206:AP208)</f>
        <v>27414.72</v>
      </c>
      <c r="AQ209" s="24"/>
      <c r="AR209" s="210" t="n">
        <f aca="false">SUM(AR206:AR208)</f>
        <v>13907.58</v>
      </c>
      <c r="AS209" s="24"/>
      <c r="AT209" s="210" t="n">
        <f aca="false">SUM(AT206:AT208)</f>
        <v>259842.83</v>
      </c>
      <c r="AU209" s="24"/>
      <c r="AV209" s="210" t="n">
        <f aca="false">SUM(AV206:AV208)</f>
        <v>0</v>
      </c>
      <c r="AW209" s="24"/>
      <c r="AX209" s="210" t="n">
        <f aca="false">SUM(AX206:AX208)</f>
        <v>0</v>
      </c>
      <c r="AY209" s="24"/>
      <c r="AZ209" s="210" t="n">
        <f aca="false">SUM(AZ206:AZ208)</f>
        <v>0</v>
      </c>
      <c r="BA209" s="24"/>
      <c r="BB209" s="210" t="n">
        <f aca="false">SUM(BB206:BB208)</f>
        <v>0</v>
      </c>
      <c r="BC209" s="24"/>
      <c r="BD209" s="210" t="n">
        <f aca="false">SUM(BD206:BD208)</f>
        <v>0</v>
      </c>
      <c r="BE209" s="24"/>
      <c r="BF209" s="210" t="n">
        <f aca="false">SUM(BF206:BF208)</f>
        <v>0</v>
      </c>
      <c r="BG209" s="24"/>
      <c r="BH209" s="210" t="n">
        <f aca="false">SUM(BH206:BH208)</f>
        <v>0</v>
      </c>
      <c r="BI209" s="24"/>
      <c r="BJ209" s="210" t="n">
        <f aca="false">SUM(BJ206:BJ208)</f>
        <v>0</v>
      </c>
      <c r="BK209" s="24"/>
      <c r="BL209" s="210" t="n">
        <f aca="false">SUM(BL206:BL208)</f>
        <v>0</v>
      </c>
      <c r="BM209" s="24"/>
      <c r="BN209" s="210" t="n">
        <f aca="false">SUM(BN206:BN208)</f>
        <v>332896.01</v>
      </c>
      <c r="BO209" s="24"/>
      <c r="BP209" s="210" t="n">
        <f aca="false">SUM(BP206:BP208)</f>
        <v>0</v>
      </c>
      <c r="BQ209" s="24"/>
      <c r="BR209" s="210" t="n">
        <f aca="false">SUM(BR206:BR208)</f>
        <v>419312.45</v>
      </c>
      <c r="BS209" s="24"/>
      <c r="BT209" s="210" t="n">
        <f aca="false">SUM(BT206:BT208)</f>
        <v>752208.46</v>
      </c>
      <c r="BU209" s="24"/>
      <c r="BV209" s="210"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5"/>
      <c r="B210" s="216"/>
      <c r="C210" s="2"/>
      <c r="D210" s="2"/>
      <c r="E210" s="2"/>
      <c r="F210" s="2"/>
      <c r="G210" s="2"/>
      <c r="H210" s="2"/>
      <c r="I210" s="2"/>
      <c r="J210" s="3"/>
      <c r="K210" s="2"/>
      <c r="L210" s="188"/>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5" t="s">
        <v>272</v>
      </c>
      <c r="B211" s="216"/>
      <c r="C211" s="216"/>
      <c r="D211" s="216"/>
      <c r="E211" s="216"/>
      <c r="F211" s="216"/>
      <c r="G211" s="216"/>
      <c r="H211" s="216"/>
      <c r="I211" s="216"/>
      <c r="J211" s="217"/>
      <c r="K211" s="216"/>
      <c r="L211" s="218" t="s">
        <v>142</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719263.908654332</v>
      </c>
      <c r="BA211" s="24"/>
      <c r="BB211" s="115" t="n">
        <v>785204.910035932</v>
      </c>
      <c r="BC211" s="24"/>
      <c r="BD211" s="24" t="n">
        <v>0</v>
      </c>
      <c r="BE211" s="24"/>
      <c r="BF211" s="24" t="n">
        <v>0</v>
      </c>
      <c r="BG211" s="24"/>
      <c r="BH211" s="24" t="n">
        <v>0</v>
      </c>
      <c r="BI211" s="24"/>
      <c r="BJ211" s="24" t="n">
        <v>0</v>
      </c>
      <c r="BK211" s="24"/>
      <c r="BL211" s="24" t="n">
        <v>0</v>
      </c>
      <c r="BM211" s="24"/>
      <c r="BN211" s="24" t="n">
        <f aca="false">SUM(T211:BM211)</f>
        <v>9267221.84487463</v>
      </c>
      <c r="BO211" s="24"/>
      <c r="BP211" s="24" t="n">
        <v>0</v>
      </c>
      <c r="BQ211" s="24"/>
      <c r="BR211" s="115" t="n">
        <f aca="false">IF(+R211-BN211+BP211&gt;0,R211-BN211+BP211,0)-R211+[1]Gleason!$Z$40</f>
        <v>1725939.09243743</v>
      </c>
      <c r="BS211" s="24"/>
      <c r="BT211" s="24" t="n">
        <f aca="false">+BN211+BR211</f>
        <v>10993160.9373121</v>
      </c>
      <c r="BU211" s="24"/>
      <c r="BV211" s="24" t="n">
        <f aca="false">+R211-BT211</f>
        <v>346883.062687941</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6"/>
      <c r="DV211" s="216"/>
      <c r="DW211" s="216"/>
      <c r="DX211" s="216"/>
      <c r="DY211" s="216"/>
      <c r="DZ211" s="216"/>
      <c r="EA211" s="216"/>
      <c r="EB211" s="216"/>
      <c r="EC211" s="216"/>
      <c r="ED211" s="216"/>
      <c r="EE211" s="216"/>
      <c r="EF211" s="216"/>
      <c r="EG211" s="216"/>
      <c r="EH211" s="216"/>
      <c r="EI211" s="216"/>
      <c r="EJ211" s="216"/>
      <c r="EK211" s="216"/>
      <c r="EL211" s="216"/>
      <c r="EM211" s="216"/>
      <c r="EN211" s="216"/>
      <c r="EO211" s="216"/>
      <c r="EP211" s="216"/>
      <c r="EQ211" s="216"/>
      <c r="ER211" s="216"/>
      <c r="ES211" s="216"/>
      <c r="ET211" s="216"/>
      <c r="EU211" s="216"/>
      <c r="EV211" s="216"/>
      <c r="EW211" s="216"/>
      <c r="EX211" s="216"/>
      <c r="EY211" s="216"/>
      <c r="EZ211" s="216"/>
      <c r="FA211" s="216"/>
      <c r="FB211" s="216"/>
      <c r="FC211" s="216"/>
      <c r="FD211" s="216"/>
      <c r="FE211" s="216"/>
      <c r="FF211" s="216"/>
      <c r="FG211" s="216"/>
      <c r="FH211" s="216"/>
      <c r="FI211" s="216"/>
      <c r="FJ211" s="216"/>
      <c r="FK211" s="216"/>
      <c r="FL211" s="216"/>
      <c r="FM211" s="216"/>
      <c r="FN211" s="216"/>
      <c r="FO211" s="216"/>
      <c r="FP211" s="216"/>
      <c r="FQ211" s="216"/>
      <c r="FR211" s="216"/>
      <c r="FS211" s="216"/>
      <c r="FT211" s="216"/>
      <c r="FU211" s="216"/>
      <c r="FV211" s="216"/>
      <c r="FW211" s="216"/>
      <c r="FX211" s="216"/>
      <c r="FY211" s="216"/>
      <c r="FZ211" s="216"/>
      <c r="GA211" s="216"/>
      <c r="GB211" s="216"/>
      <c r="GC211" s="216"/>
      <c r="GD211" s="216"/>
      <c r="GE211" s="216"/>
      <c r="GF211" s="216"/>
      <c r="GG211" s="216"/>
      <c r="GH211" s="216"/>
      <c r="GI211" s="216"/>
      <c r="GJ211" s="216"/>
      <c r="GK211" s="216"/>
      <c r="GL211" s="216"/>
      <c r="GM211" s="216"/>
      <c r="GN211" s="216"/>
      <c r="GO211" s="216"/>
      <c r="GP211" s="216"/>
      <c r="GQ211" s="216"/>
      <c r="GR211" s="216"/>
      <c r="GS211" s="216"/>
      <c r="GT211" s="216"/>
      <c r="GU211" s="216"/>
      <c r="GV211" s="216"/>
      <c r="GW211" s="216"/>
      <c r="GX211" s="216"/>
      <c r="GY211" s="216"/>
      <c r="GZ211" s="216"/>
      <c r="HA211" s="216"/>
      <c r="HB211" s="216"/>
      <c r="HC211" s="216"/>
      <c r="HD211" s="216"/>
      <c r="HE211" s="216"/>
      <c r="HF211" s="216"/>
      <c r="HG211" s="216"/>
      <c r="HH211" s="216"/>
      <c r="HI211" s="216"/>
      <c r="HJ211" s="216"/>
      <c r="HK211" s="216"/>
      <c r="HL211" s="216"/>
      <c r="HM211" s="216"/>
      <c r="HN211" s="216"/>
      <c r="HO211" s="216"/>
      <c r="HP211" s="216"/>
      <c r="HQ211" s="216"/>
      <c r="HR211" s="216"/>
      <c r="HS211" s="216"/>
      <c r="HT211" s="216"/>
      <c r="HU211" s="216"/>
      <c r="HV211" s="216"/>
      <c r="HW211" s="216"/>
      <c r="HX211" s="216"/>
      <c r="HY211" s="216"/>
      <c r="HZ211" s="216"/>
      <c r="IA211" s="216"/>
      <c r="IB211" s="216"/>
      <c r="IC211" s="216"/>
      <c r="ID211" s="216"/>
      <c r="IE211" s="216"/>
      <c r="IF211" s="216"/>
      <c r="IG211" s="216"/>
      <c r="IH211" s="216"/>
      <c r="II211" s="216"/>
      <c r="IJ211" s="216"/>
      <c r="IK211" s="216"/>
      <c r="IL211" s="216"/>
      <c r="IM211" s="216"/>
      <c r="IN211" s="216"/>
      <c r="IO211" s="216"/>
      <c r="IP211" s="216"/>
      <c r="IQ211" s="216"/>
      <c r="IR211" s="216"/>
      <c r="IS211" s="216"/>
      <c r="IT211" s="216"/>
      <c r="IU211" s="216"/>
      <c r="IV211" s="216"/>
      <c r="IW211" s="216"/>
    </row>
    <row r="212" customFormat="false" ht="12.75" hidden="false" customHeight="false" outlineLevel="0" collapsed="false">
      <c r="A212" s="182"/>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2" t="s">
        <v>273</v>
      </c>
      <c r="B213" s="223"/>
      <c r="C213" s="197"/>
      <c r="D213" s="197"/>
      <c r="E213" s="197"/>
      <c r="F213" s="197"/>
      <c r="G213" s="197"/>
      <c r="H213" s="197"/>
      <c r="I213" s="197"/>
      <c r="J213" s="198"/>
      <c r="K213" s="197"/>
      <c r="L213" s="199"/>
      <c r="M213" s="200"/>
      <c r="N213" s="200"/>
      <c r="O213" s="200"/>
      <c r="P213" s="200"/>
      <c r="Q213" s="200"/>
      <c r="R213" s="200" t="n">
        <f aca="false">R211+R203+R194+R192+R190+R184+R159+R149+R142+R140+R138+R136+R134+R209</f>
        <v>17979878</v>
      </c>
      <c r="S213" s="200" t="n">
        <f aca="false">S211+S203+S194+S192+S190+S184+S159+S149+S142+S140+S138+S136+S134+S209</f>
        <v>0</v>
      </c>
      <c r="T213" s="200" t="n">
        <f aca="false">T211+T203+T194+T192+T190+T184+T159+T149+T142+T140+T138+T136+T134+T209</f>
        <v>0</v>
      </c>
      <c r="U213" s="200" t="n">
        <f aca="false">U211+U203+U194+U192+U190+U184+U159+U149+U142+U140+U138+U136+U134+U209</f>
        <v>0</v>
      </c>
      <c r="V213" s="200" t="n">
        <f aca="false">V211+V203+V194+V192+V190+V184+V159+V149+V142+V140+V138+V136+V134+V209</f>
        <v>0</v>
      </c>
      <c r="W213" s="200" t="n">
        <f aca="false">W211+W203+W194+W192+W190+W184+W159+W149+W142+W140+W138+W136+W134+W209</f>
        <v>0</v>
      </c>
      <c r="X213" s="200" t="n">
        <f aca="false">X211+X203+X194+X192+X190+X184+X159+X149+X142+X140+X138+X136+X134+X209</f>
        <v>0</v>
      </c>
      <c r="Y213" s="200" t="n">
        <f aca="false">Y211+Y203+Y194+Y192+Y190+Y184+Y159+Y149+Y142+Y140+Y138+Y136+Y134+Y209</f>
        <v>0</v>
      </c>
      <c r="Z213" s="200" t="n">
        <f aca="false">Z211+Z203+Z194+Z192+Z190+Z184+Z159+Z149+Z142+Z140+Z138+Z136+Z134+Z209</f>
        <v>0</v>
      </c>
      <c r="AA213" s="200" t="n">
        <f aca="false">AA211+AA203+AA194+AA192+AA190+AA184+AA159+AA149+AA142+AA140+AA138+AA136+AA134+AA209</f>
        <v>0</v>
      </c>
      <c r="AB213" s="200" t="n">
        <f aca="false">AB211+AB203+AB194+AB192+AB190+AB184+AB159+AB149+AB142+AB140+AB138+AB136+AB134+AB209</f>
        <v>0</v>
      </c>
      <c r="AC213" s="200" t="n">
        <f aca="false">AC211+AC203+AC194+AC192+AC190+AC184+AC159+AC149+AC142+AC140+AC138+AC136+AC134+AC209</f>
        <v>0</v>
      </c>
      <c r="AD213" s="200" t="n">
        <f aca="false">AD211+AD203+AD194+AD192+AD190+AD184+AD159+AD149+AD142+AD140+AD138+AD136+AD134+AD209</f>
        <v>0</v>
      </c>
      <c r="AE213" s="200" t="n">
        <f aca="false">AE211+AE203+AE194+AE192+AE190+AE184+AE159+AE149+AE142+AE140+AE138+AE136+AE134+AE209</f>
        <v>0</v>
      </c>
      <c r="AF213" s="200" t="n">
        <f aca="false">AF211+AF203+AF194+AF192+AF190+AF184+AF159+AF149+AF142+AF140+AF138+AF136+AF134+AF209</f>
        <v>0</v>
      </c>
      <c r="AG213" s="200" t="n">
        <f aca="false">AG211+AG203+AG194+AG192+AG190+AG184+AG159+AG149+AG142+AG140+AG138+AG136+AG134+AG209</f>
        <v>0</v>
      </c>
      <c r="AH213" s="200" t="n">
        <f aca="false">AH211+AH203+AH194+AH192+AH190+AH184+AH159+AH149+AH142+AH140+AH138+AH136+AH134+AH209</f>
        <v>0</v>
      </c>
      <c r="AI213" s="200"/>
      <c r="AJ213" s="200" t="n">
        <f aca="false">AJ211+AJ203+AJ194+AJ192+AJ190+AJ184+AJ159+AJ149+AJ142+AJ140+AJ138+AJ136+AJ134+AJ209</f>
        <v>22626.81</v>
      </c>
      <c r="AK213" s="200"/>
      <c r="AL213" s="200" t="n">
        <f aca="false">AL211+AL203+AL194+AL192+AL190+AL184+AL159+AL149+AL142+AL140+AL138+AL136+AL134+AL209</f>
        <v>4956551.49</v>
      </c>
      <c r="AM213" s="200"/>
      <c r="AN213" s="200" t="n">
        <f aca="false">AN211+AN203+AN194+AN192+AN190+AN184+AN159+AN149+AN142+AN140+AN138+AN136+AN134+AN209</f>
        <v>715387.54</v>
      </c>
      <c r="AO213" s="200"/>
      <c r="AP213" s="200" t="n">
        <f aca="false">AP211+AP203+AP194+AP192+AP190+AP184+AP159+AP149+AP142+AP140+AP138+AP136+AP134+AP209</f>
        <v>563736.272676389</v>
      </c>
      <c r="AQ213" s="200"/>
      <c r="AR213" s="200" t="n">
        <f aca="false">AR211+AR203+AR194+AR192+AR190+AR184+AR159+AR149+AR142+AR140+AR138+AR136+AR134+AR209</f>
        <v>949916.533229775</v>
      </c>
      <c r="AS213" s="200" t="n">
        <f aca="false">AS211+AS203+AS194+AS192+AS190+AS184+AS159+AS149+AS142+AS140+AS138+AS136+AS134+AS209</f>
        <v>0</v>
      </c>
      <c r="AT213" s="200" t="n">
        <f aca="false">AT211+AT203+AT194+AT192+AT190+AT184+AT159+AT149+AT142+AT140+AT138+AT136+AT134+AT209</f>
        <v>1188453.06527366</v>
      </c>
      <c r="AU213" s="200" t="n">
        <f aca="false">AU211+AU203+AU194+AU192+AU190+AU184+AU159+AU149+AU142+AU140+AU138+AU136+AU134+AU209</f>
        <v>0</v>
      </c>
      <c r="AV213" s="200" t="n">
        <f aca="false">AV211+AV203+AV194+AV192+AV190+AV184+AV159+AV149+AV142+AV140+AV138+AV136+AV134+AV209</f>
        <v>760946.356941113</v>
      </c>
      <c r="AW213" s="200" t="n">
        <f aca="false">AW211+AW203+AW194+AW192+AW190+AW184+AW159+AW149+AW142+AW140+AW138+AW136+AW134+AW209</f>
        <v>0</v>
      </c>
      <c r="AX213" s="200" t="n">
        <f aca="false">AX211+AX203+AX194+AX192+AX190+AX184+AX159+AX149+AX142+AX140+AX138+AX136+AX134+AX209</f>
        <v>797859.408063433</v>
      </c>
      <c r="AY213" s="200" t="n">
        <f aca="false">AY211+AY203+AY194+AY192+AY190+AY184+AY159+AY149+AY142+AY140+AY138+AY136+AY134+AY209</f>
        <v>0</v>
      </c>
      <c r="AZ213" s="200" t="n">
        <f aca="false">AZ211+AZ203+AZ194+AZ192+AZ190+AZ184+AZ159+AZ149+AZ142+AZ140+AZ138+AZ136+AZ134+AZ209</f>
        <v>1071160.47865433</v>
      </c>
      <c r="BA213" s="200" t="n">
        <f aca="false">BA211+BA203+BA194+BA192+BA190+BA184+BA159+BA149+BA142+BA140+BA138+BA136+BA134+BA209</f>
        <v>0</v>
      </c>
      <c r="BB213" s="200" t="n">
        <f aca="false">BB211+BB203+BB194+BB192+BB190+BB184+BB159+BB149+BB142+BB140+BB138+BB136+BB134+BB209</f>
        <v>1141447.02003593</v>
      </c>
      <c r="BC213" s="200" t="n">
        <f aca="false">BC211+BC203+BC194+BC192+BC190+BC184+BC159+BC149+BC142+BC140+BC138+BC136+BC134+BC209</f>
        <v>0</v>
      </c>
      <c r="BD213" s="200" t="n">
        <f aca="false">BD211+BD203+BD194+BD192+BD190+BD184+BD159+BD149+BD142+BD140+BD138+BD136+BD134+BD209</f>
        <v>326994.84</v>
      </c>
      <c r="BE213" s="200" t="n">
        <f aca="false">BE211+BE203+BE194+BE192+BE190+BE184+BE159+BE149+BE142+BE140+BE138+BE136+BE134+BE209</f>
        <v>0</v>
      </c>
      <c r="BF213" s="200" t="n">
        <f aca="false">BF211+BF203+BF194+BF192+BF190+BF184+BF159+BF149+BF142+BF140+BF138+BF136+BF134+BF209</f>
        <v>0</v>
      </c>
      <c r="BG213" s="200" t="n">
        <f aca="false">BG211+BG203+BG194+BG192+BG190+BG184+BG159+BG149+BG142+BG140+BG138+BG136+BG134+BG209</f>
        <v>0</v>
      </c>
      <c r="BH213" s="200" t="n">
        <f aca="false">BH211+BH203+BH194+BH192+BH190+BH184+BH159+BH149+BH142+BH140+BH138+BH136+BH134+BH209</f>
        <v>0</v>
      </c>
      <c r="BI213" s="200" t="n">
        <f aca="false">BI211+BI203+BI194+BI192+BI190+BI184+BI159+BI149+BI142+BI140+BI138+BI136+BI134+BI209</f>
        <v>0</v>
      </c>
      <c r="BJ213" s="200" t="n">
        <f aca="false">BJ211+BJ203+BJ194+BJ192+BJ190+BJ184+BJ159+BJ149+BJ142+BJ140+BJ138+BJ136+BJ134+BJ209</f>
        <v>0</v>
      </c>
      <c r="BK213" s="200" t="n">
        <f aca="false">BK211+BK203+BK194+BK192+BK190+BK184+BK159+BK149+BK142+BK140+BK138+BK136+BK134+BK209</f>
        <v>0</v>
      </c>
      <c r="BL213" s="200" t="n">
        <f aca="false">BL211+BL203+BL194+BL192+BL190+BL184+BL159+BL149+BL142+BL140+BL138+BL136+BL134+BL209</f>
        <v>0</v>
      </c>
      <c r="BM213" s="200" t="n">
        <f aca="false">BM211+BM203+BM194+BM192+BM190+BM184+BM159+BM149+BM142+BM140+BM138+BM136+BM134+BM209</f>
        <v>0</v>
      </c>
      <c r="BN213" s="200" t="n">
        <f aca="false">BN211+BN203+BN194+BN192+BN190+BN184+BN159+BN149+BN142+BN140+BN138+BN136+BN134+BN209</f>
        <v>12495079.8148746</v>
      </c>
      <c r="BO213" s="200" t="n">
        <f aca="false">BO211+BO203+BO194+BO192+BO190+BO184+BO159+BO149+BO142+BO140+BO138+BO136+BO134+BO209</f>
        <v>0</v>
      </c>
      <c r="BP213" s="200" t="n">
        <f aca="false">BP211+BP203+BP194+BP192+BP190+BP184+BP159+BP149+BP142+BP140+BP138+BP136+BP134+BP209</f>
        <v>0</v>
      </c>
      <c r="BQ213" s="200" t="n">
        <f aca="false">BQ211+BQ203+BQ194+BQ192+BQ190+BQ184+BQ159+BQ149+BQ142+BQ140+BQ138+BQ136+BQ134+BQ209</f>
        <v>0</v>
      </c>
      <c r="BR213" s="200" t="n">
        <f aca="false">BR211+BR203+BR194+BR192+BR190+BR184+BR159+BR149+BR142+BR140+BR138+BR136+BR134+BR209</f>
        <v>6287108.01243743</v>
      </c>
      <c r="BS213" s="200" t="n">
        <f aca="false">BS211+BS203+BS194+BS192+BS190+BS184+BS159+BS149+BS142+BS140+BS138+BS136+BS134+BS209</f>
        <v>0</v>
      </c>
      <c r="BT213" s="200" t="n">
        <f aca="false">BT211+BT203+BT194+BT192+BT190+BT184+BT159+BT149+BT142+BT140+BT138+BT136+BT134+BT209</f>
        <v>18782187.8273121</v>
      </c>
      <c r="BU213" s="200" t="n">
        <f aca="false">BU211+BU203+BU194+BU192+BU190+BU184+BU159+BU149+BU142+BU140+BU138+BU136+BU134+BU209</f>
        <v>0</v>
      </c>
      <c r="BV213" s="200" t="n">
        <f aca="false">BV211+BV203+BV194+BV192+BV190+BV184+BV159+BV149+BV142+BV140+BV138+BV136+BV134+BV209+BV182</f>
        <v>-2601779.65731206</v>
      </c>
      <c r="BW213" s="200"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7"/>
      <c r="DV213" s="197"/>
      <c r="DW213" s="197"/>
      <c r="DX213" s="197"/>
      <c r="DY213" s="197"/>
      <c r="DZ213" s="197"/>
      <c r="EA213" s="197"/>
      <c r="EB213" s="197"/>
      <c r="EC213" s="197"/>
      <c r="ED213" s="197"/>
      <c r="EE213" s="197"/>
      <c r="EF213" s="197"/>
      <c r="EG213" s="197"/>
      <c r="EH213" s="197"/>
      <c r="EI213" s="197"/>
      <c r="EJ213" s="197"/>
      <c r="EK213" s="197"/>
      <c r="EL213" s="197"/>
      <c r="EM213" s="197"/>
      <c r="EN213" s="197"/>
      <c r="EO213" s="197"/>
      <c r="EP213" s="197"/>
      <c r="EQ213" s="197"/>
      <c r="ER213" s="197"/>
      <c r="ES213" s="197"/>
      <c r="ET213" s="197"/>
      <c r="EU213" s="197"/>
      <c r="EV213" s="197"/>
      <c r="EW213" s="197"/>
      <c r="EX213" s="197"/>
      <c r="EY213" s="197"/>
      <c r="EZ213" s="197"/>
      <c r="FA213" s="197"/>
      <c r="FB213" s="197"/>
      <c r="FC213" s="197"/>
      <c r="FD213" s="197"/>
      <c r="FE213" s="197"/>
      <c r="FF213" s="197"/>
      <c r="FG213" s="197"/>
      <c r="FH213" s="197"/>
      <c r="FI213" s="197"/>
      <c r="FJ213" s="197"/>
      <c r="FK213" s="197"/>
      <c r="FL213" s="197"/>
      <c r="FM213" s="197"/>
      <c r="FN213" s="197"/>
      <c r="FO213" s="197"/>
      <c r="FP213" s="197"/>
      <c r="FQ213" s="197"/>
      <c r="FR213" s="197"/>
      <c r="FS213" s="197"/>
      <c r="FT213" s="197"/>
      <c r="FU213" s="197"/>
      <c r="FV213" s="197"/>
      <c r="FW213" s="197"/>
      <c r="FX213" s="197"/>
      <c r="FY213" s="197"/>
      <c r="FZ213" s="197"/>
      <c r="GA213" s="197"/>
      <c r="GB213" s="197"/>
      <c r="GC213" s="197"/>
      <c r="GD213" s="197"/>
      <c r="GE213" s="197"/>
      <c r="GF213" s="197"/>
      <c r="GG213" s="197"/>
      <c r="GH213" s="197"/>
      <c r="GI213" s="197"/>
      <c r="GJ213" s="197"/>
      <c r="GK213" s="197"/>
      <c r="GL213" s="197"/>
      <c r="GM213" s="197"/>
      <c r="GN213" s="197"/>
      <c r="GO213" s="197"/>
      <c r="GP213" s="197"/>
      <c r="GQ213" s="197"/>
      <c r="GR213" s="197"/>
      <c r="GS213" s="197"/>
      <c r="GT213" s="197"/>
      <c r="GU213" s="197"/>
      <c r="GV213" s="197"/>
      <c r="GW213" s="197"/>
      <c r="GX213" s="197"/>
      <c r="GY213" s="197"/>
      <c r="GZ213" s="197"/>
      <c r="HA213" s="197"/>
      <c r="HB213" s="197"/>
      <c r="HC213" s="197"/>
      <c r="HD213" s="197"/>
      <c r="HE213" s="197"/>
      <c r="HF213" s="197"/>
      <c r="HG213" s="197"/>
      <c r="HH213" s="197"/>
      <c r="HI213" s="197"/>
      <c r="HJ213" s="197"/>
      <c r="HK213" s="197"/>
      <c r="HL213" s="197"/>
      <c r="HM213" s="197"/>
      <c r="HN213" s="197"/>
      <c r="HO213" s="197"/>
      <c r="HP213" s="197"/>
      <c r="HQ213" s="197"/>
      <c r="HR213" s="197"/>
      <c r="HS213" s="197"/>
      <c r="HT213" s="197"/>
      <c r="HU213" s="197"/>
      <c r="HV213" s="197"/>
      <c r="HW213" s="197"/>
      <c r="HX213" s="197"/>
      <c r="HY213" s="197"/>
      <c r="HZ213" s="197"/>
      <c r="IA213" s="197"/>
      <c r="IB213" s="197"/>
      <c r="IC213" s="197"/>
      <c r="ID213" s="197"/>
      <c r="IE213" s="197"/>
      <c r="IF213" s="197"/>
      <c r="IG213" s="197"/>
      <c r="IH213" s="197"/>
      <c r="II213" s="197"/>
      <c r="IJ213" s="197"/>
      <c r="IK213" s="197"/>
      <c r="IL213" s="197"/>
      <c r="IM213" s="197"/>
      <c r="IN213" s="197"/>
      <c r="IO213" s="197"/>
      <c r="IP213" s="197"/>
      <c r="IQ213" s="197"/>
      <c r="IR213" s="197"/>
      <c r="IS213" s="197"/>
      <c r="IT213" s="197"/>
      <c r="IU213" s="197"/>
      <c r="IV213" s="197"/>
      <c r="IW213" s="197"/>
    </row>
    <row r="214" customFormat="false" ht="12.75" hidden="false" customHeight="false" outlineLevel="0" collapsed="false">
      <c r="A214" s="182"/>
      <c r="B214" s="216"/>
      <c r="C214" s="2"/>
      <c r="D214" s="2"/>
      <c r="E214" s="2"/>
      <c r="F214" s="2"/>
      <c r="G214" s="2"/>
      <c r="H214" s="2"/>
      <c r="I214" s="2"/>
      <c r="J214" s="3"/>
      <c r="K214" s="2"/>
      <c r="L214" s="188"/>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82" t="s">
        <v>178</v>
      </c>
      <c r="B215" s="216"/>
      <c r="C215" s="2"/>
      <c r="D215" s="2"/>
      <c r="E215" s="2"/>
      <c r="F215" s="2"/>
      <c r="G215" s="2"/>
      <c r="H215" s="2"/>
      <c r="I215" s="2"/>
      <c r="J215" s="3"/>
      <c r="K215" s="2"/>
      <c r="L215" s="188" t="s">
        <v>142</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t="n">
        <f aca="false">SUM(T215:BM215)</f>
        <v>0</v>
      </c>
      <c r="BO215" s="24"/>
      <c r="BP215" s="24" t="n">
        <v>-5423498</v>
      </c>
      <c r="BQ215" s="24" t="n">
        <v>2030320</v>
      </c>
      <c r="BR215" s="115" t="n">
        <f aca="false">IF(+R215-BN215+BP215&gt;0,R215-BN215+BP215,0)</f>
        <v>0</v>
      </c>
      <c r="BS215" s="24" t="n">
        <v>2030320</v>
      </c>
      <c r="BT215" s="24" t="n">
        <f aca="false">+BN215+BR215</f>
        <v>0</v>
      </c>
      <c r="BU215" s="24" t="n">
        <v>2030320</v>
      </c>
      <c r="BV215" s="115"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5"/>
      <c r="B216" s="216"/>
      <c r="C216" s="2"/>
      <c r="D216" s="2"/>
      <c r="E216" s="2"/>
      <c r="F216" s="2"/>
      <c r="G216" s="2"/>
      <c r="H216" s="2"/>
      <c r="I216" s="2"/>
      <c r="J216" s="3"/>
      <c r="K216" s="2"/>
      <c r="L216" s="188"/>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5" t="s">
        <v>403</v>
      </c>
      <c r="B217" s="216"/>
      <c r="C217" s="2"/>
      <c r="D217" s="2"/>
      <c r="E217" s="2"/>
      <c r="F217" s="2"/>
      <c r="G217" s="2"/>
      <c r="H217" s="2"/>
      <c r="I217" s="2"/>
      <c r="J217" s="3"/>
      <c r="K217" s="2"/>
      <c r="L217" s="188"/>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15"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82"/>
      <c r="B218" s="216"/>
      <c r="C218" s="2"/>
      <c r="D218" s="2"/>
      <c r="E218" s="2"/>
      <c r="F218" s="2"/>
      <c r="G218" s="2"/>
      <c r="H218" s="2"/>
      <c r="I218" s="2"/>
      <c r="J218" s="3"/>
      <c r="K218" s="2"/>
      <c r="L218" s="188"/>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24" t="s">
        <v>274</v>
      </c>
      <c r="B219" s="225"/>
      <c r="C219" s="225"/>
      <c r="D219" s="225"/>
      <c r="E219" s="225"/>
      <c r="F219" s="225"/>
      <c r="G219" s="225"/>
      <c r="H219" s="225"/>
      <c r="I219" s="225"/>
      <c r="J219" s="226"/>
      <c r="K219" s="225"/>
      <c r="L219" s="227"/>
      <c r="M219" s="228"/>
      <c r="N219" s="228"/>
      <c r="O219" s="228"/>
      <c r="P219" s="228"/>
      <c r="Q219" s="228"/>
      <c r="R219" s="229" t="n">
        <f aca="false">R37+R107+R97+R182+R112+R213+R215+R217</f>
        <v>170575010</v>
      </c>
      <c r="S219" s="229" t="n">
        <f aca="false">S37+S107+S97+S182+S112+S213+S215+S217</f>
        <v>0</v>
      </c>
      <c r="T219" s="229" t="n">
        <f aca="false">T37+T107+T97+T182+T112+T213+T215+T217</f>
        <v>0</v>
      </c>
      <c r="U219" s="229" t="n">
        <f aca="false">U37+U107+U97+U182+U112+U213+U215+U217</f>
        <v>0</v>
      </c>
      <c r="V219" s="229" t="n">
        <f aca="false">V37+V107+V97+V182+V112+V213+V215+V217</f>
        <v>0</v>
      </c>
      <c r="W219" s="229" t="n">
        <f aca="false">W37+W107+W97+W182+W112+W213+W215+W217</f>
        <v>0</v>
      </c>
      <c r="X219" s="229" t="n">
        <f aca="false">X37+X107+X97+X182+X112+X213+X215+X217</f>
        <v>0</v>
      </c>
      <c r="Y219" s="229" t="n">
        <f aca="false">Y37+Y107+Y97+Y182+Y112+Y213+Y215+Y217</f>
        <v>0</v>
      </c>
      <c r="Z219" s="229" t="n">
        <f aca="false">Z37+Z107+Z97+Z182+Z112+Z213+Z215+Z217</f>
        <v>0</v>
      </c>
      <c r="AA219" s="229" t="n">
        <f aca="false">AA37+AA107+AA97+AA182+AA112+AA213+AA215+AA217</f>
        <v>0</v>
      </c>
      <c r="AB219" s="229" t="n">
        <f aca="false">AB37+AB107+AB97+AB182+AB112+AB213+AB215+AB217</f>
        <v>0</v>
      </c>
      <c r="AC219" s="229" t="n">
        <f aca="false">AC37+AC107+AC97+AC182+AC112+AC213+AC215+AC217</f>
        <v>0</v>
      </c>
      <c r="AD219" s="229" t="n">
        <f aca="false">AD37+AD107+AD97+AD182+AD112+AD213+AD215+AD217</f>
        <v>0</v>
      </c>
      <c r="AE219" s="229" t="n">
        <f aca="false">AE37+AE107+AE97+AE182+AE112+AE213+AE215+AE217</f>
        <v>0</v>
      </c>
      <c r="AF219" s="229" t="n">
        <f aca="false">AF37+AF107+AF97+AF182+AF112+AF213+AF215+AF217</f>
        <v>0</v>
      </c>
      <c r="AG219" s="229" t="n">
        <f aca="false">AG37+AG107+AG97+AG182+AG112+AG213+AG215+AG217</f>
        <v>0</v>
      </c>
      <c r="AH219" s="229" t="n">
        <f aca="false">AH37+AH107+AH97+AH182+AH112+AH213+AH215+AH217</f>
        <v>0</v>
      </c>
      <c r="AI219" s="229"/>
      <c r="AJ219" s="229" t="n">
        <f aca="false">AJ37+AJ107+AJ97+AJ182+AJ112+AJ213+AJ215+AJ217</f>
        <v>22626.81</v>
      </c>
      <c r="AK219" s="229"/>
      <c r="AL219" s="229" t="n">
        <f aca="false">AL37+AL107+AL97+AL182+AL112+AL213+AL215+AL217</f>
        <v>93152637.49</v>
      </c>
      <c r="AM219" s="229"/>
      <c r="AN219" s="229" t="n">
        <f aca="false">AN37+AN107+AN97+AN182+AN112+AN213+AN215+AN217</f>
        <v>715387.54</v>
      </c>
      <c r="AO219" s="229"/>
      <c r="AP219" s="229" t="n">
        <f aca="false">AP37+AP107+AP97+AP182+AP112+AP213+AP215+AP217</f>
        <v>2178269.81267639</v>
      </c>
      <c r="AQ219" s="229"/>
      <c r="AR219" s="229" t="n">
        <f aca="false">AR37+AR107+AR97+AR182+AR112+AR213+AR215+AR217</f>
        <v>7520808.75322978</v>
      </c>
      <c r="AS219" s="229" t="n">
        <f aca="false">AS37+AS107+AS97+AS182+AS112+AS213+AS215+AS217</f>
        <v>0</v>
      </c>
      <c r="AT219" s="229" t="n">
        <f aca="false">AT37+AT107+AT97+AT182+AT112+AT213+AT215+AT217</f>
        <v>3033901.69527366</v>
      </c>
      <c r="AU219" s="229" t="n">
        <f aca="false">AU37+AU107+AU97+AU182+AU112+AU213+AU215+AU217</f>
        <v>0</v>
      </c>
      <c r="AV219" s="229" t="n">
        <f aca="false">AV37+AV107+AV97+AV182+AV112+AV213+AV215+AV217</f>
        <v>8287387.24694111</v>
      </c>
      <c r="AW219" s="229" t="n">
        <f aca="false">AW37+AW107+AW97+AW182+AW112+AW213+AW215+AW217</f>
        <v>0</v>
      </c>
      <c r="AX219" s="229" t="n">
        <f aca="false">AX37+AX107+AX97+AX182+AX112+AX213+AX215+AX217</f>
        <v>7624290.74806343</v>
      </c>
      <c r="AY219" s="229" t="n">
        <f aca="false">AY37+AY107+AY97+AY182+AY112+AY213+AY215+AY217</f>
        <v>0</v>
      </c>
      <c r="AZ219" s="229" t="n">
        <f aca="false">AZ37+AZ107+AZ97+AZ182+AZ112+AZ213+AZ215+AZ217</f>
        <v>11403531.2586543</v>
      </c>
      <c r="BA219" s="229" t="n">
        <f aca="false">BA37+BA107+BA97+BA182+BA112+BA213+BA215+BA217</f>
        <v>0</v>
      </c>
      <c r="BB219" s="229" t="n">
        <f aca="false">BB37+BB107+BB97+BB182+BB112+BB213+BB215+BB217</f>
        <v>12239663.5400359</v>
      </c>
      <c r="BC219" s="229" t="n">
        <f aca="false">BC37+BC107+BC97+BC182+BC112+BC213+BC215+BC217</f>
        <v>0</v>
      </c>
      <c r="BD219" s="229" t="n">
        <f aca="false">BD37+BD107+BD97+BD182+BD112+BD213+BD215+BD217</f>
        <v>3074964.06</v>
      </c>
      <c r="BE219" s="229" t="n">
        <f aca="false">BE37+BE107+BE97+BE182+BE112+BE213+BE215+BE217</f>
        <v>0</v>
      </c>
      <c r="BF219" s="229" t="n">
        <f aca="false">BF37+BF107+BF97+BF182+BF112+BF213+BF215+BF217</f>
        <v>0</v>
      </c>
      <c r="BG219" s="229" t="n">
        <f aca="false">BG37+BG107+BG97+BG182+BG112+BG213+BG215+BG217</f>
        <v>0</v>
      </c>
      <c r="BH219" s="229" t="n">
        <f aca="false">BH37+BH107+BH97+BH182+BH112+BH213+BH215+BH217</f>
        <v>0</v>
      </c>
      <c r="BI219" s="229" t="n">
        <f aca="false">BI37+BI107+BI97+BI182+BI112+BI213+BI215+BI217</f>
        <v>0</v>
      </c>
      <c r="BJ219" s="229" t="n">
        <f aca="false">BJ37+BJ107+BJ97+BJ182+BJ112+BJ213+BJ215+BJ217</f>
        <v>0</v>
      </c>
      <c r="BK219" s="229" t="n">
        <f aca="false">BK37+BK107+BK97+BK182+BK112+BK213+BK215+BK217</f>
        <v>0</v>
      </c>
      <c r="BL219" s="229" t="n">
        <f aca="false">BL37+BL107+BL97+BL182+BL112+BL213+BL215+BL217</f>
        <v>0</v>
      </c>
      <c r="BM219" s="229" t="n">
        <f aca="false">BM37+BM107+BM97+BM182+BM112+BM213+BM215+BM217</f>
        <v>0</v>
      </c>
      <c r="BN219" s="229" t="n">
        <f aca="false">BN37+BN107+BN97+BN182+BN112+BN213+BN215+BN217</f>
        <v>149253468.954875</v>
      </c>
      <c r="BO219" s="229" t="n">
        <f aca="false">BO37+BO107+BO97+BO182+BO112+BO213+BO215+BO217</f>
        <v>0</v>
      </c>
      <c r="BP219" s="229" t="n">
        <f aca="false">BP37+BP107+BP97+BP182+BP112+BP213+BP215+BP217</f>
        <v>5621125</v>
      </c>
      <c r="BQ219" s="229" t="n">
        <f aca="false">BQ37+BQ107+BQ97+BQ182+BQ112+BQ213+BQ215+BQ217</f>
        <v>2030320</v>
      </c>
      <c r="BR219" s="229" t="n">
        <f aca="false">BR37+BR107+BR97+BR182+BR112+BR213+BR215+BR217</f>
        <v>29921814.2624374</v>
      </c>
      <c r="BS219" s="229" t="n">
        <f aca="false">BS37+BS107+BS97+BS182+BS112+BS213+BS215+BS217</f>
        <v>2030320</v>
      </c>
      <c r="BT219" s="229" t="n">
        <f aca="false">BT37+BT107+BT97+BT182+BT112+BT213+BT215+BT217</f>
        <v>175031492.217312</v>
      </c>
      <c r="BU219" s="229" t="n">
        <f aca="false">BU37+BU107+BU97+BU182+BU112+BU213+BU215+BU217</f>
        <v>2030320</v>
      </c>
      <c r="BV219" s="229" t="n">
        <f aca="false">R219-BT219</f>
        <v>-4456482.21731207</v>
      </c>
      <c r="BW219" s="228"/>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c r="GY219" s="225"/>
      <c r="GZ219" s="225"/>
      <c r="HA219" s="225"/>
      <c r="HB219" s="225"/>
      <c r="HC219" s="225"/>
      <c r="HD219" s="225"/>
      <c r="HE219" s="225"/>
      <c r="HF219" s="225"/>
      <c r="HG219" s="225"/>
      <c r="HH219" s="225"/>
      <c r="HI219" s="225"/>
      <c r="HJ219" s="225"/>
      <c r="HK219" s="225"/>
      <c r="HL219" s="225"/>
      <c r="HM219" s="225"/>
      <c r="HN219" s="225"/>
      <c r="HO219" s="225"/>
      <c r="HP219" s="225"/>
      <c r="HQ219" s="225"/>
      <c r="HR219" s="225"/>
      <c r="HS219" s="225"/>
      <c r="HT219" s="225"/>
      <c r="HU219" s="225"/>
      <c r="HV219" s="225"/>
      <c r="HW219" s="225"/>
      <c r="HX219" s="225"/>
      <c r="HY219" s="225"/>
      <c r="HZ219" s="225"/>
      <c r="IA219" s="225"/>
      <c r="IB219" s="225"/>
      <c r="IC219" s="225"/>
      <c r="ID219" s="225"/>
      <c r="IE219" s="225"/>
      <c r="IF219" s="225"/>
      <c r="IG219" s="225"/>
      <c r="IH219" s="225"/>
      <c r="II219" s="225"/>
      <c r="IJ219" s="225"/>
      <c r="IK219" s="225"/>
      <c r="IL219" s="225"/>
      <c r="IM219" s="225"/>
      <c r="IN219" s="225"/>
      <c r="IO219" s="225"/>
      <c r="IP219" s="225"/>
      <c r="IQ219" s="225"/>
      <c r="IR219" s="225"/>
      <c r="IS219" s="225"/>
      <c r="IT219" s="225"/>
      <c r="IU219" s="225"/>
      <c r="IV219" s="225"/>
      <c r="IW219" s="225"/>
    </row>
    <row r="220" customFormat="false" ht="12.75" hidden="false" customHeight="false" outlineLevel="0" collapsed="false">
      <c r="A220" s="182" t="s">
        <v>275</v>
      </c>
      <c r="B220" s="216"/>
      <c r="C220" s="2"/>
      <c r="D220" s="2"/>
      <c r="E220" s="2"/>
      <c r="F220" s="2"/>
      <c r="G220" s="2"/>
      <c r="H220" s="2"/>
      <c r="I220" s="2"/>
      <c r="J220" s="3"/>
      <c r="K220" s="2"/>
      <c r="L220" s="188"/>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2"/>
      <c r="B221" s="216"/>
      <c r="C221" s="2"/>
      <c r="D221" s="2"/>
      <c r="E221" s="2"/>
      <c r="F221" s="2"/>
      <c r="G221" s="2"/>
      <c r="H221" s="2"/>
      <c r="I221" s="2"/>
      <c r="J221" s="3"/>
      <c r="K221" s="2"/>
      <c r="L221" s="188"/>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5" t="s">
        <v>279</v>
      </c>
      <c r="B222" s="216"/>
      <c r="C222" s="2"/>
      <c r="D222" s="2"/>
      <c r="E222" s="2"/>
      <c r="F222" s="2"/>
      <c r="G222" s="2"/>
      <c r="H222" s="2"/>
      <c r="I222" s="2"/>
      <c r="J222" s="3"/>
      <c r="K222" s="2"/>
      <c r="L222" s="188"/>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-2135</v>
      </c>
      <c r="BO222" s="24"/>
      <c r="BP222" s="24"/>
      <c r="BQ222" s="24"/>
      <c r="BR222" s="24" t="n">
        <v>0</v>
      </c>
      <c r="BS222" s="24"/>
      <c r="BT222" s="24" t="n">
        <f aca="false">+BN222+BR222</f>
        <v>-2135</v>
      </c>
      <c r="BU222" s="24"/>
      <c r="BV222" s="115" t="n">
        <f aca="false">+R222-BT222</f>
        <v>2135</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5"/>
      <c r="B223" s="216"/>
      <c r="C223" s="2"/>
      <c r="D223" s="2"/>
      <c r="E223" s="2"/>
      <c r="F223" s="2"/>
      <c r="G223" s="2"/>
      <c r="H223" s="2"/>
      <c r="I223" s="2"/>
      <c r="J223" s="3"/>
      <c r="K223" s="2"/>
      <c r="L223" s="188"/>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5"/>
      <c r="B224" s="216"/>
      <c r="C224" s="2"/>
      <c r="D224" s="2"/>
      <c r="E224" s="2"/>
      <c r="F224" s="2"/>
      <c r="G224" s="2"/>
      <c r="H224" s="2"/>
      <c r="I224" s="2"/>
      <c r="J224" s="3"/>
      <c r="K224" s="2"/>
      <c r="L224" s="188"/>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12" t="s">
        <v>404</v>
      </c>
      <c r="B225" s="246"/>
      <c r="C225" s="247"/>
      <c r="D225" s="247"/>
      <c r="E225" s="247"/>
      <c r="F225" s="247"/>
      <c r="G225" s="247"/>
      <c r="H225" s="247"/>
      <c r="I225" s="247"/>
      <c r="J225" s="247"/>
      <c r="K225" s="247"/>
      <c r="L225" s="248"/>
      <c r="M225" s="249"/>
      <c r="N225" s="249"/>
      <c r="O225" s="249"/>
      <c r="P225" s="249"/>
      <c r="Q225" s="249"/>
      <c r="R225" s="250" t="n">
        <f aca="false">R219+R222</f>
        <v>170575010</v>
      </c>
      <c r="S225" s="250" t="n">
        <f aca="false">S219+S222</f>
        <v>0</v>
      </c>
      <c r="T225" s="250" t="n">
        <f aca="false">T219+T222</f>
        <v>0</v>
      </c>
      <c r="U225" s="250" t="n">
        <f aca="false">U219+U222</f>
        <v>0</v>
      </c>
      <c r="V225" s="250" t="n">
        <f aca="false">V219+V222</f>
        <v>0</v>
      </c>
      <c r="W225" s="250" t="n">
        <f aca="false">W219+W222</f>
        <v>0</v>
      </c>
      <c r="X225" s="250" t="n">
        <f aca="false">X219+X222</f>
        <v>0</v>
      </c>
      <c r="Y225" s="250" t="n">
        <f aca="false">Y219+Y222</f>
        <v>0</v>
      </c>
      <c r="Z225" s="250" t="n">
        <f aca="false">Z219+Z222</f>
        <v>0</v>
      </c>
      <c r="AA225" s="250" t="n">
        <f aca="false">AA219+AA222</f>
        <v>0</v>
      </c>
      <c r="AB225" s="250" t="n">
        <f aca="false">AB219+AB222</f>
        <v>0</v>
      </c>
      <c r="AC225" s="250" t="n">
        <f aca="false">AC219+AC222</f>
        <v>0</v>
      </c>
      <c r="AD225" s="250" t="n">
        <f aca="false">AD219+AD222</f>
        <v>0</v>
      </c>
      <c r="AE225" s="250" t="n">
        <f aca="false">AE219+AE222</f>
        <v>0</v>
      </c>
      <c r="AF225" s="250" t="n">
        <f aca="false">AF219+AF222</f>
        <v>0</v>
      </c>
      <c r="AG225" s="250" t="n">
        <f aca="false">AG219+AG222</f>
        <v>0</v>
      </c>
      <c r="AH225" s="250" t="n">
        <f aca="false">AH219+AH222</f>
        <v>0</v>
      </c>
      <c r="AI225" s="250"/>
      <c r="AJ225" s="250" t="n">
        <f aca="false">AJ219+AJ222</f>
        <v>22626.81</v>
      </c>
      <c r="AK225" s="250"/>
      <c r="AL225" s="250" t="n">
        <f aca="false">AL219+AL222</f>
        <v>93152637.49</v>
      </c>
      <c r="AM225" s="250"/>
      <c r="AN225" s="250" t="n">
        <f aca="false">AN219+AN222</f>
        <v>715387.54</v>
      </c>
      <c r="AO225" s="250"/>
      <c r="AP225" s="250" t="n">
        <f aca="false">AP219+AP222</f>
        <v>2178269.81267639</v>
      </c>
      <c r="AQ225" s="250"/>
      <c r="AR225" s="250" t="n">
        <f aca="false">AR219+AR222</f>
        <v>7520773.75322978</v>
      </c>
      <c r="AS225" s="250" t="n">
        <f aca="false">AS219+AS222</f>
        <v>0</v>
      </c>
      <c r="AT225" s="250" t="n">
        <f aca="false">AT219+AT222</f>
        <v>3031801.69527366</v>
      </c>
      <c r="AU225" s="250" t="n">
        <f aca="false">AU219+AU222</f>
        <v>0</v>
      </c>
      <c r="AV225" s="250" t="n">
        <f aca="false">AV219+AV222</f>
        <v>8287387.24694111</v>
      </c>
      <c r="AW225" s="250" t="n">
        <f aca="false">AW219+AW222</f>
        <v>0</v>
      </c>
      <c r="AX225" s="250" t="n">
        <f aca="false">AX219+AX222</f>
        <v>7624290.74806343</v>
      </c>
      <c r="AY225" s="250" t="n">
        <f aca="false">AY219+AY222</f>
        <v>0</v>
      </c>
      <c r="AZ225" s="250" t="n">
        <f aca="false">AZ219+AZ222</f>
        <v>11403531.2586543</v>
      </c>
      <c r="BA225" s="250" t="n">
        <f aca="false">BA219+BA222</f>
        <v>0</v>
      </c>
      <c r="BB225" s="250" t="n">
        <f aca="false">BB219+BB222</f>
        <v>12239663.5400359</v>
      </c>
      <c r="BC225" s="250" t="n">
        <f aca="false">BC219+BC222</f>
        <v>0</v>
      </c>
      <c r="BD225" s="250" t="n">
        <f aca="false">BD219+BD222</f>
        <v>3074964.06</v>
      </c>
      <c r="BE225" s="250" t="n">
        <f aca="false">BE219+BE222</f>
        <v>0</v>
      </c>
      <c r="BF225" s="250" t="n">
        <f aca="false">BF219+BF222</f>
        <v>0</v>
      </c>
      <c r="BG225" s="250" t="n">
        <f aca="false">BG219+BG222</f>
        <v>0</v>
      </c>
      <c r="BH225" s="250" t="n">
        <f aca="false">BH219+BH222</f>
        <v>0</v>
      </c>
      <c r="BI225" s="250" t="n">
        <f aca="false">BI219+BI222</f>
        <v>0</v>
      </c>
      <c r="BJ225" s="250" t="n">
        <f aca="false">BJ219+BJ222</f>
        <v>0</v>
      </c>
      <c r="BK225" s="250" t="n">
        <f aca="false">BK219+BK222</f>
        <v>0</v>
      </c>
      <c r="BL225" s="250" t="n">
        <f aca="false">BL219+BL222</f>
        <v>0</v>
      </c>
      <c r="BM225" s="250" t="n">
        <f aca="false">BM219+BM222</f>
        <v>0</v>
      </c>
      <c r="BN225" s="250" t="n">
        <f aca="false">BN219+BN222</f>
        <v>149251333.954875</v>
      </c>
      <c r="BO225" s="250" t="n">
        <f aca="false">BO219+BO222</f>
        <v>0</v>
      </c>
      <c r="BP225" s="250" t="n">
        <f aca="false">BP219+BP222</f>
        <v>5621125</v>
      </c>
      <c r="BQ225" s="250" t="n">
        <f aca="false">BQ219+BQ222</f>
        <v>2030320</v>
      </c>
      <c r="BR225" s="250" t="n">
        <f aca="false">BR219+BR222</f>
        <v>29921814.2624374</v>
      </c>
      <c r="BS225" s="250" t="n">
        <f aca="false">BS219+BS222</f>
        <v>2030320</v>
      </c>
      <c r="BT225" s="250" t="n">
        <f aca="false">BT219+BT222</f>
        <v>175029357.217312</v>
      </c>
      <c r="BU225" s="250" t="n">
        <f aca="false">BU219+BU222</f>
        <v>2030320</v>
      </c>
      <c r="BV225" s="250" t="n">
        <f aca="false">BV219+BV222</f>
        <v>-4454347.21731207</v>
      </c>
      <c r="BW225" s="250" t="n">
        <f aca="false">BW219+BW222</f>
        <v>0</v>
      </c>
      <c r="BX225" s="251"/>
      <c r="BY225" s="251"/>
      <c r="BZ225" s="251"/>
      <c r="CA225" s="251"/>
      <c r="CB225" s="251"/>
      <c r="CC225" s="251"/>
      <c r="CD225" s="251"/>
      <c r="CE225" s="251"/>
      <c r="CF225" s="251"/>
      <c r="CG225" s="251"/>
      <c r="CH225" s="251"/>
      <c r="CI225" s="251"/>
      <c r="CJ225" s="251"/>
      <c r="CK225" s="251"/>
      <c r="CL225" s="251"/>
      <c r="CM225" s="251"/>
      <c r="CN225" s="251"/>
      <c r="CO225" s="251"/>
      <c r="CP225" s="251"/>
      <c r="CQ225" s="251"/>
      <c r="CR225" s="251"/>
      <c r="CS225" s="251"/>
      <c r="CT225" s="251"/>
      <c r="CU225" s="251"/>
      <c r="CV225" s="251"/>
      <c r="CW225" s="251"/>
      <c r="CX225" s="251"/>
      <c r="CY225" s="251"/>
      <c r="CZ225" s="251"/>
      <c r="DA225" s="251"/>
      <c r="DB225" s="251"/>
      <c r="DC225" s="251"/>
      <c r="DD225" s="251"/>
      <c r="DE225" s="251"/>
      <c r="DF225" s="251"/>
      <c r="DG225" s="251"/>
      <c r="DH225" s="251"/>
      <c r="DI225" s="251"/>
      <c r="DJ225" s="251"/>
      <c r="DK225" s="251"/>
      <c r="DL225" s="251"/>
      <c r="DM225" s="251"/>
      <c r="DN225" s="251"/>
      <c r="DO225" s="251"/>
      <c r="DP225" s="251"/>
      <c r="DQ225" s="251"/>
      <c r="DR225" s="251"/>
      <c r="DS225" s="251"/>
      <c r="DT225" s="251"/>
      <c r="DU225" s="247"/>
      <c r="DV225" s="247"/>
      <c r="DW225" s="247"/>
      <c r="DX225" s="247"/>
      <c r="DY225" s="247"/>
      <c r="DZ225" s="247"/>
      <c r="EA225" s="247"/>
      <c r="EB225" s="247"/>
      <c r="EC225" s="247"/>
      <c r="ED225" s="247"/>
      <c r="EE225" s="247"/>
      <c r="EF225" s="247"/>
      <c r="EG225" s="247"/>
      <c r="EH225" s="247"/>
      <c r="EI225" s="247"/>
      <c r="EJ225" s="247"/>
      <c r="EK225" s="247"/>
      <c r="EL225" s="247"/>
      <c r="EM225" s="247"/>
      <c r="EN225" s="247"/>
      <c r="EO225" s="247"/>
      <c r="EP225" s="247"/>
      <c r="EQ225" s="247"/>
      <c r="ER225" s="247"/>
      <c r="ES225" s="247"/>
      <c r="ET225" s="247"/>
      <c r="EU225" s="247"/>
      <c r="EV225" s="247"/>
      <c r="EW225" s="247"/>
      <c r="EX225" s="247"/>
      <c r="EY225" s="247"/>
      <c r="EZ225" s="247"/>
      <c r="FA225" s="247"/>
      <c r="FB225" s="247"/>
      <c r="FC225" s="247"/>
      <c r="FD225" s="247"/>
      <c r="FE225" s="247"/>
      <c r="FF225" s="247"/>
      <c r="FG225" s="247"/>
      <c r="FH225" s="247"/>
      <c r="FI225" s="247"/>
      <c r="FJ225" s="247"/>
      <c r="FK225" s="247"/>
      <c r="FL225" s="247"/>
      <c r="FM225" s="247"/>
      <c r="FN225" s="247"/>
      <c r="FO225" s="247"/>
      <c r="FP225" s="247"/>
      <c r="FQ225" s="247"/>
      <c r="FR225" s="247"/>
      <c r="FS225" s="247"/>
      <c r="FT225" s="247"/>
      <c r="FU225" s="247"/>
      <c r="FV225" s="247"/>
      <c r="FW225" s="247"/>
      <c r="FX225" s="247"/>
      <c r="FY225" s="247"/>
      <c r="FZ225" s="247"/>
      <c r="GA225" s="247"/>
      <c r="GB225" s="247"/>
      <c r="GC225" s="247"/>
      <c r="GD225" s="247"/>
      <c r="GE225" s="247"/>
      <c r="GF225" s="247"/>
      <c r="GG225" s="247"/>
      <c r="GH225" s="247"/>
      <c r="GI225" s="247"/>
      <c r="GJ225" s="247"/>
      <c r="GK225" s="247"/>
      <c r="GL225" s="247"/>
      <c r="GM225" s="247"/>
      <c r="GN225" s="247"/>
      <c r="GO225" s="247"/>
      <c r="GP225" s="247"/>
      <c r="GQ225" s="247"/>
      <c r="GR225" s="247"/>
      <c r="GS225" s="247"/>
      <c r="GT225" s="247"/>
      <c r="GU225" s="247"/>
      <c r="GV225" s="247"/>
      <c r="GW225" s="247"/>
      <c r="GX225" s="247"/>
      <c r="GY225" s="247"/>
      <c r="GZ225" s="247"/>
      <c r="HA225" s="247"/>
      <c r="HB225" s="247"/>
      <c r="HC225" s="247"/>
      <c r="HD225" s="247"/>
      <c r="HE225" s="247"/>
      <c r="HF225" s="247"/>
      <c r="HG225" s="247"/>
      <c r="HH225" s="247"/>
      <c r="HI225" s="247"/>
      <c r="HJ225" s="247"/>
      <c r="HK225" s="247"/>
      <c r="HL225" s="247"/>
      <c r="HM225" s="247"/>
      <c r="HN225" s="247"/>
      <c r="HO225" s="247"/>
      <c r="HP225" s="247"/>
      <c r="HQ225" s="247"/>
      <c r="HR225" s="247"/>
      <c r="HS225" s="247"/>
      <c r="HT225" s="247"/>
      <c r="HU225" s="247"/>
      <c r="HV225" s="247"/>
      <c r="HW225" s="247"/>
      <c r="HX225" s="247"/>
      <c r="HY225" s="247"/>
      <c r="HZ225" s="247"/>
      <c r="IA225" s="247"/>
      <c r="IB225" s="247"/>
      <c r="IC225" s="247"/>
      <c r="ID225" s="247"/>
      <c r="IE225" s="247"/>
      <c r="IF225" s="247"/>
      <c r="IG225" s="247"/>
      <c r="IH225" s="247"/>
      <c r="II225" s="247"/>
      <c r="IJ225" s="247"/>
      <c r="IK225" s="247"/>
      <c r="IL225" s="247"/>
      <c r="IM225" s="247"/>
      <c r="IN225" s="247"/>
      <c r="IO225" s="247"/>
      <c r="IP225" s="247"/>
      <c r="IQ225" s="247"/>
      <c r="IR225" s="247"/>
      <c r="IS225" s="247"/>
      <c r="IT225" s="247"/>
      <c r="IU225" s="247"/>
      <c r="IV225" s="247"/>
      <c r="IW225" s="247"/>
    </row>
    <row r="226" customFormat="false" ht="13.5" hidden="false" customHeight="false" outlineLevel="0" collapsed="false">
      <c r="A226" s="215"/>
      <c r="B226" s="216"/>
      <c r="C226" s="2"/>
      <c r="D226" s="2"/>
      <c r="E226" s="2"/>
      <c r="F226" s="2"/>
      <c r="G226" s="2"/>
      <c r="H226" s="2"/>
      <c r="I226" s="2"/>
      <c r="J226" s="3"/>
      <c r="K226" s="2"/>
      <c r="L226" s="188"/>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9"/>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52" t="s">
        <v>405</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253"/>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82" t="s">
        <v>381</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253"/>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15"/>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C230" s="0"/>
      <c r="BD230" s="0" t="n">
        <v>685000</v>
      </c>
      <c r="BE230" s="0"/>
      <c r="BF230" s="0"/>
      <c r="BG230" s="0"/>
      <c r="BH230" s="0"/>
      <c r="BI230" s="0"/>
      <c r="BJ230" s="0"/>
      <c r="BK230" s="0"/>
      <c r="BL230" s="0"/>
      <c r="BM230" s="0"/>
      <c r="BN230" s="24" t="n">
        <f aca="false">SUM(T230:BM230)</f>
        <v>885000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406</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C231" s="0"/>
      <c r="BD231" s="5" t="n">
        <v>0</v>
      </c>
      <c r="BE231" s="5"/>
      <c r="BF231" s="5"/>
      <c r="BG231" s="5"/>
      <c r="BH231" s="5"/>
      <c r="BI231" s="5"/>
      <c r="BJ231" s="5"/>
      <c r="BK231" s="5"/>
      <c r="BL231" s="5"/>
      <c r="BM231" s="5"/>
      <c r="BN231" s="24" t="n">
        <f aca="false">SUM(T231:BB231)</f>
        <v>73057.19</v>
      </c>
      <c r="BO231" s="24"/>
      <c r="BP231" s="24" t="n">
        <v>0</v>
      </c>
      <c r="BQ231" s="24"/>
      <c r="BR231" s="115" t="n">
        <f aca="false">IF(+R231-BN231+BP231&gt;0,R231-BN231+BP231,0)</f>
        <v>25445487.81</v>
      </c>
      <c r="BS231" s="24"/>
      <c r="BT231" s="24" t="n">
        <f aca="false">+BN231+BR231</f>
        <v>25518545</v>
      </c>
      <c r="BU231" s="24"/>
      <c r="BV231" s="115"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407</v>
      </c>
      <c r="C232" s="0"/>
      <c r="D232" s="0"/>
      <c r="E232" s="0"/>
      <c r="F232" s="0"/>
      <c r="G232" s="0"/>
      <c r="H232" s="0"/>
      <c r="I232" s="0"/>
      <c r="J232" s="0"/>
      <c r="K232" s="0"/>
      <c r="L232" s="4" t="s">
        <v>408</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C232" s="0"/>
      <c r="BD232" s="5"/>
      <c r="BE232" s="5"/>
      <c r="BF232" s="5"/>
      <c r="BG232" s="5"/>
      <c r="BH232" s="5"/>
      <c r="BI232" s="5"/>
      <c r="BJ232" s="5"/>
      <c r="BK232" s="5"/>
      <c r="BL232" s="5"/>
      <c r="BM232" s="5"/>
      <c r="BN232" s="24" t="n">
        <f aca="false">SUM(T232:BM232)</f>
        <v>629</v>
      </c>
      <c r="BO232" s="24"/>
      <c r="BP232" s="24" t="n">
        <v>0</v>
      </c>
      <c r="BQ232" s="24"/>
      <c r="BR232" s="115" t="n">
        <f aca="false">IF(+R232-BN232+BP232&gt;0,R232-BN232+BP232,0)</f>
        <v>974727</v>
      </c>
      <c r="BS232" s="24"/>
      <c r="BT232" s="24" t="n">
        <f aca="false">+BN232+BR232</f>
        <v>975356</v>
      </c>
      <c r="BU232" s="24"/>
      <c r="BV232" s="115"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74" t="s">
        <v>409</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C233" s="0"/>
      <c r="BD233" s="7"/>
      <c r="BE233" s="5"/>
      <c r="BF233" s="5"/>
      <c r="BG233" s="5"/>
      <c r="BH233" s="5"/>
      <c r="BI233" s="5"/>
      <c r="BJ233" s="5"/>
      <c r="BK233" s="5"/>
      <c r="BL233" s="5"/>
      <c r="BM233" s="5"/>
      <c r="BN233" s="254" t="n">
        <f aca="false">SUM(T233:BM233)</f>
        <v>24827.2</v>
      </c>
      <c r="BO233" s="24"/>
      <c r="BP233" s="24" t="n">
        <v>0</v>
      </c>
      <c r="BQ233" s="24"/>
      <c r="BR233" s="115" t="n">
        <f aca="false">IF(+R233-BN233+BP233&gt;0,R233-BN233+BP233,0)</f>
        <v>107914.8</v>
      </c>
      <c r="BS233" s="24"/>
      <c r="BT233" s="254" t="n">
        <f aca="false">+BN233+BR233</f>
        <v>132742</v>
      </c>
      <c r="BU233" s="24"/>
      <c r="BV233" s="255"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C234" s="5" t="n">
        <f aca="false">SUM(BC230:BC233)</f>
        <v>0</v>
      </c>
      <c r="BD234" s="5" t="n">
        <f aca="false">SUM(BD230:BD233)</f>
        <v>685000</v>
      </c>
      <c r="BE234" s="5" t="n">
        <f aca="false">SUM(BE230:BE233)</f>
        <v>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983513.39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A235" s="0"/>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C235" s="0"/>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C236" s="0"/>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6" t="s">
        <v>410</v>
      </c>
      <c r="B237" s="257"/>
      <c r="C237" s="258"/>
      <c r="D237" s="258"/>
      <c r="E237" s="258"/>
      <c r="F237" s="258"/>
      <c r="G237" s="258"/>
      <c r="H237" s="258"/>
      <c r="I237" s="258"/>
      <c r="J237" s="259"/>
      <c r="K237" s="258"/>
      <c r="L237" s="260"/>
      <c r="M237" s="261"/>
      <c r="N237" s="261"/>
      <c r="O237" s="261"/>
      <c r="P237" s="261"/>
      <c r="Q237" s="261"/>
      <c r="R237" s="262" t="n">
        <f aca="false">R225+R234</f>
        <v>197201653</v>
      </c>
      <c r="S237" s="262" t="n">
        <f aca="false">S231+S234</f>
        <v>0</v>
      </c>
      <c r="T237" s="262" t="n">
        <f aca="false">T231+T234</f>
        <v>0</v>
      </c>
      <c r="U237" s="262" t="n">
        <f aca="false">U231+U234</f>
        <v>0</v>
      </c>
      <c r="V237" s="262" t="n">
        <f aca="false">V231+V234</f>
        <v>0</v>
      </c>
      <c r="W237" s="262" t="n">
        <f aca="false">W231+W234</f>
        <v>0</v>
      </c>
      <c r="X237" s="262" t="n">
        <f aca="false">X231+X234</f>
        <v>0</v>
      </c>
      <c r="Y237" s="262" t="n">
        <f aca="false">Y231+Y234</f>
        <v>0</v>
      </c>
      <c r="Z237" s="262" t="n">
        <f aca="false">Z231+Z234</f>
        <v>0</v>
      </c>
      <c r="AA237" s="262" t="n">
        <f aca="false">AA231+AA234</f>
        <v>0</v>
      </c>
      <c r="AB237" s="262" t="n">
        <f aca="false">AB231+AB234</f>
        <v>0</v>
      </c>
      <c r="AC237" s="262" t="n">
        <f aca="false">AC231+AC234</f>
        <v>0</v>
      </c>
      <c r="AD237" s="262" t="n">
        <f aca="false">AD231+AD234</f>
        <v>0</v>
      </c>
      <c r="AE237" s="262" t="n">
        <f aca="false">AE231+AE234</f>
        <v>0</v>
      </c>
      <c r="AF237" s="262" t="n">
        <f aca="false">AF231+AF234</f>
        <v>0</v>
      </c>
      <c r="AG237" s="262" t="n">
        <f aca="false">AG231+AG234</f>
        <v>0</v>
      </c>
      <c r="AH237" s="262" t="n">
        <f aca="false">AH231+AH234</f>
        <v>0</v>
      </c>
      <c r="AI237" s="262"/>
      <c r="AJ237" s="262" t="n">
        <f aca="false">AJ231+AJ234</f>
        <v>0</v>
      </c>
      <c r="AK237" s="262"/>
      <c r="AL237" s="262" t="n">
        <f aca="false">AL231+AL234</f>
        <v>0</v>
      </c>
      <c r="AM237" s="262"/>
      <c r="AN237" s="262" t="n">
        <f aca="false">AN231+AN234</f>
        <v>0</v>
      </c>
      <c r="AO237" s="262"/>
      <c r="AP237" s="262" t="n">
        <f aca="false">AP231+AP234</f>
        <v>0</v>
      </c>
      <c r="AQ237" s="262"/>
      <c r="AR237" s="262" t="n">
        <f aca="false">AR231+AR234</f>
        <v>0</v>
      </c>
      <c r="AS237" s="262" t="n">
        <f aca="false">AS231+AS234</f>
        <v>0</v>
      </c>
      <c r="AT237" s="262" t="n">
        <f aca="false">AT231+AT234</f>
        <v>0</v>
      </c>
      <c r="AU237" s="262" t="n">
        <f aca="false">AU231+AU234</f>
        <v>0</v>
      </c>
      <c r="AV237" s="262" t="n">
        <f aca="false">AV231+AV234</f>
        <v>0</v>
      </c>
      <c r="AW237" s="262" t="n">
        <f aca="false">AW231+AW234</f>
        <v>0</v>
      </c>
      <c r="AX237" s="262" t="n">
        <f aca="false">AX231+AX234</f>
        <v>0</v>
      </c>
      <c r="AY237" s="262" t="n">
        <f aca="false">AY231+AY234</f>
        <v>0</v>
      </c>
      <c r="AZ237" s="262" t="n">
        <f aca="false">AZ225+AZ234</f>
        <v>11403531.2586543</v>
      </c>
      <c r="BA237" s="262" t="n">
        <f aca="false">BA231+BA234</f>
        <v>0</v>
      </c>
      <c r="BB237" s="262" t="n">
        <f aca="false">BB225+BB234</f>
        <v>12538176.9300359</v>
      </c>
      <c r="BC237" s="262" t="n">
        <f aca="false">BC231+BC234</f>
        <v>0</v>
      </c>
      <c r="BD237" s="262" t="n">
        <f aca="false">BD225+BD234</f>
        <v>3759964.06</v>
      </c>
      <c r="BE237" s="262" t="n">
        <f aca="false">BE231+BE234</f>
        <v>0</v>
      </c>
      <c r="BF237" s="262" t="n">
        <f aca="false">BF231+BF234</f>
        <v>0</v>
      </c>
      <c r="BG237" s="262" t="n">
        <f aca="false">BG231+BG234</f>
        <v>0</v>
      </c>
      <c r="BH237" s="262" t="n">
        <f aca="false">BH231+BH234</f>
        <v>0</v>
      </c>
      <c r="BI237" s="262" t="n">
        <f aca="false">BI231+BI234</f>
        <v>0</v>
      </c>
      <c r="BJ237" s="262" t="n">
        <f aca="false">BJ231+BJ234</f>
        <v>0</v>
      </c>
      <c r="BK237" s="262" t="n">
        <f aca="false">BK231+BK234</f>
        <v>0</v>
      </c>
      <c r="BL237" s="262" t="n">
        <f aca="false">BL231+BL234</f>
        <v>0</v>
      </c>
      <c r="BM237" s="262" t="n">
        <f aca="false">BM231+BM234</f>
        <v>0</v>
      </c>
      <c r="BN237" s="262" t="n">
        <f aca="false">BN225+BN234</f>
        <v>150234847.344875</v>
      </c>
      <c r="BO237" s="262" t="n">
        <f aca="false">BO231+BO234</f>
        <v>0</v>
      </c>
      <c r="BP237" s="262" t="n">
        <f aca="false">BP225+BP234</f>
        <v>5621125</v>
      </c>
      <c r="BQ237" s="262" t="n">
        <f aca="false">BQ231+BQ234</f>
        <v>0</v>
      </c>
      <c r="BR237" s="262" t="n">
        <f aca="false">BR225+BR234</f>
        <v>56449943.8724374</v>
      </c>
      <c r="BS237" s="262" t="n">
        <f aca="false">BS231+BS234</f>
        <v>0</v>
      </c>
      <c r="BT237" s="262" t="n">
        <f aca="false">BT225+BT234</f>
        <v>201656000.217312</v>
      </c>
      <c r="BU237" s="262" t="n">
        <f aca="false">BU231+BU234</f>
        <v>0</v>
      </c>
      <c r="BV237" s="262" t="n">
        <f aca="false">BV225+BV234</f>
        <v>-4454347.21731207</v>
      </c>
      <c r="BW237" s="262"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7"/>
      <c r="DV237" s="197"/>
      <c r="DW237" s="197"/>
      <c r="DX237" s="197"/>
      <c r="DY237" s="197"/>
      <c r="DZ237" s="197"/>
      <c r="EA237" s="197"/>
      <c r="EB237" s="197"/>
      <c r="EC237" s="197"/>
      <c r="ED237" s="197"/>
      <c r="EE237" s="197"/>
      <c r="EF237" s="197"/>
      <c r="EG237" s="197"/>
      <c r="EH237" s="197"/>
      <c r="EI237" s="197"/>
      <c r="EJ237" s="197"/>
      <c r="EK237" s="197"/>
      <c r="EL237" s="197"/>
      <c r="EM237" s="197"/>
      <c r="EN237" s="197"/>
      <c r="EO237" s="197"/>
      <c r="EP237" s="197"/>
      <c r="EQ237" s="197"/>
      <c r="ER237" s="197"/>
      <c r="ES237" s="197"/>
      <c r="ET237" s="197"/>
      <c r="EU237" s="197"/>
      <c r="EV237" s="197"/>
      <c r="EW237" s="197"/>
      <c r="EX237" s="197"/>
      <c r="EY237" s="197"/>
      <c r="EZ237" s="197"/>
      <c r="FA237" s="197"/>
      <c r="FB237" s="197"/>
      <c r="FC237" s="197"/>
      <c r="FD237" s="197"/>
      <c r="FE237" s="197"/>
      <c r="FF237" s="197"/>
      <c r="FG237" s="197"/>
      <c r="FH237" s="197"/>
      <c r="FI237" s="197"/>
      <c r="FJ237" s="197"/>
      <c r="FK237" s="197"/>
      <c r="FL237" s="197"/>
      <c r="FM237" s="197"/>
      <c r="FN237" s="197"/>
      <c r="FO237" s="197"/>
      <c r="FP237" s="197"/>
      <c r="FQ237" s="197"/>
      <c r="FR237" s="197"/>
      <c r="FS237" s="197"/>
      <c r="FT237" s="197"/>
      <c r="FU237" s="197"/>
      <c r="FV237" s="197"/>
      <c r="FW237" s="197"/>
      <c r="FX237" s="197"/>
      <c r="FY237" s="197"/>
      <c r="FZ237" s="197"/>
      <c r="GA237" s="197"/>
      <c r="GB237" s="197"/>
      <c r="GC237" s="197"/>
      <c r="GD237" s="197"/>
      <c r="GE237" s="197"/>
      <c r="GF237" s="197"/>
      <c r="GG237" s="197"/>
      <c r="GH237" s="197"/>
      <c r="GI237" s="197"/>
      <c r="GJ237" s="197"/>
      <c r="GK237" s="197"/>
      <c r="GL237" s="197"/>
      <c r="GM237" s="197"/>
      <c r="GN237" s="197"/>
      <c r="GO237" s="197"/>
      <c r="GP237" s="197"/>
      <c r="GQ237" s="197"/>
      <c r="GR237" s="197"/>
      <c r="GS237" s="197"/>
      <c r="GT237" s="197"/>
      <c r="GU237" s="197"/>
      <c r="GV237" s="197"/>
      <c r="GW237" s="197"/>
      <c r="GX237" s="197"/>
      <c r="GY237" s="197"/>
      <c r="GZ237" s="197"/>
      <c r="HA237" s="197"/>
      <c r="HB237" s="197"/>
      <c r="HC237" s="197"/>
      <c r="HD237" s="197"/>
      <c r="HE237" s="197"/>
      <c r="HF237" s="197"/>
      <c r="HG237" s="197"/>
      <c r="HH237" s="197"/>
      <c r="HI237" s="197"/>
      <c r="HJ237" s="197"/>
      <c r="HK237" s="197"/>
      <c r="HL237" s="197"/>
      <c r="HM237" s="197"/>
      <c r="HN237" s="197"/>
      <c r="HO237" s="197"/>
      <c r="HP237" s="197"/>
      <c r="HQ237" s="197"/>
      <c r="HR237" s="197"/>
      <c r="HS237" s="197"/>
      <c r="HT237" s="197"/>
      <c r="HU237" s="197"/>
      <c r="HV237" s="197"/>
      <c r="HW237" s="197"/>
      <c r="HX237" s="197"/>
      <c r="HY237" s="197"/>
      <c r="HZ237" s="197"/>
      <c r="IA237" s="197"/>
      <c r="IB237" s="197"/>
      <c r="IC237" s="197"/>
      <c r="ID237" s="197"/>
      <c r="IE237" s="197"/>
      <c r="IF237" s="197"/>
      <c r="IG237" s="197"/>
      <c r="IH237" s="197"/>
      <c r="II237" s="197"/>
      <c r="IJ237" s="197"/>
      <c r="IK237" s="197"/>
      <c r="IL237" s="197"/>
      <c r="IM237" s="197"/>
      <c r="IN237" s="197"/>
      <c r="IO237" s="197"/>
      <c r="IP237" s="197"/>
      <c r="IQ237" s="197"/>
      <c r="IR237" s="197"/>
      <c r="IS237" s="197"/>
      <c r="IT237" s="197"/>
      <c r="IU237" s="197"/>
      <c r="IV237" s="197"/>
      <c r="IW237" s="197"/>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C238" s="0"/>
      <c r="BD238" s="0"/>
      <c r="BE238" s="0"/>
      <c r="BF238" s="0"/>
      <c r="BG238" s="0"/>
      <c r="BH238" s="0"/>
      <c r="BI238" s="0"/>
      <c r="BJ238" s="0"/>
      <c r="BK238" s="0"/>
      <c r="BL238" s="0"/>
      <c r="BM238" s="0"/>
      <c r="BN238" s="253"/>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C239" s="0"/>
      <c r="BD239" s="0"/>
      <c r="BE239" s="0"/>
      <c r="BF239" s="0"/>
      <c r="BG239" s="0"/>
      <c r="BH239" s="0"/>
      <c r="BI239" s="0"/>
      <c r="BJ239" s="0"/>
      <c r="BK239" s="0"/>
      <c r="BL239" s="0"/>
      <c r="BM239" s="0"/>
      <c r="BN239" s="253"/>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C240" s="0"/>
      <c r="BD240" s="0"/>
      <c r="BE240" s="0"/>
      <c r="BF240" s="0"/>
      <c r="BG240" s="0"/>
      <c r="BH240" s="0"/>
      <c r="BI240" s="0"/>
      <c r="BJ240" s="0"/>
      <c r="BK240" s="0"/>
      <c r="BL240" s="0"/>
      <c r="BM240" s="0"/>
      <c r="BN240" s="253"/>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C241" s="0"/>
      <c r="BD241" s="0"/>
      <c r="BE241" s="0"/>
      <c r="BF241" s="0"/>
      <c r="BG241" s="0"/>
      <c r="BH241" s="0"/>
      <c r="BI241" s="0"/>
      <c r="BJ241" s="0"/>
      <c r="BK241" s="0"/>
      <c r="BL241" s="0"/>
      <c r="BM241" s="0"/>
      <c r="BN241" s="253"/>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C242" s="0"/>
      <c r="BD242" s="0"/>
      <c r="BE242" s="0"/>
      <c r="BF242" s="0"/>
      <c r="BG242" s="0"/>
      <c r="BH242" s="0"/>
      <c r="BI242" s="0"/>
      <c r="BJ242" s="0"/>
      <c r="BK242" s="0"/>
      <c r="BL242" s="0"/>
      <c r="BM242" s="0"/>
      <c r="BN242" s="253"/>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C243" s="0"/>
      <c r="BD243" s="0"/>
      <c r="BE243" s="0"/>
      <c r="BF243" s="0"/>
      <c r="BG243" s="0"/>
      <c r="BH243" s="0"/>
      <c r="BI243" s="0"/>
      <c r="BJ243" s="0"/>
      <c r="BK243" s="0"/>
      <c r="BL243" s="0"/>
      <c r="BM243" s="0"/>
      <c r="BN243" s="253"/>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C244" s="0"/>
      <c r="BD244" s="0"/>
      <c r="BE244" s="0"/>
      <c r="BF244" s="0"/>
      <c r="BG244" s="0"/>
      <c r="BH244" s="0"/>
      <c r="BI244" s="0"/>
      <c r="BJ244" s="0"/>
      <c r="BK244" s="0"/>
      <c r="BL244" s="0"/>
      <c r="BM244" s="0"/>
      <c r="BN244" s="263"/>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5"/>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L82" activePane="bottomRight" state="frozen"/>
      <selection pane="topLeft" activeCell="A1" activeCellId="0" sqref="A1"/>
      <selection pane="topRight" activeCell="BL1" activeCellId="0" sqref="BL1"/>
      <selection pane="bottomLeft" activeCell="A82" activeCellId="0" sqref="A82"/>
      <selection pane="bottomRight" activeCell="R82" activeCellId="0" sqref="R82"/>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0.99"/>
    <col collapsed="false" customWidth="true" hidden="false" outlineLevel="0" max="19" min="19" style="123" width="1.41"/>
    <col collapsed="false" customWidth="true" hidden="true" outlineLevel="0" max="20" min="20" style="126" width="19.56"/>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7.28"/>
    <col collapsed="false" customWidth="true" hidden="true" outlineLevel="0" max="35" min="35" style="115" width="0.99"/>
    <col collapsed="false" customWidth="true" hidden="true" outlineLevel="0" max="36" min="36" style="115" width="17.85"/>
    <col collapsed="false" customWidth="true" hidden="true" outlineLevel="0" max="37" min="37" style="115" width="1.41"/>
    <col collapsed="false" customWidth="true" hidden="true" outlineLevel="0" max="38" min="38" style="115" width="15.99"/>
    <col collapsed="false" customWidth="true" hidden="true" outlineLevel="0" max="39" min="39" style="115" width="1.41"/>
    <col collapsed="false" customWidth="true" hidden="true" outlineLevel="0" max="40" min="40" style="115" width="18.28"/>
    <col collapsed="false" customWidth="true" hidden="true" outlineLevel="0" max="41" min="41" style="115" width="1.13"/>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28"/>
    <col collapsed="false" customWidth="true" hidden="true" outlineLevel="0" max="49" min="49" style="115" width="0.85"/>
    <col collapsed="false" customWidth="true" hidden="true" outlineLevel="0" max="50" min="50" style="115" width="17.28"/>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5.99"/>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4.7"/>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15.85"/>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XML/filtered-attachments/xls/2000_Weekly_Report___0531-40bd6ef38d2d7305aad51e8252174a212a5645152e09152be9335e828a4365bf.xls'#$Wheatland</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83</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45926.9318745623</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Summary!C15</f>
        <v>470</v>
      </c>
      <c r="C4" s="0"/>
      <c r="D4" s="135"/>
      <c r="E4" s="135"/>
      <c r="F4" s="135"/>
      <c r="G4" s="148"/>
      <c r="H4" s="135"/>
      <c r="I4" s="135"/>
      <c r="J4" s="238" t="s">
        <v>78</v>
      </c>
      <c r="K4" s="135"/>
      <c r="L4" s="149"/>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51"/>
      <c r="AV5" s="151" t="s">
        <v>134</v>
      </c>
      <c r="AW5" s="151"/>
      <c r="AX5" s="151" t="s">
        <v>134</v>
      </c>
      <c r="AY5" s="151"/>
      <c r="AZ5" s="151" t="s">
        <v>134</v>
      </c>
      <c r="BA5" s="151"/>
      <c r="BB5" s="151" t="s">
        <v>134</v>
      </c>
      <c r="BC5" s="151"/>
      <c r="BD5" s="151" t="s">
        <v>134</v>
      </c>
      <c r="BE5" s="151"/>
      <c r="BF5" s="151" t="s">
        <v>134</v>
      </c>
      <c r="BG5" s="151"/>
      <c r="BH5" s="151" t="s">
        <v>134</v>
      </c>
      <c r="BI5" s="151"/>
      <c r="BJ5" s="151" t="s">
        <v>134</v>
      </c>
      <c r="BK5" s="135"/>
      <c r="BL5" s="152" t="s">
        <v>72</v>
      </c>
      <c r="BM5" s="135"/>
      <c r="BN5" s="151" t="s">
        <v>133</v>
      </c>
      <c r="BO5" s="135"/>
      <c r="BP5" s="152" t="s">
        <v>135</v>
      </c>
      <c r="BQ5" s="135"/>
      <c r="BR5" s="152" t="s">
        <v>136</v>
      </c>
      <c r="BS5" s="135"/>
      <c r="BT5" s="152"/>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n">
        <v>36433</v>
      </c>
      <c r="AM6" s="149"/>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145</v>
      </c>
      <c r="BM6" s="135"/>
      <c r="BN6" s="157" t="s">
        <v>144</v>
      </c>
      <c r="BO6" s="135"/>
      <c r="BP6" s="160" t="s">
        <v>146</v>
      </c>
      <c r="BQ6" s="135"/>
      <c r="BR6" s="160" t="s">
        <v>147</v>
      </c>
      <c r="BS6" s="135"/>
      <c r="BT6" s="160" t="s">
        <v>148</v>
      </c>
      <c r="BU6" s="135"/>
      <c r="BV6" s="160" t="s">
        <v>149</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137"/>
      <c r="AJ7" s="151" t="str">
        <f aca="false">+Summary!$O$4</f>
        <v> As of 5/31/00</v>
      </c>
      <c r="AK7" s="137"/>
      <c r="AL7" s="151" t="str">
        <f aca="false">+Summary!$O$4</f>
        <v> As of 5/31/00</v>
      </c>
      <c r="AM7" s="137"/>
      <c r="AN7" s="151" t="str">
        <f aca="false">+Summary!$O$4</f>
        <v> As of 5/31/00</v>
      </c>
      <c r="AO7" s="137"/>
      <c r="AP7" s="151" t="str">
        <f aca="false">+Summary!$O$4</f>
        <v> As of 5/31/00</v>
      </c>
      <c r="AQ7" s="137"/>
      <c r="AR7" s="151" t="str">
        <f aca="false">+Summary!$O$4</f>
        <v> As of 5/31/00</v>
      </c>
      <c r="AS7" s="137"/>
      <c r="AT7" s="151" t="str">
        <f aca="false">+Summary!$O$4</f>
        <v> As of 5/31/00</v>
      </c>
      <c r="AU7" s="151"/>
      <c r="AV7" s="151" t="str">
        <f aca="false">+Summary!$O$4</f>
        <v> As of 5/31/00</v>
      </c>
      <c r="AW7" s="151"/>
      <c r="AX7" s="151" t="str">
        <f aca="false">+Summary!$O$4</f>
        <v> As of 5/31/00</v>
      </c>
      <c r="AY7" s="151"/>
      <c r="AZ7" s="151" t="str">
        <f aca="false">+Summary!$O$4</f>
        <v> As of 5/31/00</v>
      </c>
      <c r="BA7" s="151"/>
      <c r="BB7" s="151" t="str">
        <f aca="false">+Summary!$O$4</f>
        <v> As of 5/31/00</v>
      </c>
      <c r="BC7" s="151"/>
      <c r="BD7" s="151" t="str">
        <f aca="false">+Summary!$O$4</f>
        <v> As of 5/31/00</v>
      </c>
      <c r="BE7" s="151"/>
      <c r="BF7" s="151" t="str">
        <f aca="false">+Summary!$O$4</f>
        <v> As of 5/31/00</v>
      </c>
      <c r="BG7" s="151"/>
      <c r="BH7" s="151" t="str">
        <f aca="false">+Summary!$O$4</f>
        <v> As of 5/31/00</v>
      </c>
      <c r="BI7" s="151"/>
      <c r="BJ7" s="151" t="str">
        <f aca="false">+Summary!$O$4</f>
        <v> As of 5/31/00</v>
      </c>
      <c r="BK7" s="135"/>
      <c r="BL7" s="152" t="str">
        <f aca="false">+Summary!$O$4</f>
        <v> As of 5/31/00</v>
      </c>
      <c r="BM7" s="135"/>
      <c r="BN7" s="163" t="str">
        <f aca="false">+Summary!$O$4</f>
        <v> As of 5/31/00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J8" s="115"/>
      <c r="BK8" s="115"/>
      <c r="BM8" s="115"/>
      <c r="BN8" s="115"/>
      <c r="BO8" s="115"/>
      <c r="BU8" s="115"/>
    </row>
    <row r="9" customFormat="false" ht="12.75" hidden="false" customHeight="false" outlineLevel="0" collapsed="false">
      <c r="A9" s="168"/>
      <c r="B9" s="165" t="s">
        <v>411</v>
      </c>
      <c r="C9" s="0"/>
      <c r="D9" s="0"/>
      <c r="E9" s="0"/>
      <c r="F9" s="0"/>
      <c r="G9" s="0"/>
      <c r="H9" s="0"/>
      <c r="I9" s="0"/>
      <c r="J9" s="4" t="s">
        <v>132</v>
      </c>
      <c r="K9" s="0"/>
      <c r="L9" s="169" t="s">
        <v>142</v>
      </c>
      <c r="M9" s="115"/>
      <c r="N9" s="115" t="n">
        <v>0</v>
      </c>
      <c r="O9" s="115"/>
      <c r="P9" s="115" t="n">
        <v>0</v>
      </c>
      <c r="Q9" s="115"/>
      <c r="R9" s="115" t="n">
        <v>85821500</v>
      </c>
      <c r="S9" s="115"/>
      <c r="T9" s="115" t="n">
        <v>16673400</v>
      </c>
      <c r="U9" s="115"/>
      <c r="V9" s="115" t="n">
        <v>43401650</v>
      </c>
      <c r="X9" s="115" t="n">
        <v>4291075</v>
      </c>
      <c r="Z9" s="115"/>
      <c r="AB9" s="115" t="n">
        <v>4291075</v>
      </c>
      <c r="AD9" s="115" t="n">
        <v>8617667</v>
      </c>
      <c r="AF9" s="115" t="n">
        <v>0</v>
      </c>
      <c r="AH9" s="115" t="n">
        <v>0</v>
      </c>
      <c r="AJ9" s="115" t="n">
        <v>318420.9</v>
      </c>
      <c r="AL9" s="115" t="n">
        <v>0</v>
      </c>
      <c r="AN9" s="115" t="n">
        <v>0</v>
      </c>
      <c r="AP9" s="115" t="n">
        <v>39600</v>
      </c>
      <c r="AR9" s="115" t="n">
        <v>1077741.26</v>
      </c>
      <c r="AT9" s="115" t="n">
        <v>1077741.26</v>
      </c>
      <c r="AV9" s="115" t="n">
        <f aca="false">1077741.26*2</f>
        <v>2155482.52</v>
      </c>
      <c r="AX9" s="115" t="n">
        <v>0</v>
      </c>
      <c r="AZ9" s="115" t="n">
        <v>0</v>
      </c>
      <c r="BB9" s="115" t="n">
        <v>0</v>
      </c>
      <c r="BD9" s="115" t="n">
        <v>0</v>
      </c>
      <c r="BF9" s="115" t="n">
        <v>0</v>
      </c>
      <c r="BH9" s="115" t="n">
        <v>0</v>
      </c>
      <c r="BJ9" s="115" t="n">
        <v>0</v>
      </c>
      <c r="BK9" s="115"/>
      <c r="BL9" s="115" t="n">
        <f aca="false">SUM(T9:BK9)</f>
        <v>81943852.94</v>
      </c>
      <c r="BM9" s="115"/>
      <c r="BN9" s="115" t="n">
        <f aca="false">-100000+353801-22200+66200</f>
        <v>297801</v>
      </c>
      <c r="BO9" s="115"/>
      <c r="BP9" s="115" t="n">
        <f aca="false">IF(+R9-BL9+BN9&gt;0,R9-BL9+BN9,0)</f>
        <v>4175448.06</v>
      </c>
      <c r="BR9" s="115" t="n">
        <f aca="false">+BL9+BP9</f>
        <v>86119301</v>
      </c>
      <c r="BT9" s="115" t="n">
        <f aca="false">+R9-BR9</f>
        <v>-297801</v>
      </c>
      <c r="BU9" s="115"/>
    </row>
    <row r="10" customFormat="false" ht="12.75" hidden="false" customHeight="false" outlineLevel="0" collapsed="false">
      <c r="A10" s="168"/>
      <c r="B10" s="165" t="s">
        <v>152</v>
      </c>
      <c r="C10" s="0"/>
      <c r="D10" s="0"/>
      <c r="E10" s="0"/>
      <c r="F10" s="0"/>
      <c r="G10" s="0"/>
      <c r="H10" s="0"/>
      <c r="I10" s="0"/>
      <c r="J10" s="4" t="s">
        <v>132</v>
      </c>
      <c r="K10" s="0"/>
      <c r="L10" s="169" t="s">
        <v>142</v>
      </c>
      <c r="M10" s="115"/>
      <c r="N10" s="115" t="n">
        <v>93330000</v>
      </c>
      <c r="O10" s="115"/>
      <c r="P10" s="115" t="n">
        <v>0</v>
      </c>
      <c r="Q10" s="115"/>
      <c r="R10" s="115" t="n">
        <v>100000</v>
      </c>
      <c r="S10" s="115"/>
      <c r="T10" s="115"/>
      <c r="U10" s="115"/>
      <c r="V10" s="115"/>
      <c r="X10" s="115"/>
      <c r="Z10" s="115"/>
      <c r="AB10" s="115"/>
      <c r="AD10" s="115"/>
      <c r="AF10" s="115" t="n">
        <v>0</v>
      </c>
      <c r="AH10" s="115" t="n">
        <v>0</v>
      </c>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100000</v>
      </c>
      <c r="BR10" s="115" t="n">
        <f aca="false">+BL10+BP10</f>
        <v>100000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BJ11" s="115"/>
      <c r="BK11" s="115"/>
      <c r="BM11" s="115"/>
      <c r="BN11" s="115"/>
      <c r="BO11" s="115"/>
      <c r="BT11" s="115" t="n">
        <f aca="false">+R11-BR11</f>
        <v>0</v>
      </c>
      <c r="BU11" s="115"/>
    </row>
    <row r="12" customFormat="false" ht="12.75" hidden="false" customHeight="false" outlineLevel="0" collapsed="false">
      <c r="A12" s="168"/>
      <c r="B12" s="165" t="s">
        <v>292</v>
      </c>
      <c r="C12" s="0"/>
      <c r="D12" s="0"/>
      <c r="E12" s="0"/>
      <c r="F12" s="0"/>
      <c r="G12" s="0"/>
      <c r="H12" s="0"/>
      <c r="I12" s="0"/>
      <c r="J12" s="4"/>
      <c r="K12" s="0"/>
      <c r="L12" s="169"/>
      <c r="M12" s="115"/>
      <c r="N12" s="170" t="n">
        <f aca="false">SUM(N9:N11)</f>
        <v>93330000</v>
      </c>
      <c r="O12" s="115"/>
      <c r="P12" s="170" t="n">
        <f aca="false">SUM(P9:P11)</f>
        <v>0</v>
      </c>
      <c r="Q12" s="115"/>
      <c r="R12" s="170" t="n">
        <f aca="false">SUM(R9:R11)</f>
        <v>85921500</v>
      </c>
      <c r="S12" s="115"/>
      <c r="T12" s="170" t="n">
        <f aca="false">SUM(T9:T11)</f>
        <v>16673400</v>
      </c>
      <c r="U12" s="115"/>
      <c r="V12" s="170" t="n">
        <f aca="false">SUM(V9:V11)</f>
        <v>43401650</v>
      </c>
      <c r="X12" s="170" t="n">
        <f aca="false">SUM(X9:X11)</f>
        <v>4291075</v>
      </c>
      <c r="Z12" s="170" t="n">
        <f aca="false">SUM(Z9:Z11)</f>
        <v>0</v>
      </c>
      <c r="AB12" s="170" t="n">
        <f aca="false">SUM(AB9:AB11)</f>
        <v>4291075</v>
      </c>
      <c r="AD12" s="170" t="n">
        <f aca="false">SUM(AD9:AD11)</f>
        <v>8617667</v>
      </c>
      <c r="AF12" s="170" t="n">
        <f aca="false">SUM(AF9:AF11)</f>
        <v>0</v>
      </c>
      <c r="AH12" s="170" t="n">
        <f aca="false">SUM(AH9:AH11)</f>
        <v>0</v>
      </c>
      <c r="AJ12" s="170" t="n">
        <f aca="false">SUM(AJ9:AJ11)</f>
        <v>318420.9</v>
      </c>
      <c r="AL12" s="170" t="n">
        <f aca="false">SUM(AL9:AL11)</f>
        <v>0</v>
      </c>
      <c r="AN12" s="170" t="n">
        <f aca="false">SUM(AN9:AN11)</f>
        <v>0</v>
      </c>
      <c r="AP12" s="170" t="n">
        <f aca="false">SUM(AP9:AP11)</f>
        <v>39600</v>
      </c>
      <c r="AR12" s="170" t="n">
        <f aca="false">SUM(AR9:AR11)</f>
        <v>1077741.26</v>
      </c>
      <c r="AT12" s="170" t="n">
        <f aca="false">SUM(AT9:AT11)</f>
        <v>1077741.26</v>
      </c>
      <c r="AV12" s="170" t="n">
        <f aca="false">SUM(AV9:AV11)</f>
        <v>2155482.52</v>
      </c>
      <c r="AX12" s="170" t="n">
        <f aca="false">SUM(AX9:AX11)</f>
        <v>0</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81943852.94</v>
      </c>
      <c r="BM12" s="115"/>
      <c r="BN12" s="170" t="n">
        <f aca="false">SUM(BN9:BN11)</f>
        <v>297801</v>
      </c>
      <c r="BO12" s="115"/>
      <c r="BP12" s="170" t="n">
        <f aca="false">SUM(BP9:BP11)</f>
        <v>4275448.06</v>
      </c>
      <c r="BR12" s="170" t="n">
        <f aca="false">SUM(BR9:BR11)</f>
        <v>86219301</v>
      </c>
      <c r="BT12" s="170" t="n">
        <f aca="false">SUM(BT9:BT11)</f>
        <v>-297801</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BJ13" s="115"/>
      <c r="BK13" s="115"/>
      <c r="BM13" s="115"/>
      <c r="BN13" s="115"/>
      <c r="BO13" s="115"/>
      <c r="BU13" s="115"/>
    </row>
    <row r="14" customFormat="false" ht="12.75" hidden="true" customHeight="false" outlineLevel="0" collapsed="false">
      <c r="A14" s="168"/>
      <c r="B14" s="165" t="s">
        <v>154</v>
      </c>
      <c r="C14" s="0"/>
      <c r="D14" s="0"/>
      <c r="E14" s="0"/>
      <c r="F14" s="0"/>
      <c r="G14" s="0"/>
      <c r="H14" s="0"/>
      <c r="I14" s="0"/>
      <c r="J14" s="4"/>
      <c r="K14" s="0"/>
      <c r="L14" s="169" t="s">
        <v>142</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155</v>
      </c>
      <c r="C15" s="0"/>
      <c r="D15" s="0"/>
      <c r="E15" s="0"/>
      <c r="F15" s="0"/>
      <c r="G15" s="0"/>
      <c r="H15" s="0"/>
      <c r="I15" s="0"/>
      <c r="J15" s="4" t="s">
        <v>132</v>
      </c>
      <c r="K15" s="0"/>
      <c r="L15" s="169" t="s">
        <v>142</v>
      </c>
      <c r="M15" s="115"/>
      <c r="N15" s="115" t="n">
        <v>0</v>
      </c>
      <c r="O15" s="115"/>
      <c r="P15" s="115" t="n">
        <v>0</v>
      </c>
      <c r="Q15" s="115"/>
      <c r="R15" s="115" t="n">
        <v>3949654</v>
      </c>
      <c r="S15" s="115"/>
      <c r="T15" s="115" t="n">
        <v>0</v>
      </c>
      <c r="U15" s="115"/>
      <c r="V15" s="115"/>
      <c r="X15" s="115" t="n">
        <v>0</v>
      </c>
      <c r="Z15" s="115" t="n">
        <v>0</v>
      </c>
      <c r="AB15" s="115" t="n">
        <v>0</v>
      </c>
      <c r="AD15" s="115" t="n">
        <v>0</v>
      </c>
      <c r="AF15" s="115" t="n">
        <v>0</v>
      </c>
      <c r="AH15" s="115" t="n">
        <v>197482.7</v>
      </c>
      <c r="AJ15" s="115" t="n">
        <v>350000</v>
      </c>
      <c r="AL15" s="115" t="n">
        <v>935</v>
      </c>
      <c r="AN15" s="115" t="n">
        <v>595253.1</v>
      </c>
      <c r="AP15" s="115" t="n">
        <v>0</v>
      </c>
      <c r="AR15" s="115" t="n">
        <v>1190506.2</v>
      </c>
      <c r="AT15" s="115" t="n">
        <v>1190506.2</v>
      </c>
      <c r="AV15" s="115" t="n">
        <v>0</v>
      </c>
      <c r="AX15" s="115" t="n">
        <f aca="false">1587342-975006-215500</f>
        <v>396836</v>
      </c>
      <c r="AZ15" s="115" t="n">
        <v>0</v>
      </c>
      <c r="BB15" s="115" t="n">
        <v>396835.4</v>
      </c>
      <c r="BD15" s="115" t="n">
        <v>0</v>
      </c>
      <c r="BF15" s="115" t="n">
        <v>0</v>
      </c>
      <c r="BH15" s="115" t="n">
        <v>0</v>
      </c>
      <c r="BJ15" s="115" t="n">
        <v>0</v>
      </c>
      <c r="BK15" s="115"/>
      <c r="BL15" s="115" t="n">
        <f aca="false">SUM(T15:BK15)</f>
        <v>4318354.6</v>
      </c>
      <c r="BM15" s="115"/>
      <c r="BN15" s="115" t="n">
        <f aca="false">3968354-3949654+215500</f>
        <v>234200</v>
      </c>
      <c r="BO15" s="115"/>
      <c r="BP15" s="115" t="n">
        <f aca="false">IF(+R15-BL15+BN15&gt;0,R15-BL15+BN15,0)</f>
        <v>0</v>
      </c>
      <c r="BR15" s="115" t="n">
        <f aca="false">+BL15+BP15</f>
        <v>4318354.6</v>
      </c>
      <c r="BT15" s="115" t="n">
        <f aca="false">+R15-BR15</f>
        <v>-368700.6</v>
      </c>
      <c r="BU15" s="115"/>
    </row>
    <row r="16" customFormat="false" ht="12.75" hidden="false" customHeight="false" outlineLevel="0" collapsed="false">
      <c r="A16" s="171"/>
      <c r="B16" s="165" t="s">
        <v>412</v>
      </c>
      <c r="C16" s="0"/>
      <c r="D16" s="0"/>
      <c r="E16" s="0"/>
      <c r="F16" s="0"/>
      <c r="G16" s="0"/>
      <c r="H16" s="0"/>
      <c r="I16" s="0"/>
      <c r="J16" s="4"/>
      <c r="K16" s="0"/>
      <c r="L16" s="169"/>
      <c r="M16" s="115"/>
      <c r="O16" s="115"/>
      <c r="Q16" s="115"/>
      <c r="R16" s="115" t="n">
        <v>412400</v>
      </c>
      <c r="S16" s="115"/>
      <c r="T16" s="115"/>
      <c r="U16" s="115"/>
      <c r="V16" s="115"/>
      <c r="X16" s="115"/>
      <c r="Z16" s="115"/>
      <c r="AB16" s="115"/>
      <c r="AD16" s="115"/>
      <c r="AH16" s="115" t="n">
        <v>62400</v>
      </c>
      <c r="AN16" s="115" t="n">
        <v>59780</v>
      </c>
      <c r="AX16" s="115" t="n">
        <v>215500</v>
      </c>
      <c r="BJ16" s="115"/>
      <c r="BK16" s="115"/>
      <c r="BL16" s="115" t="n">
        <f aca="false">SUM(T16:BK16)</f>
        <v>337680</v>
      </c>
      <c r="BM16" s="115"/>
      <c r="BN16" s="115" t="n">
        <v>59780</v>
      </c>
      <c r="BO16" s="115"/>
      <c r="BP16" s="115" t="n">
        <f aca="false">IF(+R16-BL16+BN16&gt;0,R16-BL16+BN16,0)</f>
        <v>134500</v>
      </c>
      <c r="BR16" s="115" t="n">
        <f aca="false">+BL16+BP16</f>
        <v>472180</v>
      </c>
      <c r="BT16" s="115" t="n">
        <f aca="false">+R16-BR16</f>
        <v>-59780</v>
      </c>
      <c r="BU16" s="115"/>
    </row>
    <row r="17" customFormat="false" ht="12.75" hidden="false" customHeight="false" outlineLevel="0" collapsed="false">
      <c r="A17" s="171"/>
      <c r="B17" s="165" t="s">
        <v>156</v>
      </c>
      <c r="C17" s="0"/>
      <c r="D17" s="0"/>
      <c r="E17" s="0"/>
      <c r="F17" s="0"/>
      <c r="G17" s="0"/>
      <c r="H17" s="0"/>
      <c r="I17" s="0"/>
      <c r="J17" s="4" t="s">
        <v>132</v>
      </c>
      <c r="K17" s="0"/>
      <c r="L17" s="169" t="s">
        <v>142</v>
      </c>
      <c r="M17" s="115"/>
      <c r="O17" s="115"/>
      <c r="Q17" s="115"/>
      <c r="S17" s="115"/>
      <c r="T17" s="115"/>
      <c r="U17" s="115"/>
      <c r="V17" s="115"/>
      <c r="X17" s="115"/>
      <c r="Z17" s="115"/>
      <c r="AB17" s="115"/>
      <c r="AD17" s="115"/>
      <c r="BJ17" s="115"/>
      <c r="BK17" s="115"/>
      <c r="BL17" s="115" t="n">
        <f aca="false">SUM(T17:BK17)</f>
        <v>0</v>
      </c>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157</v>
      </c>
      <c r="C18" s="0"/>
      <c r="D18" s="0"/>
      <c r="E18" s="0"/>
      <c r="F18" s="0"/>
      <c r="G18" s="0"/>
      <c r="H18" s="0"/>
      <c r="I18" s="0"/>
      <c r="J18" s="4" t="s">
        <v>132</v>
      </c>
      <c r="K18" s="0"/>
      <c r="L18" s="169" t="s">
        <v>142</v>
      </c>
      <c r="M18" s="115"/>
      <c r="O18" s="115"/>
      <c r="Q18" s="115"/>
      <c r="S18" s="115"/>
      <c r="T18" s="115"/>
      <c r="U18" s="115"/>
      <c r="V18" s="115"/>
      <c r="X18" s="115"/>
      <c r="Z18" s="115"/>
      <c r="AB18" s="115"/>
      <c r="AD18" s="115"/>
      <c r="BJ18" s="115"/>
      <c r="BK18" s="115"/>
      <c r="BL18" s="115" t="n">
        <f aca="false">SUM(T18:BK18)</f>
        <v>0</v>
      </c>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158</v>
      </c>
      <c r="C19" s="0"/>
      <c r="D19" s="0"/>
      <c r="E19" s="0"/>
      <c r="F19" s="0"/>
      <c r="G19" s="0"/>
      <c r="H19" s="0"/>
      <c r="I19" s="0"/>
      <c r="J19" s="4" t="s">
        <v>132</v>
      </c>
      <c r="K19" s="0"/>
      <c r="L19" s="169" t="s">
        <v>142</v>
      </c>
      <c r="M19" s="115"/>
      <c r="O19" s="115"/>
      <c r="Q19" s="115"/>
      <c r="S19" s="115"/>
      <c r="T19" s="115"/>
      <c r="U19" s="115"/>
      <c r="V19" s="115"/>
      <c r="X19" s="115"/>
      <c r="Z19" s="115"/>
      <c r="AB19" s="115"/>
      <c r="AD19" s="115"/>
      <c r="BJ19" s="115"/>
      <c r="BK19" s="115"/>
      <c r="BL19" s="115" t="n">
        <f aca="false">SUM(T19:BK19)</f>
        <v>0</v>
      </c>
      <c r="BM19" s="115"/>
      <c r="BN19" s="115"/>
      <c r="BO19" s="115"/>
      <c r="BP19" s="115" t="n">
        <f aca="false">IF(+R19-BL19+BN19&gt;0,R19-BL19+BN19,0)</f>
        <v>0</v>
      </c>
      <c r="BR19" s="115" t="n">
        <f aca="false">+BL19+BP19</f>
        <v>0</v>
      </c>
      <c r="BT19" s="115" t="n">
        <f aca="false">+R19-BR19</f>
        <v>0</v>
      </c>
      <c r="BU19" s="115"/>
    </row>
    <row r="20" customFormat="false" ht="12.75" hidden="false" customHeight="false" outlineLevel="0" collapsed="false">
      <c r="A20" s="171"/>
      <c r="B20" s="165" t="s">
        <v>159</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BJ20" s="115"/>
      <c r="BK20" s="115"/>
      <c r="BL20" s="115" t="n">
        <f aca="false">SUM(T20:BK20)</f>
        <v>0</v>
      </c>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c r="C21" s="0"/>
      <c r="D21" s="0"/>
      <c r="E21" s="0"/>
      <c r="F21" s="0"/>
      <c r="G21" s="0"/>
      <c r="H21" s="0"/>
      <c r="I21" s="0"/>
      <c r="J21" s="4" t="s">
        <v>132</v>
      </c>
      <c r="K21" s="0"/>
      <c r="L21" s="169"/>
      <c r="M21" s="115"/>
      <c r="O21" s="115"/>
      <c r="Q21" s="115"/>
      <c r="S21" s="115"/>
      <c r="T21" s="115"/>
      <c r="U21" s="115"/>
      <c r="V21" s="115"/>
      <c r="X21" s="115"/>
      <c r="Z21" s="115"/>
      <c r="AB21" s="115"/>
      <c r="AD21" s="115"/>
      <c r="BJ21" s="115"/>
      <c r="BK21" s="115"/>
      <c r="BL21" s="115" t="n">
        <f aca="false">SUM(T21:BK21)</f>
        <v>0</v>
      </c>
      <c r="BM21" s="115"/>
      <c r="BN21" s="115"/>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160</v>
      </c>
      <c r="C22" s="0"/>
      <c r="D22" s="0"/>
      <c r="E22" s="0"/>
      <c r="F22" s="0"/>
      <c r="G22" s="0"/>
      <c r="H22" s="0"/>
      <c r="I22" s="0"/>
      <c r="J22" s="4" t="s">
        <v>132</v>
      </c>
      <c r="K22" s="0"/>
      <c r="L22" s="169" t="s">
        <v>142</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161</v>
      </c>
      <c r="C23" s="0"/>
      <c r="D23" s="0"/>
      <c r="E23" s="0"/>
      <c r="F23" s="0"/>
      <c r="G23" s="0"/>
      <c r="H23" s="0"/>
      <c r="I23" s="0"/>
      <c r="J23" s="4" t="s">
        <v>132</v>
      </c>
      <c r="K23" s="0"/>
      <c r="L23" s="169" t="s">
        <v>142</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162</v>
      </c>
      <c r="C24" s="0"/>
      <c r="D24" s="0"/>
      <c r="E24" s="0"/>
      <c r="F24" s="0"/>
      <c r="G24" s="0"/>
      <c r="H24" s="0"/>
      <c r="I24" s="0"/>
      <c r="J24" s="4" t="s">
        <v>132</v>
      </c>
      <c r="K24" s="0"/>
      <c r="L24" s="169" t="s">
        <v>142</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163</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1"/>
      <c r="B26" s="165" t="s">
        <v>164</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165</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2"/>
      <c r="B28" s="165" t="s">
        <v>166</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row>
    <row r="29" customFormat="false" ht="12.75" hidden="true" customHeight="false" outlineLevel="0" collapsed="false">
      <c r="A29" s="173"/>
      <c r="B29" s="165" t="s">
        <v>167</v>
      </c>
      <c r="C29" s="18"/>
      <c r="D29" s="18"/>
      <c r="E29" s="18"/>
      <c r="F29" s="18"/>
      <c r="G29" s="18"/>
      <c r="H29" s="18"/>
      <c r="I29" s="18"/>
      <c r="J29" s="4" t="s">
        <v>132</v>
      </c>
      <c r="K29" s="18"/>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c r="IW29" s="174"/>
    </row>
    <row r="30" customFormat="false" ht="12.75" hidden="false" customHeight="false" outlineLevel="0" collapsed="false">
      <c r="A30" s="171"/>
      <c r="B30" s="165" t="s">
        <v>152</v>
      </c>
      <c r="C30" s="0"/>
      <c r="D30" s="0"/>
      <c r="E30" s="0"/>
      <c r="F30" s="0"/>
      <c r="G30" s="0"/>
      <c r="H30" s="0"/>
      <c r="I30" s="0"/>
      <c r="J30" s="4" t="s">
        <v>132</v>
      </c>
      <c r="K30" s="0"/>
      <c r="L30" s="169" t="s">
        <v>142</v>
      </c>
      <c r="M30" s="115"/>
      <c r="N30" s="115" t="n">
        <v>0</v>
      </c>
      <c r="O30" s="115"/>
      <c r="P30" s="115" t="n">
        <v>0</v>
      </c>
      <c r="Q30" s="115"/>
      <c r="R30" s="115" t="n">
        <v>0</v>
      </c>
      <c r="S30" s="115"/>
      <c r="T30" s="115" t="n">
        <v>0</v>
      </c>
      <c r="U30" s="115"/>
      <c r="V30" s="115" t="n">
        <v>0</v>
      </c>
      <c r="X30" s="115" t="n">
        <v>0</v>
      </c>
      <c r="Z30" s="115" t="n">
        <v>0</v>
      </c>
      <c r="AB30" s="115" t="n">
        <v>0</v>
      </c>
      <c r="AD30" s="115"/>
      <c r="AF30" s="115" t="n">
        <v>0</v>
      </c>
      <c r="AH30" s="115" t="n">
        <v>0</v>
      </c>
      <c r="AJ30" s="115" t="n">
        <v>0</v>
      </c>
      <c r="AL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K30" s="115"/>
      <c r="BL30" s="115" t="n">
        <f aca="false">SUM(T30:BK30)</f>
        <v>0</v>
      </c>
      <c r="BM30" s="115"/>
      <c r="BN30" s="115" t="n">
        <v>0</v>
      </c>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c r="C31" s="0"/>
      <c r="D31" s="0"/>
      <c r="E31" s="0"/>
      <c r="F31" s="0"/>
      <c r="G31" s="0"/>
      <c r="H31" s="0"/>
      <c r="I31" s="0"/>
      <c r="J31" s="4"/>
      <c r="K31" s="0"/>
      <c r="L31" s="169"/>
      <c r="M31" s="115"/>
      <c r="O31" s="115"/>
      <c r="Q31" s="115"/>
      <c r="S31" s="115"/>
      <c r="T31" s="115"/>
      <c r="U31" s="115"/>
      <c r="V31" s="115"/>
      <c r="X31" s="115"/>
      <c r="Z31" s="115"/>
      <c r="AB31" s="115"/>
      <c r="AD31" s="115"/>
      <c r="BJ31" s="115"/>
      <c r="BK31" s="115"/>
      <c r="BM31" s="115"/>
      <c r="BN31" s="115"/>
      <c r="BO31" s="115"/>
      <c r="BP31" s="115" t="n">
        <f aca="false">IF(+R31-BL31+BN31&gt;0,R31-BL31+BN31,0)</f>
        <v>0</v>
      </c>
      <c r="BR31" s="115" t="n">
        <f aca="false">+BL31+BP31</f>
        <v>0</v>
      </c>
      <c r="BT31" s="115" t="n">
        <f aca="false">+R31-BR31</f>
        <v>0</v>
      </c>
      <c r="BU31" s="115"/>
    </row>
    <row r="32" customFormat="false" ht="12.75" hidden="false" customHeight="false" outlineLevel="0" collapsed="false">
      <c r="A32" s="171"/>
      <c r="B32" s="165" t="s">
        <v>168</v>
      </c>
      <c r="C32" s="0"/>
      <c r="D32" s="0"/>
      <c r="E32" s="0"/>
      <c r="F32" s="0"/>
      <c r="G32" s="0"/>
      <c r="H32" s="0"/>
      <c r="I32" s="0"/>
      <c r="J32" s="4"/>
      <c r="K32" s="0"/>
      <c r="L32" s="169"/>
      <c r="M32" s="115"/>
      <c r="N32" s="170" t="n">
        <f aca="false">SUM(N14:N31)</f>
        <v>0</v>
      </c>
      <c r="O32" s="115"/>
      <c r="P32" s="170" t="n">
        <f aca="false">SUM(P14:P31)</f>
        <v>0</v>
      </c>
      <c r="Q32" s="115"/>
      <c r="R32" s="170" t="n">
        <f aca="false">SUM(R14:R31)</f>
        <v>4362054</v>
      </c>
      <c r="S32" s="115"/>
      <c r="T32" s="170" t="n">
        <f aca="false">SUM(T14:T31)</f>
        <v>0</v>
      </c>
      <c r="U32" s="115"/>
      <c r="V32" s="170" t="n">
        <f aca="false">SUM(V14:V31)</f>
        <v>0</v>
      </c>
      <c r="X32" s="170" t="n">
        <f aca="false">SUM(X14:X31)</f>
        <v>0</v>
      </c>
      <c r="Z32" s="170" t="n">
        <f aca="false">SUM(Z14:Z31)</f>
        <v>0</v>
      </c>
      <c r="AB32" s="170" t="n">
        <f aca="false">SUM(AB14:AB31)</f>
        <v>0</v>
      </c>
      <c r="AD32" s="170" t="n">
        <f aca="false">SUM(AD14:AD31)</f>
        <v>0</v>
      </c>
      <c r="AF32" s="170" t="n">
        <f aca="false">SUM(AF14:AF31)</f>
        <v>0</v>
      </c>
      <c r="AH32" s="170" t="n">
        <f aca="false">SUM(AH14:AH31)</f>
        <v>259882.7</v>
      </c>
      <c r="AJ32" s="170" t="n">
        <f aca="false">SUM(AJ14:AJ31)</f>
        <v>350000</v>
      </c>
      <c r="AL32" s="170" t="n">
        <f aca="false">SUM(AL14:AL31)</f>
        <v>935</v>
      </c>
      <c r="AN32" s="170" t="n">
        <f aca="false">SUM(AN14:AN31)</f>
        <v>655033.1</v>
      </c>
      <c r="AP32" s="170" t="n">
        <f aca="false">SUM(AP14:AP31)</f>
        <v>0</v>
      </c>
      <c r="AR32" s="170" t="n">
        <f aca="false">SUM(AR14:AR31)</f>
        <v>1190506.2</v>
      </c>
      <c r="AT32" s="170" t="n">
        <f aca="false">SUM(AT14:AT31)</f>
        <v>1190506.2</v>
      </c>
      <c r="AV32" s="170" t="n">
        <f aca="false">SUM(AV14:AV31)</f>
        <v>0</v>
      </c>
      <c r="AX32" s="170" t="n">
        <f aca="false">SUM(AX14:AX31)</f>
        <v>612336</v>
      </c>
      <c r="AZ32" s="170" t="n">
        <f aca="false">SUM(AZ14:AZ31)</f>
        <v>0</v>
      </c>
      <c r="BB32" s="170" t="n">
        <f aca="false">SUM(BB14:BB31)</f>
        <v>396835.4</v>
      </c>
      <c r="BD32" s="170" t="n">
        <f aca="false">SUM(BD14:BD31)</f>
        <v>0</v>
      </c>
      <c r="BF32" s="170" t="n">
        <f aca="false">SUM(BF14:BF31)</f>
        <v>0</v>
      </c>
      <c r="BH32" s="170" t="n">
        <f aca="false">SUM(BH14:BH31)</f>
        <v>0</v>
      </c>
      <c r="BJ32" s="170" t="n">
        <f aca="false">SUM(BJ14:BJ31)</f>
        <v>0</v>
      </c>
      <c r="BK32" s="115"/>
      <c r="BL32" s="170" t="n">
        <f aca="false">SUM(BL14:BL31)</f>
        <v>4656034.6</v>
      </c>
      <c r="BM32" s="115"/>
      <c r="BN32" s="170" t="n">
        <f aca="false">SUM(BN14:BN31)</f>
        <v>293980</v>
      </c>
      <c r="BO32" s="115"/>
      <c r="BP32" s="170" t="n">
        <f aca="false">SUM(BP14:BP31)</f>
        <v>134500</v>
      </c>
      <c r="BR32" s="170" t="n">
        <f aca="false">SUM(BR14:BR31)</f>
        <v>4790534.6</v>
      </c>
      <c r="BT32" s="170" t="n">
        <f aca="false">SUM(BT14:BT31)</f>
        <v>-428480.6</v>
      </c>
      <c r="BU32" s="115"/>
    </row>
    <row r="33" customFormat="false" ht="12.75" hidden="false" customHeight="false" outlineLevel="0" collapsed="false">
      <c r="A33" s="171"/>
      <c r="B33" s="165"/>
      <c r="C33" s="0"/>
      <c r="D33" s="0"/>
      <c r="E33" s="0"/>
      <c r="F33" s="0"/>
      <c r="G33" s="0"/>
      <c r="H33" s="0"/>
      <c r="I33" s="0"/>
      <c r="J33" s="4"/>
      <c r="K33" s="0"/>
      <c r="L33" s="169"/>
      <c r="M33" s="115"/>
      <c r="O33" s="115"/>
      <c r="Q33" s="115"/>
      <c r="S33" s="115"/>
      <c r="T33" s="115"/>
      <c r="U33" s="115"/>
      <c r="V33" s="115"/>
      <c r="X33" s="115"/>
      <c r="Z33" s="115"/>
      <c r="AB33" s="115"/>
      <c r="AD33" s="115"/>
      <c r="BJ33" s="115"/>
      <c r="BK33" s="115"/>
      <c r="BM33" s="115"/>
      <c r="BN33" s="115"/>
      <c r="BO33" s="115"/>
      <c r="BU33" s="115"/>
    </row>
    <row r="34" customFormat="false" ht="12.75" hidden="false" customHeight="false" outlineLevel="0" collapsed="false">
      <c r="A34" s="175"/>
      <c r="B34" s="176" t="s">
        <v>169</v>
      </c>
      <c r="C34" s="177"/>
      <c r="D34" s="177"/>
      <c r="E34" s="177"/>
      <c r="F34" s="177"/>
      <c r="G34" s="177"/>
      <c r="H34" s="177"/>
      <c r="I34" s="177"/>
      <c r="J34" s="178"/>
      <c r="K34" s="177"/>
      <c r="L34" s="179"/>
      <c r="M34" s="180"/>
      <c r="N34" s="180" t="n">
        <f aca="false">+N32+N12</f>
        <v>93330000</v>
      </c>
      <c r="O34" s="180"/>
      <c r="P34" s="180" t="n">
        <f aca="false">+P32+P12</f>
        <v>0</v>
      </c>
      <c r="Q34" s="180"/>
      <c r="R34" s="180" t="n">
        <f aca="false">+R32+R12</f>
        <v>90283554</v>
      </c>
      <c r="S34" s="180"/>
      <c r="T34" s="180" t="n">
        <f aca="false">+T32+T12</f>
        <v>16673400</v>
      </c>
      <c r="U34" s="180"/>
      <c r="V34" s="180" t="n">
        <f aca="false">+V32+V12</f>
        <v>43401650</v>
      </c>
      <c r="W34" s="180"/>
      <c r="X34" s="180" t="n">
        <f aca="false">+X32+X12</f>
        <v>4291075</v>
      </c>
      <c r="Y34" s="180"/>
      <c r="Z34" s="180" t="n">
        <f aca="false">+Z32+Z12</f>
        <v>0</v>
      </c>
      <c r="AA34" s="180"/>
      <c r="AB34" s="180" t="n">
        <f aca="false">+AB32+AB12</f>
        <v>4291075</v>
      </c>
      <c r="AC34" s="180"/>
      <c r="AD34" s="180" t="n">
        <f aca="false">+AD32+AD12</f>
        <v>8617667</v>
      </c>
      <c r="AE34" s="180"/>
      <c r="AF34" s="180" t="n">
        <f aca="false">+AF32+AF12</f>
        <v>0</v>
      </c>
      <c r="AG34" s="180"/>
      <c r="AH34" s="180" t="n">
        <f aca="false">+AH32+AH12</f>
        <v>259882.7</v>
      </c>
      <c r="AI34" s="180"/>
      <c r="AJ34" s="180" t="n">
        <f aca="false">+AJ32+AJ12</f>
        <v>668420.9</v>
      </c>
      <c r="AK34" s="180"/>
      <c r="AL34" s="180" t="n">
        <f aca="false">+AL32+AL12</f>
        <v>935</v>
      </c>
      <c r="AM34" s="180"/>
      <c r="AN34" s="180" t="n">
        <f aca="false">+AN32+AN12</f>
        <v>655033.1</v>
      </c>
      <c r="AO34" s="180"/>
      <c r="AP34" s="180" t="n">
        <f aca="false">+AP32+AP12</f>
        <v>39600</v>
      </c>
      <c r="AQ34" s="180"/>
      <c r="AR34" s="180" t="n">
        <f aca="false">+AR32+AR12</f>
        <v>2268247.46</v>
      </c>
      <c r="AS34" s="180"/>
      <c r="AT34" s="180" t="n">
        <f aca="false">+AT32+AT12</f>
        <v>2268247.46</v>
      </c>
      <c r="AU34" s="180"/>
      <c r="AV34" s="180" t="n">
        <f aca="false">+AV32+AV12</f>
        <v>2155482.52</v>
      </c>
      <c r="AW34" s="180"/>
      <c r="AX34" s="180" t="n">
        <f aca="false">+AX32+AX12</f>
        <v>612336</v>
      </c>
      <c r="AY34" s="180"/>
      <c r="AZ34" s="180" t="n">
        <f aca="false">+AZ32+AZ12</f>
        <v>0</v>
      </c>
      <c r="BA34" s="180"/>
      <c r="BB34" s="180" t="n">
        <f aca="false">+BB32+BB12</f>
        <v>396835.4</v>
      </c>
      <c r="BC34" s="180"/>
      <c r="BD34" s="180" t="n">
        <f aca="false">+BD32+BD12</f>
        <v>0</v>
      </c>
      <c r="BE34" s="180"/>
      <c r="BF34" s="180" t="n">
        <f aca="false">+BF32+BF12</f>
        <v>0</v>
      </c>
      <c r="BG34" s="180"/>
      <c r="BH34" s="180" t="n">
        <f aca="false">+BH32+BH12</f>
        <v>0</v>
      </c>
      <c r="BI34" s="180"/>
      <c r="BJ34" s="180" t="n">
        <f aca="false">+BJ32+BJ12</f>
        <v>0</v>
      </c>
      <c r="BK34" s="180"/>
      <c r="BL34" s="180" t="n">
        <f aca="false">+BL32+BL12</f>
        <v>86599887.54</v>
      </c>
      <c r="BM34" s="180"/>
      <c r="BN34" s="180" t="n">
        <f aca="false">+BN32+BN12</f>
        <v>591781</v>
      </c>
      <c r="BO34" s="180"/>
      <c r="BP34" s="180" t="n">
        <f aca="false">+BP32+BP12</f>
        <v>4409948.06</v>
      </c>
      <c r="BQ34" s="180"/>
      <c r="BR34" s="180" t="n">
        <f aca="false">+BR32+BR12</f>
        <v>91009835.6</v>
      </c>
      <c r="BS34" s="180"/>
      <c r="BT34" s="180" t="n">
        <f aca="false">+BT32+BT12</f>
        <v>-726281.6</v>
      </c>
      <c r="BU34" s="180"/>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c r="IW34" s="177"/>
    </row>
    <row r="35" customFormat="false" ht="12.75" hidden="false" customHeight="false" outlineLevel="0" collapsed="false">
      <c r="A35" s="171"/>
      <c r="B35" s="181"/>
      <c r="C35" s="0"/>
      <c r="D35" s="0"/>
      <c r="E35" s="0"/>
      <c r="F35" s="0"/>
      <c r="G35" s="0"/>
      <c r="H35" s="0"/>
      <c r="I35" s="0"/>
      <c r="J35" s="4"/>
      <c r="K35" s="0"/>
      <c r="L35" s="169"/>
      <c r="M35" s="115"/>
      <c r="O35" s="115"/>
      <c r="Q35" s="115"/>
      <c r="S35" s="115"/>
      <c r="T35" s="115"/>
      <c r="U35" s="115"/>
      <c r="V35" s="115"/>
      <c r="X35" s="115"/>
      <c r="Z35" s="115"/>
      <c r="AB35" s="115"/>
      <c r="AD35" s="115"/>
      <c r="BJ35" s="115"/>
      <c r="BK35" s="115"/>
      <c r="BM35" s="115"/>
      <c r="BN35" s="115"/>
      <c r="BO35" s="115"/>
      <c r="BU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J36" s="115"/>
      <c r="BK36" s="115"/>
      <c r="BM36" s="115"/>
      <c r="BN36" s="115"/>
      <c r="BO36" s="115"/>
      <c r="BU36" s="115"/>
    </row>
    <row r="37" customFormat="false" ht="12.75" hidden="false" customHeight="false" outlineLevel="0" collapsed="false">
      <c r="A37" s="182" t="s">
        <v>170</v>
      </c>
      <c r="B37" s="165"/>
      <c r="C37" s="0"/>
      <c r="D37" s="0"/>
      <c r="E37" s="0"/>
      <c r="F37" s="0"/>
      <c r="G37" s="0"/>
      <c r="H37" s="0"/>
      <c r="I37" s="0"/>
      <c r="J37" s="4"/>
      <c r="K37" s="0"/>
      <c r="L37" s="169"/>
      <c r="M37" s="115"/>
      <c r="O37" s="115"/>
      <c r="Q37" s="115"/>
      <c r="S37" s="115"/>
      <c r="T37" s="115"/>
      <c r="U37" s="115"/>
      <c r="V37" s="115"/>
      <c r="X37" s="115"/>
      <c r="Z37" s="115"/>
      <c r="AB37" s="115"/>
      <c r="AD37" s="115"/>
      <c r="AI37" s="0"/>
      <c r="AK37" s="0"/>
      <c r="AM37" s="0"/>
      <c r="BJ37" s="115"/>
      <c r="BK37" s="115"/>
      <c r="BM37" s="115"/>
      <c r="BN37" s="115"/>
      <c r="BO37" s="115"/>
      <c r="BU37" s="115"/>
    </row>
    <row r="38" customFormat="false" ht="12.75" hidden="false" customHeight="false" outlineLevel="0" collapsed="false">
      <c r="A38" s="171"/>
      <c r="B38" s="165"/>
      <c r="C38" s="0"/>
      <c r="D38" s="0"/>
      <c r="E38" s="0"/>
      <c r="F38" s="0"/>
      <c r="G38" s="0"/>
      <c r="H38" s="0"/>
      <c r="I38" s="0"/>
      <c r="J38" s="4"/>
      <c r="K38" s="0"/>
      <c r="L38" s="169"/>
      <c r="M38" s="115"/>
      <c r="O38" s="115"/>
      <c r="Q38" s="115"/>
      <c r="S38" s="115"/>
      <c r="T38" s="115" t="n">
        <v>0</v>
      </c>
      <c r="U38" s="115"/>
      <c r="V38" s="115" t="n">
        <v>0</v>
      </c>
      <c r="X38" s="115" t="n">
        <v>0</v>
      </c>
      <c r="Z38" s="115" t="n">
        <v>0</v>
      </c>
      <c r="AB38" s="115" t="n">
        <v>0</v>
      </c>
      <c r="AD38" s="115" t="n">
        <v>0</v>
      </c>
      <c r="AF38" s="115" t="n">
        <v>0</v>
      </c>
      <c r="AH38" s="115" t="n">
        <v>0</v>
      </c>
      <c r="AI38" s="0"/>
      <c r="AJ38" s="115" t="n">
        <v>0</v>
      </c>
      <c r="AK38" s="0"/>
      <c r="AL38" s="115" t="n">
        <v>0</v>
      </c>
      <c r="AM38" s="0"/>
      <c r="AN38" s="115" t="n">
        <v>0</v>
      </c>
      <c r="AP38" s="115" t="n">
        <v>0</v>
      </c>
      <c r="AR38" s="115" t="n">
        <v>0</v>
      </c>
      <c r="AT38" s="115" t="n">
        <v>0</v>
      </c>
      <c r="AV38" s="115" t="n">
        <v>0</v>
      </c>
      <c r="AX38" s="115" t="n">
        <v>0</v>
      </c>
      <c r="AZ38" s="115" t="n">
        <v>0</v>
      </c>
      <c r="BB38" s="115" t="n">
        <v>0</v>
      </c>
      <c r="BD38" s="115" t="n">
        <v>0</v>
      </c>
      <c r="BF38" s="115" t="n">
        <v>0</v>
      </c>
      <c r="BH38" s="115" t="n">
        <v>0</v>
      </c>
      <c r="BJ38" s="115" t="n">
        <v>0</v>
      </c>
      <c r="BK38" s="115"/>
      <c r="BM38" s="115"/>
      <c r="BN38" s="115"/>
      <c r="BO38" s="115"/>
      <c r="BU38" s="115"/>
    </row>
    <row r="39" customFormat="false" ht="12.75" hidden="false" customHeight="false" outlineLevel="0" collapsed="false">
      <c r="A39" s="171"/>
      <c r="B39" s="183" t="s">
        <v>171</v>
      </c>
      <c r="C39" s="0"/>
      <c r="D39" s="0"/>
      <c r="E39" s="0"/>
      <c r="F39" s="0"/>
      <c r="G39" s="0"/>
      <c r="H39" s="0"/>
      <c r="I39" s="0"/>
      <c r="J39" s="4"/>
      <c r="K39" s="0"/>
      <c r="L39" s="169"/>
      <c r="M39" s="115"/>
      <c r="O39" s="115"/>
      <c r="Q39" s="115"/>
      <c r="S39" s="115"/>
      <c r="T39" s="115"/>
      <c r="U39" s="115"/>
      <c r="V39" s="115"/>
      <c r="X39" s="115"/>
      <c r="Z39" s="115"/>
      <c r="AB39" s="115"/>
      <c r="AD39" s="115"/>
      <c r="AI39" s="0"/>
      <c r="AK39" s="0"/>
      <c r="AM39" s="0"/>
      <c r="BJ39" s="115"/>
      <c r="BK39" s="115"/>
      <c r="BM39" s="115"/>
      <c r="BN39" s="115"/>
      <c r="BO39" s="115"/>
      <c r="BU39" s="115"/>
    </row>
    <row r="40" customFormat="false" ht="12.75" hidden="false" customHeight="false" outlineLevel="0" collapsed="false">
      <c r="A40" s="171"/>
      <c r="B40" s="184" t="s">
        <v>172</v>
      </c>
      <c r="C40" s="0"/>
      <c r="D40" s="0"/>
      <c r="E40" s="0"/>
      <c r="F40" s="0"/>
      <c r="G40" s="0"/>
      <c r="H40" s="0"/>
      <c r="I40" s="0"/>
      <c r="J40" s="4" t="s">
        <v>173</v>
      </c>
      <c r="K40" s="0"/>
      <c r="L40" s="169" t="s">
        <v>142</v>
      </c>
      <c r="M40" s="115"/>
      <c r="O40" s="115"/>
      <c r="Q40" s="115"/>
      <c r="R40" s="185" t="n">
        <v>1132854</v>
      </c>
      <c r="S40" s="115"/>
      <c r="T40" s="115"/>
      <c r="U40" s="115"/>
      <c r="V40" s="115"/>
      <c r="X40" s="115"/>
      <c r="Z40" s="115"/>
      <c r="AB40" s="115"/>
      <c r="AD40" s="115"/>
      <c r="AI40" s="0"/>
      <c r="AK40" s="0"/>
      <c r="AM40" s="0"/>
      <c r="AP40" s="115" t="n">
        <v>19960</v>
      </c>
      <c r="AT40" s="115" t="n">
        <f aca="false">128593-19960</f>
        <v>108633</v>
      </c>
      <c r="AX40" s="115" t="n">
        <f aca="false">434961-128593</f>
        <v>306368</v>
      </c>
      <c r="BJ40" s="115"/>
      <c r="BK40" s="115"/>
      <c r="BL40" s="115" t="n">
        <f aca="false">SUM(T40:BK40)</f>
        <v>434961</v>
      </c>
      <c r="BM40" s="115"/>
      <c r="BN40" s="115" t="n">
        <f aca="false">1164271-1132835</f>
        <v>31436</v>
      </c>
      <c r="BO40" s="115"/>
      <c r="BP40" s="115" t="n">
        <f aca="false">IF(+R40-BL40+BN40&gt;0,R40-BL40+BN40,0)</f>
        <v>729329</v>
      </c>
      <c r="BR40" s="115" t="n">
        <f aca="false">+BL40+BP40</f>
        <v>1164290</v>
      </c>
      <c r="BT40" s="115" t="n">
        <f aca="false">+R40-BR40</f>
        <v>-31436</v>
      </c>
      <c r="BU40" s="115"/>
    </row>
    <row r="41" customFormat="false" ht="12.75" hidden="false" customHeight="false" outlineLevel="0" collapsed="false">
      <c r="A41" s="171"/>
      <c r="B41" s="184" t="s">
        <v>174</v>
      </c>
      <c r="C41" s="0"/>
      <c r="D41" s="0"/>
      <c r="E41" s="0"/>
      <c r="F41" s="0"/>
      <c r="G41" s="0"/>
      <c r="H41" s="0"/>
      <c r="I41" s="0"/>
      <c r="J41" s="4" t="s">
        <v>173</v>
      </c>
      <c r="K41" s="0"/>
      <c r="L41" s="169" t="s">
        <v>142</v>
      </c>
      <c r="M41" s="115"/>
      <c r="O41" s="115"/>
      <c r="Q41" s="115"/>
      <c r="R41" s="185" t="n">
        <v>1580972</v>
      </c>
      <c r="S41" s="115"/>
      <c r="T41" s="115"/>
      <c r="U41" s="115"/>
      <c r="V41" s="115"/>
      <c r="X41" s="115"/>
      <c r="Z41" s="115"/>
      <c r="AB41" s="115"/>
      <c r="AD41" s="115"/>
      <c r="AI41" s="0"/>
      <c r="AK41" s="0"/>
      <c r="AM41" s="0"/>
      <c r="AP41" s="115" t="n">
        <f aca="false">77323+10575</f>
        <v>87898</v>
      </c>
      <c r="AT41" s="115" t="n">
        <f aca="false">399600-77323+12402</f>
        <v>334679</v>
      </c>
      <c r="AX41" s="115" t="n">
        <f aca="false">717041-422577</f>
        <v>294464</v>
      </c>
      <c r="BJ41" s="115"/>
      <c r="BK41" s="115"/>
      <c r="BL41" s="115" t="n">
        <f aca="false">SUM(T41:BK41)</f>
        <v>717041</v>
      </c>
      <c r="BM41" s="115"/>
      <c r="BN41" s="115" t="n">
        <f aca="false">2003210-1580972</f>
        <v>422238</v>
      </c>
      <c r="BO41" s="115"/>
      <c r="BP41" s="115" t="n">
        <f aca="false">IF(+R41-BL41+BN41&gt;0,R41-BL41+BN41,0)</f>
        <v>1286169</v>
      </c>
      <c r="BR41" s="115" t="n">
        <f aca="false">+BL41+BP41</f>
        <v>2003210</v>
      </c>
      <c r="BT41" s="115" t="n">
        <f aca="false">+R41-BR41</f>
        <v>-422238</v>
      </c>
      <c r="BU41" s="115"/>
    </row>
    <row r="42" customFormat="false" ht="12.75" hidden="false" customHeight="false" outlineLevel="0" collapsed="false">
      <c r="A42" s="171"/>
      <c r="B42" s="184" t="s">
        <v>175</v>
      </c>
      <c r="C42" s="0"/>
      <c r="D42" s="0"/>
      <c r="E42" s="0"/>
      <c r="F42" s="0"/>
      <c r="G42" s="0"/>
      <c r="H42" s="0"/>
      <c r="I42" s="0"/>
      <c r="J42" s="4" t="s">
        <v>173</v>
      </c>
      <c r="K42" s="0"/>
      <c r="L42" s="169" t="s">
        <v>142</v>
      </c>
      <c r="M42" s="115"/>
      <c r="O42" s="115"/>
      <c r="Q42" s="115"/>
      <c r="R42" s="185" t="n">
        <v>8636948</v>
      </c>
      <c r="S42" s="115"/>
      <c r="T42" s="115"/>
      <c r="U42" s="115"/>
      <c r="V42" s="115"/>
      <c r="X42" s="115"/>
      <c r="Z42" s="115"/>
      <c r="AB42" s="115"/>
      <c r="AD42" s="115"/>
      <c r="AI42" s="0"/>
      <c r="AK42" s="0"/>
      <c r="AM42" s="0"/>
      <c r="AP42" s="115" t="n">
        <f aca="false">54748+22150+123159+88926+47401+83850</f>
        <v>420234</v>
      </c>
      <c r="AT42" s="115" t="n">
        <f aca="false">515063-54748+112868+268862+74246+31002+606132+21454</f>
        <v>1574879</v>
      </c>
      <c r="AX42" s="115" t="n">
        <f aca="false">3988889-1973659-21454</f>
        <v>1993776</v>
      </c>
      <c r="BJ42" s="115"/>
      <c r="BK42" s="115"/>
      <c r="BL42" s="115" t="n">
        <f aca="false">SUM(T42:BK42)</f>
        <v>3988889</v>
      </c>
      <c r="BM42" s="115"/>
      <c r="BN42" s="115" t="n">
        <f aca="false">9627760-8636947</f>
        <v>990813</v>
      </c>
      <c r="BO42" s="115"/>
      <c r="BP42" s="115" t="n">
        <f aca="false">IF(+R42-BL42+BN42&gt;0,R42-BL42+BN42,0)</f>
        <v>5638872</v>
      </c>
      <c r="BR42" s="115" t="n">
        <f aca="false">+BL42+BP42</f>
        <v>9627761</v>
      </c>
      <c r="BT42" s="115" t="n">
        <f aca="false">+R42-BR42</f>
        <v>-990813</v>
      </c>
      <c r="BU42" s="115"/>
    </row>
    <row r="43" customFormat="false" ht="12.75" hidden="false" customHeight="false" outlineLevel="0" collapsed="false">
      <c r="A43" s="171"/>
      <c r="B43" s="184" t="s">
        <v>176</v>
      </c>
      <c r="C43" s="0"/>
      <c r="D43" s="0"/>
      <c r="E43" s="0"/>
      <c r="F43" s="0"/>
      <c r="G43" s="0"/>
      <c r="H43" s="0"/>
      <c r="I43" s="0"/>
      <c r="J43" s="4" t="s">
        <v>173</v>
      </c>
      <c r="K43" s="0"/>
      <c r="L43" s="169" t="s">
        <v>142</v>
      </c>
      <c r="M43" s="115"/>
      <c r="N43" s="115" t="n">
        <v>0</v>
      </c>
      <c r="O43" s="115"/>
      <c r="P43" s="115" t="n">
        <v>0</v>
      </c>
      <c r="Q43" s="115"/>
      <c r="R43" s="185" t="n">
        <v>384721</v>
      </c>
      <c r="S43" s="115"/>
      <c r="T43" s="115" t="n">
        <v>0</v>
      </c>
      <c r="U43" s="115"/>
      <c r="V43" s="115" t="n">
        <v>0</v>
      </c>
      <c r="X43" s="115" t="n">
        <v>0</v>
      </c>
      <c r="Z43" s="115" t="n">
        <v>0</v>
      </c>
      <c r="AB43" s="115" t="n">
        <v>0</v>
      </c>
      <c r="AD43" s="115" t="n">
        <v>0</v>
      </c>
      <c r="AF43" s="115" t="n">
        <v>0</v>
      </c>
      <c r="AH43" s="115" t="n">
        <v>0</v>
      </c>
      <c r="AI43" s="0"/>
      <c r="AJ43" s="115" t="n">
        <v>0</v>
      </c>
      <c r="AK43" s="0"/>
      <c r="AL43" s="115" t="n">
        <v>0</v>
      </c>
      <c r="AM43" s="0"/>
      <c r="AN43" s="115" t="n">
        <v>0</v>
      </c>
      <c r="AP43" s="115" t="n">
        <v>84553</v>
      </c>
      <c r="AR43" s="115" t="n">
        <v>0</v>
      </c>
      <c r="AT43" s="115" t="n">
        <f aca="false">179861-84553</f>
        <v>95308</v>
      </c>
      <c r="AV43" s="115" t="n">
        <v>0</v>
      </c>
      <c r="AX43" s="115" t="n">
        <f aca="false">421749-179861</f>
        <v>241888</v>
      </c>
      <c r="AZ43" s="115" t="n">
        <v>0</v>
      </c>
      <c r="BB43" s="115" t="n">
        <v>0</v>
      </c>
      <c r="BD43" s="115" t="n">
        <v>0</v>
      </c>
      <c r="BF43" s="115" t="n">
        <v>0</v>
      </c>
      <c r="BH43" s="115" t="n">
        <v>0</v>
      </c>
      <c r="BJ43" s="115" t="n">
        <v>0</v>
      </c>
      <c r="BK43" s="115"/>
      <c r="BL43" s="115" t="n">
        <f aca="false">SUM(T43:BK43)</f>
        <v>421749</v>
      </c>
      <c r="BM43" s="115"/>
      <c r="BN43" s="115" t="n">
        <f aca="false">465690-384721</f>
        <v>80969</v>
      </c>
      <c r="BO43" s="115"/>
      <c r="BP43" s="115" t="n">
        <f aca="false">IF(+R43-BL43+BN43&gt;0,R43-BL43+BN43,0)</f>
        <v>43941</v>
      </c>
      <c r="BR43" s="115" t="n">
        <f aca="false">+BL43+BP43</f>
        <v>465690</v>
      </c>
      <c r="BT43" s="115" t="n">
        <f aca="false">+R43-BR43</f>
        <v>-80969</v>
      </c>
      <c r="BU43" s="115"/>
    </row>
    <row r="44" customFormat="false" ht="12.75" hidden="false" customHeight="false" outlineLevel="0" collapsed="false">
      <c r="A44" s="171"/>
      <c r="B44" s="184" t="s">
        <v>177</v>
      </c>
      <c r="C44" s="0"/>
      <c r="D44" s="0"/>
      <c r="E44" s="0"/>
      <c r="F44" s="0"/>
      <c r="G44" s="0"/>
      <c r="H44" s="0"/>
      <c r="I44" s="0"/>
      <c r="J44" s="4" t="s">
        <v>173</v>
      </c>
      <c r="K44" s="0"/>
      <c r="L44" s="169" t="s">
        <v>142</v>
      </c>
      <c r="M44" s="115"/>
      <c r="N44" s="115" t="n">
        <v>0</v>
      </c>
      <c r="O44" s="115"/>
      <c r="P44" s="115" t="n">
        <v>0</v>
      </c>
      <c r="Q44" s="115"/>
      <c r="R44" s="185" t="n">
        <v>150000</v>
      </c>
      <c r="S44" s="115"/>
      <c r="T44" s="115" t="n">
        <v>0</v>
      </c>
      <c r="U44" s="115"/>
      <c r="V44" s="115" t="n">
        <v>0</v>
      </c>
      <c r="X44" s="115" t="n">
        <v>0</v>
      </c>
      <c r="Z44" s="115" t="n">
        <v>0</v>
      </c>
      <c r="AB44" s="115" t="n">
        <v>0</v>
      </c>
      <c r="AD44" s="115" t="n">
        <v>0</v>
      </c>
      <c r="AF44" s="115" t="n">
        <v>0</v>
      </c>
      <c r="AH44" s="115" t="n">
        <v>0</v>
      </c>
      <c r="AI44" s="0"/>
      <c r="AJ44" s="115" t="n">
        <v>0</v>
      </c>
      <c r="AK44" s="0"/>
      <c r="AL44" s="115" t="n">
        <v>0</v>
      </c>
      <c r="AM44" s="0"/>
      <c r="AN44" s="115" t="n">
        <v>0</v>
      </c>
      <c r="AP44" s="115" t="n">
        <v>14301</v>
      </c>
      <c r="AR44" s="115" t="n">
        <v>0</v>
      </c>
      <c r="AT44" s="115" t="n">
        <f aca="false">70124-14301</f>
        <v>55823</v>
      </c>
      <c r="AV44" s="115" t="n">
        <v>0</v>
      </c>
      <c r="AX44" s="115" t="n">
        <f aca="false">33294-70124</f>
        <v>-36830</v>
      </c>
      <c r="AZ44" s="115" t="n">
        <v>0</v>
      </c>
      <c r="BB44" s="115" t="n">
        <v>0</v>
      </c>
      <c r="BD44" s="115" t="n">
        <v>0</v>
      </c>
      <c r="BF44" s="115" t="n">
        <v>0</v>
      </c>
      <c r="BH44" s="115" t="n">
        <v>0</v>
      </c>
      <c r="BJ44" s="115" t="n">
        <v>0</v>
      </c>
      <c r="BK44" s="115"/>
      <c r="BL44" s="115" t="n">
        <f aca="false">SUM(T44:BK44)</f>
        <v>33294</v>
      </c>
      <c r="BM44" s="115"/>
      <c r="BN44" s="115" t="n">
        <v>0</v>
      </c>
      <c r="BO44" s="115"/>
      <c r="BP44" s="115" t="n">
        <f aca="false">IF(+R44-BL44+BN44&gt;0,R44-BL44+BN44,0)</f>
        <v>116706</v>
      </c>
      <c r="BR44" s="115" t="n">
        <f aca="false">+BL44+BP44</f>
        <v>150000</v>
      </c>
      <c r="BT44" s="115" t="n">
        <f aca="false">+R44-BR44</f>
        <v>0</v>
      </c>
      <c r="BU44" s="115"/>
    </row>
    <row r="45" customFormat="false" ht="12.75" hidden="false" customHeight="false" outlineLevel="0" collapsed="false">
      <c r="A45" s="171"/>
      <c r="B45" s="184" t="s">
        <v>178</v>
      </c>
      <c r="C45" s="0"/>
      <c r="D45" s="0"/>
      <c r="E45" s="0"/>
      <c r="F45" s="0"/>
      <c r="G45" s="0"/>
      <c r="H45" s="0"/>
      <c r="I45" s="0"/>
      <c r="J45" s="4" t="s">
        <v>173</v>
      </c>
      <c r="K45" s="0"/>
      <c r="L45" s="169" t="s">
        <v>142</v>
      </c>
      <c r="M45" s="115"/>
      <c r="N45" s="115" t="n">
        <v>0</v>
      </c>
      <c r="O45" s="115"/>
      <c r="P45" s="115" t="n">
        <v>0</v>
      </c>
      <c r="Q45" s="115"/>
      <c r="R45" s="185" t="n">
        <v>547484</v>
      </c>
      <c r="S45" s="115"/>
      <c r="T45" s="115" t="n">
        <v>0</v>
      </c>
      <c r="U45" s="115"/>
      <c r="V45" s="115" t="n">
        <v>0</v>
      </c>
      <c r="X45" s="115" t="n">
        <v>0</v>
      </c>
      <c r="Z45" s="115" t="n">
        <v>0</v>
      </c>
      <c r="AB45" s="115" t="n">
        <v>0</v>
      </c>
      <c r="AD45" s="115" t="n">
        <v>0</v>
      </c>
      <c r="AF45" s="115" t="n">
        <v>0</v>
      </c>
      <c r="AH45" s="115" t="n">
        <v>0</v>
      </c>
      <c r="AI45" s="0"/>
      <c r="AJ45" s="115" t="n">
        <v>0</v>
      </c>
      <c r="AK45" s="0"/>
      <c r="AL45" s="115" t="n">
        <v>0</v>
      </c>
      <c r="AM45" s="0"/>
      <c r="AN45" s="115" t="n">
        <v>0</v>
      </c>
      <c r="AP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v>-547484</v>
      </c>
      <c r="BO45" s="115"/>
      <c r="BP45" s="115" t="n">
        <f aca="false">IF(+R45-BL45+BN45&gt;0,R45-BL45+BN45,0)</f>
        <v>0</v>
      </c>
      <c r="BR45" s="115" t="n">
        <f aca="false">+BL45+BP45</f>
        <v>0</v>
      </c>
      <c r="BT45" s="115" t="n">
        <f aca="false">+R45-BR45</f>
        <v>547484</v>
      </c>
      <c r="BU45" s="115"/>
    </row>
    <row r="46" customFormat="false" ht="12.75" hidden="false" customHeight="false" outlineLevel="0" collapsed="false">
      <c r="A46" s="171"/>
      <c r="B46" s="184" t="s">
        <v>179</v>
      </c>
      <c r="C46" s="0"/>
      <c r="D46" s="0"/>
      <c r="E46" s="0"/>
      <c r="F46" s="0"/>
      <c r="G46" s="0"/>
      <c r="H46" s="0"/>
      <c r="I46" s="0"/>
      <c r="J46" s="4"/>
      <c r="K46" s="0"/>
      <c r="L46" s="169" t="s">
        <v>142</v>
      </c>
      <c r="M46" s="115"/>
      <c r="N46" s="115" t="n">
        <v>0</v>
      </c>
      <c r="O46" s="115"/>
      <c r="P46" s="115" t="n">
        <v>0</v>
      </c>
      <c r="Q46" s="115"/>
      <c r="R46" s="185" t="n">
        <v>-231</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0</v>
      </c>
      <c r="AT46" s="115" t="n">
        <v>0</v>
      </c>
      <c r="AV46" s="115" t="n">
        <v>0</v>
      </c>
      <c r="AX46" s="115" t="n">
        <v>0</v>
      </c>
      <c r="AZ46" s="115" t="n">
        <v>0</v>
      </c>
      <c r="BB46" s="115" t="n">
        <v>0</v>
      </c>
      <c r="BD46" s="115" t="n">
        <v>0</v>
      </c>
      <c r="BF46" s="115" t="n">
        <v>0</v>
      </c>
      <c r="BH46" s="115" t="n">
        <v>0</v>
      </c>
      <c r="BJ46" s="115" t="n">
        <v>0</v>
      </c>
      <c r="BK46" s="115"/>
      <c r="BL46" s="115" t="n">
        <f aca="false">SUM(T46:BK46)</f>
        <v>0</v>
      </c>
      <c r="BM46" s="115"/>
      <c r="BN46" s="115" t="n">
        <v>-485</v>
      </c>
      <c r="BO46" s="115"/>
      <c r="BP46" s="115" t="n">
        <f aca="false">IF(+R46-BL46+BN46&gt;0,R46-BL46+BN46,0)</f>
        <v>0</v>
      </c>
      <c r="BR46" s="115" t="n">
        <f aca="false">+BL46+BP46</f>
        <v>0</v>
      </c>
      <c r="BT46" s="115" t="n">
        <f aca="false">+R46-BR46</f>
        <v>-231</v>
      </c>
      <c r="BU46" s="115"/>
    </row>
    <row r="47" customFormat="false" ht="12.75" hidden="false" customHeight="false" outlineLevel="0" collapsed="false">
      <c r="A47" s="171"/>
      <c r="B47" s="184"/>
      <c r="C47" s="0"/>
      <c r="D47" s="0"/>
      <c r="E47" s="0"/>
      <c r="F47" s="0"/>
      <c r="G47" s="0"/>
      <c r="H47" s="0"/>
      <c r="I47" s="0"/>
      <c r="J47" s="4"/>
      <c r="K47" s="0"/>
      <c r="L47" s="169" t="s">
        <v>142</v>
      </c>
      <c r="M47" s="115"/>
      <c r="N47" s="115" t="n">
        <v>0</v>
      </c>
      <c r="O47" s="115"/>
      <c r="P47" s="115" t="n">
        <v>0</v>
      </c>
      <c r="Q47" s="115"/>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0</v>
      </c>
      <c r="AT47" s="115" t="n">
        <v>0</v>
      </c>
      <c r="AV47" s="115" t="n">
        <v>0</v>
      </c>
      <c r="AX47" s="115" t="n">
        <v>0</v>
      </c>
      <c r="AZ47" s="115" t="n">
        <v>0</v>
      </c>
      <c r="BB47" s="115" t="n">
        <v>0</v>
      </c>
      <c r="BD47" s="115" t="n">
        <v>0</v>
      </c>
      <c r="BF47" s="115" t="n">
        <v>0</v>
      </c>
      <c r="BH47" s="115" t="n">
        <v>0</v>
      </c>
      <c r="BJ47" s="115" t="n">
        <v>0</v>
      </c>
      <c r="BK47" s="115"/>
      <c r="BL47" s="115" t="n">
        <f aca="false">SUM(T47:BK47)</f>
        <v>0</v>
      </c>
      <c r="BM47" s="115"/>
      <c r="BN47" s="115" t="n">
        <v>0</v>
      </c>
      <c r="BO47" s="115"/>
      <c r="BP47" s="115" t="n">
        <f aca="false">IF(+R47-BL47+BN47&gt;0,R47-BL47+BN47,0)</f>
        <v>0</v>
      </c>
      <c r="BR47" s="115" t="n">
        <f aca="false">+BL47+BP47</f>
        <v>0</v>
      </c>
      <c r="BU47" s="115"/>
    </row>
    <row r="48" customFormat="false" ht="12.75" hidden="false" customHeight="false" outlineLevel="0" collapsed="false">
      <c r="A48" s="186"/>
      <c r="B48" s="187" t="s">
        <v>180</v>
      </c>
      <c r="C48" s="2"/>
      <c r="D48" s="2"/>
      <c r="E48" s="2"/>
      <c r="F48" s="2"/>
      <c r="G48" s="2"/>
      <c r="H48" s="2"/>
      <c r="I48" s="2"/>
      <c r="J48" s="3"/>
      <c r="K48" s="2"/>
      <c r="L48" s="188" t="s">
        <v>142</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71"/>
      <c r="B49" s="189"/>
      <c r="C49" s="0"/>
      <c r="D49" s="0"/>
      <c r="E49" s="0"/>
      <c r="F49" s="0"/>
      <c r="G49" s="0"/>
      <c r="H49" s="0"/>
      <c r="I49" s="0"/>
      <c r="J49" s="4"/>
      <c r="K49" s="0"/>
      <c r="L49" s="169"/>
      <c r="M49" s="115"/>
      <c r="O49" s="115"/>
      <c r="Q49" s="115"/>
      <c r="S49" s="115"/>
      <c r="T49" s="115"/>
      <c r="U49" s="115"/>
      <c r="V49" s="115"/>
      <c r="X49" s="115"/>
      <c r="Z49" s="115"/>
      <c r="AB49" s="115"/>
      <c r="AD49" s="115"/>
      <c r="AI49" s="0"/>
      <c r="AK49" s="0"/>
      <c r="AM49" s="0"/>
      <c r="BJ49" s="115"/>
      <c r="BK49" s="115"/>
      <c r="BM49" s="115"/>
      <c r="BN49" s="115"/>
      <c r="BO49" s="115"/>
      <c r="BU49" s="115"/>
    </row>
    <row r="50" customFormat="false" ht="12.75" hidden="false" customHeight="false" outlineLevel="0" collapsed="false">
      <c r="B50" s="2" t="s">
        <v>181</v>
      </c>
      <c r="C50" s="0"/>
      <c r="D50" s="0"/>
      <c r="E50" s="0"/>
      <c r="F50" s="0"/>
      <c r="G50" s="0"/>
      <c r="H50" s="0"/>
      <c r="I50" s="0"/>
      <c r="J50" s="4"/>
      <c r="K50" s="0"/>
      <c r="L50" s="169"/>
      <c r="M50" s="115"/>
      <c r="O50" s="115"/>
      <c r="Q50" s="115"/>
      <c r="S50" s="115"/>
      <c r="T50" s="115"/>
      <c r="U50" s="115"/>
      <c r="V50" s="115"/>
      <c r="X50" s="115"/>
      <c r="Z50" s="115"/>
      <c r="AB50" s="115"/>
      <c r="AD50" s="115"/>
      <c r="AI50" s="0"/>
      <c r="AK50" s="0"/>
      <c r="AM50" s="0"/>
      <c r="BJ50" s="115"/>
      <c r="BK50" s="115"/>
      <c r="BL50" s="115" t="n">
        <f aca="false">SUM(T50:BK50)</f>
        <v>0</v>
      </c>
      <c r="BM50" s="115"/>
      <c r="BN50" s="115"/>
      <c r="BO50" s="115"/>
      <c r="BU50" s="115"/>
    </row>
    <row r="51" customFormat="false" ht="12.75" hidden="false" customHeight="false" outlineLevel="0" collapsed="false">
      <c r="A51" s="0"/>
      <c r="B51" s="184" t="s">
        <v>182</v>
      </c>
      <c r="C51" s="0"/>
      <c r="D51" s="0"/>
      <c r="E51" s="0"/>
      <c r="F51" s="0"/>
      <c r="G51" s="0"/>
      <c r="H51" s="0"/>
      <c r="I51" s="0"/>
      <c r="J51" s="4" t="s">
        <v>173</v>
      </c>
      <c r="K51" s="0"/>
      <c r="L51" s="169"/>
      <c r="M51" s="115"/>
      <c r="O51" s="115"/>
      <c r="Q51" s="115"/>
      <c r="R51" s="185" t="n">
        <v>337160</v>
      </c>
      <c r="S51" s="115"/>
      <c r="T51" s="115"/>
      <c r="U51" s="115"/>
      <c r="V51" s="115"/>
      <c r="X51" s="115"/>
      <c r="Z51" s="115"/>
      <c r="AB51" s="115"/>
      <c r="AD51" s="115"/>
      <c r="AI51" s="0"/>
      <c r="AK51" s="0"/>
      <c r="AM51" s="0"/>
      <c r="AX51" s="115" t="n">
        <v>124742</v>
      </c>
      <c r="BJ51" s="115"/>
      <c r="BK51" s="115"/>
      <c r="BL51" s="115" t="n">
        <f aca="false">SUM(T51:BK51)</f>
        <v>124742</v>
      </c>
      <c r="BM51" s="115"/>
      <c r="BN51" s="115"/>
      <c r="BO51" s="115"/>
      <c r="BP51" s="115" t="n">
        <f aca="false">IF(+R51-BL51+BN51&gt;0,R51-BL51+BN51,0)</f>
        <v>212418</v>
      </c>
      <c r="BR51" s="115" t="n">
        <f aca="false">+BL51+BP51</f>
        <v>337160</v>
      </c>
      <c r="BT51" s="115" t="n">
        <f aca="false">+R51-BR51</f>
        <v>0</v>
      </c>
      <c r="BU51" s="115"/>
    </row>
    <row r="52" customFormat="false" ht="12.75" hidden="false" customHeight="false" outlineLevel="0" collapsed="false">
      <c r="A52" s="0"/>
      <c r="B52" s="184" t="s">
        <v>183</v>
      </c>
      <c r="C52" s="0"/>
      <c r="D52" s="0"/>
      <c r="E52" s="0"/>
      <c r="F52" s="0"/>
      <c r="G52" s="0"/>
      <c r="H52" s="0"/>
      <c r="I52" s="0"/>
      <c r="J52" s="4" t="s">
        <v>173</v>
      </c>
      <c r="K52" s="0"/>
      <c r="L52" s="169"/>
      <c r="M52" s="115"/>
      <c r="O52" s="115"/>
      <c r="Q52" s="115"/>
      <c r="R52" s="185" t="n">
        <v>3526570</v>
      </c>
      <c r="S52" s="115"/>
      <c r="T52" s="115"/>
      <c r="U52" s="115"/>
      <c r="V52" s="115"/>
      <c r="X52" s="115"/>
      <c r="Z52" s="115"/>
      <c r="AB52" s="115"/>
      <c r="AD52" s="115"/>
      <c r="AI52" s="0"/>
      <c r="AK52" s="0"/>
      <c r="AM52" s="0"/>
      <c r="AP52" s="115" t="n">
        <v>115533</v>
      </c>
      <c r="AT52" s="115" t="n">
        <f aca="false">9367+346600</f>
        <v>355967</v>
      </c>
      <c r="AX52" s="115" t="n">
        <f aca="false">1125407-471500</f>
        <v>653907</v>
      </c>
      <c r="BJ52" s="115"/>
      <c r="BK52" s="115"/>
      <c r="BL52" s="115" t="n">
        <f aca="false">SUM(T52:BK52)</f>
        <v>1125407</v>
      </c>
      <c r="BM52" s="115"/>
      <c r="BN52" s="115" t="n">
        <f aca="false">3268613-3526570</f>
        <v>-257957</v>
      </c>
      <c r="BO52" s="115"/>
      <c r="BP52" s="115" t="n">
        <f aca="false">IF(+R52-BL52+BN52&gt;0,R52-BL52+BN52,0)</f>
        <v>2143206</v>
      </c>
      <c r="BR52" s="115" t="n">
        <f aca="false">+BL52+BP52</f>
        <v>3268613</v>
      </c>
      <c r="BT52" s="115" t="n">
        <f aca="false">+R52-BR52</f>
        <v>257957</v>
      </c>
      <c r="BU52" s="115"/>
    </row>
    <row r="53" customFormat="false" ht="12.75" hidden="false" customHeight="false" outlineLevel="0" collapsed="false">
      <c r="A53" s="0"/>
      <c r="B53" s="184" t="s">
        <v>184</v>
      </c>
      <c r="C53" s="0"/>
      <c r="D53" s="0"/>
      <c r="E53" s="0"/>
      <c r="F53" s="0"/>
      <c r="G53" s="0"/>
      <c r="H53" s="0"/>
      <c r="I53" s="0"/>
      <c r="J53" s="4" t="s">
        <v>173</v>
      </c>
      <c r="K53" s="0"/>
      <c r="L53" s="169"/>
      <c r="M53" s="115"/>
      <c r="O53" s="115"/>
      <c r="Q53" s="115"/>
      <c r="R53" s="185" t="n">
        <v>967394</v>
      </c>
      <c r="S53" s="115"/>
      <c r="T53" s="115"/>
      <c r="U53" s="115"/>
      <c r="V53" s="115"/>
      <c r="X53" s="115"/>
      <c r="Z53" s="115"/>
      <c r="AB53" s="115"/>
      <c r="AD53" s="115"/>
      <c r="AI53" s="0"/>
      <c r="AK53" s="0"/>
      <c r="AM53" s="0"/>
      <c r="AX53" s="115" t="n">
        <v>7369</v>
      </c>
      <c r="BJ53" s="115"/>
      <c r="BK53" s="115"/>
      <c r="BL53" s="115" t="n">
        <f aca="false">SUM(T53:BK53)</f>
        <v>7369</v>
      </c>
      <c r="BM53" s="115"/>
      <c r="BN53" s="115" t="n">
        <f aca="false">877394-967394</f>
        <v>-90000</v>
      </c>
      <c r="BO53" s="115"/>
      <c r="BP53" s="115" t="n">
        <f aca="false">IF(+R53-BL53+BN53&gt;0,R53-BL53+BN53,0)</f>
        <v>870025</v>
      </c>
      <c r="BR53" s="115" t="n">
        <f aca="false">+BL53+BP53</f>
        <v>877394</v>
      </c>
      <c r="BT53" s="115" t="n">
        <f aca="false">+R53-BR53</f>
        <v>90000</v>
      </c>
      <c r="BU53" s="115"/>
    </row>
    <row r="54" customFormat="false" ht="12.75" hidden="false" customHeight="false" outlineLevel="0" collapsed="false">
      <c r="A54" s="0"/>
      <c r="B54" s="184" t="s">
        <v>185</v>
      </c>
      <c r="C54" s="0"/>
      <c r="D54" s="0"/>
      <c r="E54" s="0"/>
      <c r="F54" s="0"/>
      <c r="G54" s="0"/>
      <c r="H54" s="0"/>
      <c r="I54" s="0"/>
      <c r="J54" s="4" t="s">
        <v>173</v>
      </c>
      <c r="K54" s="0"/>
      <c r="L54" s="169"/>
      <c r="M54" s="115"/>
      <c r="O54" s="115"/>
      <c r="Q54" s="115"/>
      <c r="R54" s="185" t="n">
        <v>577625</v>
      </c>
      <c r="S54" s="115"/>
      <c r="T54" s="115"/>
      <c r="U54" s="115"/>
      <c r="V54" s="115"/>
      <c r="X54" s="115"/>
      <c r="Z54" s="115"/>
      <c r="AB54" s="115"/>
      <c r="AD54" s="115"/>
      <c r="AI54" s="0"/>
      <c r="AK54" s="0"/>
      <c r="AM54" s="0"/>
      <c r="AT54" s="115" t="n">
        <v>3829</v>
      </c>
      <c r="AX54" s="115" t="n">
        <f aca="false">4953-3829</f>
        <v>1124</v>
      </c>
      <c r="BJ54" s="115"/>
      <c r="BK54" s="115"/>
      <c r="BL54" s="115" t="n">
        <f aca="false">SUM(T54:BK54)</f>
        <v>4953</v>
      </c>
      <c r="BM54" s="115"/>
      <c r="BN54" s="115" t="n">
        <f aca="false">466609-577625</f>
        <v>-111016</v>
      </c>
      <c r="BO54" s="115"/>
      <c r="BP54" s="115" t="n">
        <f aca="false">IF(+R54-BL54+BN54&gt;0,R54-BL54+BN54,0)</f>
        <v>461656</v>
      </c>
      <c r="BR54" s="115" t="n">
        <f aca="false">+BL54+BP54</f>
        <v>466609</v>
      </c>
      <c r="BT54" s="115" t="n">
        <f aca="false">+R54-BR54</f>
        <v>111016</v>
      </c>
      <c r="BU54" s="115"/>
    </row>
    <row r="55" customFormat="false" ht="12.75" hidden="false" customHeight="false" outlineLevel="0" collapsed="false">
      <c r="A55" s="2"/>
      <c r="B55" s="187" t="s">
        <v>186</v>
      </c>
      <c r="C55" s="2"/>
      <c r="D55" s="2"/>
      <c r="E55" s="2"/>
      <c r="F55" s="2"/>
      <c r="G55" s="2"/>
      <c r="H55" s="2"/>
      <c r="I55" s="2"/>
      <c r="J55" s="3"/>
      <c r="K55" s="2"/>
      <c r="L55" s="188" t="s">
        <v>142</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7"/>
      <c r="C56" s="2"/>
      <c r="D56" s="2"/>
      <c r="E56" s="2"/>
      <c r="F56" s="2"/>
      <c r="G56" s="2"/>
      <c r="H56" s="2"/>
      <c r="I56" s="2"/>
      <c r="J56" s="3"/>
      <c r="K56" s="2"/>
      <c r="L56" s="188"/>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0" t="s">
        <v>187</v>
      </c>
      <c r="C57" s="2"/>
      <c r="D57" s="2"/>
      <c r="E57" s="2"/>
      <c r="F57" s="2"/>
      <c r="G57" s="2"/>
      <c r="H57" s="2"/>
      <c r="I57" s="2"/>
      <c r="J57" s="3"/>
      <c r="K57" s="2"/>
      <c r="L57" s="188"/>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188</v>
      </c>
      <c r="C58" s="2"/>
      <c r="D58" s="2"/>
      <c r="E58" s="2"/>
      <c r="F58" s="2"/>
      <c r="G58" s="2"/>
      <c r="H58" s="2"/>
      <c r="I58" s="2"/>
      <c r="J58" s="3"/>
      <c r="K58" s="2"/>
      <c r="L58" s="188"/>
      <c r="M58" s="24"/>
      <c r="N58" s="24"/>
      <c r="O58" s="24"/>
      <c r="P58" s="24"/>
      <c r="Q58" s="24"/>
      <c r="R58" s="185"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15" t="n">
        <v>673702</v>
      </c>
      <c r="AU58" s="24"/>
      <c r="AV58" s="24"/>
      <c r="AW58" s="24"/>
      <c r="AX58" s="115" t="n">
        <f aca="false">335475+372897-673702</f>
        <v>34670</v>
      </c>
      <c r="AY58" s="24"/>
      <c r="AZ58" s="24"/>
      <c r="BA58" s="24"/>
      <c r="BB58" s="24"/>
      <c r="BC58" s="24"/>
      <c r="BD58" s="24"/>
      <c r="BE58" s="24"/>
      <c r="BF58" s="24"/>
      <c r="BG58" s="24"/>
      <c r="BH58" s="24"/>
      <c r="BI58" s="24"/>
      <c r="BJ58" s="24"/>
      <c r="BK58" s="24"/>
      <c r="BL58" s="115" t="n">
        <f aca="false">SUM(T58:BK58)</f>
        <v>708372</v>
      </c>
      <c r="BM58" s="24"/>
      <c r="BN58" s="115" t="n">
        <f aca="false">431043+930942-1021325</f>
        <v>340660</v>
      </c>
      <c r="BO58" s="24"/>
      <c r="BP58" s="115" t="n">
        <f aca="false">IF(+R58-BL58+BN58&gt;0,R58-BL58+BN58,0)</f>
        <v>653613</v>
      </c>
      <c r="BR58" s="115" t="n">
        <f aca="false">+BL58+BP58</f>
        <v>1361985</v>
      </c>
      <c r="BT58" s="115"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413</v>
      </c>
      <c r="C59" s="2"/>
      <c r="D59" s="2"/>
      <c r="E59" s="2"/>
      <c r="F59" s="2"/>
      <c r="G59" s="2"/>
      <c r="H59" s="2"/>
      <c r="I59" s="2"/>
      <c r="J59" s="3"/>
      <c r="K59" s="2"/>
      <c r="L59" s="188"/>
      <c r="M59" s="24"/>
      <c r="N59" s="24"/>
      <c r="O59" s="24"/>
      <c r="P59" s="24"/>
      <c r="Q59" s="24"/>
      <c r="R59" s="185"/>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15" t="n">
        <v>3903</v>
      </c>
      <c r="AU59" s="24"/>
      <c r="AV59" s="24"/>
      <c r="AW59" s="24"/>
      <c r="AX59" s="115" t="n">
        <f aca="false">56319-3903</f>
        <v>52416</v>
      </c>
      <c r="AY59" s="24"/>
      <c r="AZ59" s="24"/>
      <c r="BA59" s="24"/>
      <c r="BB59" s="24"/>
      <c r="BC59" s="24"/>
      <c r="BD59" s="24"/>
      <c r="BE59" s="24"/>
      <c r="BF59" s="24"/>
      <c r="BG59" s="24"/>
      <c r="BH59" s="24"/>
      <c r="BI59" s="24"/>
      <c r="BJ59" s="24"/>
      <c r="BK59" s="24"/>
      <c r="BL59" s="115" t="n">
        <f aca="false">SUM(T59:BK59)</f>
        <v>56319</v>
      </c>
      <c r="BM59" s="115" t="n">
        <f aca="false">SUM(U59:BL59)</f>
        <v>112638</v>
      </c>
      <c r="BN59" s="115" t="n">
        <v>2535</v>
      </c>
      <c r="BO59" s="115" t="n">
        <f aca="false">SUM(W59:BN59)</f>
        <v>227811</v>
      </c>
      <c r="BP59" s="115" t="n">
        <f aca="false">IF(+R59-BL59+BN59&gt;0,R59-BL59+BN59,0)</f>
        <v>0</v>
      </c>
      <c r="BQ59" s="115" t="n">
        <f aca="false">SUM(Y59:BP59)</f>
        <v>455622</v>
      </c>
      <c r="BR59" s="115" t="n">
        <f aca="false">+BL59+BP59</f>
        <v>56319</v>
      </c>
      <c r="BS59" s="115" t="n">
        <f aca="false">SUM(AA59:BR59)</f>
        <v>967563</v>
      </c>
      <c r="BT59" s="115"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190</v>
      </c>
      <c r="C60" s="2"/>
      <c r="D60" s="2"/>
      <c r="E60" s="2"/>
      <c r="F60" s="2"/>
      <c r="G60" s="2"/>
      <c r="H60" s="2"/>
      <c r="I60" s="2"/>
      <c r="J60" s="3"/>
      <c r="K60" s="2"/>
      <c r="L60" s="188"/>
      <c r="M60" s="24"/>
      <c r="N60" s="24"/>
      <c r="O60" s="24"/>
      <c r="P60" s="24"/>
      <c r="Q60" s="24"/>
      <c r="R60" s="185"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15" t="n">
        <v>3780</v>
      </c>
      <c r="AQ60" s="24"/>
      <c r="AR60" s="24"/>
      <c r="AS60" s="24"/>
      <c r="AT60" s="115" t="n">
        <f aca="false">271106-3780</f>
        <v>267326</v>
      </c>
      <c r="AU60" s="24"/>
      <c r="AV60" s="24"/>
      <c r="AW60" s="24"/>
      <c r="AX60" s="115" t="n">
        <f aca="false">518815-271106</f>
        <v>247709</v>
      </c>
      <c r="AY60" s="24"/>
      <c r="AZ60" s="24"/>
      <c r="BA60" s="24"/>
      <c r="BB60" s="24"/>
      <c r="BC60" s="24"/>
      <c r="BD60" s="24"/>
      <c r="BE60" s="24"/>
      <c r="BF60" s="24"/>
      <c r="BG60" s="24"/>
      <c r="BH60" s="24"/>
      <c r="BI60" s="24"/>
      <c r="BJ60" s="24"/>
      <c r="BK60" s="24"/>
      <c r="BL60" s="115" t="n">
        <f aca="false">SUM(T60:BK60)</f>
        <v>518815</v>
      </c>
      <c r="BM60" s="115" t="n">
        <f aca="false">SUM(U60:BL60)</f>
        <v>1037630</v>
      </c>
      <c r="BN60" s="115" t="n">
        <f aca="false">763505-520119</f>
        <v>243386</v>
      </c>
      <c r="BO60" s="115" t="n">
        <f aca="false">SUM(W60:BN60)</f>
        <v>2318646</v>
      </c>
      <c r="BP60" s="115" t="n">
        <f aca="false">IF(+R60-BL60+BN60&gt;0,R60-BL60+BN60,0)</f>
        <v>244690</v>
      </c>
      <c r="BQ60" s="115" t="n">
        <f aca="false">SUM(Y60:BP60)</f>
        <v>4881982</v>
      </c>
      <c r="BR60" s="115" t="n">
        <f aca="false">+BL60+BP60</f>
        <v>763505</v>
      </c>
      <c r="BS60" s="115" t="n">
        <f aca="false">SUM(AA60:BR60)</f>
        <v>10527469</v>
      </c>
      <c r="BT60" s="115"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189</v>
      </c>
      <c r="C61" s="2"/>
      <c r="D61" s="2"/>
      <c r="E61" s="2"/>
      <c r="F61" s="2"/>
      <c r="G61" s="2"/>
      <c r="H61" s="2"/>
      <c r="I61" s="2"/>
      <c r="J61" s="3"/>
      <c r="K61" s="2"/>
      <c r="L61" s="188"/>
      <c r="M61" s="24"/>
      <c r="N61" s="24"/>
      <c r="O61" s="24"/>
      <c r="P61" s="24"/>
      <c r="Q61" s="24"/>
      <c r="R61" s="185"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15" t="n">
        <v>28611</v>
      </c>
      <c r="AQ61" s="24"/>
      <c r="AR61" s="24"/>
      <c r="AS61" s="24"/>
      <c r="AT61" s="115" t="n">
        <f aca="false">127939-28611</f>
        <v>99328</v>
      </c>
      <c r="AU61" s="24"/>
      <c r="AV61" s="24"/>
      <c r="AW61" s="24"/>
      <c r="AX61" s="115" t="n">
        <f aca="false">146856-127939</f>
        <v>18917</v>
      </c>
      <c r="AY61" s="24"/>
      <c r="AZ61" s="24"/>
      <c r="BA61" s="24"/>
      <c r="BB61" s="24"/>
      <c r="BC61" s="24"/>
      <c r="BD61" s="24"/>
      <c r="BE61" s="24"/>
      <c r="BF61" s="24"/>
      <c r="BG61" s="24"/>
      <c r="BH61" s="24"/>
      <c r="BI61" s="24"/>
      <c r="BJ61" s="24"/>
      <c r="BK61" s="24"/>
      <c r="BL61" s="115" t="n">
        <f aca="false">SUM(T61:BK61)</f>
        <v>146856</v>
      </c>
      <c r="BM61" s="24"/>
      <c r="BN61" s="24"/>
      <c r="BO61" s="24"/>
      <c r="BP61" s="115" t="n">
        <f aca="false">IF(+R61-BL61+BN61&gt;0,R61-BL61+BN61,0)</f>
        <v>228272</v>
      </c>
      <c r="BR61" s="115" t="n">
        <f aca="false">+BL61+BP61</f>
        <v>375128</v>
      </c>
      <c r="BT61" s="115"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191</v>
      </c>
      <c r="C62" s="2"/>
      <c r="D62" s="2"/>
      <c r="E62" s="2"/>
      <c r="F62" s="2"/>
      <c r="G62" s="2"/>
      <c r="H62" s="2"/>
      <c r="I62" s="2"/>
      <c r="J62" s="3"/>
      <c r="K62" s="2"/>
      <c r="L62" s="188"/>
      <c r="M62" s="24"/>
      <c r="N62" s="24"/>
      <c r="O62" s="24"/>
      <c r="P62" s="24"/>
      <c r="Q62" s="24"/>
      <c r="R62" s="185"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15" t="n">
        <v>3169</v>
      </c>
      <c r="AQ62" s="24"/>
      <c r="AR62" s="24"/>
      <c r="AS62" s="24"/>
      <c r="AT62" s="115" t="n">
        <f aca="false">205467-3169</f>
        <v>202298</v>
      </c>
      <c r="AU62" s="24"/>
      <c r="AV62" s="24"/>
      <c r="AW62" s="24"/>
      <c r="AX62" s="115" t="n">
        <f aca="false">362820-205467</f>
        <v>157353</v>
      </c>
      <c r="AY62" s="24"/>
      <c r="AZ62" s="24"/>
      <c r="BA62" s="24"/>
      <c r="BB62" s="24"/>
      <c r="BC62" s="24"/>
      <c r="BD62" s="24"/>
      <c r="BE62" s="24"/>
      <c r="BF62" s="24"/>
      <c r="BG62" s="24"/>
      <c r="BH62" s="24"/>
      <c r="BI62" s="24"/>
      <c r="BJ62" s="24"/>
      <c r="BK62" s="24"/>
      <c r="BL62" s="115" t="n">
        <f aca="false">SUM(T62:BK62)</f>
        <v>362820</v>
      </c>
      <c r="BM62" s="24"/>
      <c r="BN62" s="115" t="n">
        <f aca="false">678416-460629</f>
        <v>217787</v>
      </c>
      <c r="BO62" s="24"/>
      <c r="BP62" s="115" t="n">
        <f aca="false">IF(+R62-BL62+BN62&gt;0,R62-BL62+BN62,0)</f>
        <v>315596</v>
      </c>
      <c r="BR62" s="115" t="n">
        <f aca="false">+BL62+BP62</f>
        <v>678416</v>
      </c>
      <c r="BT62" s="115"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192</v>
      </c>
      <c r="C63" s="2"/>
      <c r="D63" s="2"/>
      <c r="E63" s="2"/>
      <c r="F63" s="2"/>
      <c r="G63" s="2"/>
      <c r="H63" s="2"/>
      <c r="I63" s="2"/>
      <c r="J63" s="3"/>
      <c r="K63" s="2"/>
      <c r="L63" s="188"/>
      <c r="M63" s="24"/>
      <c r="N63" s="24"/>
      <c r="O63" s="24"/>
      <c r="P63" s="24"/>
      <c r="Q63" s="24"/>
      <c r="R63" s="185"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15" t="n">
        <v>17185</v>
      </c>
      <c r="AQ63" s="24"/>
      <c r="AR63" s="24"/>
      <c r="AS63" s="24"/>
      <c r="AT63" s="115" t="n">
        <f aca="false">101228-17185</f>
        <v>84043</v>
      </c>
      <c r="AU63" s="24"/>
      <c r="AV63" s="24"/>
      <c r="AW63" s="24"/>
      <c r="AX63" s="115" t="n">
        <f aca="false">123436-101228</f>
        <v>22208</v>
      </c>
      <c r="AY63" s="24"/>
      <c r="AZ63" s="24"/>
      <c r="BA63" s="24"/>
      <c r="BB63" s="24"/>
      <c r="BC63" s="24"/>
      <c r="BD63" s="24"/>
      <c r="BE63" s="24"/>
      <c r="BF63" s="24"/>
      <c r="BG63" s="24"/>
      <c r="BH63" s="24"/>
      <c r="BI63" s="24"/>
      <c r="BJ63" s="24"/>
      <c r="BK63" s="24"/>
      <c r="BL63" s="115" t="n">
        <f aca="false">SUM(T63:BK63)</f>
        <v>123436</v>
      </c>
      <c r="BM63" s="24"/>
      <c r="BN63" s="24"/>
      <c r="BO63" s="24"/>
      <c r="BP63" s="115" t="n">
        <f aca="false">IF(+R63-BL63+BN63&gt;0,R63-BL63+BN63,0)</f>
        <v>69714</v>
      </c>
      <c r="BR63" s="115" t="n">
        <f aca="false">+BL63+BP63</f>
        <v>193150</v>
      </c>
      <c r="BT63" s="115"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193</v>
      </c>
      <c r="C64" s="2"/>
      <c r="D64" s="2"/>
      <c r="E64" s="2"/>
      <c r="F64" s="2"/>
      <c r="G64" s="2"/>
      <c r="H64" s="2"/>
      <c r="I64" s="2"/>
      <c r="J64" s="3"/>
      <c r="K64" s="2"/>
      <c r="L64" s="188"/>
      <c r="M64" s="24"/>
      <c r="N64" s="24"/>
      <c r="O64" s="24"/>
      <c r="P64" s="24"/>
      <c r="Q64" s="24"/>
      <c r="R64" s="185"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15" t="n">
        <v>3445</v>
      </c>
      <c r="AQ64" s="24"/>
      <c r="AR64" s="24"/>
      <c r="AS64" s="24"/>
      <c r="AT64" s="115" t="n">
        <f aca="false">374616-3445+20800</f>
        <v>391971</v>
      </c>
      <c r="AU64" s="24"/>
      <c r="AV64" s="24"/>
      <c r="AW64" s="24"/>
      <c r="AX64" s="115" t="n">
        <f aca="false">796722-395416</f>
        <v>401306</v>
      </c>
      <c r="AY64" s="24"/>
      <c r="AZ64" s="24"/>
      <c r="BA64" s="24"/>
      <c r="BB64" s="24"/>
      <c r="BC64" s="24"/>
      <c r="BD64" s="24"/>
      <c r="BE64" s="24"/>
      <c r="BF64" s="24"/>
      <c r="BG64" s="24"/>
      <c r="BH64" s="24"/>
      <c r="BI64" s="24"/>
      <c r="BJ64" s="24"/>
      <c r="BK64" s="24"/>
      <c r="BL64" s="115" t="n">
        <f aca="false">SUM(T64:BK64)</f>
        <v>796722</v>
      </c>
      <c r="BM64" s="24"/>
      <c r="BN64" s="115" t="n">
        <f aca="false">1395362-896017</f>
        <v>499345</v>
      </c>
      <c r="BO64" s="24"/>
      <c r="BP64" s="115" t="n">
        <f aca="false">IF(+R64-BL64+BN64&gt;0,R64-BL64+BN64,0)</f>
        <v>598640</v>
      </c>
      <c r="BR64" s="115" t="n">
        <f aca="false">+BL64+BP64</f>
        <v>1395362</v>
      </c>
      <c r="BT64" s="115"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194</v>
      </c>
      <c r="C65" s="2"/>
      <c r="D65" s="2"/>
      <c r="E65" s="2"/>
      <c r="F65" s="2"/>
      <c r="G65" s="2"/>
      <c r="H65" s="2"/>
      <c r="I65" s="2"/>
      <c r="J65" s="3"/>
      <c r="K65" s="2"/>
      <c r="L65" s="188"/>
      <c r="M65" s="24"/>
      <c r="N65" s="24"/>
      <c r="O65" s="24"/>
      <c r="P65" s="24"/>
      <c r="Q65" s="24"/>
      <c r="R65" s="185"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15" t="n">
        <v>0</v>
      </c>
      <c r="AQ65" s="24"/>
      <c r="AR65" s="24"/>
      <c r="AS65" s="24"/>
      <c r="AT65" s="115" t="n">
        <v>250012</v>
      </c>
      <c r="AU65" s="24"/>
      <c r="AV65" s="24"/>
      <c r="AW65" s="24"/>
      <c r="AX65" s="115" t="n">
        <f aca="false">520612-250012</f>
        <v>270600</v>
      </c>
      <c r="AY65" s="24"/>
      <c r="AZ65" s="24"/>
      <c r="BA65" s="24"/>
      <c r="BB65" s="24"/>
      <c r="BC65" s="24"/>
      <c r="BD65" s="24"/>
      <c r="BE65" s="24"/>
      <c r="BF65" s="24"/>
      <c r="BG65" s="24"/>
      <c r="BH65" s="24"/>
      <c r="BI65" s="24"/>
      <c r="BJ65" s="24"/>
      <c r="BK65" s="24"/>
      <c r="BL65" s="115" t="n">
        <f aca="false">SUM(T65:BK65)</f>
        <v>520612</v>
      </c>
      <c r="BM65" s="24"/>
      <c r="BN65" s="24"/>
      <c r="BO65" s="24"/>
      <c r="BP65" s="115" t="n">
        <f aca="false">IF(+R65-BL65+BN65&gt;0,R65-BL65+BN65,0)</f>
        <v>144254</v>
      </c>
      <c r="BR65" s="115" t="n">
        <f aca="false">+BL65+BP65</f>
        <v>664866</v>
      </c>
      <c r="BT65" s="115"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414</v>
      </c>
      <c r="C66" s="2"/>
      <c r="D66" s="2"/>
      <c r="E66" s="2"/>
      <c r="F66" s="2"/>
      <c r="G66" s="2"/>
      <c r="H66" s="2"/>
      <c r="I66" s="2"/>
      <c r="J66" s="3"/>
      <c r="K66" s="2"/>
      <c r="L66" s="188"/>
      <c r="M66" s="24"/>
      <c r="N66" s="24"/>
      <c r="O66" s="24"/>
      <c r="P66" s="24"/>
      <c r="Q66" s="24"/>
      <c r="R66" s="185"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15" t="n">
        <v>0</v>
      </c>
      <c r="AQ66" s="24"/>
      <c r="AR66" s="24"/>
      <c r="AS66" s="24"/>
      <c r="AT66" s="115" t="n">
        <v>4537</v>
      </c>
      <c r="AU66" s="24"/>
      <c r="AV66" s="24"/>
      <c r="AW66" s="24"/>
      <c r="AX66" s="115" t="n">
        <f aca="false">10758-4537</f>
        <v>6221</v>
      </c>
      <c r="AY66" s="24"/>
      <c r="AZ66" s="24"/>
      <c r="BA66" s="24"/>
      <c r="BB66" s="24"/>
      <c r="BC66" s="24"/>
      <c r="BD66" s="24"/>
      <c r="BE66" s="24"/>
      <c r="BF66" s="24"/>
      <c r="BG66" s="24"/>
      <c r="BH66" s="24"/>
      <c r="BI66" s="24"/>
      <c r="BJ66" s="24"/>
      <c r="BK66" s="24"/>
      <c r="BL66" s="115" t="n">
        <f aca="false">SUM(T66:BK66)</f>
        <v>10758</v>
      </c>
      <c r="BM66" s="115" t="n">
        <f aca="false">SUM(U66:BL66)</f>
        <v>21516</v>
      </c>
      <c r="BN66" s="115" t="n">
        <f aca="false">148255-94449</f>
        <v>53806</v>
      </c>
      <c r="BO66" s="115" t="n">
        <f aca="false">SUM(W66:BN66)</f>
        <v>96838</v>
      </c>
      <c r="BP66" s="115" t="n">
        <f aca="false">IF(+R66-BL66+BN66&gt;0,R66-BL66+BN66,0)</f>
        <v>137497</v>
      </c>
      <c r="BQ66" s="115" t="n">
        <f aca="false">SUM(Y66:BP66)</f>
        <v>331173</v>
      </c>
      <c r="BR66" s="115" t="n">
        <f aca="false">+BL66+BP66</f>
        <v>148255</v>
      </c>
      <c r="BS66" s="115" t="n">
        <f aca="false">SUM(AA66:BR66)</f>
        <v>810601</v>
      </c>
      <c r="BT66" s="115" t="n">
        <f aca="false">+R66-BR66</f>
        <v>-53806</v>
      </c>
      <c r="BU66" s="115" t="n">
        <f aca="false">SUM(AC66:BT66)</f>
        <v>1567396</v>
      </c>
      <c r="BV66" s="115" t="n">
        <f aca="false">SUM(AD66:BU66)</f>
        <v>3134792</v>
      </c>
      <c r="BW66" s="115"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196</v>
      </c>
      <c r="C67" s="2"/>
      <c r="D67" s="2"/>
      <c r="E67" s="2"/>
      <c r="F67" s="2"/>
      <c r="G67" s="2"/>
      <c r="H67" s="2"/>
      <c r="I67" s="2"/>
      <c r="J67" s="3"/>
      <c r="K67" s="2"/>
      <c r="L67" s="188"/>
      <c r="M67" s="24"/>
      <c r="N67" s="24"/>
      <c r="O67" s="24"/>
      <c r="P67" s="24"/>
      <c r="Q67" s="24"/>
      <c r="R67" s="185"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15" t="n">
        <v>0</v>
      </c>
      <c r="AQ67" s="24"/>
      <c r="AR67" s="24"/>
      <c r="AS67" s="24"/>
      <c r="AT67" s="115" t="n">
        <v>1645</v>
      </c>
      <c r="AU67" s="24"/>
      <c r="AV67" s="24"/>
      <c r="AW67" s="24"/>
      <c r="AX67" s="115" t="n">
        <f aca="false">7700-1645</f>
        <v>6055</v>
      </c>
      <c r="AY67" s="24"/>
      <c r="AZ67" s="24"/>
      <c r="BA67" s="24"/>
      <c r="BB67" s="24"/>
      <c r="BC67" s="24"/>
      <c r="BD67" s="24"/>
      <c r="BE67" s="24"/>
      <c r="BF67" s="24"/>
      <c r="BG67" s="24"/>
      <c r="BH67" s="24"/>
      <c r="BI67" s="24"/>
      <c r="BJ67" s="24"/>
      <c r="BK67" s="24"/>
      <c r="BL67" s="115" t="n">
        <f aca="false">SUM(T67:BK67)</f>
        <v>7700</v>
      </c>
      <c r="BM67" s="24"/>
      <c r="BN67" s="24"/>
      <c r="BO67" s="24"/>
      <c r="BP67" s="115" t="n">
        <f aca="false">IF(+R67-BL67+BN67&gt;0,R67-BL67+BN67,0)</f>
        <v>39181</v>
      </c>
      <c r="BR67" s="115" t="n">
        <f aca="false">+BL67+BP67</f>
        <v>46881</v>
      </c>
      <c r="BT67" s="115"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197</v>
      </c>
      <c r="C68" s="2"/>
      <c r="D68" s="2"/>
      <c r="E68" s="2"/>
      <c r="F68" s="2"/>
      <c r="G68" s="2"/>
      <c r="H68" s="2"/>
      <c r="I68" s="2"/>
      <c r="J68" s="3"/>
      <c r="K68" s="2"/>
      <c r="L68" s="188"/>
      <c r="M68" s="24"/>
      <c r="N68" s="24"/>
      <c r="O68" s="24"/>
      <c r="P68" s="24"/>
      <c r="Q68" s="24"/>
      <c r="R68" s="185"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15" t="n">
        <v>0</v>
      </c>
      <c r="AQ68" s="24"/>
      <c r="AR68" s="24"/>
      <c r="AS68" s="24"/>
      <c r="AT68" s="115" t="n">
        <v>182</v>
      </c>
      <c r="AU68" s="24"/>
      <c r="AV68" s="24"/>
      <c r="AW68" s="24"/>
      <c r="AX68" s="115" t="n">
        <f aca="false">2197-182</f>
        <v>2015</v>
      </c>
      <c r="AY68" s="24"/>
      <c r="AZ68" s="24"/>
      <c r="BA68" s="24"/>
      <c r="BB68" s="24"/>
      <c r="BC68" s="24"/>
      <c r="BD68" s="24"/>
      <c r="BE68" s="24"/>
      <c r="BF68" s="24"/>
      <c r="BG68" s="24"/>
      <c r="BH68" s="24"/>
      <c r="BI68" s="24"/>
      <c r="BJ68" s="24"/>
      <c r="BK68" s="24"/>
      <c r="BL68" s="115" t="n">
        <f aca="false">SUM(T68:BK68)</f>
        <v>2197</v>
      </c>
      <c r="BM68" s="24"/>
      <c r="BN68" s="115" t="n">
        <f aca="false">41160-26528</f>
        <v>14632</v>
      </c>
      <c r="BO68" s="24"/>
      <c r="BP68" s="115" t="n">
        <f aca="false">IF(+R68-BL68+BN68&gt;0,R68-BL68+BN68,0)</f>
        <v>38963</v>
      </c>
      <c r="BR68" s="115" t="n">
        <f aca="false">+BL68+BP68</f>
        <v>41160</v>
      </c>
      <c r="BT68" s="115"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198</v>
      </c>
      <c r="C69" s="2"/>
      <c r="D69" s="2"/>
      <c r="E69" s="2"/>
      <c r="F69" s="2"/>
      <c r="G69" s="2"/>
      <c r="H69" s="2"/>
      <c r="I69" s="2"/>
      <c r="J69" s="3"/>
      <c r="K69" s="2"/>
      <c r="L69" s="188"/>
      <c r="M69" s="24"/>
      <c r="N69" s="24"/>
      <c r="O69" s="24"/>
      <c r="P69" s="24"/>
      <c r="Q69" s="24"/>
      <c r="R69" s="185"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15" t="n">
        <v>0</v>
      </c>
      <c r="AQ69" s="24"/>
      <c r="AR69" s="24"/>
      <c r="AS69" s="24"/>
      <c r="AT69" s="115" t="n">
        <v>0</v>
      </c>
      <c r="AU69" s="24"/>
      <c r="AV69" s="24"/>
      <c r="AW69" s="24"/>
      <c r="AX69" s="115" t="n">
        <v>41858</v>
      </c>
      <c r="AY69" s="24"/>
      <c r="AZ69" s="24"/>
      <c r="BA69" s="24"/>
      <c r="BB69" s="24"/>
      <c r="BC69" s="24"/>
      <c r="BD69" s="24"/>
      <c r="BE69" s="24"/>
      <c r="BF69" s="24"/>
      <c r="BG69" s="24"/>
      <c r="BH69" s="24"/>
      <c r="BI69" s="24"/>
      <c r="BJ69" s="24"/>
      <c r="BK69" s="24"/>
      <c r="BL69" s="115" t="n">
        <f aca="false">SUM(T69:BK69)</f>
        <v>41858</v>
      </c>
      <c r="BM69" s="24"/>
      <c r="BN69" s="24"/>
      <c r="BO69" s="24"/>
      <c r="BP69" s="115" t="n">
        <f aca="false">IF(+R69-BL69+BN69&gt;0,R69-BL69+BN69,0)</f>
        <v>52842</v>
      </c>
      <c r="BR69" s="115" t="n">
        <f aca="false">+BL69+BP69</f>
        <v>94700</v>
      </c>
      <c r="BT69" s="115"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199</v>
      </c>
      <c r="C70" s="2"/>
      <c r="D70" s="2"/>
      <c r="E70" s="2"/>
      <c r="F70" s="2"/>
      <c r="G70" s="2"/>
      <c r="H70" s="2"/>
      <c r="I70" s="2"/>
      <c r="J70" s="3"/>
      <c r="K70" s="2"/>
      <c r="L70" s="188"/>
      <c r="M70" s="24"/>
      <c r="N70" s="24"/>
      <c r="O70" s="24"/>
      <c r="P70" s="24"/>
      <c r="Q70" s="24"/>
      <c r="R70" s="185"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15" t="n">
        <v>0</v>
      </c>
      <c r="AQ70" s="24"/>
      <c r="AR70" s="24"/>
      <c r="AS70" s="24"/>
      <c r="AT70" s="115" t="n">
        <v>0</v>
      </c>
      <c r="AU70" s="24"/>
      <c r="AV70" s="24"/>
      <c r="AW70" s="24"/>
      <c r="AX70" s="115" t="n">
        <f aca="false">5580+1244</f>
        <v>6824</v>
      </c>
      <c r="AY70" s="24"/>
      <c r="AZ70" s="24"/>
      <c r="BA70" s="24"/>
      <c r="BB70" s="24"/>
      <c r="BC70" s="24"/>
      <c r="BD70" s="24"/>
      <c r="BE70" s="24"/>
      <c r="BF70" s="24"/>
      <c r="BG70" s="24"/>
      <c r="BH70" s="24"/>
      <c r="BI70" s="24"/>
      <c r="BJ70" s="24"/>
      <c r="BK70" s="24"/>
      <c r="BL70" s="115" t="n">
        <f aca="false">SUM(T70:BK70)</f>
        <v>6824</v>
      </c>
      <c r="BM70" s="24"/>
      <c r="BN70" s="24" t="n">
        <v>0</v>
      </c>
      <c r="BO70" s="24"/>
      <c r="BP70" s="115" t="n">
        <f aca="false">IF(+R70-BL70+BN70&gt;0,R70-BL70+BN70,0)</f>
        <v>64104</v>
      </c>
      <c r="BR70" s="115" t="n">
        <f aca="false">+BL70+BP70</f>
        <v>70928</v>
      </c>
      <c r="BT70" s="115"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374</v>
      </c>
      <c r="C71" s="2"/>
      <c r="D71" s="2"/>
      <c r="E71" s="2"/>
      <c r="F71" s="2"/>
      <c r="G71" s="2"/>
      <c r="H71" s="2"/>
      <c r="I71" s="2"/>
      <c r="J71" s="3"/>
      <c r="K71" s="2"/>
      <c r="L71" s="188"/>
      <c r="M71" s="24"/>
      <c r="N71" s="24"/>
      <c r="O71" s="24"/>
      <c r="P71" s="24"/>
      <c r="Q71" s="24"/>
      <c r="R71" s="185"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15" t="n">
        <v>0</v>
      </c>
      <c r="AQ71" s="24"/>
      <c r="AR71" s="24"/>
      <c r="AS71" s="24"/>
      <c r="AT71" s="115" t="n">
        <v>0</v>
      </c>
      <c r="AU71" s="24"/>
      <c r="AV71" s="24"/>
      <c r="AW71" s="24"/>
      <c r="AX71" s="115" t="n">
        <v>130320</v>
      </c>
      <c r="AY71" s="24"/>
      <c r="AZ71" s="24"/>
      <c r="BA71" s="24"/>
      <c r="BB71" s="24"/>
      <c r="BC71" s="24"/>
      <c r="BD71" s="24"/>
      <c r="BE71" s="24"/>
      <c r="BF71" s="24"/>
      <c r="BG71" s="24"/>
      <c r="BH71" s="24"/>
      <c r="BI71" s="24"/>
      <c r="BJ71" s="24"/>
      <c r="BK71" s="24"/>
      <c r="BL71" s="115" t="n">
        <f aca="false">SUM(T71:BK71)</f>
        <v>130320</v>
      </c>
      <c r="BM71" s="24"/>
      <c r="BN71" s="24"/>
      <c r="BO71" s="24"/>
      <c r="BP71" s="115" t="n">
        <f aca="false">IF(+R71-BL71+BN71&gt;0,R71-BL71+BN71,0)</f>
        <v>494898</v>
      </c>
      <c r="BR71" s="115" t="n">
        <f aca="false">+BL71+BP71</f>
        <v>625218</v>
      </c>
      <c r="BT71" s="115"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201</v>
      </c>
      <c r="C72" s="2"/>
      <c r="D72" s="2"/>
      <c r="E72" s="2"/>
      <c r="F72" s="2"/>
      <c r="G72" s="2"/>
      <c r="H72" s="2"/>
      <c r="I72" s="2"/>
      <c r="J72" s="3"/>
      <c r="K72" s="2"/>
      <c r="L72" s="188"/>
      <c r="M72" s="24"/>
      <c r="N72" s="24"/>
      <c r="O72" s="24"/>
      <c r="P72" s="24"/>
      <c r="Q72" s="24"/>
      <c r="R72" s="185"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15" t="n">
        <v>0</v>
      </c>
      <c r="AQ72" s="24"/>
      <c r="AR72" s="24"/>
      <c r="AS72" s="24"/>
      <c r="AT72" s="115" t="n">
        <v>3409</v>
      </c>
      <c r="AU72" s="24"/>
      <c r="AV72" s="24"/>
      <c r="AW72" s="24"/>
      <c r="AX72" s="115" t="n">
        <f aca="false">4374-3409</f>
        <v>965</v>
      </c>
      <c r="AY72" s="24"/>
      <c r="AZ72" s="24"/>
      <c r="BA72" s="24"/>
      <c r="BB72" s="24"/>
      <c r="BC72" s="24"/>
      <c r="BD72" s="24"/>
      <c r="BE72" s="24"/>
      <c r="BF72" s="24"/>
      <c r="BG72" s="24"/>
      <c r="BH72" s="24"/>
      <c r="BI72" s="24"/>
      <c r="BJ72" s="24"/>
      <c r="BK72" s="24"/>
      <c r="BL72" s="115" t="n">
        <f aca="false">SUM(T72:BK72)</f>
        <v>4374</v>
      </c>
      <c r="BM72" s="24"/>
      <c r="BN72" s="115" t="n">
        <f aca="false">521832-351660</f>
        <v>170172</v>
      </c>
      <c r="BO72" s="24"/>
      <c r="BP72" s="115" t="n">
        <f aca="false">IF(+R72-BL72+BN72&gt;0,R72-BL72+BN72,0)</f>
        <v>517458</v>
      </c>
      <c r="BR72" s="115" t="n">
        <f aca="false">+BL72+BP72</f>
        <v>521832</v>
      </c>
      <c r="BT72" s="115"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202</v>
      </c>
      <c r="C73" s="2"/>
      <c r="D73" s="2"/>
      <c r="E73" s="2"/>
      <c r="F73" s="2"/>
      <c r="G73" s="2"/>
      <c r="H73" s="2"/>
      <c r="I73" s="2"/>
      <c r="J73" s="3"/>
      <c r="K73" s="2"/>
      <c r="L73" s="188"/>
      <c r="M73" s="24"/>
      <c r="N73" s="24"/>
      <c r="O73" s="24"/>
      <c r="P73" s="24"/>
      <c r="Q73" s="24"/>
      <c r="R73" s="185"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15" t="n">
        <v>0</v>
      </c>
      <c r="AQ73" s="24"/>
      <c r="AR73" s="24"/>
      <c r="AS73" s="24"/>
      <c r="AT73" s="115" t="n">
        <v>3559</v>
      </c>
      <c r="AU73" s="24"/>
      <c r="AV73" s="24"/>
      <c r="AW73" s="24"/>
      <c r="AX73" s="115" t="n">
        <f aca="false">48259-3559</f>
        <v>44700</v>
      </c>
      <c r="AY73" s="24"/>
      <c r="AZ73" s="24"/>
      <c r="BA73" s="24"/>
      <c r="BB73" s="24"/>
      <c r="BC73" s="24"/>
      <c r="BD73" s="24"/>
      <c r="BE73" s="24"/>
      <c r="BF73" s="24"/>
      <c r="BG73" s="24"/>
      <c r="BH73" s="24"/>
      <c r="BI73" s="24"/>
      <c r="BJ73" s="24"/>
      <c r="BK73" s="24"/>
      <c r="BL73" s="115" t="n">
        <f aca="false">SUM(T73:BK73)</f>
        <v>48259</v>
      </c>
      <c r="BM73" s="24"/>
      <c r="BN73" s="115" t="n">
        <f aca="false">2693778-1672316</f>
        <v>1021462</v>
      </c>
      <c r="BO73" s="24"/>
      <c r="BP73" s="115" t="n">
        <f aca="false">IF(+R73-BL73+BN73&gt;0,R73-BL73+BN73,0)</f>
        <v>2645519</v>
      </c>
      <c r="BR73" s="115" t="n">
        <f aca="false">+BL73+BP73</f>
        <v>2693778</v>
      </c>
      <c r="BT73" s="115"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375</v>
      </c>
      <c r="C74" s="2"/>
      <c r="D74" s="2"/>
      <c r="E74" s="2"/>
      <c r="F74" s="2"/>
      <c r="G74" s="2"/>
      <c r="H74" s="2"/>
      <c r="I74" s="2"/>
      <c r="J74" s="3"/>
      <c r="K74" s="2"/>
      <c r="L74" s="188"/>
      <c r="M74" s="24"/>
      <c r="N74" s="24"/>
      <c r="O74" s="24"/>
      <c r="P74" s="24"/>
      <c r="Q74" s="24"/>
      <c r="R74" s="185"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15" t="n">
        <v>308</v>
      </c>
      <c r="AQ74" s="24"/>
      <c r="AR74" s="24"/>
      <c r="AS74" s="24"/>
      <c r="AT74" s="115" t="n">
        <v>0</v>
      </c>
      <c r="AU74" s="24"/>
      <c r="AV74" s="24"/>
      <c r="AW74" s="24"/>
      <c r="AX74" s="115" t="n">
        <f aca="false">15157-308</f>
        <v>14849</v>
      </c>
      <c r="AY74" s="24"/>
      <c r="AZ74" s="24"/>
      <c r="BA74" s="24"/>
      <c r="BB74" s="24"/>
      <c r="BC74" s="24"/>
      <c r="BD74" s="24"/>
      <c r="BE74" s="24"/>
      <c r="BF74" s="24"/>
      <c r="BG74" s="24"/>
      <c r="BH74" s="24"/>
      <c r="BI74" s="24"/>
      <c r="BJ74" s="24"/>
      <c r="BK74" s="24"/>
      <c r="BL74" s="115" t="n">
        <f aca="false">SUM(T74:BK74)</f>
        <v>15157</v>
      </c>
      <c r="BM74" s="24"/>
      <c r="BN74" s="115" t="n">
        <f aca="false">510525-373497</f>
        <v>137028</v>
      </c>
      <c r="BO74" s="24"/>
      <c r="BP74" s="115" t="n">
        <f aca="false">IF(+R74-BL74+BN74&gt;0,R74-BL74+BN74,0)</f>
        <v>495368</v>
      </c>
      <c r="BR74" s="115" t="n">
        <f aca="false">+BL74+BP74</f>
        <v>510525</v>
      </c>
      <c r="BT74" s="115"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204</v>
      </c>
      <c r="C75" s="2"/>
      <c r="D75" s="2"/>
      <c r="E75" s="2"/>
      <c r="F75" s="2"/>
      <c r="G75" s="2"/>
      <c r="H75" s="2"/>
      <c r="I75" s="2"/>
      <c r="J75" s="3"/>
      <c r="K75" s="2"/>
      <c r="L75" s="188"/>
      <c r="M75" s="24"/>
      <c r="N75" s="24"/>
      <c r="O75" s="24"/>
      <c r="P75" s="24"/>
      <c r="Q75" s="24"/>
      <c r="R75" s="185"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15" t="n">
        <v>0</v>
      </c>
      <c r="AQ75" s="24"/>
      <c r="AR75" s="24"/>
      <c r="AS75" s="24"/>
      <c r="AT75" s="115" t="n">
        <v>0</v>
      </c>
      <c r="AU75" s="24"/>
      <c r="AV75" s="24"/>
      <c r="AW75" s="24"/>
      <c r="AY75" s="24"/>
      <c r="AZ75" s="24"/>
      <c r="BA75" s="24"/>
      <c r="BB75" s="24"/>
      <c r="BC75" s="24"/>
      <c r="BD75" s="24"/>
      <c r="BE75" s="24"/>
      <c r="BF75" s="24"/>
      <c r="BG75" s="24"/>
      <c r="BH75" s="24"/>
      <c r="BI75" s="24"/>
      <c r="BJ75" s="24"/>
      <c r="BK75" s="24"/>
      <c r="BL75" s="115" t="n">
        <f aca="false">SUM(T75:BK75)</f>
        <v>0</v>
      </c>
      <c r="BM75" s="24"/>
      <c r="BN75" s="24"/>
      <c r="BO75" s="24"/>
      <c r="BP75" s="115" t="n">
        <f aca="false">IF(+R75-BL75+BN75&gt;0,R75-BL75+BN75,0)</f>
        <v>587792</v>
      </c>
      <c r="BR75" s="115" t="n">
        <f aca="false">+BL75+BP75</f>
        <v>587792</v>
      </c>
      <c r="BT75" s="115"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205</v>
      </c>
      <c r="C76" s="2"/>
      <c r="D76" s="2"/>
      <c r="E76" s="2"/>
      <c r="F76" s="2"/>
      <c r="G76" s="2"/>
      <c r="H76" s="2"/>
      <c r="I76" s="2"/>
      <c r="J76" s="3"/>
      <c r="K76" s="2"/>
      <c r="L76" s="188"/>
      <c r="M76" s="24"/>
      <c r="N76" s="24"/>
      <c r="O76" s="24"/>
      <c r="P76" s="24"/>
      <c r="Q76" s="24"/>
      <c r="R76" s="185"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15" t="n">
        <f aca="false">3795+1050</f>
        <v>4845</v>
      </c>
      <c r="AQ76" s="24"/>
      <c r="AR76" s="24"/>
      <c r="AS76" s="24"/>
      <c r="AT76" s="115" t="n">
        <f aca="false">85455-3795+41645</f>
        <v>123305</v>
      </c>
      <c r="AU76" s="24"/>
      <c r="AV76" s="24"/>
      <c r="AW76" s="24"/>
      <c r="AX76" s="115" t="n">
        <f aca="false">519279-127100-1050</f>
        <v>391129</v>
      </c>
      <c r="AY76" s="24"/>
      <c r="AZ76" s="24"/>
      <c r="BA76" s="24"/>
      <c r="BB76" s="24"/>
      <c r="BC76" s="24"/>
      <c r="BD76" s="24"/>
      <c r="BE76" s="24"/>
      <c r="BF76" s="24"/>
      <c r="BG76" s="24"/>
      <c r="BH76" s="24"/>
      <c r="BI76" s="24"/>
      <c r="BJ76" s="24"/>
      <c r="BK76" s="24"/>
      <c r="BL76" s="115" t="n">
        <f aca="false">SUM(T76:BK76)</f>
        <v>519279</v>
      </c>
      <c r="BM76" s="24"/>
      <c r="BN76" s="115" t="n">
        <f aca="false">4266355-3449390</f>
        <v>816965</v>
      </c>
      <c r="BO76" s="24"/>
      <c r="BP76" s="115" t="n">
        <f aca="false">IF(+R76-BL76+BN76&gt;0,R76-BL76+BN76,0)</f>
        <v>3747076</v>
      </c>
      <c r="BR76" s="115" t="n">
        <f aca="false">+BL76+BP76</f>
        <v>4266355</v>
      </c>
      <c r="BT76" s="115"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376</v>
      </c>
      <c r="C77" s="2"/>
      <c r="D77" s="2"/>
      <c r="E77" s="2"/>
      <c r="F77" s="2"/>
      <c r="G77" s="2"/>
      <c r="H77" s="2"/>
      <c r="I77" s="2"/>
      <c r="J77" s="3"/>
      <c r="K77" s="2"/>
      <c r="L77" s="188"/>
      <c r="M77" s="24"/>
      <c r="N77" s="24"/>
      <c r="O77" s="24"/>
      <c r="P77" s="24"/>
      <c r="Q77" s="24"/>
      <c r="R77" s="185"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15" t="n">
        <v>0</v>
      </c>
      <c r="AQ77" s="24"/>
      <c r="AR77" s="24"/>
      <c r="AS77" s="24"/>
      <c r="AT77" s="115" t="n">
        <v>544</v>
      </c>
      <c r="AU77" s="24"/>
      <c r="AV77" s="24"/>
      <c r="AW77" s="24"/>
      <c r="AX77" s="115" t="n">
        <f aca="false">46182-544</f>
        <v>45638</v>
      </c>
      <c r="AY77" s="24"/>
      <c r="AZ77" s="24"/>
      <c r="BA77" s="24"/>
      <c r="BB77" s="24"/>
      <c r="BC77" s="24"/>
      <c r="BD77" s="24"/>
      <c r="BE77" s="24"/>
      <c r="BF77" s="24"/>
      <c r="BG77" s="24"/>
      <c r="BH77" s="24"/>
      <c r="BI77" s="24"/>
      <c r="BJ77" s="24"/>
      <c r="BK77" s="24"/>
      <c r="BL77" s="115" t="n">
        <f aca="false">SUM(T77:BK77)</f>
        <v>46182</v>
      </c>
      <c r="BM77" s="24"/>
      <c r="BN77" s="115" t="n">
        <f aca="false">1011805-752310</f>
        <v>259495</v>
      </c>
      <c r="BO77" s="24"/>
      <c r="BP77" s="115" t="n">
        <f aca="false">IF(+R77-BL77+BN77&gt;0,R77-BL77+BN77,0)</f>
        <v>965623</v>
      </c>
      <c r="BR77" s="115" t="n">
        <f aca="false">+BL77+BP77</f>
        <v>1011805</v>
      </c>
      <c r="BT77" s="115"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371</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15" t="n">
        <v>3058</v>
      </c>
      <c r="AU78" s="24"/>
      <c r="AV78" s="24"/>
      <c r="AW78" s="24"/>
      <c r="AX78" s="115" t="n">
        <f aca="false">17027-3058</f>
        <v>13969</v>
      </c>
      <c r="AY78" s="24"/>
      <c r="AZ78" s="24"/>
      <c r="BA78" s="24"/>
      <c r="BB78" s="24"/>
      <c r="BC78" s="24"/>
      <c r="BD78" s="24"/>
      <c r="BE78" s="24"/>
      <c r="BF78" s="24"/>
      <c r="BG78" s="24"/>
      <c r="BH78" s="24"/>
      <c r="BI78" s="24"/>
      <c r="BJ78" s="24"/>
      <c r="BK78" s="24"/>
      <c r="BL78" s="115" t="n">
        <f aca="false">SUM(T78:BK78)</f>
        <v>17027</v>
      </c>
      <c r="BM78" s="24"/>
      <c r="BN78" s="115" t="n">
        <v>0</v>
      </c>
      <c r="BO78" s="24"/>
      <c r="BP78" s="115" t="n">
        <f aca="false">IF(+R78-BL78+BN78&gt;0,R78-BL78+BN78,0)</f>
        <v>0</v>
      </c>
      <c r="BR78" s="115" t="n">
        <f aca="false">+BL78+BP78</f>
        <v>17027</v>
      </c>
      <c r="BT78" s="115"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3"/>
      <c r="C79" s="2"/>
      <c r="D79" s="2"/>
      <c r="E79" s="2"/>
      <c r="F79" s="2"/>
      <c r="G79" s="2"/>
      <c r="H79" s="2"/>
      <c r="I79" s="2"/>
      <c r="J79" s="3"/>
      <c r="K79" s="2"/>
      <c r="L79" s="188"/>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t="s">
        <v>211</v>
      </c>
      <c r="C80" s="2"/>
      <c r="D80" s="2"/>
      <c r="E80" s="2"/>
      <c r="F80" s="2"/>
      <c r="G80" s="2"/>
      <c r="H80" s="2"/>
      <c r="I80" s="2"/>
      <c r="J80" s="3"/>
      <c r="K80" s="2"/>
      <c r="L80" s="188"/>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7"/>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2" t="s">
        <v>212</v>
      </c>
      <c r="C82" s="2"/>
      <c r="D82" s="2"/>
      <c r="E82" s="2"/>
      <c r="F82" s="2"/>
      <c r="G82" s="2"/>
      <c r="H82" s="2"/>
      <c r="I82" s="2"/>
      <c r="J82" s="3"/>
      <c r="K82" s="2"/>
      <c r="L82" s="188"/>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3" t="s">
        <v>213</v>
      </c>
      <c r="C83" s="2"/>
      <c r="D83" s="2"/>
      <c r="E83" s="2"/>
      <c r="F83" s="2"/>
      <c r="G83" s="2"/>
      <c r="H83" s="2"/>
      <c r="I83" s="2"/>
      <c r="J83" s="3"/>
      <c r="K83" s="2"/>
      <c r="L83" s="188"/>
      <c r="M83" s="24"/>
      <c r="N83" s="24"/>
      <c r="O83" s="24"/>
      <c r="P83" s="24"/>
      <c r="Q83" s="24"/>
      <c r="R83" s="185"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15" t="n">
        <v>355795</v>
      </c>
      <c r="AU83" s="24"/>
      <c r="AV83" s="24"/>
      <c r="AW83" s="24"/>
      <c r="AX83" s="115" t="n">
        <f aca="false">2255645-355795</f>
        <v>1899850</v>
      </c>
      <c r="AY83" s="24"/>
      <c r="AZ83" s="24"/>
      <c r="BA83" s="24"/>
      <c r="BB83" s="24"/>
      <c r="BC83" s="24"/>
      <c r="BD83" s="24"/>
      <c r="BE83" s="24"/>
      <c r="BF83" s="24"/>
      <c r="BG83" s="24"/>
      <c r="BH83" s="24"/>
      <c r="BI83" s="24"/>
      <c r="BJ83" s="24"/>
      <c r="BK83" s="24"/>
      <c r="BL83" s="115" t="n">
        <f aca="false">SUM(T83:BK83)</f>
        <v>2255645</v>
      </c>
      <c r="BM83" s="24"/>
      <c r="BN83" s="115" t="n">
        <f aca="false">10145929-7824800</f>
        <v>2321129</v>
      </c>
      <c r="BO83" s="24"/>
      <c r="BP83" s="115" t="n">
        <f aca="false">IF(+R83-BL83+BN83&gt;0,R83-BL83+BN83,0)</f>
        <v>7890284</v>
      </c>
      <c r="BR83" s="115" t="n">
        <f aca="false">+BL83+BP83</f>
        <v>10145929</v>
      </c>
      <c r="BT83" s="115"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c r="C84" s="2"/>
      <c r="D84" s="2"/>
      <c r="E84" s="2"/>
      <c r="F84" s="2"/>
      <c r="G84" s="2"/>
      <c r="H84" s="2"/>
      <c r="I84" s="2"/>
      <c r="J84" s="3"/>
      <c r="K84" s="2"/>
      <c r="L84" s="188"/>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9" t="s">
        <v>214</v>
      </c>
      <c r="C85" s="2"/>
      <c r="D85" s="2"/>
      <c r="E85" s="2"/>
      <c r="F85" s="2"/>
      <c r="G85" s="2"/>
      <c r="H85" s="2"/>
      <c r="I85" s="2"/>
      <c r="J85" s="3"/>
      <c r="K85" s="2"/>
      <c r="L85" s="188"/>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9"/>
      <c r="C86" s="2"/>
      <c r="D86" s="2"/>
      <c r="E86" s="2"/>
      <c r="F86" s="2"/>
      <c r="G86" s="2"/>
      <c r="H86" s="2"/>
      <c r="I86" s="2"/>
      <c r="J86" s="3"/>
      <c r="K86" s="2"/>
      <c r="L86" s="188"/>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377</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15" t="n">
        <f aca="false">SUM(T87:BK87)</f>
        <v>-943865</v>
      </c>
      <c r="BM87" s="24"/>
      <c r="BN87" s="24"/>
      <c r="BO87" s="24"/>
      <c r="BP87" s="24" t="n">
        <v>-3953393</v>
      </c>
      <c r="BQ87" s="24"/>
      <c r="BR87" s="115" t="n">
        <v>-3953393</v>
      </c>
      <c r="BS87" s="24"/>
      <c r="BT87" s="115"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9"/>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2" t="s">
        <v>378</v>
      </c>
      <c r="C89" s="2"/>
      <c r="D89" s="2"/>
      <c r="E89" s="2"/>
      <c r="F89" s="2"/>
      <c r="G89" s="2"/>
      <c r="H89" s="2"/>
      <c r="I89" s="2"/>
      <c r="J89" s="3"/>
      <c r="K89" s="2"/>
      <c r="L89" s="188"/>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v>6627015</v>
      </c>
      <c r="BA89" s="24"/>
      <c r="BB89" s="24"/>
      <c r="BC89" s="24"/>
      <c r="BD89" s="24"/>
      <c r="BE89" s="24"/>
      <c r="BF89" s="24"/>
      <c r="BG89" s="24"/>
      <c r="BH89" s="24"/>
      <c r="BI89" s="24"/>
      <c r="BJ89" s="24"/>
      <c r="BK89" s="24"/>
      <c r="BL89" s="115" t="n">
        <f aca="false">SUM(T89:BK89)</f>
        <v>17579673.12</v>
      </c>
      <c r="BM89" s="24"/>
      <c r="BN89" s="24" t="n">
        <v>0</v>
      </c>
      <c r="BO89" s="24"/>
      <c r="BP89" s="24" t="n">
        <f aca="false">-BL89</f>
        <v>-17579673.12</v>
      </c>
      <c r="BQ89" s="24"/>
      <c r="BR89" s="115" t="n">
        <v>0</v>
      </c>
      <c r="BT89" s="11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5"/>
      <c r="B91" s="196" t="s">
        <v>218</v>
      </c>
      <c r="C91" s="197"/>
      <c r="D91" s="197"/>
      <c r="E91" s="197"/>
      <c r="F91" s="197"/>
      <c r="G91" s="197"/>
      <c r="H91" s="197"/>
      <c r="I91" s="197"/>
      <c r="J91" s="198"/>
      <c r="K91" s="197"/>
      <c r="L91" s="199"/>
      <c r="M91" s="200"/>
      <c r="N91" s="201" t="n">
        <f aca="false">SUM(N38:N90)</f>
        <v>0</v>
      </c>
      <c r="O91" s="200"/>
      <c r="P91" s="201" t="n">
        <f aca="false">SUM(P38:P90)</f>
        <v>0</v>
      </c>
      <c r="Q91" s="200"/>
      <c r="R91" s="201" t="n">
        <f aca="false">R85+R80+R55+R48+R89</f>
        <v>37943200</v>
      </c>
      <c r="S91" s="201" t="n">
        <f aca="false">S85+S80+S55+S48+S89</f>
        <v>0</v>
      </c>
      <c r="T91" s="201" t="n">
        <f aca="false">T85+T80+T55+T48+T89</f>
        <v>0</v>
      </c>
      <c r="U91" s="201" t="n">
        <f aca="false">U85+U80+U55+U48+U89</f>
        <v>0</v>
      </c>
      <c r="V91" s="201" t="n">
        <f aca="false">V85+V80+V55+V48+V89</f>
        <v>0</v>
      </c>
      <c r="W91" s="201" t="n">
        <f aca="false">W85+W80+W55+W48+W89</f>
        <v>0</v>
      </c>
      <c r="X91" s="201" t="n">
        <f aca="false">X85+X80+X55+X48+X89</f>
        <v>0</v>
      </c>
      <c r="Y91" s="201" t="n">
        <f aca="false">Y85+Y80+Y55+Y48+Y89</f>
        <v>0</v>
      </c>
      <c r="Z91" s="201" t="n">
        <f aca="false">Z85+Z80+Z55+Z48+Z89</f>
        <v>0</v>
      </c>
      <c r="AA91" s="201" t="n">
        <f aca="false">AA85+AA80+AA55+AA48+AA89</f>
        <v>0</v>
      </c>
      <c r="AB91" s="201" t="n">
        <f aca="false">AB85+AB80+AB55+AB48+AB89</f>
        <v>0</v>
      </c>
      <c r="AC91" s="201" t="n">
        <f aca="false">AC85+AC80+AC55+AC48+AC89</f>
        <v>0</v>
      </c>
      <c r="AD91" s="201" t="n">
        <f aca="false">AD85+AD80+AD55+AD48+AD89</f>
        <v>0</v>
      </c>
      <c r="AE91" s="201" t="n">
        <f aca="false">AE85+AE80+AE55+AE48+AE89</f>
        <v>0</v>
      </c>
      <c r="AF91" s="201" t="n">
        <f aca="false">AF85+AF80+AF55+AF48+AF89</f>
        <v>0</v>
      </c>
      <c r="AG91" s="201" t="n">
        <f aca="false">AG85+AG80+AG55+AG48+AG89</f>
        <v>0</v>
      </c>
      <c r="AH91" s="201" t="n">
        <f aca="false">AH85+AH80+AH55+AH48+AH89</f>
        <v>0</v>
      </c>
      <c r="AI91" s="201" t="n">
        <f aca="false">AI85+AI80+AI55+AI48+AI89</f>
        <v>0</v>
      </c>
      <c r="AJ91" s="201" t="n">
        <f aca="false">AJ85+AJ80+AJ55+AJ48+AJ89</f>
        <v>0</v>
      </c>
      <c r="AK91" s="201" t="n">
        <f aca="false">AK85+AK80+AK55+AK48+AK89</f>
        <v>0</v>
      </c>
      <c r="AL91" s="201" t="n">
        <f aca="false">AL85+AL80+AL55+AL48+AL89</f>
        <v>0</v>
      </c>
      <c r="AM91" s="201" t="n">
        <f aca="false">AM85+AM80+AM55+AM48+AM89</f>
        <v>0</v>
      </c>
      <c r="AN91" s="201" t="n">
        <f aca="false">AN85+AN80+AN55+AN48+AN89</f>
        <v>0</v>
      </c>
      <c r="AO91" s="201" t="n">
        <f aca="false">AO85+AO80+AO55+AO48+AO89</f>
        <v>0</v>
      </c>
      <c r="AP91" s="201" t="n">
        <f aca="false">AP85+AP80+AP55+AP48+AP89</f>
        <v>4455378.55</v>
      </c>
      <c r="AQ91" s="201" t="n">
        <f aca="false">AQ85+AQ80+AQ55+AQ48+AQ89</f>
        <v>0</v>
      </c>
      <c r="AR91" s="201" t="n">
        <f aca="false">AR85+AR80+AR55+AR48+AR89</f>
        <v>0</v>
      </c>
      <c r="AS91" s="201" t="n">
        <f aca="false">AS85+AS80+AS55+AS48+AS89</f>
        <v>0</v>
      </c>
      <c r="AT91" s="201" t="n">
        <f aca="false">AT85+AT80+AT55+AT48+AT89+AT87</f>
        <v>5237440.57</v>
      </c>
      <c r="AU91" s="201" t="n">
        <f aca="false">AU85+AU80+AU55+AU48+AU89+AU87</f>
        <v>0</v>
      </c>
      <c r="AV91" s="201" t="n">
        <f aca="false">AV85+AV80+AV55+AV48+AV89+AV87</f>
        <v>5993551</v>
      </c>
      <c r="AW91" s="201" t="n">
        <f aca="false">AW85+AW80+AW55+AW48+AW89+AW87</f>
        <v>0</v>
      </c>
      <c r="AX91" s="201" t="n">
        <f aca="false">AX85+AX80+AX55+AX48+AX89+AX87</f>
        <v>7520360</v>
      </c>
      <c r="AY91" s="201" t="n">
        <f aca="false">AY85+AY80+AY55+AY48+AY89+AY87</f>
        <v>0</v>
      </c>
      <c r="AZ91" s="201" t="n">
        <f aca="false">AZ85+AZ80+AZ55+AZ48+AZ89+AZ87</f>
        <v>6627015</v>
      </c>
      <c r="BA91" s="201" t="n">
        <f aca="false">BA85+BA80+BA55+BA48+BA89+BA87</f>
        <v>0</v>
      </c>
      <c r="BB91" s="201" t="n">
        <f aca="false">BB85+BB80+BB55+BB48+BB89+BB87</f>
        <v>0</v>
      </c>
      <c r="BC91" s="201" t="n">
        <f aca="false">BC85+BC80+BC55+BC48+BC89+BC87</f>
        <v>0</v>
      </c>
      <c r="BD91" s="201" t="n">
        <f aca="false">BD85+BD80+BD55+BD48+BD89+BD87</f>
        <v>0</v>
      </c>
      <c r="BE91" s="201" t="n">
        <f aca="false">BE85+BE80+BE55+BE48+BE89+BE87</f>
        <v>0</v>
      </c>
      <c r="BF91" s="201" t="n">
        <f aca="false">BF85+BF80+BF55+BF48+BF89+BF87</f>
        <v>0</v>
      </c>
      <c r="BG91" s="201" t="n">
        <f aca="false">BG85+BG80+BG55+BG48+BG89+BG87</f>
        <v>0</v>
      </c>
      <c r="BH91" s="201" t="n">
        <f aca="false">BH85+BH80+BH55+BH48+BH89+BH87</f>
        <v>0</v>
      </c>
      <c r="BI91" s="201" t="n">
        <f aca="false">BI85+BI80+BI55+BI48+BI89+BI87</f>
        <v>0</v>
      </c>
      <c r="BJ91" s="201" t="n">
        <f aca="false">BJ85+BJ80+BJ55+BJ48+BJ89+BJ87</f>
        <v>0</v>
      </c>
      <c r="BK91" s="201" t="n">
        <f aca="false">BK85+BK80+BK55+BK48+BK89+BK87</f>
        <v>0</v>
      </c>
      <c r="BL91" s="201" t="n">
        <f aca="false">BL85+BL80+BL55+BL48+BL89+BL87</f>
        <v>29833745.12</v>
      </c>
      <c r="BM91" s="201" t="n">
        <f aca="false">BM85+BM80+BM55+BM48+BM89+BM87</f>
        <v>1171784</v>
      </c>
      <c r="BN91" s="201" t="n">
        <f aca="false">BN85+BN80+BN55+BN48+BN89+BN87</f>
        <v>6616916</v>
      </c>
      <c r="BO91" s="201" t="n">
        <f aca="false">BO85+BO80+BO55+BO48+BO89+BO87</f>
        <v>2643295</v>
      </c>
      <c r="BP91" s="201" t="n">
        <f aca="false">BP85+BP80+BP55+BP48+BP89+BP87</f>
        <v>9900639.88</v>
      </c>
      <c r="BQ91" s="201" t="n">
        <f aca="false">BQ85+BQ80+BQ55+BQ48+BQ89+BQ87</f>
        <v>5668777</v>
      </c>
      <c r="BR91" s="201" t="n">
        <f aca="false">BR85+BR80+BR55+BR48+BR89+BR87</f>
        <v>40678250</v>
      </c>
      <c r="BS91" s="201" t="n">
        <f aca="false">BS85+BS80+BS55+BS48+BS89+BS87</f>
        <v>12305633</v>
      </c>
      <c r="BT91" s="201" t="n">
        <f aca="false">BT85+BT80+BT55+BT48+BT89+BT87</f>
        <v>-2735050</v>
      </c>
      <c r="BU91" s="201" t="n">
        <f aca="false">BU85+BU80+BU55+BU48+BU89</f>
        <v>1567396</v>
      </c>
      <c r="BV91" s="197"/>
      <c r="BW91" s="197"/>
      <c r="BX91" s="197"/>
      <c r="BY91" s="197"/>
      <c r="BZ91" s="197"/>
      <c r="CA91" s="197"/>
      <c r="CB91" s="197"/>
      <c r="CC91" s="197"/>
      <c r="CD91" s="197"/>
      <c r="CE91" s="197"/>
      <c r="CF91" s="197"/>
      <c r="CG91" s="197"/>
      <c r="CH91" s="197"/>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197"/>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197"/>
      <c r="ES91" s="197"/>
      <c r="ET91" s="197"/>
      <c r="EU91" s="197"/>
      <c r="EV91" s="197"/>
      <c r="EW91" s="197"/>
      <c r="EX91" s="197"/>
      <c r="EY91" s="197"/>
      <c r="EZ91" s="197"/>
      <c r="FA91" s="197"/>
      <c r="FB91" s="197"/>
      <c r="FC91" s="197"/>
      <c r="FD91" s="197"/>
      <c r="FE91" s="197"/>
      <c r="FF91" s="197"/>
      <c r="FG91" s="197"/>
      <c r="FH91" s="197"/>
      <c r="FI91" s="197"/>
      <c r="FJ91" s="197"/>
      <c r="FK91" s="197"/>
      <c r="FL91" s="197"/>
      <c r="FM91" s="197"/>
      <c r="FN91" s="197"/>
      <c r="FO91" s="197"/>
      <c r="FP91" s="197"/>
      <c r="FQ91" s="197"/>
      <c r="FR91" s="197"/>
      <c r="FS91" s="197"/>
      <c r="FT91" s="197"/>
      <c r="FU91" s="197"/>
      <c r="FV91" s="197"/>
      <c r="FW91" s="197"/>
      <c r="FX91" s="197"/>
      <c r="FY91" s="197"/>
      <c r="FZ91" s="197"/>
      <c r="GA91" s="197"/>
      <c r="GB91" s="197"/>
      <c r="GC91" s="197"/>
      <c r="GD91" s="197"/>
      <c r="GE91" s="197"/>
      <c r="GF91" s="197"/>
      <c r="GG91" s="197"/>
      <c r="GH91" s="197"/>
      <c r="GI91" s="197"/>
      <c r="GJ91" s="197"/>
      <c r="GK91" s="197"/>
      <c r="GL91" s="197"/>
      <c r="GM91" s="197"/>
      <c r="GN91" s="197"/>
      <c r="GO91" s="197"/>
      <c r="GP91" s="197"/>
      <c r="GQ91" s="197"/>
      <c r="GR91" s="197"/>
      <c r="GS91" s="197"/>
      <c r="GT91" s="197"/>
      <c r="GU91" s="197"/>
      <c r="GV91" s="197"/>
      <c r="GW91" s="197"/>
      <c r="GX91" s="197"/>
      <c r="GY91" s="197"/>
      <c r="GZ91" s="197"/>
      <c r="HA91" s="197"/>
      <c r="HB91" s="197"/>
      <c r="HC91" s="197"/>
      <c r="HD91" s="197"/>
      <c r="HE91" s="197"/>
      <c r="HF91" s="197"/>
      <c r="HG91" s="197"/>
      <c r="HH91" s="197"/>
      <c r="HI91" s="197"/>
      <c r="HJ91" s="197"/>
      <c r="HK91" s="197"/>
      <c r="HL91" s="197"/>
      <c r="HM91" s="197"/>
      <c r="HN91" s="197"/>
      <c r="HO91" s="197"/>
      <c r="HP91" s="197"/>
      <c r="HQ91" s="197"/>
      <c r="HR91" s="197"/>
      <c r="HS91" s="197"/>
      <c r="HT91" s="197"/>
      <c r="HU91" s="197"/>
      <c r="HV91" s="197"/>
      <c r="HW91" s="197"/>
      <c r="HX91" s="197"/>
      <c r="HY91" s="197"/>
      <c r="HZ91" s="197"/>
      <c r="IA91" s="197"/>
      <c r="IB91" s="197"/>
      <c r="IC91" s="197"/>
      <c r="ID91" s="197"/>
      <c r="IE91" s="197"/>
      <c r="IF91" s="197"/>
      <c r="IG91" s="197"/>
      <c r="IH91" s="197"/>
      <c r="II91" s="197"/>
      <c r="IJ91" s="197"/>
      <c r="IK91" s="197"/>
      <c r="IL91" s="197"/>
      <c r="IM91" s="197"/>
      <c r="IN91" s="197"/>
      <c r="IO91" s="197"/>
      <c r="IP91" s="197"/>
      <c r="IQ91" s="197"/>
      <c r="IR91" s="197"/>
      <c r="IS91" s="197"/>
      <c r="IT91" s="197"/>
      <c r="IU91" s="197"/>
      <c r="IV91" s="197"/>
      <c r="IW91" s="197"/>
    </row>
    <row r="92" customFormat="false" ht="12.75" hidden="false" customHeight="false" outlineLevel="0" collapsed="false">
      <c r="A92" s="171"/>
      <c r="B92" s="165"/>
      <c r="C92" s="0"/>
      <c r="D92" s="0"/>
      <c r="E92" s="0"/>
      <c r="F92" s="0"/>
      <c r="G92" s="0"/>
      <c r="H92" s="0"/>
      <c r="I92" s="0"/>
      <c r="J92" s="4"/>
      <c r="K92" s="0"/>
      <c r="L92" s="169"/>
      <c r="M92" s="115"/>
      <c r="O92" s="115"/>
      <c r="Q92" s="115"/>
      <c r="S92" s="115"/>
      <c r="T92" s="115"/>
      <c r="U92" s="115"/>
      <c r="V92" s="115"/>
      <c r="X92" s="115"/>
      <c r="Z92" s="115"/>
      <c r="AB92" s="115"/>
      <c r="AD92" s="115"/>
      <c r="BJ92" s="115"/>
      <c r="BK92" s="115"/>
      <c r="BM92" s="115"/>
      <c r="BN92" s="115"/>
      <c r="BO92" s="115"/>
      <c r="BU92" s="115"/>
    </row>
    <row r="93" customFormat="false" ht="12.75" hidden="false" customHeight="false" outlineLevel="0" collapsed="false">
      <c r="A93" s="171"/>
      <c r="B93" s="165"/>
      <c r="C93" s="0"/>
      <c r="D93" s="0"/>
      <c r="E93" s="0"/>
      <c r="F93" s="0"/>
      <c r="G93" s="0"/>
      <c r="H93" s="0"/>
      <c r="I93" s="0"/>
      <c r="J93" s="4"/>
      <c r="K93" s="0"/>
      <c r="L93" s="169"/>
      <c r="M93" s="115"/>
      <c r="O93" s="115"/>
      <c r="Q93" s="115"/>
      <c r="S93" s="115"/>
      <c r="T93" s="115"/>
      <c r="U93" s="115"/>
      <c r="V93" s="115"/>
      <c r="X93" s="115"/>
      <c r="Z93" s="115"/>
      <c r="AB93" s="115"/>
      <c r="AD93" s="115"/>
      <c r="BJ93" s="115"/>
      <c r="BK93" s="115"/>
      <c r="BM93" s="115"/>
      <c r="BN93" s="115"/>
      <c r="BO93" s="115"/>
      <c r="BU93" s="115"/>
    </row>
    <row r="94" customFormat="false" ht="12.75" hidden="false" customHeight="false" outlineLevel="0" collapsed="false">
      <c r="A94" s="182" t="s">
        <v>219</v>
      </c>
      <c r="B94" s="174"/>
      <c r="C94" s="0"/>
      <c r="D94" s="0"/>
      <c r="E94" s="0"/>
      <c r="F94" s="0"/>
      <c r="G94" s="0"/>
      <c r="H94" s="0"/>
      <c r="I94" s="0"/>
      <c r="J94" s="4"/>
      <c r="K94" s="0"/>
      <c r="L94" s="169"/>
      <c r="M94" s="115"/>
      <c r="O94" s="115"/>
      <c r="Q94" s="115"/>
      <c r="S94" s="115"/>
      <c r="T94" s="115"/>
      <c r="U94" s="115"/>
      <c r="V94" s="115"/>
      <c r="X94" s="115"/>
      <c r="Z94" s="115"/>
      <c r="AB94" s="115"/>
      <c r="AD94" s="115"/>
      <c r="BJ94" s="115"/>
      <c r="BK94" s="115"/>
      <c r="BM94" s="115"/>
      <c r="BN94" s="115"/>
      <c r="BO94" s="115"/>
      <c r="BU94" s="115"/>
    </row>
    <row r="95" customFormat="false" ht="12.75" hidden="false" customHeight="false" outlineLevel="0" collapsed="false">
      <c r="A95" s="202"/>
      <c r="B95" s="165" t="s">
        <v>220</v>
      </c>
      <c r="C95" s="0"/>
      <c r="D95" s="0"/>
      <c r="E95" s="0"/>
      <c r="F95" s="0"/>
      <c r="G95" s="0"/>
      <c r="H95" s="0"/>
      <c r="I95" s="0"/>
      <c r="J95" s="4" t="s">
        <v>221</v>
      </c>
      <c r="K95" s="0"/>
      <c r="L95" s="169" t="s">
        <v>142</v>
      </c>
      <c r="M95" s="115"/>
      <c r="N95" s="115" t="n">
        <v>0</v>
      </c>
      <c r="O95" s="115"/>
      <c r="P95" s="115" t="n">
        <v>0</v>
      </c>
      <c r="Q95" s="115"/>
      <c r="R95" s="115" t="n">
        <v>929800</v>
      </c>
      <c r="S95" s="115"/>
      <c r="T95" s="115" t="n">
        <v>0</v>
      </c>
      <c r="U95" s="115"/>
      <c r="V95" s="115" t="n">
        <v>0</v>
      </c>
      <c r="X95" s="115" t="n">
        <v>0</v>
      </c>
      <c r="Z95" s="115" t="n">
        <v>0</v>
      </c>
      <c r="AB95" s="115" t="n">
        <v>0</v>
      </c>
      <c r="AD95" s="115" t="n">
        <v>0</v>
      </c>
      <c r="AF95" s="115" t="n">
        <v>0</v>
      </c>
      <c r="AH95" s="115" t="n">
        <f aca="false">929800/12</f>
        <v>77483.3333333333</v>
      </c>
      <c r="AJ95" s="115" t="n">
        <v>77483.33</v>
      </c>
      <c r="AL95" s="115" t="n">
        <v>77483.33</v>
      </c>
      <c r="AN95" s="115" t="n">
        <v>77483.33</v>
      </c>
      <c r="AP95" s="115" t="n">
        <v>77483.34</v>
      </c>
      <c r="AR95" s="115" t="n">
        <v>77483.33</v>
      </c>
      <c r="AT95" s="115" t="n">
        <v>77483.33</v>
      </c>
      <c r="AV95" s="115" t="n">
        <v>77483.33</v>
      </c>
      <c r="AX95" s="115" t="n">
        <v>77483.34</v>
      </c>
      <c r="AZ95" s="115" t="n">
        <v>77483</v>
      </c>
      <c r="BB95" s="115" t="n">
        <v>77483.34</v>
      </c>
      <c r="BD95" s="115" t="n">
        <v>0</v>
      </c>
      <c r="BF95" s="115" t="n">
        <v>0</v>
      </c>
      <c r="BH95" s="115" t="n">
        <v>0</v>
      </c>
      <c r="BJ95" s="115" t="n">
        <v>0</v>
      </c>
      <c r="BK95" s="115"/>
      <c r="BL95" s="115" t="n">
        <f aca="false">SUM(T95:BK95)</f>
        <v>852316.333333333</v>
      </c>
      <c r="BM95" s="115"/>
      <c r="BN95" s="115" t="n">
        <v>0</v>
      </c>
      <c r="BO95" s="115"/>
      <c r="BP95" s="115" t="n">
        <f aca="false">IF(+R95-BL95+BN95&gt;0,R95-BL95+BN95,0)</f>
        <v>77483.6666666667</v>
      </c>
      <c r="BR95" s="115" t="n">
        <f aca="false">+BL95+BP95</f>
        <v>929800</v>
      </c>
      <c r="BT95" s="115" t="n">
        <f aca="false">+R95-BR95</f>
        <v>0</v>
      </c>
      <c r="BU95" s="115"/>
    </row>
    <row r="96" customFormat="false" ht="12.75" hidden="false" customHeight="false" outlineLevel="0" collapsed="false">
      <c r="A96" s="202"/>
      <c r="B96" s="165" t="s">
        <v>222</v>
      </c>
      <c r="C96" s="0"/>
      <c r="D96" s="0"/>
      <c r="E96" s="0"/>
      <c r="F96" s="0"/>
      <c r="G96" s="0"/>
      <c r="H96" s="0"/>
      <c r="I96" s="0"/>
      <c r="J96" s="4" t="s">
        <v>222</v>
      </c>
      <c r="K96" s="0"/>
      <c r="L96" s="169" t="s">
        <v>142</v>
      </c>
      <c r="M96" s="115"/>
      <c r="N96" s="115" t="n">
        <v>0</v>
      </c>
      <c r="O96" s="115"/>
      <c r="P96" s="115" t="n">
        <v>0</v>
      </c>
      <c r="Q96" s="115"/>
      <c r="R96" s="115" t="n">
        <v>2386700</v>
      </c>
      <c r="S96" s="115"/>
      <c r="T96" s="115" t="n">
        <v>0</v>
      </c>
      <c r="U96" s="115"/>
      <c r="V96" s="115" t="n">
        <v>0</v>
      </c>
      <c r="X96" s="115" t="n">
        <v>0</v>
      </c>
      <c r="Z96" s="115" t="n">
        <v>0</v>
      </c>
      <c r="AB96" s="115" t="n">
        <v>0</v>
      </c>
      <c r="AD96" s="115" t="n">
        <v>0</v>
      </c>
      <c r="AF96" s="115" t="n">
        <v>0</v>
      </c>
      <c r="AH96" s="115" t="n">
        <f aca="false">2386700/12</f>
        <v>198891.666666667</v>
      </c>
      <c r="AJ96" s="115" t="n">
        <v>198891.67</v>
      </c>
      <c r="AL96" s="115" t="n">
        <v>198888.67</v>
      </c>
      <c r="AN96" s="115" t="n">
        <v>198888.67</v>
      </c>
      <c r="AP96" s="115" t="n">
        <v>198888.67</v>
      </c>
      <c r="AR96" s="115" t="n">
        <v>198899</v>
      </c>
      <c r="AT96" s="115" t="n">
        <v>198889</v>
      </c>
      <c r="AV96" s="115" t="n">
        <v>198889</v>
      </c>
      <c r="AX96" s="115" t="n">
        <v>198889</v>
      </c>
      <c r="AZ96" s="115" t="n">
        <v>198889</v>
      </c>
      <c r="BB96" s="115" t="n">
        <v>198889</v>
      </c>
      <c r="BD96" s="115" t="n">
        <v>0</v>
      </c>
      <c r="BF96" s="115" t="n">
        <v>0</v>
      </c>
      <c r="BH96" s="115" t="n">
        <v>0</v>
      </c>
      <c r="BJ96" s="115" t="n">
        <v>0</v>
      </c>
      <c r="BK96" s="115"/>
      <c r="BL96" s="115" t="n">
        <f aca="false">SUM(T96:BK96)</f>
        <v>2187793.34666667</v>
      </c>
      <c r="BM96" s="115"/>
      <c r="BN96" s="115" t="n">
        <v>0</v>
      </c>
      <c r="BO96" s="115"/>
      <c r="BP96" s="115" t="n">
        <f aca="false">IF(+R96-BL96+BN96&gt;0,R96-BL96+BN96,0)</f>
        <v>198906.653333333</v>
      </c>
      <c r="BR96" s="115" t="n">
        <f aca="false">+BL96+BP96</f>
        <v>2386700</v>
      </c>
      <c r="BT96" s="115" t="n">
        <f aca="false">+R96-BR96</f>
        <v>0</v>
      </c>
      <c r="BU96" s="115"/>
    </row>
    <row r="97" customFormat="false" ht="12.75" hidden="false" customHeight="false" outlineLevel="0" collapsed="false">
      <c r="A97" s="202"/>
      <c r="B97" s="165" t="s">
        <v>223</v>
      </c>
      <c r="C97" s="0"/>
      <c r="D97" s="0"/>
      <c r="E97" s="0"/>
      <c r="F97" s="0"/>
      <c r="G97" s="0"/>
      <c r="H97" s="0"/>
      <c r="I97" s="0"/>
      <c r="J97" s="4" t="s">
        <v>221</v>
      </c>
      <c r="K97" s="0"/>
      <c r="L97" s="169" t="s">
        <v>142</v>
      </c>
      <c r="M97" s="115"/>
      <c r="N97" s="115" t="n">
        <v>0</v>
      </c>
      <c r="O97" s="115"/>
      <c r="P97" s="115" t="n">
        <v>0</v>
      </c>
      <c r="Q97" s="115"/>
      <c r="R97" s="115" t="n">
        <v>0</v>
      </c>
      <c r="S97" s="115"/>
      <c r="T97" s="115" t="n">
        <v>0</v>
      </c>
      <c r="U97" s="115"/>
      <c r="V97" s="115" t="n">
        <v>0</v>
      </c>
      <c r="X97" s="115" t="n">
        <v>0</v>
      </c>
      <c r="Z97" s="115" t="n">
        <v>0</v>
      </c>
      <c r="AB97" s="115" t="n">
        <v>0</v>
      </c>
      <c r="AD97" s="115" t="n">
        <v>0</v>
      </c>
      <c r="AF97" s="115" t="n">
        <v>0</v>
      </c>
      <c r="AH97" s="115" t="n">
        <v>0</v>
      </c>
      <c r="AJ97" s="115" t="n">
        <v>0</v>
      </c>
      <c r="AL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K97" s="115"/>
      <c r="BL97" s="115" t="n">
        <f aca="false">SUM(T97:BK97)</f>
        <v>0</v>
      </c>
      <c r="BM97" s="115"/>
      <c r="BN97" s="115" t="n">
        <v>0</v>
      </c>
      <c r="BO97" s="115"/>
      <c r="BP97" s="115" t="n">
        <f aca="false">IF(+R97-BL97+BN97&gt;0,R97-BL97+BN97,0)</f>
        <v>0</v>
      </c>
      <c r="BR97" s="115" t="n">
        <f aca="false">+BL97+BP97</f>
        <v>0</v>
      </c>
      <c r="BT97" s="115" t="n">
        <f aca="false">+R97-BR97</f>
        <v>0</v>
      </c>
      <c r="BU97" s="115"/>
    </row>
    <row r="98" customFormat="false" ht="12.75" hidden="false" customHeight="false" outlineLevel="0" collapsed="false">
      <c r="A98" s="202"/>
      <c r="B98" s="165" t="s">
        <v>224</v>
      </c>
      <c r="C98" s="0"/>
      <c r="D98" s="0"/>
      <c r="E98" s="0"/>
      <c r="F98" s="0"/>
      <c r="G98" s="0"/>
      <c r="H98" s="0"/>
      <c r="I98" s="0"/>
      <c r="J98" s="4" t="s">
        <v>221</v>
      </c>
      <c r="K98" s="0"/>
      <c r="L98" s="169" t="s">
        <v>142</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L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K98" s="115"/>
      <c r="BL98" s="115" t="n">
        <f aca="false">SUM(T98:BK98)</f>
        <v>0</v>
      </c>
      <c r="BM98" s="115"/>
      <c r="BN98" s="115" t="n">
        <v>0</v>
      </c>
      <c r="BO98" s="115"/>
      <c r="BP98" s="115" t="n">
        <f aca="false">IF(+R98-BL98+BN98&gt;0,R98-BL98+BN98,0)</f>
        <v>0</v>
      </c>
      <c r="BR98" s="115" t="n">
        <f aca="false">+BL98+BP98</f>
        <v>0</v>
      </c>
      <c r="BT98" s="115" t="n">
        <f aca="false">+R98-BR98</f>
        <v>0</v>
      </c>
      <c r="BU98" s="115"/>
    </row>
    <row r="99" customFormat="false" ht="12.75" hidden="false" customHeight="false" outlineLevel="0" collapsed="false">
      <c r="A99" s="165"/>
      <c r="B99" s="165" t="s">
        <v>225</v>
      </c>
      <c r="C99" s="18"/>
      <c r="D99" s="18"/>
      <c r="E99" s="18"/>
      <c r="F99" s="18"/>
      <c r="G99" s="18"/>
      <c r="H99" s="18"/>
      <c r="I99" s="18"/>
      <c r="J99" s="204" t="s">
        <v>221</v>
      </c>
      <c r="K99" s="18"/>
      <c r="L99" s="169" t="s">
        <v>142</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L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K99" s="115"/>
      <c r="BL99" s="115" t="n">
        <f aca="false">SUM(T99:BK99)</f>
        <v>0</v>
      </c>
      <c r="BM99" s="115"/>
      <c r="BN99" s="115" t="n">
        <v>0</v>
      </c>
      <c r="BO99" s="115"/>
      <c r="BP99" s="115" t="n">
        <f aca="false">IF(+R99-BL99+BN99&gt;0,R99-BL99+BN99,0)</f>
        <v>0</v>
      </c>
      <c r="BR99" s="115" t="n">
        <f aca="false">+BL99+BP99</f>
        <v>0</v>
      </c>
      <c r="BT99" s="115" t="n">
        <f aca="false">+R99-BR99</f>
        <v>0</v>
      </c>
      <c r="BU99" s="115"/>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c r="IO99" s="174"/>
      <c r="IP99" s="174"/>
      <c r="IQ99" s="174"/>
      <c r="IR99" s="174"/>
      <c r="IS99" s="174"/>
      <c r="IT99" s="174"/>
      <c r="IU99" s="174"/>
      <c r="IV99" s="174"/>
      <c r="IW99" s="174"/>
    </row>
    <row r="100" customFormat="false" ht="12.75" hidden="false" customHeight="false" outlineLevel="0" collapsed="false">
      <c r="A100" s="202"/>
      <c r="B100" s="165" t="s">
        <v>152</v>
      </c>
      <c r="C100" s="0"/>
      <c r="D100" s="0"/>
      <c r="E100" s="0"/>
      <c r="F100" s="0"/>
      <c r="G100" s="0"/>
      <c r="H100" s="0"/>
      <c r="I100" s="0"/>
      <c r="J100" s="4"/>
      <c r="K100" s="0"/>
      <c r="L100" s="169" t="s">
        <v>142</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L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K100" s="115"/>
      <c r="BL100" s="115" t="n">
        <f aca="false">SUM(T100:BK100)</f>
        <v>0</v>
      </c>
      <c r="BM100" s="115"/>
      <c r="BN100" s="115" t="n">
        <v>0</v>
      </c>
      <c r="BO100" s="115"/>
      <c r="BP100" s="115" t="n">
        <f aca="false">IF(+R100-BL100+BN100&gt;0,R100-BL100+BN100,0)</f>
        <v>0</v>
      </c>
      <c r="BR100" s="115" t="n">
        <f aca="false">+BL100+BP100</f>
        <v>0</v>
      </c>
      <c r="BT100" s="115" t="n">
        <f aca="false">+R100-BR100</f>
        <v>0</v>
      </c>
      <c r="BU100" s="115"/>
    </row>
    <row r="101" customFormat="false" ht="12.75" hidden="false" customHeight="false" outlineLevel="0" collapsed="false">
      <c r="A101" s="202"/>
      <c r="B101" s="165"/>
      <c r="C101" s="0"/>
      <c r="D101" s="0"/>
      <c r="E101" s="0"/>
      <c r="F101" s="0"/>
      <c r="G101" s="0"/>
      <c r="H101" s="0"/>
      <c r="I101" s="0"/>
      <c r="J101" s="4"/>
      <c r="K101" s="0"/>
      <c r="L101" s="169"/>
      <c r="M101" s="115"/>
      <c r="O101" s="115"/>
      <c r="Q101" s="115"/>
      <c r="S101" s="115"/>
      <c r="T101" s="115"/>
      <c r="U101" s="115"/>
      <c r="V101" s="115"/>
      <c r="X101" s="115"/>
      <c r="Z101" s="115"/>
      <c r="AB101" s="115"/>
      <c r="AD101" s="115"/>
      <c r="BJ101" s="115"/>
      <c r="BK101" s="115"/>
      <c r="BM101" s="115"/>
      <c r="BN101" s="115"/>
      <c r="BO101" s="115"/>
      <c r="BP101" s="115" t="n">
        <f aca="false">IF(+R101-BL101+BN101&gt;0,R101-BL101+BN101,0)</f>
        <v>0</v>
      </c>
      <c r="BT101" s="115" t="n">
        <f aca="false">+R101-BR101</f>
        <v>0</v>
      </c>
      <c r="BU101" s="115"/>
    </row>
    <row r="102" customFormat="false" ht="12.75" hidden="false" customHeight="false" outlineLevel="0" collapsed="false">
      <c r="A102" s="175"/>
      <c r="B102" s="176" t="s">
        <v>226</v>
      </c>
      <c r="C102" s="177"/>
      <c r="D102" s="177"/>
      <c r="E102" s="177"/>
      <c r="F102" s="177"/>
      <c r="G102" s="177"/>
      <c r="H102" s="177"/>
      <c r="I102" s="177"/>
      <c r="J102" s="178"/>
      <c r="K102" s="177"/>
      <c r="L102" s="179"/>
      <c r="M102" s="180"/>
      <c r="N102" s="205" t="n">
        <f aca="false">SUM(N95:N101)</f>
        <v>0</v>
      </c>
      <c r="O102" s="180"/>
      <c r="P102" s="205" t="n">
        <f aca="false">SUM(P95:P101)</f>
        <v>0</v>
      </c>
      <c r="Q102" s="180"/>
      <c r="R102" s="205" t="n">
        <f aca="false">SUM(R95:R101)</f>
        <v>3316500</v>
      </c>
      <c r="S102" s="180"/>
      <c r="T102" s="205" t="n">
        <f aca="false">SUM(T95:T101)</f>
        <v>0</v>
      </c>
      <c r="U102" s="180"/>
      <c r="V102" s="205" t="n">
        <f aca="false">SUM(V95:V101)</f>
        <v>0</v>
      </c>
      <c r="W102" s="180"/>
      <c r="X102" s="205" t="n">
        <f aca="false">SUM(X95:X101)</f>
        <v>0</v>
      </c>
      <c r="Y102" s="180"/>
      <c r="Z102" s="205" t="n">
        <f aca="false">SUM(Z95:Z101)</f>
        <v>0</v>
      </c>
      <c r="AA102" s="180"/>
      <c r="AB102" s="205" t="n">
        <f aca="false">SUM(AB95:AB101)</f>
        <v>0</v>
      </c>
      <c r="AC102" s="180"/>
      <c r="AD102" s="205" t="n">
        <f aca="false">SUM(AD95:AD101)</f>
        <v>0</v>
      </c>
      <c r="AE102" s="180"/>
      <c r="AF102" s="205" t="n">
        <f aca="false">SUM(AF95:AF101)</f>
        <v>0</v>
      </c>
      <c r="AG102" s="180"/>
      <c r="AH102" s="205" t="n">
        <f aca="false">SUM(AH95:AH101)</f>
        <v>276375</v>
      </c>
      <c r="AI102" s="180"/>
      <c r="AJ102" s="205" t="n">
        <f aca="false">SUM(AJ95:AJ101)</f>
        <v>276375</v>
      </c>
      <c r="AK102" s="180"/>
      <c r="AL102" s="205" t="n">
        <f aca="false">SUM(AL95:AL101)</f>
        <v>276372</v>
      </c>
      <c r="AM102" s="180"/>
      <c r="AN102" s="205" t="n">
        <f aca="false">SUM(AN95:AN101)</f>
        <v>276372</v>
      </c>
      <c r="AO102" s="180"/>
      <c r="AP102" s="205" t="n">
        <f aca="false">SUM(AP95:AP101)</f>
        <v>276372.01</v>
      </c>
      <c r="AQ102" s="180"/>
      <c r="AR102" s="205" t="n">
        <f aca="false">SUM(AR95:AR101)</f>
        <v>276382.33</v>
      </c>
      <c r="AS102" s="180"/>
      <c r="AT102" s="205" t="n">
        <f aca="false">SUM(AT95:AT101)</f>
        <v>276372.33</v>
      </c>
      <c r="AU102" s="180"/>
      <c r="AV102" s="205" t="n">
        <f aca="false">SUM(AV95:AV101)</f>
        <v>276372.33</v>
      </c>
      <c r="AW102" s="180"/>
      <c r="AX102" s="205" t="n">
        <f aca="false">SUM(AX95:AX101)</f>
        <v>276372.34</v>
      </c>
      <c r="AY102" s="180"/>
      <c r="AZ102" s="205" t="n">
        <f aca="false">SUM(AZ95:AZ101)</f>
        <v>276372</v>
      </c>
      <c r="BA102" s="180"/>
      <c r="BB102" s="205" t="n">
        <f aca="false">SUM(BB95:BB101)</f>
        <v>276372.34</v>
      </c>
      <c r="BC102" s="180"/>
      <c r="BD102" s="205" t="n">
        <f aca="false">SUM(BD95:BD101)</f>
        <v>0</v>
      </c>
      <c r="BE102" s="180"/>
      <c r="BF102" s="205" t="n">
        <f aca="false">SUM(BF95:BF101)</f>
        <v>0</v>
      </c>
      <c r="BG102" s="180"/>
      <c r="BH102" s="205" t="n">
        <f aca="false">SUM(BH95:BH101)</f>
        <v>0</v>
      </c>
      <c r="BI102" s="180"/>
      <c r="BJ102" s="205" t="n">
        <f aca="false">SUM(BJ95:BJ101)</f>
        <v>0</v>
      </c>
      <c r="BK102" s="180"/>
      <c r="BL102" s="205" t="n">
        <f aca="false">SUM(BL95:BL101)</f>
        <v>3040109.68</v>
      </c>
      <c r="BM102" s="180"/>
      <c r="BN102" s="205" t="n">
        <f aca="false">SUM(BN95:BN101)</f>
        <v>0</v>
      </c>
      <c r="BO102" s="180"/>
      <c r="BP102" s="205" t="n">
        <f aca="false">SUM(BP95:BP101)</f>
        <v>276390.32</v>
      </c>
      <c r="BQ102" s="180"/>
      <c r="BR102" s="205" t="n">
        <f aca="false">SUM(BR95:BR101)</f>
        <v>3316500</v>
      </c>
      <c r="BS102" s="180"/>
      <c r="BT102" s="205" t="n">
        <f aca="false">SUM(BT95:BT101)</f>
        <v>0</v>
      </c>
      <c r="BU102" s="180"/>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c r="DK102" s="177"/>
      <c r="DL102" s="177"/>
      <c r="DM102" s="177"/>
      <c r="DN102" s="177"/>
      <c r="DO102" s="177"/>
      <c r="DP102" s="177"/>
      <c r="DQ102" s="177"/>
      <c r="DR102" s="177"/>
      <c r="DS102" s="177"/>
      <c r="DT102" s="177"/>
      <c r="DU102" s="177"/>
      <c r="DV102" s="177"/>
      <c r="DW102" s="177"/>
      <c r="DX102" s="177"/>
      <c r="DY102" s="177"/>
      <c r="DZ102" s="177"/>
      <c r="EA102" s="177"/>
      <c r="EB102" s="177"/>
      <c r="EC102" s="177"/>
      <c r="ED102" s="177"/>
      <c r="EE102" s="177"/>
      <c r="EF102" s="177"/>
      <c r="EG102" s="177"/>
      <c r="EH102" s="177"/>
      <c r="EI102" s="177"/>
      <c r="EJ102" s="177"/>
      <c r="EK102" s="177"/>
      <c r="EL102" s="177"/>
      <c r="EM102" s="177"/>
      <c r="EN102" s="177"/>
      <c r="EO102" s="177"/>
      <c r="EP102" s="177"/>
      <c r="EQ102" s="177"/>
      <c r="ER102" s="177"/>
      <c r="ES102" s="177"/>
      <c r="ET102" s="177"/>
      <c r="EU102" s="177"/>
      <c r="EV102" s="177"/>
      <c r="EW102" s="177"/>
      <c r="EX102" s="177"/>
      <c r="EY102" s="177"/>
      <c r="EZ102" s="177"/>
      <c r="FA102" s="177"/>
      <c r="FB102" s="177"/>
      <c r="FC102" s="177"/>
      <c r="FD102" s="177"/>
      <c r="FE102" s="177"/>
      <c r="FF102" s="177"/>
      <c r="FG102" s="177"/>
      <c r="FH102" s="177"/>
      <c r="FI102" s="177"/>
      <c r="FJ102" s="177"/>
      <c r="FK102" s="177"/>
      <c r="FL102" s="177"/>
      <c r="FM102" s="177"/>
      <c r="FN102" s="177"/>
      <c r="FO102" s="177"/>
      <c r="FP102" s="177"/>
      <c r="FQ102" s="177"/>
      <c r="FR102" s="177"/>
      <c r="FS102" s="177"/>
      <c r="FT102" s="177"/>
      <c r="FU102" s="177"/>
      <c r="FV102" s="177"/>
      <c r="FW102" s="177"/>
      <c r="FX102" s="177"/>
      <c r="FY102" s="177"/>
      <c r="FZ102" s="177"/>
      <c r="GA102" s="177"/>
      <c r="GB102" s="177"/>
      <c r="GC102" s="177"/>
      <c r="GD102" s="177"/>
      <c r="GE102" s="177"/>
      <c r="GF102" s="177"/>
      <c r="GG102" s="177"/>
      <c r="GH102" s="177"/>
      <c r="GI102" s="177"/>
      <c r="GJ102" s="177"/>
      <c r="GK102" s="177"/>
      <c r="GL102" s="177"/>
      <c r="GM102" s="177"/>
      <c r="GN102" s="177"/>
      <c r="GO102" s="177"/>
      <c r="GP102" s="177"/>
      <c r="GQ102" s="177"/>
      <c r="GR102" s="177"/>
      <c r="GS102" s="177"/>
      <c r="GT102" s="177"/>
      <c r="GU102" s="177"/>
      <c r="GV102" s="177"/>
      <c r="GW102" s="177"/>
      <c r="GX102" s="177"/>
      <c r="GY102" s="177"/>
      <c r="GZ102" s="177"/>
      <c r="HA102" s="177"/>
      <c r="HB102" s="177"/>
      <c r="HC102" s="177"/>
      <c r="HD102" s="177"/>
      <c r="HE102" s="177"/>
      <c r="HF102" s="177"/>
      <c r="HG102" s="177"/>
      <c r="HH102" s="177"/>
      <c r="HI102" s="177"/>
      <c r="HJ102" s="177"/>
      <c r="HK102" s="177"/>
      <c r="HL102" s="177"/>
      <c r="HM102" s="177"/>
      <c r="HN102" s="177"/>
      <c r="HO102" s="177"/>
      <c r="HP102" s="177"/>
      <c r="HQ102" s="177"/>
      <c r="HR102" s="177"/>
      <c r="HS102" s="177"/>
      <c r="HT102" s="177"/>
      <c r="HU102" s="177"/>
      <c r="HV102" s="177"/>
      <c r="HW102" s="177"/>
      <c r="HX102" s="177"/>
      <c r="HY102" s="177"/>
      <c r="HZ102" s="177"/>
      <c r="IA102" s="177"/>
      <c r="IB102" s="177"/>
      <c r="IC102" s="177"/>
      <c r="ID102" s="177"/>
      <c r="IE102" s="177"/>
      <c r="IF102" s="177"/>
      <c r="IG102" s="177"/>
      <c r="IH102" s="177"/>
      <c r="II102" s="177"/>
      <c r="IJ102" s="177"/>
      <c r="IK102" s="177"/>
      <c r="IL102" s="177"/>
      <c r="IM102" s="177"/>
      <c r="IN102" s="177"/>
      <c r="IO102" s="177"/>
      <c r="IP102" s="177"/>
      <c r="IQ102" s="177"/>
      <c r="IR102" s="177"/>
      <c r="IS102" s="177"/>
      <c r="IT102" s="177"/>
      <c r="IU102" s="177"/>
      <c r="IV102" s="177"/>
      <c r="IW102" s="177"/>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6" t="s">
        <v>227</v>
      </c>
      <c r="B104" s="165"/>
      <c r="C104" s="0"/>
      <c r="D104" s="0"/>
      <c r="E104" s="0"/>
      <c r="F104" s="0"/>
      <c r="G104" s="0"/>
      <c r="H104" s="0"/>
      <c r="I104" s="0"/>
      <c r="J104" s="4"/>
      <c r="K104" s="0"/>
      <c r="L104" s="169" t="s">
        <v>142</v>
      </c>
      <c r="M104" s="115"/>
      <c r="O104" s="115"/>
      <c r="Q104" s="115"/>
      <c r="S104" s="115"/>
      <c r="T104" s="115"/>
      <c r="U104" s="115"/>
      <c r="V104" s="115"/>
      <c r="X104" s="115"/>
      <c r="Z104" s="115"/>
      <c r="AB104" s="115"/>
      <c r="AD104" s="115"/>
      <c r="BJ104" s="115"/>
      <c r="BK104" s="115"/>
      <c r="BM104" s="115"/>
      <c r="BN104" s="115"/>
      <c r="BO104" s="115"/>
      <c r="BU104" s="115"/>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false" customHeight="false" outlineLevel="0" collapsed="false">
      <c r="A105" s="186"/>
      <c r="B105" s="165" t="s">
        <v>152</v>
      </c>
      <c r="C105" s="0"/>
      <c r="D105" s="0"/>
      <c r="E105" s="0"/>
      <c r="F105" s="0"/>
      <c r="G105" s="0"/>
      <c r="H105" s="0"/>
      <c r="I105" s="0"/>
      <c r="J105" s="4" t="s">
        <v>132</v>
      </c>
      <c r="K105" s="0"/>
      <c r="L105" s="169" t="s">
        <v>142</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BJ106" s="115"/>
      <c r="BK106" s="115"/>
      <c r="BM106" s="115"/>
      <c r="BN106" s="115"/>
      <c r="BO106" s="115"/>
      <c r="BT106" s="115" t="n">
        <f aca="false">+R106-BR106</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233</v>
      </c>
      <c r="C107" s="2"/>
      <c r="D107" s="2"/>
      <c r="E107" s="2"/>
      <c r="F107" s="2"/>
      <c r="G107" s="2"/>
      <c r="H107" s="2"/>
      <c r="I107" s="2"/>
      <c r="J107" s="3"/>
      <c r="K107" s="2"/>
      <c r="L107" s="188"/>
      <c r="M107" s="24"/>
      <c r="N107" s="210" t="n">
        <f aca="false">SUM(N105:N106)</f>
        <v>0</v>
      </c>
      <c r="O107" s="24"/>
      <c r="P107" s="210" t="n">
        <f aca="false">SUM(P105:P106)</f>
        <v>0</v>
      </c>
      <c r="Q107" s="24"/>
      <c r="R107" s="210" t="n">
        <f aca="false">SUM(R105:R106)</f>
        <v>0</v>
      </c>
      <c r="S107" s="24"/>
      <c r="T107" s="210" t="n">
        <f aca="false">SUM(T105:T106)</f>
        <v>0</v>
      </c>
      <c r="U107" s="24"/>
      <c r="V107" s="210" t="n">
        <f aca="false">SUM(V105:V106)</f>
        <v>0</v>
      </c>
      <c r="W107" s="24"/>
      <c r="X107" s="210" t="n">
        <f aca="false">SUM(X105:X106)</f>
        <v>0</v>
      </c>
      <c r="Y107" s="24"/>
      <c r="Z107" s="210" t="n">
        <f aca="false">SUM(Z105:Z106)</f>
        <v>0</v>
      </c>
      <c r="AA107" s="24"/>
      <c r="AB107" s="210" t="n">
        <f aca="false">SUM(AB105:AB106)</f>
        <v>0</v>
      </c>
      <c r="AC107" s="24"/>
      <c r="AD107" s="210" t="n">
        <f aca="false">SUM(AD105:AD106)</f>
        <v>0</v>
      </c>
      <c r="AE107" s="24"/>
      <c r="AF107" s="210" t="n">
        <f aca="false">SUM(AF105:AF106)</f>
        <v>0</v>
      </c>
      <c r="AG107" s="24"/>
      <c r="AH107" s="210" t="n">
        <f aca="false">SUM(AH105:AH106)</f>
        <v>0</v>
      </c>
      <c r="AI107" s="24"/>
      <c r="AJ107" s="210" t="n">
        <f aca="false">SUM(AJ105:AJ106)</f>
        <v>0</v>
      </c>
      <c r="AK107" s="24"/>
      <c r="AL107" s="210" t="n">
        <f aca="false">SUM(AL105:AL106)</f>
        <v>0</v>
      </c>
      <c r="AM107" s="24"/>
      <c r="AN107" s="210" t="n">
        <f aca="false">SUM(AN105:AN106)</f>
        <v>0</v>
      </c>
      <c r="AO107" s="24"/>
      <c r="AP107" s="210" t="n">
        <f aca="false">SUM(AP105:AP106)</f>
        <v>0</v>
      </c>
      <c r="AQ107" s="24"/>
      <c r="AR107" s="210" t="n">
        <f aca="false">SUM(AR105:AR106)</f>
        <v>0</v>
      </c>
      <c r="AS107" s="24"/>
      <c r="AT107" s="210" t="n">
        <f aca="false">SUM(AT105:AT106)</f>
        <v>0</v>
      </c>
      <c r="AU107" s="24"/>
      <c r="AV107" s="210" t="n">
        <f aca="false">SUM(AV105:AV106)</f>
        <v>0</v>
      </c>
      <c r="AW107" s="24"/>
      <c r="AX107" s="210" t="n">
        <f aca="false">SUM(AX105:AX106)</f>
        <v>0</v>
      </c>
      <c r="AY107" s="24"/>
      <c r="AZ107" s="210" t="n">
        <f aca="false">SUM(AZ105:AZ106)</f>
        <v>0</v>
      </c>
      <c r="BA107" s="24"/>
      <c r="BB107" s="210" t="n">
        <f aca="false">SUM(BB105:BB106)</f>
        <v>0</v>
      </c>
      <c r="BC107" s="24"/>
      <c r="BD107" s="210" t="n">
        <f aca="false">SUM(BD105:BD106)</f>
        <v>0</v>
      </c>
      <c r="BE107" s="24"/>
      <c r="BF107" s="210" t="n">
        <f aca="false">SUM(BF105:BF106)</f>
        <v>0</v>
      </c>
      <c r="BG107" s="24"/>
      <c r="BH107" s="210" t="n">
        <f aca="false">SUM(BH105:BH106)</f>
        <v>0</v>
      </c>
      <c r="BI107" s="24"/>
      <c r="BJ107" s="210" t="n">
        <f aca="false">SUM(BJ105:BJ106)</f>
        <v>0</v>
      </c>
      <c r="BK107" s="24"/>
      <c r="BL107" s="210" t="n">
        <f aca="false">SUM(BL105:BL106)</f>
        <v>0</v>
      </c>
      <c r="BM107" s="24"/>
      <c r="BN107" s="210" t="n">
        <f aca="false">SUM(BN105:BN106)</f>
        <v>0</v>
      </c>
      <c r="BO107" s="24"/>
      <c r="BP107" s="210" t="n">
        <f aca="false">SUM(BP105:BP106)</f>
        <v>0</v>
      </c>
      <c r="BQ107" s="24"/>
      <c r="BR107" s="210" t="n">
        <f aca="false">SUM(BR105:BR106)</f>
        <v>0</v>
      </c>
      <c r="BS107" s="24"/>
      <c r="BT107" s="210" t="n">
        <f aca="false">SUM(BT105:BT106)</f>
        <v>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234</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82" t="s">
        <v>235</v>
      </c>
      <c r="B111" s="215"/>
      <c r="C111" s="0"/>
      <c r="D111" s="0"/>
      <c r="E111" s="0"/>
      <c r="F111" s="0"/>
      <c r="G111" s="0"/>
      <c r="H111" s="0"/>
      <c r="I111" s="0"/>
      <c r="J111" s="4"/>
      <c r="K111" s="0"/>
      <c r="L111" s="169"/>
      <c r="M111" s="115"/>
      <c r="O111" s="115"/>
      <c r="Q111" s="115"/>
      <c r="S111" s="115"/>
      <c r="T111" s="115"/>
      <c r="U111" s="115"/>
      <c r="V111" s="115"/>
      <c r="X111" s="115"/>
      <c r="Z111" s="115"/>
      <c r="AB111" s="115"/>
      <c r="AD111" s="115"/>
      <c r="BJ111" s="115"/>
      <c r="BK111" s="115"/>
      <c r="BM111" s="115"/>
      <c r="BN111" s="115"/>
      <c r="BO111" s="115"/>
      <c r="BU111" s="115"/>
    </row>
    <row r="112" customFormat="false" ht="12.75" hidden="false" customHeight="false" outlineLevel="0" collapsed="false">
      <c r="A112" s="202"/>
      <c r="B112" s="165" t="s">
        <v>236</v>
      </c>
      <c r="E112" s="123"/>
      <c r="G112" s="123"/>
      <c r="I112" s="123"/>
      <c r="J112" s="124" t="s">
        <v>132</v>
      </c>
      <c r="L112" s="169" t="s">
        <v>142</v>
      </c>
      <c r="M112" s="115"/>
      <c r="N112" s="115" t="n">
        <v>0</v>
      </c>
      <c r="O112" s="115"/>
      <c r="P112" s="115" t="n">
        <v>0</v>
      </c>
      <c r="Q112" s="115"/>
      <c r="R112" s="115" t="n">
        <v>185000</v>
      </c>
      <c r="S112" s="115"/>
      <c r="T112" s="115" t="n">
        <v>0</v>
      </c>
      <c r="U112" s="115"/>
      <c r="V112" s="115" t="n">
        <v>0</v>
      </c>
      <c r="X112" s="115" t="n">
        <v>0</v>
      </c>
      <c r="Z112" s="115" t="n">
        <v>0</v>
      </c>
      <c r="AB112" s="115" t="n">
        <v>0</v>
      </c>
      <c r="AD112" s="115" t="n">
        <v>0</v>
      </c>
      <c r="AF112" s="115" t="n">
        <v>0</v>
      </c>
      <c r="AH112" s="115" t="n">
        <v>0</v>
      </c>
      <c r="AJ112" s="115" t="n">
        <v>0</v>
      </c>
      <c r="AL112" s="115" t="n">
        <v>0</v>
      </c>
      <c r="AN112" s="115" t="n">
        <v>0</v>
      </c>
      <c r="AP112" s="115" t="n">
        <v>0</v>
      </c>
      <c r="AR112" s="115" t="n">
        <v>0</v>
      </c>
      <c r="AT112" s="115" t="n">
        <v>0</v>
      </c>
      <c r="AV112" s="115" t="n">
        <v>37000</v>
      </c>
      <c r="AX112" s="115" t="n">
        <v>37000</v>
      </c>
      <c r="AZ112" s="115" t="n">
        <v>37000</v>
      </c>
      <c r="BB112" s="115" t="n">
        <v>37000</v>
      </c>
      <c r="BD112" s="115" t="n">
        <v>0</v>
      </c>
      <c r="BF112" s="115" t="n">
        <v>0</v>
      </c>
      <c r="BH112" s="115" t="n">
        <v>0</v>
      </c>
      <c r="BJ112" s="115" t="n">
        <v>0</v>
      </c>
      <c r="BK112" s="115"/>
      <c r="BL112" s="115" t="n">
        <f aca="false">SUM(T112:BK112)</f>
        <v>148000</v>
      </c>
      <c r="BM112" s="115"/>
      <c r="BN112" s="115" t="n">
        <v>0</v>
      </c>
      <c r="BO112" s="115"/>
      <c r="BP112" s="115" t="n">
        <f aca="false">IF(+R112-BL112+BN112&gt;0,R112-BL112+BN112,0)</f>
        <v>37000</v>
      </c>
      <c r="BR112" s="115" t="n">
        <f aca="false">+BL112+BP112</f>
        <v>185000</v>
      </c>
      <c r="BT112" s="115" t="n">
        <f aca="false">+R112-BR112</f>
        <v>0</v>
      </c>
      <c r="BU112" s="115"/>
    </row>
    <row r="113" customFormat="false" ht="12.75" hidden="false" customHeight="false" outlineLevel="0" collapsed="false">
      <c r="A113" s="202"/>
      <c r="B113" s="165" t="s">
        <v>415</v>
      </c>
      <c r="E113" s="123"/>
      <c r="G113" s="123"/>
      <c r="I113" s="123"/>
      <c r="L113" s="169" t="s">
        <v>142</v>
      </c>
      <c r="M113" s="115"/>
      <c r="N113" s="115" t="n">
        <v>0</v>
      </c>
      <c r="O113" s="115"/>
      <c r="P113" s="115" t="n">
        <v>0</v>
      </c>
      <c r="Q113" s="115"/>
      <c r="R113" s="115" t="n">
        <v>723786</v>
      </c>
      <c r="S113" s="115"/>
      <c r="T113" s="115" t="n">
        <v>0</v>
      </c>
      <c r="U113" s="115"/>
      <c r="V113" s="115" t="n">
        <v>0</v>
      </c>
      <c r="X113" s="115" t="n">
        <v>0</v>
      </c>
      <c r="Z113" s="115" t="n">
        <v>0</v>
      </c>
      <c r="AB113" s="115" t="n">
        <v>0</v>
      </c>
      <c r="AD113" s="115" t="n">
        <v>0</v>
      </c>
      <c r="AF113" s="115" t="n">
        <v>0</v>
      </c>
      <c r="AH113" s="115" t="n">
        <v>0</v>
      </c>
      <c r="AJ113" s="115" t="n">
        <v>0</v>
      </c>
      <c r="AL113" s="115" t="n">
        <v>0</v>
      </c>
      <c r="AN113" s="115" t="n">
        <v>0</v>
      </c>
      <c r="AP113" s="115" t="n">
        <v>0</v>
      </c>
      <c r="AR113" s="115" t="n">
        <v>0</v>
      </c>
      <c r="AT113" s="115" t="n">
        <v>0</v>
      </c>
      <c r="AV113" s="115" t="n">
        <v>0</v>
      </c>
      <c r="AX113" s="115" t="n">
        <f aca="false">62387.82+110932</f>
        <v>173319.82</v>
      </c>
      <c r="AZ113" s="115" t="n">
        <v>125493.07</v>
      </c>
      <c r="BB113" s="115" t="n">
        <v>179683.78</v>
      </c>
      <c r="BD113" s="115" t="n">
        <v>0</v>
      </c>
      <c r="BF113" s="115" t="n">
        <v>0</v>
      </c>
      <c r="BH113" s="115" t="n">
        <v>0</v>
      </c>
      <c r="BJ113" s="115" t="n">
        <v>0</v>
      </c>
      <c r="BK113" s="115"/>
      <c r="BL113" s="115" t="n">
        <f aca="false">SUM(T113:BK113)</f>
        <v>478496.67</v>
      </c>
      <c r="BM113" s="115"/>
      <c r="BN113" s="115" t="n">
        <v>0</v>
      </c>
      <c r="BO113" s="115"/>
      <c r="BP113" s="115" t="n">
        <f aca="false">+R113-BL113+BN113</f>
        <v>245289.33</v>
      </c>
      <c r="BR113" s="115" t="n">
        <f aca="false">+BL113+BP113</f>
        <v>723786</v>
      </c>
      <c r="BT113" s="115" t="n">
        <f aca="false">+R113-BR113</f>
        <v>0</v>
      </c>
      <c r="BU113" s="115"/>
    </row>
    <row r="114" customFormat="false" ht="12.75" hidden="true" customHeight="false" outlineLevel="0" collapsed="false">
      <c r="A114" s="202"/>
      <c r="B114" s="165" t="s">
        <v>152</v>
      </c>
      <c r="E114" s="123"/>
      <c r="G114" s="123"/>
      <c r="I114" s="123"/>
      <c r="L114" s="169" t="s">
        <v>142</v>
      </c>
      <c r="M114" s="115"/>
      <c r="N114" s="115" t="n">
        <v>0</v>
      </c>
      <c r="O114" s="115"/>
      <c r="P114" s="115" t="n">
        <v>0</v>
      </c>
      <c r="Q114" s="115"/>
      <c r="R114" s="115" t="n">
        <v>0</v>
      </c>
      <c r="S114" s="115"/>
      <c r="T114" s="115" t="n">
        <v>0</v>
      </c>
      <c r="U114" s="115"/>
      <c r="V114" s="115" t="n">
        <v>0</v>
      </c>
      <c r="X114" s="115" t="n">
        <v>0</v>
      </c>
      <c r="Z114" s="115" t="n">
        <v>0</v>
      </c>
      <c r="AB114" s="115" t="n">
        <v>0</v>
      </c>
      <c r="AD114" s="115" t="n">
        <v>0</v>
      </c>
      <c r="AF114" s="115" t="n">
        <v>0</v>
      </c>
      <c r="AH114" s="115" t="n">
        <v>0</v>
      </c>
      <c r="AJ114" s="115" t="n">
        <v>0</v>
      </c>
      <c r="AL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K114" s="115"/>
      <c r="BL114" s="115" t="n">
        <f aca="false">SUM(T114:BK114)</f>
        <v>0</v>
      </c>
      <c r="BM114" s="115"/>
      <c r="BN114" s="115" t="n">
        <v>0</v>
      </c>
      <c r="BO114" s="115"/>
      <c r="BP114" s="115" t="n">
        <f aca="false">+R114-BL114+BN114</f>
        <v>0</v>
      </c>
      <c r="BR114" s="115" t="n">
        <f aca="false">+BL114+BP114</f>
        <v>0</v>
      </c>
      <c r="BT114" s="115" t="n">
        <f aca="false">+R114-BR114</f>
        <v>0</v>
      </c>
      <c r="BU114" s="115"/>
    </row>
    <row r="115" customFormat="false" ht="12.75" hidden="false" customHeight="false" outlineLevel="0" collapsed="false">
      <c r="A115" s="182"/>
      <c r="B115" s="215" t="s">
        <v>238</v>
      </c>
      <c r="C115" s="2"/>
      <c r="D115" s="2"/>
      <c r="E115" s="2"/>
      <c r="F115" s="2"/>
      <c r="G115" s="2"/>
      <c r="H115" s="2"/>
      <c r="I115" s="2"/>
      <c r="J115" s="3"/>
      <c r="K115" s="2"/>
      <c r="L115" s="188"/>
      <c r="M115" s="24"/>
      <c r="N115" s="210" t="n">
        <f aca="false">SUM(N112:N114)</f>
        <v>0</v>
      </c>
      <c r="O115" s="24"/>
      <c r="P115" s="210" t="n">
        <f aca="false">SUM(P112:P114)</f>
        <v>0</v>
      </c>
      <c r="Q115" s="24"/>
      <c r="R115" s="210" t="n">
        <f aca="false">SUM(R112:R114)</f>
        <v>908786</v>
      </c>
      <c r="S115" s="24"/>
      <c r="T115" s="210" t="n">
        <f aca="false">SUM(T112:T114)</f>
        <v>0</v>
      </c>
      <c r="U115" s="24"/>
      <c r="V115" s="210" t="n">
        <f aca="false">SUM(V112:V114)</f>
        <v>0</v>
      </c>
      <c r="W115" s="24"/>
      <c r="X115" s="210" t="n">
        <f aca="false">SUM(X112:X114)</f>
        <v>0</v>
      </c>
      <c r="Y115" s="24"/>
      <c r="Z115" s="210" t="n">
        <f aca="false">SUM(Z112:Z114)</f>
        <v>0</v>
      </c>
      <c r="AA115" s="24"/>
      <c r="AB115" s="210" t="n">
        <f aca="false">SUM(AB112:AB114)</f>
        <v>0</v>
      </c>
      <c r="AC115" s="24"/>
      <c r="AD115" s="210" t="n">
        <f aca="false">SUM(AD112:AD114)</f>
        <v>0</v>
      </c>
      <c r="AE115" s="24"/>
      <c r="AF115" s="210" t="n">
        <f aca="false">SUM(AF112:AF114)</f>
        <v>0</v>
      </c>
      <c r="AG115" s="24"/>
      <c r="AH115" s="210" t="n">
        <f aca="false">SUM(AH112:AH114)</f>
        <v>0</v>
      </c>
      <c r="AI115" s="24"/>
      <c r="AJ115" s="210" t="n">
        <f aca="false">SUM(AJ112:AJ114)</f>
        <v>0</v>
      </c>
      <c r="AK115" s="24"/>
      <c r="AL115" s="210" t="n">
        <f aca="false">SUM(AL112:AL114)</f>
        <v>0</v>
      </c>
      <c r="AM115" s="24"/>
      <c r="AN115" s="210" t="n">
        <f aca="false">SUM(AN112:AN114)</f>
        <v>0</v>
      </c>
      <c r="AO115" s="24"/>
      <c r="AP115" s="210" t="n">
        <f aca="false">SUM(AP112:AP114)</f>
        <v>0</v>
      </c>
      <c r="AQ115" s="24"/>
      <c r="AR115" s="210" t="n">
        <f aca="false">SUM(AR112:AR114)</f>
        <v>0</v>
      </c>
      <c r="AS115" s="24"/>
      <c r="AT115" s="210" t="n">
        <f aca="false">SUM(AT112:AT114)</f>
        <v>0</v>
      </c>
      <c r="AU115" s="24"/>
      <c r="AV115" s="210" t="n">
        <f aca="false">SUM(AV112:AV114)</f>
        <v>37000</v>
      </c>
      <c r="AW115" s="24"/>
      <c r="AX115" s="210" t="n">
        <f aca="false">SUM(AX112:AX114)</f>
        <v>210319.82</v>
      </c>
      <c r="AY115" s="24"/>
      <c r="AZ115" s="210" t="n">
        <f aca="false">SUM(AZ112:AZ114)</f>
        <v>162493.07</v>
      </c>
      <c r="BA115" s="24"/>
      <c r="BB115" s="210" t="n">
        <f aca="false">SUM(BB112:BB114)</f>
        <v>216683.78</v>
      </c>
      <c r="BC115" s="24"/>
      <c r="BD115" s="210" t="n">
        <f aca="false">SUM(BD112:BD114)</f>
        <v>0</v>
      </c>
      <c r="BE115" s="24"/>
      <c r="BF115" s="210" t="n">
        <f aca="false">SUM(BF112:BF114)</f>
        <v>0</v>
      </c>
      <c r="BG115" s="24"/>
      <c r="BH115" s="210" t="n">
        <f aca="false">SUM(BH112:BH114)</f>
        <v>0</v>
      </c>
      <c r="BI115" s="24"/>
      <c r="BJ115" s="210" t="n">
        <f aca="false">SUM(BJ112:BJ114)</f>
        <v>0</v>
      </c>
      <c r="BK115" s="24"/>
      <c r="BL115" s="210" t="n">
        <f aca="false">SUM(BL112:BL114)</f>
        <v>626496.67</v>
      </c>
      <c r="BM115" s="24"/>
      <c r="BN115" s="210" t="n">
        <f aca="false">SUM(BN112:BN114)</f>
        <v>0</v>
      </c>
      <c r="BO115" s="24"/>
      <c r="BP115" s="210" t="n">
        <f aca="false">SUM(BP112:BP114)</f>
        <v>282289.33</v>
      </c>
      <c r="BQ115" s="24"/>
      <c r="BR115" s="210" t="n">
        <f aca="false">SUM(BR112:BR114)</f>
        <v>908786</v>
      </c>
      <c r="BS115" s="24"/>
      <c r="BT115" s="210"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2"/>
      <c r="B116" s="215"/>
      <c r="C116" s="2"/>
      <c r="D116" s="2"/>
      <c r="E116" s="2"/>
      <c r="F116" s="2"/>
      <c r="G116" s="2"/>
      <c r="H116" s="2"/>
      <c r="I116" s="2"/>
      <c r="J116" s="3"/>
      <c r="K116" s="2"/>
      <c r="L116" s="188"/>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6" t="s">
        <v>351</v>
      </c>
      <c r="B117" s="215"/>
      <c r="C117" s="2"/>
      <c r="D117" s="2"/>
      <c r="E117" s="2"/>
      <c r="F117" s="2"/>
      <c r="G117" s="2"/>
      <c r="H117" s="2"/>
      <c r="I117" s="2"/>
      <c r="J117" s="3" t="s">
        <v>132</v>
      </c>
      <c r="K117" s="2"/>
      <c r="L117" s="188" t="s">
        <v>142</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15"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6"/>
      <c r="B118" s="215"/>
      <c r="C118" s="2"/>
      <c r="D118" s="2"/>
      <c r="E118" s="2"/>
      <c r="F118" s="2"/>
      <c r="G118" s="2"/>
      <c r="H118" s="2"/>
      <c r="I118" s="2"/>
      <c r="J118" s="3"/>
      <c r="K118" s="2"/>
      <c r="L118" s="188"/>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2" t="s">
        <v>239</v>
      </c>
      <c r="B119" s="216"/>
      <c r="C119" s="2"/>
      <c r="D119" s="2"/>
      <c r="E119" s="2"/>
      <c r="F119" s="2"/>
      <c r="G119" s="2"/>
      <c r="H119" s="2"/>
      <c r="I119" s="2"/>
      <c r="J119" s="3" t="s">
        <v>132</v>
      </c>
      <c r="K119" s="2"/>
      <c r="L119" s="169" t="s">
        <v>142</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15"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c r="B120" s="216"/>
      <c r="C120" s="2"/>
      <c r="D120" s="2"/>
      <c r="E120" s="2"/>
      <c r="F120" s="2"/>
      <c r="G120" s="2"/>
      <c r="H120" s="2"/>
      <c r="I120" s="2"/>
      <c r="J120" s="3"/>
      <c r="K120" s="2"/>
      <c r="L120" s="16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5" t="s">
        <v>240</v>
      </c>
      <c r="B121" s="216"/>
      <c r="C121" s="216"/>
      <c r="D121" s="216"/>
      <c r="E121" s="216"/>
      <c r="F121" s="216"/>
      <c r="G121" s="216"/>
      <c r="H121" s="216"/>
      <c r="I121" s="216"/>
      <c r="J121" s="217" t="s">
        <v>132</v>
      </c>
      <c r="K121" s="216"/>
      <c r="L121" s="218" t="s">
        <v>142</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15" t="n">
        <f aca="false">IF(+R121-BL121+BN121&gt;0,R121-BL121+BN121,0)</f>
        <v>50000</v>
      </c>
      <c r="BQ121" s="24"/>
      <c r="BR121" s="24" t="n">
        <f aca="false">+BL121+BP121</f>
        <v>50000</v>
      </c>
      <c r="BS121" s="24"/>
      <c r="BT121" s="24" t="n">
        <f aca="false">+R121-BR121</f>
        <v>0</v>
      </c>
      <c r="BU121" s="24"/>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c r="IR121" s="216"/>
      <c r="IS121" s="216"/>
      <c r="IT121" s="216"/>
      <c r="IU121" s="216"/>
      <c r="IV121" s="216"/>
      <c r="IW121" s="216"/>
    </row>
    <row r="122" customFormat="false" ht="12.75" hidden="false" customHeight="false" outlineLevel="0" collapsed="false">
      <c r="A122" s="182"/>
      <c r="B122" s="216"/>
      <c r="C122" s="2"/>
      <c r="D122" s="2"/>
      <c r="E122" s="2"/>
      <c r="F122" s="2"/>
      <c r="G122" s="2"/>
      <c r="H122" s="2"/>
      <c r="I122" s="2"/>
      <c r="J122" s="3"/>
      <c r="K122" s="2"/>
      <c r="L122" s="16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2" t="s">
        <v>154</v>
      </c>
      <c r="B123" s="215"/>
      <c r="C123" s="2"/>
      <c r="D123" s="2"/>
      <c r="E123" s="2"/>
      <c r="F123" s="2"/>
      <c r="G123" s="2"/>
      <c r="H123" s="2"/>
      <c r="I123" s="2"/>
      <c r="J123" s="3" t="s">
        <v>132</v>
      </c>
      <c r="K123" s="2"/>
      <c r="L123" s="169" t="s">
        <v>142</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15"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c r="B124" s="216"/>
      <c r="C124" s="2"/>
      <c r="D124" s="2"/>
      <c r="E124" s="2"/>
      <c r="F124" s="2"/>
      <c r="G124" s="2"/>
      <c r="H124" s="2"/>
      <c r="I124" s="2"/>
      <c r="J124" s="3"/>
      <c r="K124" s="2"/>
      <c r="L124" s="169"/>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t="s">
        <v>241</v>
      </c>
      <c r="B125" s="174"/>
      <c r="C125" s="0"/>
      <c r="D125" s="0"/>
      <c r="E125" s="0"/>
      <c r="F125" s="0"/>
      <c r="G125" s="0"/>
      <c r="H125" s="0"/>
      <c r="I125" s="0"/>
      <c r="J125" s="4"/>
      <c r="K125" s="0"/>
      <c r="L125" s="169"/>
      <c r="M125" s="115"/>
      <c r="O125" s="115"/>
      <c r="Q125" s="115"/>
      <c r="S125" s="115"/>
      <c r="T125" s="115"/>
      <c r="U125" s="115"/>
      <c r="V125" s="115"/>
      <c r="X125" s="115"/>
      <c r="Z125" s="115"/>
      <c r="AB125" s="115"/>
      <c r="AD125" s="115"/>
      <c r="BJ125" s="115"/>
      <c r="BK125" s="115"/>
      <c r="BM125" s="115"/>
      <c r="BN125" s="115"/>
      <c r="BO125" s="115"/>
      <c r="BU125" s="115"/>
    </row>
    <row r="126" customFormat="false" ht="12.75" hidden="false" customHeight="false" outlineLevel="0" collapsed="false">
      <c r="A126" s="202"/>
      <c r="B126" s="174" t="s">
        <v>242</v>
      </c>
      <c r="E126" s="123"/>
      <c r="G126" s="123"/>
      <c r="I126" s="123"/>
      <c r="J126" s="124" t="s">
        <v>132</v>
      </c>
      <c r="L126" s="169" t="s">
        <v>142</v>
      </c>
      <c r="M126" s="115"/>
      <c r="N126" s="115" t="n">
        <v>0</v>
      </c>
      <c r="O126" s="115"/>
      <c r="P126" s="115" t="n">
        <v>0</v>
      </c>
      <c r="Q126" s="115"/>
      <c r="R126" s="115" t="n">
        <v>42500</v>
      </c>
      <c r="S126" s="115"/>
      <c r="T126" s="115" t="n">
        <v>0</v>
      </c>
      <c r="U126" s="115"/>
      <c r="V126" s="115" t="n">
        <v>0</v>
      </c>
      <c r="X126" s="115" t="n">
        <v>15000</v>
      </c>
      <c r="Z126" s="115" t="n">
        <v>10000</v>
      </c>
      <c r="AB126" s="115" t="n">
        <v>10000</v>
      </c>
      <c r="AD126" s="115" t="n">
        <v>7500</v>
      </c>
      <c r="AF126" s="115" t="n">
        <v>0</v>
      </c>
      <c r="AH126" s="115" t="n">
        <v>0</v>
      </c>
      <c r="AJ126" s="115" t="n">
        <v>0</v>
      </c>
      <c r="AL126" s="115" t="n">
        <v>0</v>
      </c>
      <c r="AN126" s="115" t="n">
        <v>0</v>
      </c>
      <c r="AP126" s="115" t="n">
        <v>0</v>
      </c>
      <c r="AR126" s="115" t="n">
        <v>0</v>
      </c>
      <c r="AT126" s="115" t="n">
        <v>1500</v>
      </c>
      <c r="AV126" s="115" t="n">
        <v>15000</v>
      </c>
      <c r="AX126" s="115" t="n">
        <v>3220.61</v>
      </c>
      <c r="AZ126" s="115" t="n">
        <v>7500</v>
      </c>
      <c r="BB126" s="115" t="n">
        <v>5700</v>
      </c>
      <c r="BD126" s="115" t="n">
        <v>0</v>
      </c>
      <c r="BF126" s="115" t="n">
        <v>0</v>
      </c>
      <c r="BH126" s="115" t="n">
        <v>0</v>
      </c>
      <c r="BJ126" s="115" t="n">
        <v>0</v>
      </c>
      <c r="BK126" s="115"/>
      <c r="BL126" s="115" t="n">
        <f aca="false">SUM(T126:BK126)</f>
        <v>75420.61</v>
      </c>
      <c r="BM126" s="115"/>
      <c r="BN126" s="115" t="n">
        <v>1000</v>
      </c>
      <c r="BO126" s="115"/>
      <c r="BP126" s="115" t="n">
        <f aca="false">IF(+R126-BL126+BN126&gt;0,R126-BL126+BN126,0)</f>
        <v>0</v>
      </c>
      <c r="BR126" s="115" t="n">
        <f aca="false">+BL126+BP126</f>
        <v>75420.61</v>
      </c>
      <c r="BT126" s="115" t="n">
        <f aca="false">+R126-BR126</f>
        <v>-32920.61</v>
      </c>
      <c r="BU126" s="115"/>
    </row>
    <row r="127" customFormat="false" ht="12.75" hidden="false" customHeight="false" outlineLevel="0" collapsed="false">
      <c r="A127" s="202"/>
      <c r="B127" s="174" t="s">
        <v>243</v>
      </c>
      <c r="E127" s="123"/>
      <c r="G127" s="123"/>
      <c r="I127" s="123"/>
      <c r="J127" s="124" t="s">
        <v>132</v>
      </c>
      <c r="L127" s="169" t="s">
        <v>142</v>
      </c>
      <c r="M127" s="115"/>
      <c r="O127" s="115"/>
      <c r="Q127" s="115"/>
      <c r="R127" s="115" t="n">
        <v>0</v>
      </c>
      <c r="S127" s="115"/>
      <c r="T127" s="115" t="n">
        <v>0</v>
      </c>
      <c r="U127" s="115"/>
      <c r="V127" s="115" t="n">
        <v>0</v>
      </c>
      <c r="X127" s="115" t="n">
        <v>0</v>
      </c>
      <c r="Z127" s="115" t="n">
        <v>0</v>
      </c>
      <c r="AB127" s="115" t="n">
        <v>0</v>
      </c>
      <c r="AD127" s="115" t="n">
        <v>0</v>
      </c>
      <c r="AF127" s="115" t="n">
        <v>0</v>
      </c>
      <c r="AH127" s="115" t="n">
        <v>0</v>
      </c>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0</v>
      </c>
      <c r="BM127" s="115"/>
      <c r="BN127" s="115" t="n">
        <v>0</v>
      </c>
      <c r="BO127" s="115"/>
      <c r="BP127" s="115" t="n">
        <f aca="false">IF(+R127-BL127+BN127&gt;0,R127-BL127+BN127,0)</f>
        <v>0</v>
      </c>
      <c r="BR127" s="115" t="n">
        <f aca="false">+BL127+BP127</f>
        <v>0</v>
      </c>
      <c r="BT127" s="115" t="n">
        <f aca="false">+R127-BR127</f>
        <v>0</v>
      </c>
      <c r="BU127" s="115"/>
    </row>
    <row r="128" customFormat="false" ht="12.75" hidden="false" customHeight="false" outlineLevel="0" collapsed="false">
      <c r="A128" s="202"/>
      <c r="B128" s="174" t="s">
        <v>244</v>
      </c>
      <c r="E128" s="123"/>
      <c r="G128" s="123"/>
      <c r="I128" s="123"/>
      <c r="J128" s="124" t="s">
        <v>132</v>
      </c>
      <c r="L128" s="169" t="s">
        <v>142</v>
      </c>
      <c r="M128" s="115"/>
      <c r="O128" s="115"/>
      <c r="Q128" s="115"/>
      <c r="R128" s="115" t="n">
        <f aca="false">770000-42500</f>
        <v>727500</v>
      </c>
      <c r="S128" s="115"/>
      <c r="T128" s="115" t="n">
        <v>0</v>
      </c>
      <c r="U128" s="115"/>
      <c r="V128" s="115" t="n">
        <v>0</v>
      </c>
      <c r="X128" s="115" t="n">
        <v>0</v>
      </c>
      <c r="Z128" s="115" t="n">
        <v>0</v>
      </c>
      <c r="AB128" s="115"/>
      <c r="AD128" s="115" t="n">
        <v>0</v>
      </c>
      <c r="AF128" s="115" t="n">
        <v>0</v>
      </c>
      <c r="AH128" s="115" t="n">
        <v>0</v>
      </c>
      <c r="AJ128" s="115" t="n">
        <v>0</v>
      </c>
      <c r="AL128" s="115" t="n">
        <f aca="false">101925+797359.26+33000</f>
        <v>932284.26</v>
      </c>
      <c r="AN128" s="115" t="n">
        <f aca="false">127995.16+664.44</f>
        <v>128659.6</v>
      </c>
      <c r="AP128" s="115" t="n">
        <v>8500</v>
      </c>
      <c r="AR128" s="115" t="n">
        <v>5000</v>
      </c>
      <c r="AT128" s="115" t="n">
        <v>257825</v>
      </c>
      <c r="AV128" s="115" t="n">
        <f aca="false">498821.1+2500</f>
        <v>501321.1</v>
      </c>
      <c r="AX128" s="115" t="n">
        <v>-25183</v>
      </c>
      <c r="AZ128" s="115" t="n">
        <v>28975</v>
      </c>
      <c r="BB128" s="115" t="n">
        <v>0</v>
      </c>
      <c r="BD128" s="115" t="n">
        <v>0</v>
      </c>
      <c r="BF128" s="115" t="n">
        <v>0</v>
      </c>
      <c r="BH128" s="115" t="n">
        <v>0</v>
      </c>
      <c r="BJ128" s="115" t="n">
        <v>0</v>
      </c>
      <c r="BK128" s="115"/>
      <c r="BL128" s="115" t="n">
        <f aca="false">SUM(T128:BK128)</f>
        <v>1837381.96</v>
      </c>
      <c r="BM128" s="115"/>
      <c r="BN128" s="115" t="n">
        <v>341944</v>
      </c>
      <c r="BO128" s="115"/>
      <c r="BP128" s="115" t="n">
        <f aca="false">IF(+R128-BL128+BN128&gt;0,R128-BL128+BN128,0)</f>
        <v>0</v>
      </c>
      <c r="BR128" s="115" t="n">
        <f aca="false">+BL128+BP128</f>
        <v>1837381.96</v>
      </c>
      <c r="BT128" s="115" t="n">
        <f aca="false">+R128-BR128</f>
        <v>-1109881.96</v>
      </c>
      <c r="BU128" s="115"/>
    </row>
    <row r="129" customFormat="false" ht="12.75" hidden="false" customHeight="false" outlineLevel="0" collapsed="false">
      <c r="A129" s="202"/>
      <c r="B129" s="174" t="s">
        <v>245</v>
      </c>
      <c r="E129" s="123"/>
      <c r="G129" s="123"/>
      <c r="I129" s="123"/>
      <c r="J129" s="124" t="s">
        <v>132</v>
      </c>
      <c r="L129" s="169" t="s">
        <v>142</v>
      </c>
      <c r="M129" s="115"/>
      <c r="O129" s="115"/>
      <c r="Q129" s="115"/>
      <c r="R129" s="115" t="n">
        <v>0</v>
      </c>
      <c r="S129" s="115"/>
      <c r="T129" s="115"/>
      <c r="U129" s="115"/>
      <c r="V129" s="115"/>
      <c r="X129" s="115"/>
      <c r="Z129" s="115"/>
      <c r="AB129" s="115"/>
      <c r="AD129" s="115"/>
      <c r="BJ129" s="115"/>
      <c r="BK129" s="115"/>
      <c r="BM129" s="115"/>
      <c r="BN129" s="115"/>
      <c r="BO129" s="115"/>
      <c r="BP129" s="115" t="n">
        <f aca="false">IF(+R129-BL129+BN129&gt;0,R129-BL129+BN129,0)</f>
        <v>0</v>
      </c>
      <c r="BR129" s="115" t="n">
        <f aca="false">+BL129+BP129</f>
        <v>0</v>
      </c>
      <c r="BT129" s="115" t="n">
        <f aca="false">+R129-BR129</f>
        <v>0</v>
      </c>
      <c r="BU129" s="115"/>
    </row>
    <row r="130" customFormat="false" ht="12.75" hidden="false" customHeight="false" outlineLevel="0" collapsed="false">
      <c r="A130" s="182"/>
      <c r="B130" s="216" t="s">
        <v>246</v>
      </c>
      <c r="C130" s="2"/>
      <c r="D130" s="2"/>
      <c r="E130" s="2"/>
      <c r="F130" s="2"/>
      <c r="G130" s="2"/>
      <c r="H130" s="2"/>
      <c r="I130" s="2"/>
      <c r="J130" s="3"/>
      <c r="K130" s="2"/>
      <c r="L130" s="188"/>
      <c r="M130" s="24"/>
      <c r="N130" s="210" t="n">
        <f aca="false">SUM(N126:N129)</f>
        <v>0</v>
      </c>
      <c r="O130" s="24"/>
      <c r="P130" s="210" t="n">
        <f aca="false">SUM(P126:P129)</f>
        <v>0</v>
      </c>
      <c r="Q130" s="24"/>
      <c r="R130" s="210" t="n">
        <f aca="false">SUM(R126:R129)</f>
        <v>770000</v>
      </c>
      <c r="S130" s="24"/>
      <c r="T130" s="210" t="n">
        <f aca="false">SUM(T126:T129)</f>
        <v>0</v>
      </c>
      <c r="U130" s="24"/>
      <c r="V130" s="210" t="n">
        <f aca="false">SUM(V126:V129)</f>
        <v>0</v>
      </c>
      <c r="W130" s="24"/>
      <c r="X130" s="210" t="n">
        <f aca="false">SUM(X126:X129)</f>
        <v>15000</v>
      </c>
      <c r="Y130" s="24"/>
      <c r="Z130" s="210" t="n">
        <f aca="false">SUM(Z126:Z129)</f>
        <v>10000</v>
      </c>
      <c r="AA130" s="24"/>
      <c r="AB130" s="210" t="n">
        <f aca="false">SUM(AB126:AB129)</f>
        <v>10000</v>
      </c>
      <c r="AC130" s="24"/>
      <c r="AD130" s="210" t="n">
        <f aca="false">SUM(AD126:AD129)</f>
        <v>7500</v>
      </c>
      <c r="AE130" s="24"/>
      <c r="AF130" s="210" t="n">
        <f aca="false">SUM(AF126:AF129)</f>
        <v>0</v>
      </c>
      <c r="AG130" s="24"/>
      <c r="AH130" s="210" t="n">
        <f aca="false">SUM(AH126:AH129)</f>
        <v>0</v>
      </c>
      <c r="AI130" s="24"/>
      <c r="AJ130" s="210" t="n">
        <f aca="false">SUM(AJ126:AJ129)</f>
        <v>0</v>
      </c>
      <c r="AK130" s="24"/>
      <c r="AL130" s="210" t="n">
        <f aca="false">SUM(AL126:AL129)</f>
        <v>932284.26</v>
      </c>
      <c r="AM130" s="24"/>
      <c r="AN130" s="210" t="n">
        <f aca="false">SUM(AN126:AN129)</f>
        <v>128659.6</v>
      </c>
      <c r="AO130" s="24"/>
      <c r="AP130" s="210" t="n">
        <f aca="false">SUM(AP126:AP129)</f>
        <v>8500</v>
      </c>
      <c r="AQ130" s="24"/>
      <c r="AR130" s="210" t="n">
        <f aca="false">SUM(AR126:AR129)</f>
        <v>5000</v>
      </c>
      <c r="AS130" s="24"/>
      <c r="AT130" s="210" t="n">
        <f aca="false">SUM(AT126:AT129)</f>
        <v>259325</v>
      </c>
      <c r="AU130" s="24"/>
      <c r="AV130" s="210" t="n">
        <f aca="false">SUM(AV126:AV129)</f>
        <v>516321.1</v>
      </c>
      <c r="AW130" s="24"/>
      <c r="AX130" s="210" t="n">
        <f aca="false">SUM(AX126:AX129)</f>
        <v>-21962.39</v>
      </c>
      <c r="AY130" s="24"/>
      <c r="AZ130" s="210" t="n">
        <f aca="false">SUM(AZ126:AZ129)</f>
        <v>36475</v>
      </c>
      <c r="BA130" s="24"/>
      <c r="BB130" s="210" t="n">
        <f aca="false">SUM(BB126:BB129)</f>
        <v>5700</v>
      </c>
      <c r="BC130" s="24"/>
      <c r="BD130" s="210" t="n">
        <f aca="false">SUM(BD126:BD129)</f>
        <v>0</v>
      </c>
      <c r="BE130" s="24"/>
      <c r="BF130" s="210" t="n">
        <f aca="false">SUM(BF126:BF129)</f>
        <v>0</v>
      </c>
      <c r="BG130" s="24"/>
      <c r="BH130" s="210" t="n">
        <f aca="false">SUM(BH126:BH129)</f>
        <v>0</v>
      </c>
      <c r="BI130" s="24"/>
      <c r="BJ130" s="210" t="n">
        <f aca="false">SUM(BJ126:BJ129)</f>
        <v>0</v>
      </c>
      <c r="BK130" s="24"/>
      <c r="BL130" s="210" t="n">
        <f aca="false">SUM(BL126:BL129)</f>
        <v>1912802.57</v>
      </c>
      <c r="BM130" s="24"/>
      <c r="BN130" s="210" t="n">
        <f aca="false">SUM(BN126:BN129)</f>
        <v>342944</v>
      </c>
      <c r="BO130" s="24"/>
      <c r="BP130" s="210" t="n">
        <f aca="false">SUM(BP126:BP129)</f>
        <v>0</v>
      </c>
      <c r="BQ130" s="24"/>
      <c r="BR130" s="210" t="n">
        <f aca="false">SUM(BR126:BR129)</f>
        <v>1912802.57</v>
      </c>
      <c r="BS130" s="24"/>
      <c r="BT130" s="210" t="n">
        <f aca="false">SUM(BT126:BT129)</f>
        <v>-1142802.57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2"/>
      <c r="B131" s="216"/>
      <c r="C131" s="2"/>
      <c r="D131" s="2"/>
      <c r="E131" s="2"/>
      <c r="F131" s="2"/>
      <c r="G131" s="2"/>
      <c r="H131" s="2"/>
      <c r="I131" s="2"/>
      <c r="J131" s="3"/>
      <c r="K131" s="2"/>
      <c r="L131" s="169"/>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t="s">
        <v>247</v>
      </c>
      <c r="B132" s="174"/>
      <c r="C132" s="0"/>
      <c r="D132" s="0"/>
      <c r="E132" s="0"/>
      <c r="F132" s="0"/>
      <c r="G132" s="0"/>
      <c r="H132" s="0"/>
      <c r="I132" s="0"/>
      <c r="J132" s="4"/>
      <c r="K132" s="0"/>
      <c r="L132" s="169"/>
      <c r="M132" s="115"/>
      <c r="O132" s="115"/>
      <c r="Q132" s="115"/>
      <c r="S132" s="115"/>
      <c r="T132" s="115"/>
      <c r="U132" s="115"/>
      <c r="V132" s="115"/>
      <c r="X132" s="115"/>
      <c r="Z132" s="115"/>
      <c r="AB132" s="115"/>
      <c r="AD132" s="115"/>
      <c r="BJ132" s="115"/>
      <c r="BK132" s="115"/>
      <c r="BM132" s="115"/>
      <c r="BN132" s="115"/>
      <c r="BO132" s="115"/>
      <c r="BU132" s="115"/>
    </row>
    <row r="133" customFormat="false" ht="12.75" hidden="false" customHeight="false" outlineLevel="0" collapsed="false">
      <c r="A133" s="182"/>
      <c r="B133" s="174" t="s">
        <v>248</v>
      </c>
      <c r="C133" s="0"/>
      <c r="D133" s="0"/>
      <c r="E133" s="0"/>
      <c r="F133" s="0"/>
      <c r="G133" s="0"/>
      <c r="H133" s="0"/>
      <c r="I133" s="0"/>
      <c r="J133" s="4"/>
      <c r="K133" s="0"/>
      <c r="L133" s="169" t="s">
        <v>249</v>
      </c>
      <c r="M133" s="115"/>
      <c r="N133" s="115" t="n">
        <v>0</v>
      </c>
      <c r="O133" s="115"/>
      <c r="P133" s="115" t="n">
        <v>0</v>
      </c>
      <c r="Q133" s="115"/>
      <c r="S133" s="115"/>
      <c r="T133" s="115" t="n">
        <v>0</v>
      </c>
      <c r="U133" s="115"/>
      <c r="V133" s="115" t="n">
        <v>0</v>
      </c>
      <c r="X133" s="115" t="n">
        <v>0</v>
      </c>
      <c r="Z133" s="115" t="n">
        <v>0</v>
      </c>
      <c r="AB133" s="115" t="n">
        <v>0</v>
      </c>
      <c r="AD133" s="115"/>
      <c r="AF133" s="115" t="n">
        <v>0</v>
      </c>
      <c r="AH133" s="115" t="n">
        <v>0</v>
      </c>
      <c r="AJ133" s="115" t="n">
        <v>0</v>
      </c>
      <c r="AL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K133" s="115"/>
      <c r="BL133" s="115" t="n">
        <f aca="false">SUM(T133:BK133)</f>
        <v>0</v>
      </c>
      <c r="BM133" s="115"/>
      <c r="BN133" s="115" t="n">
        <v>0</v>
      </c>
      <c r="BO133" s="115"/>
      <c r="BP133" s="115" t="n">
        <f aca="false">IF(+R133-BL133+BN133&gt;0,R133-BL133+BN133,0)</f>
        <v>0</v>
      </c>
      <c r="BR133" s="115" t="n">
        <f aca="false">+BL133+BP133</f>
        <v>0</v>
      </c>
      <c r="BT133" s="115" t="n">
        <f aca="false">+R133-BR133</f>
        <v>0</v>
      </c>
      <c r="BU133" s="115"/>
    </row>
    <row r="134" customFormat="false" ht="12.75" hidden="false" customHeight="false" outlineLevel="0" collapsed="false">
      <c r="A134" s="171"/>
      <c r="B134" s="165" t="s">
        <v>250</v>
      </c>
      <c r="C134" s="0"/>
      <c r="D134" s="0"/>
      <c r="E134" s="0"/>
      <c r="F134" s="0"/>
      <c r="G134" s="0"/>
      <c r="H134" s="0"/>
      <c r="I134" s="0"/>
      <c r="J134" s="4"/>
      <c r="K134" s="0"/>
      <c r="L134" s="169" t="s">
        <v>249</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251</v>
      </c>
      <c r="C135" s="0"/>
      <c r="D135" s="0"/>
      <c r="E135" s="0"/>
      <c r="F135" s="0"/>
      <c r="G135" s="0"/>
      <c r="H135" s="0"/>
      <c r="I135" s="0"/>
      <c r="J135" s="4"/>
      <c r="K135" s="0"/>
      <c r="L135" s="169" t="s">
        <v>249</v>
      </c>
      <c r="M135" s="115"/>
      <c r="O135" s="115"/>
      <c r="P135" s="115" t="n">
        <v>0</v>
      </c>
      <c r="Q135" s="115"/>
      <c r="R135" s="115" t="n">
        <v>450000</v>
      </c>
      <c r="S135" s="115"/>
      <c r="T135" s="115" t="n">
        <v>0</v>
      </c>
      <c r="U135" s="115"/>
      <c r="V135" s="115" t="n">
        <v>0</v>
      </c>
      <c r="X135" s="115" t="n">
        <v>0</v>
      </c>
      <c r="Z135" s="115" t="n">
        <f aca="false">17200+23635.1+13005.59</f>
        <v>53840.69</v>
      </c>
      <c r="AB135" s="115" t="n">
        <f aca="false">60240.81+22098.49</f>
        <v>82339.3</v>
      </c>
      <c r="AD135" s="115" t="n">
        <v>9930.43</v>
      </c>
      <c r="AF135" s="115" t="n">
        <v>32110.8</v>
      </c>
      <c r="AH135" s="115" t="n">
        <v>22234</v>
      </c>
      <c r="AJ135" s="115" t="n">
        <v>64176.31</v>
      </c>
      <c r="AL135" s="115" t="n">
        <v>27327.91</v>
      </c>
      <c r="AN135" s="115" t="n">
        <v>8595.51</v>
      </c>
      <c r="AP135" s="115" t="n">
        <v>47810.12</v>
      </c>
      <c r="AR135" s="115" t="n">
        <f aca="false">1812+9493.06</f>
        <v>11305.06</v>
      </c>
      <c r="AT135" s="115" t="n">
        <v>28715.83</v>
      </c>
      <c r="AV135" s="115" t="n">
        <v>31364.26</v>
      </c>
      <c r="AX135" s="115" t="n">
        <v>9815.23</v>
      </c>
      <c r="AZ135" s="115" t="n">
        <v>0</v>
      </c>
      <c r="BB135" s="115" t="n">
        <v>2925.2</v>
      </c>
      <c r="BD135" s="115" t="n">
        <v>0</v>
      </c>
      <c r="BF135" s="115" t="n">
        <v>0</v>
      </c>
      <c r="BH135" s="115" t="n">
        <v>0</v>
      </c>
      <c r="BJ135" s="115" t="n">
        <v>0</v>
      </c>
      <c r="BK135" s="115"/>
      <c r="BL135" s="115" t="n">
        <f aca="false">SUM(T135:BK135)</f>
        <v>432490.65</v>
      </c>
      <c r="BM135" s="115"/>
      <c r="BN135" s="115" t="n">
        <v>0</v>
      </c>
      <c r="BO135" s="115"/>
      <c r="BP135" s="115" t="n">
        <f aca="false">IF(+R135-BL135+BN135&gt;0,R135-BL135+BN135,0)</f>
        <v>17509.35</v>
      </c>
      <c r="BR135" s="115" t="n">
        <f aca="false">+BL135+BP135</f>
        <v>450000</v>
      </c>
      <c r="BT135" s="115" t="n">
        <f aca="false">+R135-BR135</f>
        <v>0</v>
      </c>
      <c r="BU135" s="115"/>
    </row>
    <row r="136" customFormat="false" ht="12.75" hidden="false" customHeight="false" outlineLevel="0" collapsed="false">
      <c r="A136" s="171"/>
      <c r="B136" s="165"/>
      <c r="C136" s="0"/>
      <c r="D136" s="0"/>
      <c r="E136" s="0"/>
      <c r="F136" s="0"/>
      <c r="G136" s="0"/>
      <c r="H136" s="0"/>
      <c r="I136" s="0"/>
      <c r="J136" s="4"/>
      <c r="K136" s="0"/>
      <c r="L136" s="169"/>
      <c r="M136" s="115"/>
      <c r="O136" s="115"/>
      <c r="Q136" s="115"/>
      <c r="S136" s="115"/>
      <c r="T136" s="115"/>
      <c r="U136" s="115"/>
      <c r="V136" s="115"/>
      <c r="X136" s="115"/>
      <c r="Z136" s="115"/>
      <c r="AB136" s="115"/>
      <c r="AD136" s="115"/>
      <c r="BJ136" s="115"/>
      <c r="BK136" s="115"/>
      <c r="BM136" s="115"/>
      <c r="BN136" s="115"/>
      <c r="BO136" s="115"/>
      <c r="BU136" s="115"/>
    </row>
    <row r="137" customFormat="false" ht="12.75" hidden="false" customHeight="false" outlineLevel="0" collapsed="false">
      <c r="A137" s="186"/>
      <c r="B137" s="215" t="s">
        <v>252</v>
      </c>
      <c r="C137" s="2"/>
      <c r="D137" s="2"/>
      <c r="E137" s="2"/>
      <c r="F137" s="2"/>
      <c r="G137" s="2"/>
      <c r="H137" s="2"/>
      <c r="I137" s="2"/>
      <c r="J137" s="3"/>
      <c r="K137" s="2"/>
      <c r="L137" s="188"/>
      <c r="M137" s="24"/>
      <c r="N137" s="210" t="n">
        <f aca="false">SUM(N133:N136)</f>
        <v>0</v>
      </c>
      <c r="O137" s="24"/>
      <c r="P137" s="210" t="n">
        <f aca="false">SUM(P133:P136)</f>
        <v>0</v>
      </c>
      <c r="Q137" s="24"/>
      <c r="R137" s="210" t="n">
        <f aca="false">SUM(R133:R136)</f>
        <v>450000</v>
      </c>
      <c r="S137" s="24"/>
      <c r="T137" s="210" t="n">
        <f aca="false">SUM(T133:T136)</f>
        <v>0</v>
      </c>
      <c r="U137" s="24"/>
      <c r="V137" s="210" t="n">
        <f aca="false">SUM(V133:V136)</f>
        <v>0</v>
      </c>
      <c r="W137" s="24"/>
      <c r="X137" s="210" t="n">
        <f aca="false">SUM(X133:X136)</f>
        <v>0</v>
      </c>
      <c r="Y137" s="24"/>
      <c r="Z137" s="210" t="n">
        <f aca="false">SUM(Z133:Z136)</f>
        <v>53840.69</v>
      </c>
      <c r="AA137" s="24"/>
      <c r="AB137" s="210" t="n">
        <f aca="false">SUM(AB133:AB136)</f>
        <v>82339.3</v>
      </c>
      <c r="AC137" s="24"/>
      <c r="AD137" s="210" t="n">
        <f aca="false">SUM(AD133:AD136)</f>
        <v>9930.43</v>
      </c>
      <c r="AE137" s="24"/>
      <c r="AF137" s="210" t="n">
        <f aca="false">SUM(AF133:AF136)</f>
        <v>32110.8</v>
      </c>
      <c r="AG137" s="24"/>
      <c r="AH137" s="210" t="n">
        <f aca="false">SUM(AH133:AH136)</f>
        <v>22234</v>
      </c>
      <c r="AI137" s="24"/>
      <c r="AJ137" s="210" t="n">
        <f aca="false">SUM(AJ133:AJ136)</f>
        <v>64176.31</v>
      </c>
      <c r="AK137" s="24"/>
      <c r="AL137" s="210" t="n">
        <f aca="false">SUM(AL133:AL136)</f>
        <v>27327.91</v>
      </c>
      <c r="AM137" s="24"/>
      <c r="AN137" s="210" t="n">
        <f aca="false">SUM(AN133:AN136)</f>
        <v>8595.51</v>
      </c>
      <c r="AO137" s="24"/>
      <c r="AP137" s="210" t="n">
        <f aca="false">SUM(AP133:AP136)</f>
        <v>47810.12</v>
      </c>
      <c r="AQ137" s="24"/>
      <c r="AR137" s="210" t="n">
        <f aca="false">SUM(AR133:AR136)</f>
        <v>11305.06</v>
      </c>
      <c r="AS137" s="24"/>
      <c r="AT137" s="210" t="n">
        <f aca="false">SUM(AT133:AT136)</f>
        <v>28715.83</v>
      </c>
      <c r="AU137" s="24"/>
      <c r="AV137" s="210" t="n">
        <f aca="false">SUM(AV133:AV136)</f>
        <v>31364.26</v>
      </c>
      <c r="AW137" s="24"/>
      <c r="AX137" s="210" t="n">
        <f aca="false">SUM(AX133:AX136)</f>
        <v>9815.23</v>
      </c>
      <c r="AY137" s="24"/>
      <c r="AZ137" s="210" t="n">
        <f aca="false">SUM(AZ133:AZ136)</f>
        <v>0</v>
      </c>
      <c r="BA137" s="24"/>
      <c r="BB137" s="210" t="n">
        <f aca="false">SUM(BB133:BB136)</f>
        <v>2925.2</v>
      </c>
      <c r="BC137" s="24"/>
      <c r="BD137" s="210" t="n">
        <f aca="false">SUM(BD133:BD136)</f>
        <v>0</v>
      </c>
      <c r="BE137" s="24"/>
      <c r="BF137" s="210" t="n">
        <f aca="false">SUM(BF133:BF136)</f>
        <v>0</v>
      </c>
      <c r="BG137" s="24"/>
      <c r="BH137" s="210" t="n">
        <f aca="false">SUM(BH133:BH136)</f>
        <v>0</v>
      </c>
      <c r="BI137" s="24"/>
      <c r="BJ137" s="210" t="n">
        <f aca="false">SUM(BJ133:BJ136)</f>
        <v>0</v>
      </c>
      <c r="BK137" s="24"/>
      <c r="BL137" s="210" t="n">
        <f aca="false">SUM(BL133:BL136)</f>
        <v>432490.65</v>
      </c>
      <c r="BM137" s="24"/>
      <c r="BN137" s="210" t="n">
        <f aca="false">SUM(BN133:BN136)</f>
        <v>0</v>
      </c>
      <c r="BO137" s="24"/>
      <c r="BP137" s="210" t="n">
        <f aca="false">SUM(BP133:BP136)</f>
        <v>17509.35</v>
      </c>
      <c r="BQ137" s="24"/>
      <c r="BR137" s="210" t="n">
        <f aca="false">SUM(BR133:BR136)</f>
        <v>450000</v>
      </c>
      <c r="BS137" s="24"/>
      <c r="BT137" s="210"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6"/>
      <c r="B138" s="215"/>
      <c r="C138" s="2"/>
      <c r="D138" s="2"/>
      <c r="E138" s="2"/>
      <c r="F138" s="2"/>
      <c r="G138" s="2"/>
      <c r="H138" s="2"/>
      <c r="I138" s="2"/>
      <c r="J138" s="3"/>
      <c r="K138" s="2"/>
      <c r="L138" s="188"/>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t="s">
        <v>416</v>
      </c>
      <c r="B139" s="216"/>
      <c r="C139" s="2"/>
      <c r="D139" s="2"/>
      <c r="E139" s="2"/>
      <c r="F139" s="2"/>
      <c r="G139" s="2"/>
      <c r="H139" s="2"/>
      <c r="I139" s="2"/>
      <c r="J139" s="3" t="s">
        <v>132</v>
      </c>
      <c r="K139" s="2"/>
      <c r="L139" s="169" t="s">
        <v>142</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15"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c r="B140" s="215"/>
      <c r="C140" s="2"/>
      <c r="D140" s="2"/>
      <c r="E140" s="2"/>
      <c r="F140" s="2"/>
      <c r="G140" s="2"/>
      <c r="H140" s="2"/>
      <c r="I140" s="2"/>
      <c r="J140" s="3"/>
      <c r="K140" s="2"/>
      <c r="L140" s="188"/>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t="s">
        <v>254</v>
      </c>
      <c r="B141" s="216"/>
      <c r="C141" s="2"/>
      <c r="D141" s="2"/>
      <c r="E141" s="2"/>
      <c r="F141" s="2"/>
      <c r="G141" s="2"/>
      <c r="H141" s="2"/>
      <c r="I141" s="2"/>
      <c r="J141" s="3" t="s">
        <v>132</v>
      </c>
      <c r="K141" s="2"/>
      <c r="L141" s="169" t="s">
        <v>142</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15"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6"/>
      <c r="B142" s="215"/>
      <c r="C142" s="2"/>
      <c r="D142" s="2"/>
      <c r="E142" s="2"/>
      <c r="F142" s="2"/>
      <c r="G142" s="2"/>
      <c r="H142" s="2"/>
      <c r="I142" s="2"/>
      <c r="J142" s="3"/>
      <c r="K142" s="2"/>
      <c r="L142" s="188"/>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8" t="s">
        <v>255</v>
      </c>
      <c r="B143" s="173"/>
      <c r="C143" s="0"/>
      <c r="D143" s="0"/>
      <c r="E143" s="0"/>
      <c r="F143" s="0"/>
      <c r="G143" s="0"/>
      <c r="H143" s="0"/>
      <c r="I143" s="0"/>
      <c r="J143" s="4"/>
      <c r="K143" s="0"/>
      <c r="L143" s="169"/>
      <c r="M143" s="115"/>
      <c r="O143" s="115"/>
      <c r="Q143" s="115"/>
      <c r="S143" s="115"/>
      <c r="T143" s="115"/>
      <c r="U143" s="115"/>
      <c r="V143" s="115"/>
      <c r="X143" s="115"/>
      <c r="Z143" s="115"/>
      <c r="AB143" s="115"/>
      <c r="AD143" s="115"/>
      <c r="BJ143" s="115"/>
      <c r="BK143" s="115"/>
      <c r="BM143" s="115"/>
      <c r="BN143" s="115"/>
      <c r="BO143" s="115"/>
      <c r="BU143" s="115"/>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true" customHeight="false" outlineLevel="0" collapsed="false">
      <c r="A144" s="214"/>
      <c r="B144" s="173" t="s">
        <v>256</v>
      </c>
      <c r="C144" s="0"/>
      <c r="D144" s="0"/>
      <c r="E144" s="0"/>
      <c r="F144" s="0"/>
      <c r="G144" s="0"/>
      <c r="H144" s="0"/>
      <c r="I144" s="0"/>
      <c r="J144" s="4"/>
      <c r="K144" s="0"/>
      <c r="L144" s="169" t="s">
        <v>142</v>
      </c>
      <c r="M144" s="115"/>
      <c r="N144" s="115" t="n">
        <v>0</v>
      </c>
      <c r="O144" s="115"/>
      <c r="P144" s="115" t="n">
        <v>0</v>
      </c>
      <c r="Q144" s="115"/>
      <c r="R144" s="115" t="n">
        <f aca="false">+N144+P144</f>
        <v>0</v>
      </c>
      <c r="S144" s="115"/>
      <c r="T144" s="115" t="n">
        <v>0</v>
      </c>
      <c r="U144" s="115"/>
      <c r="V144" s="115" t="n">
        <v>0</v>
      </c>
      <c r="X144" s="115" t="n">
        <v>0</v>
      </c>
      <c r="Z144" s="115" t="n">
        <v>0</v>
      </c>
      <c r="AB144" s="115" t="n">
        <v>0</v>
      </c>
      <c r="AD144" s="115" t="n">
        <v>0</v>
      </c>
      <c r="AF144" s="115" t="n">
        <v>0</v>
      </c>
      <c r="AH144" s="115" t="n">
        <v>0</v>
      </c>
      <c r="AJ144" s="115" t="n">
        <v>0</v>
      </c>
      <c r="AL144" s="115" t="n">
        <v>0</v>
      </c>
      <c r="AN144" s="115" t="n">
        <v>0</v>
      </c>
      <c r="AP144" s="115" t="n">
        <v>0</v>
      </c>
      <c r="AR144" s="115" t="n">
        <v>0</v>
      </c>
      <c r="AT144" s="115" t="n">
        <v>0</v>
      </c>
      <c r="AV144" s="115" t="n">
        <v>0</v>
      </c>
      <c r="AX144" s="115" t="n">
        <v>0</v>
      </c>
      <c r="AZ144" s="115" t="n">
        <v>0</v>
      </c>
      <c r="BB144" s="115" t="n">
        <v>0</v>
      </c>
      <c r="BD144" s="115" t="n">
        <v>0</v>
      </c>
      <c r="BF144" s="115" t="n">
        <v>0</v>
      </c>
      <c r="BH144" s="115" t="n">
        <v>0</v>
      </c>
      <c r="BJ144" s="115" t="n">
        <v>0</v>
      </c>
      <c r="BK144" s="115"/>
      <c r="BL144" s="115" t="n">
        <f aca="false">SUM(T144:BK144)</f>
        <v>0</v>
      </c>
      <c r="BM144" s="115"/>
      <c r="BN144" s="115" t="n">
        <v>0</v>
      </c>
      <c r="BO144" s="115"/>
      <c r="BP144" s="115" t="n">
        <f aca="false">+R144-BL144+BN144</f>
        <v>0</v>
      </c>
      <c r="BR144" s="115" t="n">
        <f aca="false">+BL144+BP144</f>
        <v>0</v>
      </c>
      <c r="BT144" s="115" t="n">
        <f aca="false">+R144-BR144</f>
        <v>0</v>
      </c>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false" customHeight="false" outlineLevel="0" collapsed="false">
      <c r="A145" s="214"/>
      <c r="B145" s="173" t="s">
        <v>257</v>
      </c>
      <c r="C145" s="0"/>
      <c r="D145" s="0"/>
      <c r="E145" s="0"/>
      <c r="F145" s="0"/>
      <c r="G145" s="0"/>
      <c r="H145" s="0"/>
      <c r="I145" s="0"/>
      <c r="J145" s="4"/>
      <c r="K145" s="0"/>
      <c r="L145" s="169" t="s">
        <v>142</v>
      </c>
      <c r="M145" s="115"/>
      <c r="N145" s="115" t="n">
        <v>0</v>
      </c>
      <c r="O145" s="115"/>
      <c r="P145" s="115" t="n">
        <v>0</v>
      </c>
      <c r="Q145" s="115"/>
      <c r="R145" s="115" t="n">
        <v>1000000</v>
      </c>
      <c r="S145" s="115"/>
      <c r="T145" s="115" t="n">
        <v>0</v>
      </c>
      <c r="U145" s="115"/>
      <c r="V145" s="115" t="n">
        <v>0</v>
      </c>
      <c r="X145" s="115" t="n">
        <v>0</v>
      </c>
      <c r="Z145" s="115" t="n">
        <v>0</v>
      </c>
      <c r="AB145" s="115" t="n">
        <v>0</v>
      </c>
      <c r="AD145" s="115" t="n">
        <v>0</v>
      </c>
      <c r="AF145" s="115" t="n">
        <v>0</v>
      </c>
      <c r="AH145" s="115" t="n">
        <v>0</v>
      </c>
      <c r="AJ145" s="115" t="n">
        <v>0</v>
      </c>
      <c r="AL145" s="115" t="n">
        <v>0</v>
      </c>
      <c r="AN145" s="115" t="n">
        <v>0</v>
      </c>
      <c r="AP145" s="115" t="n">
        <v>0</v>
      </c>
      <c r="AR145" s="115" t="n">
        <v>0</v>
      </c>
      <c r="AT145" s="115" t="n">
        <v>0</v>
      </c>
      <c r="AV145" s="115" t="n">
        <v>0</v>
      </c>
      <c r="AX145" s="115" t="n">
        <v>0</v>
      </c>
      <c r="AZ145" s="115" t="n">
        <v>141167</v>
      </c>
      <c r="BB145" s="115" t="n">
        <v>0</v>
      </c>
      <c r="BD145" s="115" t="n">
        <v>0</v>
      </c>
      <c r="BF145" s="115" t="n">
        <v>0</v>
      </c>
      <c r="BH145" s="115" t="n">
        <v>0</v>
      </c>
      <c r="BJ145" s="115" t="n">
        <v>0</v>
      </c>
      <c r="BK145" s="115"/>
      <c r="BL145" s="115" t="n">
        <f aca="false">SUM(T145:BK145)</f>
        <v>141167</v>
      </c>
      <c r="BM145" s="115"/>
      <c r="BN145" s="115" t="n">
        <v>0</v>
      </c>
      <c r="BO145" s="115"/>
      <c r="BP145" s="115" t="n">
        <f aca="false">IF(+R145-BL145+BN145&gt;0,R145-BL145+BN145,0)</f>
        <v>858833</v>
      </c>
      <c r="BR145" s="115" t="n">
        <f aca="false">+BL145+BP145</f>
        <v>1000000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true" customHeight="false" outlineLevel="0" collapsed="false">
      <c r="A146" s="214"/>
      <c r="B146" s="173" t="s">
        <v>152</v>
      </c>
      <c r="C146" s="0"/>
      <c r="D146" s="0"/>
      <c r="E146" s="0"/>
      <c r="F146" s="0"/>
      <c r="G146" s="0"/>
      <c r="H146" s="0"/>
      <c r="I146" s="0"/>
      <c r="J146" s="4"/>
      <c r="K146" s="0"/>
      <c r="L146" s="169" t="s">
        <v>142</v>
      </c>
      <c r="M146" s="115"/>
      <c r="N146" s="115" t="n">
        <v>0</v>
      </c>
      <c r="O146" s="115"/>
      <c r="P146" s="115" t="n">
        <v>0</v>
      </c>
      <c r="Q146" s="115"/>
      <c r="R146" s="115" t="n">
        <v>0</v>
      </c>
      <c r="S146" s="115"/>
      <c r="T146" s="115" t="n">
        <v>0</v>
      </c>
      <c r="U146" s="115"/>
      <c r="V146" s="115" t="n">
        <v>0</v>
      </c>
      <c r="X146" s="115" t="n">
        <v>0</v>
      </c>
      <c r="Z146" s="115" t="n">
        <v>0</v>
      </c>
      <c r="AB146" s="115" t="n">
        <v>0</v>
      </c>
      <c r="AD146" s="115" t="n">
        <v>0</v>
      </c>
      <c r="AF146" s="115" t="n">
        <v>0</v>
      </c>
      <c r="AH146" s="115" t="n">
        <v>0</v>
      </c>
      <c r="AJ146" s="115" t="n">
        <v>0</v>
      </c>
      <c r="AL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K146" s="115"/>
      <c r="BL146" s="115" t="n">
        <f aca="false">SUM(T146:BK146)</f>
        <v>0</v>
      </c>
      <c r="BM146" s="115"/>
      <c r="BN146" s="115" t="n">
        <v>0</v>
      </c>
      <c r="BO146" s="115"/>
      <c r="BP146" s="115" t="n">
        <f aca="false">+R146-BL146+BN146</f>
        <v>0</v>
      </c>
      <c r="BR146" s="115" t="n">
        <f aca="false">+BL146+BP146</f>
        <v>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false" customHeight="false" outlineLevel="0" collapsed="false">
      <c r="A147" s="208"/>
      <c r="B147" s="209" t="s">
        <v>258</v>
      </c>
      <c r="C147" s="2"/>
      <c r="D147" s="2"/>
      <c r="E147" s="2"/>
      <c r="F147" s="2"/>
      <c r="G147" s="2"/>
      <c r="H147" s="2"/>
      <c r="I147" s="2"/>
      <c r="J147" s="3"/>
      <c r="K147" s="2"/>
      <c r="L147" s="188"/>
      <c r="M147" s="24"/>
      <c r="N147" s="210" t="n">
        <f aca="false">SUM(N144:N146)</f>
        <v>0</v>
      </c>
      <c r="O147" s="24"/>
      <c r="P147" s="210" t="n">
        <f aca="false">SUM(P144:P146)</f>
        <v>0</v>
      </c>
      <c r="Q147" s="24"/>
      <c r="R147" s="210" t="n">
        <f aca="false">SUM(R144:R146)</f>
        <v>1000000</v>
      </c>
      <c r="S147" s="24"/>
      <c r="T147" s="210" t="n">
        <f aca="false">SUM(T144:T146)</f>
        <v>0</v>
      </c>
      <c r="U147" s="24"/>
      <c r="V147" s="210" t="n">
        <f aca="false">SUM(V144:V146)</f>
        <v>0</v>
      </c>
      <c r="W147" s="24"/>
      <c r="X147" s="210" t="n">
        <f aca="false">SUM(X144:X146)</f>
        <v>0</v>
      </c>
      <c r="Y147" s="24"/>
      <c r="Z147" s="210" t="n">
        <f aca="false">SUM(Z144:Z146)</f>
        <v>0</v>
      </c>
      <c r="AA147" s="24"/>
      <c r="AB147" s="210" t="n">
        <f aca="false">SUM(AB144:AB146)</f>
        <v>0</v>
      </c>
      <c r="AC147" s="24"/>
      <c r="AD147" s="210" t="n">
        <f aca="false">SUM(AD144:AD146)</f>
        <v>0</v>
      </c>
      <c r="AE147" s="24"/>
      <c r="AF147" s="210" t="n">
        <f aca="false">SUM(AF144:AF146)</f>
        <v>0</v>
      </c>
      <c r="AG147" s="24"/>
      <c r="AH147" s="210" t="n">
        <f aca="false">SUM(AH144:AH146)</f>
        <v>0</v>
      </c>
      <c r="AI147" s="24"/>
      <c r="AJ147" s="210" t="n">
        <f aca="false">SUM(AJ144:AJ146)</f>
        <v>0</v>
      </c>
      <c r="AK147" s="24"/>
      <c r="AL147" s="210" t="n">
        <f aca="false">SUM(AL144:AL146)</f>
        <v>0</v>
      </c>
      <c r="AM147" s="24"/>
      <c r="AN147" s="210" t="n">
        <f aca="false">SUM(AN144:AN146)</f>
        <v>0</v>
      </c>
      <c r="AO147" s="24"/>
      <c r="AP147" s="210" t="n">
        <f aca="false">SUM(AP144:AP146)</f>
        <v>0</v>
      </c>
      <c r="AQ147" s="24"/>
      <c r="AR147" s="210" t="n">
        <f aca="false">SUM(AR144:AR146)</f>
        <v>0</v>
      </c>
      <c r="AS147" s="24"/>
      <c r="AT147" s="210" t="n">
        <f aca="false">SUM(AT144:AT146)</f>
        <v>0</v>
      </c>
      <c r="AU147" s="24"/>
      <c r="AV147" s="210" t="n">
        <f aca="false">SUM(AV144:AV146)</f>
        <v>0</v>
      </c>
      <c r="AW147" s="24"/>
      <c r="AX147" s="210" t="n">
        <f aca="false">SUM(AX144:AX146)</f>
        <v>0</v>
      </c>
      <c r="AY147" s="24"/>
      <c r="AZ147" s="210" t="n">
        <f aca="false">SUM(AZ144:AZ146)</f>
        <v>141167</v>
      </c>
      <c r="BA147" s="24"/>
      <c r="BB147" s="210" t="n">
        <f aca="false">SUM(BB144:BB146)</f>
        <v>0</v>
      </c>
      <c r="BC147" s="24"/>
      <c r="BD147" s="210" t="n">
        <f aca="false">SUM(BD144:BD146)</f>
        <v>0</v>
      </c>
      <c r="BE147" s="24"/>
      <c r="BF147" s="210" t="n">
        <f aca="false">SUM(BF144:BF146)</f>
        <v>0</v>
      </c>
      <c r="BG147" s="24"/>
      <c r="BH147" s="210" t="n">
        <f aca="false">SUM(BH144:BH146)</f>
        <v>0</v>
      </c>
      <c r="BI147" s="24"/>
      <c r="BJ147" s="210" t="n">
        <f aca="false">SUM(BJ144:BJ146)</f>
        <v>0</v>
      </c>
      <c r="BK147" s="24"/>
      <c r="BL147" s="210" t="n">
        <f aca="false">SUM(BL144:BL146)</f>
        <v>141167</v>
      </c>
      <c r="BM147" s="24"/>
      <c r="BN147" s="210" t="n">
        <f aca="false">SUM(BN144:BN146)</f>
        <v>0</v>
      </c>
      <c r="BO147" s="24"/>
      <c r="BP147" s="210" t="n">
        <f aca="false">SUM(BP144:BP146)</f>
        <v>858833</v>
      </c>
      <c r="BQ147" s="24"/>
      <c r="BR147" s="210" t="n">
        <f aca="false">SUM(BR144:BR146)</f>
        <v>1000000</v>
      </c>
      <c r="BS147" s="24"/>
      <c r="BT147" s="210" t="n">
        <f aca="false">SUM(BT144:BT146)</f>
        <v>0</v>
      </c>
      <c r="BU147" s="24"/>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211"/>
      <c r="DC147" s="211"/>
      <c r="DD147" s="211"/>
      <c r="DE147" s="211"/>
      <c r="DF147" s="211"/>
      <c r="DG147" s="211"/>
      <c r="DH147" s="211"/>
      <c r="DI147" s="211"/>
      <c r="DJ147" s="211"/>
      <c r="DK147" s="211"/>
      <c r="DL147" s="211"/>
      <c r="DM147" s="211"/>
      <c r="DN147" s="211"/>
      <c r="DO147" s="211"/>
      <c r="DP147" s="211"/>
      <c r="DQ147" s="211"/>
      <c r="DR147" s="211"/>
      <c r="DS147" s="211"/>
      <c r="DT147" s="211"/>
      <c r="DU147" s="211"/>
      <c r="DV147" s="211"/>
      <c r="DW147" s="211"/>
      <c r="DX147" s="211"/>
      <c r="DY147" s="211"/>
      <c r="DZ147" s="211"/>
      <c r="EA147" s="211"/>
      <c r="EB147" s="211"/>
      <c r="EC147" s="211"/>
      <c r="ED147" s="211"/>
      <c r="EE147" s="211"/>
      <c r="EF147" s="211"/>
      <c r="EG147" s="211"/>
      <c r="EH147" s="211"/>
      <c r="EI147" s="211"/>
      <c r="EJ147" s="211"/>
      <c r="EK147" s="211"/>
      <c r="EL147" s="211"/>
      <c r="EM147" s="211"/>
      <c r="EN147" s="211"/>
      <c r="EO147" s="211"/>
      <c r="EP147" s="211"/>
      <c r="EQ147" s="211"/>
      <c r="ER147" s="211"/>
      <c r="ES147" s="211"/>
      <c r="ET147" s="211"/>
      <c r="EU147" s="211"/>
      <c r="EV147" s="211"/>
      <c r="EW147" s="211"/>
      <c r="EX147" s="211"/>
      <c r="EY147" s="211"/>
      <c r="EZ147" s="211"/>
      <c r="FA147" s="211"/>
      <c r="FB147" s="211"/>
      <c r="FC147" s="211"/>
      <c r="FD147" s="211"/>
      <c r="FE147" s="211"/>
      <c r="FF147" s="211"/>
      <c r="FG147" s="211"/>
      <c r="FH147" s="211"/>
      <c r="FI147" s="211"/>
      <c r="FJ147" s="211"/>
      <c r="FK147" s="211"/>
      <c r="FL147" s="211"/>
      <c r="FM147" s="211"/>
      <c r="FN147" s="211"/>
      <c r="FO147" s="211"/>
      <c r="FP147" s="211"/>
      <c r="FQ147" s="211"/>
      <c r="FR147" s="211"/>
      <c r="FS147" s="211"/>
      <c r="FT147" s="211"/>
      <c r="FU147" s="211"/>
      <c r="FV147" s="211"/>
      <c r="FW147" s="211"/>
      <c r="FX147" s="211"/>
      <c r="FY147" s="211"/>
      <c r="FZ147" s="211"/>
      <c r="GA147" s="211"/>
      <c r="GB147" s="211"/>
      <c r="GC147" s="211"/>
      <c r="GD147" s="211"/>
      <c r="GE147" s="211"/>
      <c r="GF147" s="211"/>
      <c r="GG147" s="211"/>
      <c r="GH147" s="211"/>
      <c r="GI147" s="211"/>
      <c r="GJ147" s="211"/>
      <c r="GK147" s="211"/>
      <c r="GL147" s="211"/>
      <c r="GM147" s="211"/>
      <c r="GN147" s="211"/>
      <c r="GO147" s="211"/>
      <c r="GP147" s="211"/>
      <c r="GQ147" s="211"/>
      <c r="GR147" s="211"/>
      <c r="GS147" s="211"/>
      <c r="GT147" s="211"/>
      <c r="GU147" s="211"/>
      <c r="GV147" s="211"/>
      <c r="GW147" s="211"/>
      <c r="GX147" s="211"/>
      <c r="GY147" s="211"/>
      <c r="GZ147" s="211"/>
      <c r="HA147" s="211"/>
      <c r="HB147" s="211"/>
      <c r="HC147" s="211"/>
      <c r="HD147" s="211"/>
      <c r="HE147" s="211"/>
      <c r="HF147" s="211"/>
      <c r="HG147" s="211"/>
      <c r="HH147" s="211"/>
      <c r="HI147" s="211"/>
      <c r="HJ147" s="211"/>
      <c r="HK147" s="211"/>
      <c r="HL147" s="211"/>
      <c r="HM147" s="211"/>
      <c r="HN147" s="211"/>
      <c r="HO147" s="211"/>
      <c r="HP147" s="211"/>
      <c r="HQ147" s="211"/>
      <c r="HR147" s="211"/>
      <c r="HS147" s="211"/>
      <c r="HT147" s="211"/>
      <c r="HU147" s="211"/>
      <c r="HV147" s="211"/>
      <c r="HW147" s="211"/>
      <c r="HX147" s="211"/>
      <c r="HY147" s="211"/>
      <c r="HZ147" s="211"/>
      <c r="IA147" s="211"/>
      <c r="IB147" s="211"/>
      <c r="IC147" s="211"/>
      <c r="ID147" s="211"/>
      <c r="IE147" s="211"/>
      <c r="IF147" s="211"/>
      <c r="IG147" s="211"/>
      <c r="IH147" s="211"/>
      <c r="II147" s="211"/>
      <c r="IJ147" s="211"/>
      <c r="IK147" s="211"/>
      <c r="IL147" s="211"/>
      <c r="IM147" s="211"/>
      <c r="IN147" s="211"/>
      <c r="IO147" s="211"/>
      <c r="IP147" s="211"/>
      <c r="IQ147" s="211"/>
      <c r="IR147" s="211"/>
      <c r="IS147" s="211"/>
      <c r="IT147" s="211"/>
      <c r="IU147" s="211"/>
      <c r="IV147" s="211"/>
      <c r="IW147" s="211"/>
    </row>
    <row r="148" customFormat="false" ht="12.75" hidden="false" customHeight="false" outlineLevel="0" collapsed="false">
      <c r="A148" s="219"/>
      <c r="B148" s="209"/>
      <c r="C148" s="2"/>
      <c r="D148" s="2"/>
      <c r="E148" s="2"/>
      <c r="F148" s="2"/>
      <c r="G148" s="2"/>
      <c r="H148" s="2"/>
      <c r="I148" s="2"/>
      <c r="J148" s="3"/>
      <c r="K148" s="2"/>
      <c r="L148" s="188"/>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5" t="s">
        <v>259</v>
      </c>
      <c r="B149" s="216"/>
      <c r="C149" s="216"/>
      <c r="D149" s="216"/>
      <c r="E149" s="216"/>
      <c r="F149" s="216"/>
      <c r="G149" s="216"/>
      <c r="H149" s="216"/>
      <c r="I149" s="216"/>
      <c r="J149" s="217"/>
      <c r="K149" s="216"/>
      <c r="L149" s="218" t="s">
        <v>142</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15" t="n">
        <f aca="false">IF(+R149-BL149+BN149&gt;0,R149-BL149+BN149,0)</f>
        <v>24125</v>
      </c>
      <c r="BQ149" s="24"/>
      <c r="BR149" s="24" t="n">
        <f aca="false">+BL149+BP149</f>
        <v>200000</v>
      </c>
      <c r="BS149" s="24"/>
      <c r="BT149" s="24" t="n">
        <f aca="false">+R149-BR149</f>
        <v>0</v>
      </c>
      <c r="BU149" s="24"/>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c r="GY149" s="216"/>
      <c r="GZ149" s="216"/>
      <c r="HA149" s="216"/>
      <c r="HB149" s="216"/>
      <c r="HC149" s="216"/>
      <c r="HD149" s="216"/>
      <c r="HE149" s="216"/>
      <c r="HF149" s="216"/>
      <c r="HG149" s="216"/>
      <c r="HH149" s="216"/>
      <c r="HI149" s="216"/>
      <c r="HJ149" s="216"/>
      <c r="HK149" s="216"/>
      <c r="HL149" s="216"/>
      <c r="HM149" s="216"/>
      <c r="HN149" s="216"/>
      <c r="HO149" s="216"/>
      <c r="HP149" s="216"/>
      <c r="HQ149" s="216"/>
      <c r="HR149" s="216"/>
      <c r="HS149" s="216"/>
      <c r="HT149" s="216"/>
      <c r="HU149" s="216"/>
      <c r="HV149" s="216"/>
      <c r="HW149" s="216"/>
      <c r="HX149" s="216"/>
      <c r="HY149" s="216"/>
      <c r="HZ149" s="216"/>
      <c r="IA149" s="216"/>
      <c r="IB149" s="216"/>
      <c r="IC149" s="216"/>
      <c r="ID149" s="216"/>
      <c r="IE149" s="216"/>
      <c r="IF149" s="216"/>
      <c r="IG149" s="216"/>
      <c r="IH149" s="216"/>
      <c r="II149" s="216"/>
      <c r="IJ149" s="216"/>
      <c r="IK149" s="216"/>
      <c r="IL149" s="216"/>
      <c r="IM149" s="216"/>
      <c r="IN149" s="216"/>
      <c r="IO149" s="216"/>
      <c r="IP149" s="216"/>
      <c r="IQ149" s="216"/>
      <c r="IR149" s="216"/>
      <c r="IS149" s="216"/>
      <c r="IT149" s="216"/>
      <c r="IU149" s="216"/>
      <c r="IV149" s="216"/>
      <c r="IW149" s="216"/>
    </row>
    <row r="150" customFormat="false" ht="12.75" hidden="false" customHeight="false" outlineLevel="0" collapsed="false">
      <c r="A150" s="214"/>
      <c r="B150" s="173"/>
      <c r="C150" s="0"/>
      <c r="D150" s="0"/>
      <c r="E150" s="0"/>
      <c r="F150" s="0"/>
      <c r="G150" s="0"/>
      <c r="H150" s="0"/>
      <c r="I150" s="0"/>
      <c r="J150" s="4"/>
      <c r="K150" s="0"/>
      <c r="L150" s="169"/>
      <c r="M150" s="115"/>
      <c r="O150" s="115"/>
      <c r="Q150" s="115"/>
      <c r="S150" s="115"/>
      <c r="T150" s="115"/>
      <c r="U150" s="115"/>
      <c r="V150" s="115"/>
      <c r="X150" s="115"/>
      <c r="Z150" s="115"/>
      <c r="AB150" s="115"/>
      <c r="AD150" s="115"/>
      <c r="BJ150" s="115"/>
      <c r="BK150" s="115"/>
      <c r="BM150" s="115"/>
      <c r="BN150" s="115"/>
      <c r="BO150" s="115"/>
      <c r="BU150" s="115"/>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c r="GE150" s="206"/>
      <c r="GF150" s="206"/>
      <c r="GG150" s="206"/>
      <c r="GH150" s="206"/>
      <c r="GI150" s="206"/>
      <c r="GJ150" s="206"/>
      <c r="GK150" s="206"/>
      <c r="GL150" s="206"/>
      <c r="GM150" s="206"/>
      <c r="GN150" s="206"/>
      <c r="GO150" s="206"/>
      <c r="GP150" s="206"/>
      <c r="GQ150" s="206"/>
      <c r="GR150" s="206"/>
      <c r="GS150" s="206"/>
      <c r="GT150" s="206"/>
      <c r="GU150" s="206"/>
      <c r="GV150" s="206"/>
      <c r="GW150" s="206"/>
      <c r="GX150" s="206"/>
      <c r="GY150" s="206"/>
      <c r="GZ150" s="206"/>
      <c r="HA150" s="206"/>
      <c r="HB150" s="206"/>
      <c r="HC150" s="206"/>
      <c r="HD150" s="206"/>
      <c r="HE150" s="206"/>
      <c r="HF150" s="206"/>
      <c r="HG150" s="206"/>
      <c r="HH150" s="206"/>
      <c r="HI150" s="206"/>
      <c r="HJ150" s="206"/>
      <c r="HK150" s="206"/>
      <c r="HL150" s="206"/>
      <c r="HM150" s="206"/>
      <c r="HN150" s="206"/>
      <c r="HO150" s="206"/>
      <c r="HP150" s="206"/>
      <c r="HQ150" s="206"/>
      <c r="HR150" s="206"/>
      <c r="HS150" s="206"/>
      <c r="HT150" s="206"/>
      <c r="HU150" s="206"/>
      <c r="HV150" s="206"/>
      <c r="HW150" s="206"/>
      <c r="HX150" s="206"/>
      <c r="HY150" s="206"/>
      <c r="HZ150" s="206"/>
      <c r="IA150" s="206"/>
      <c r="IB150" s="206"/>
      <c r="IC150" s="206"/>
      <c r="ID150" s="206"/>
      <c r="IE150" s="206"/>
      <c r="IF150" s="206"/>
      <c r="IG150" s="206"/>
      <c r="IH150" s="206"/>
      <c r="II150" s="206"/>
      <c r="IJ150" s="206"/>
      <c r="IK150" s="206"/>
      <c r="IL150" s="206"/>
      <c r="IM150" s="206"/>
      <c r="IN150" s="206"/>
      <c r="IO150" s="206"/>
      <c r="IP150" s="206"/>
      <c r="IQ150" s="206"/>
      <c r="IR150" s="206"/>
      <c r="IS150" s="206"/>
      <c r="IT150" s="206"/>
      <c r="IU150" s="206"/>
      <c r="IV150" s="206"/>
      <c r="IW150" s="206"/>
    </row>
    <row r="151" customFormat="false" ht="12.75" hidden="false" customHeight="false" outlineLevel="0" collapsed="false">
      <c r="A151" s="215" t="s">
        <v>260</v>
      </c>
      <c r="B151" s="216"/>
      <c r="C151" s="216"/>
      <c r="D151" s="216"/>
      <c r="E151" s="216"/>
      <c r="F151" s="216"/>
      <c r="G151" s="216"/>
      <c r="H151" s="216"/>
      <c r="I151" s="216"/>
      <c r="J151" s="217"/>
      <c r="K151" s="216"/>
      <c r="L151" s="218" t="s">
        <v>142</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15" t="n">
        <f aca="false">IF(+R151-BL151+BN151&gt;0,R151-BL151+BN151,0)</f>
        <v>84568.59</v>
      </c>
      <c r="BQ151" s="24"/>
      <c r="BR151" s="24" t="n">
        <f aca="false">+BL151+BP151</f>
        <v>200000</v>
      </c>
      <c r="BS151" s="24"/>
      <c r="BT151" s="24" t="n">
        <f aca="false">+R151-BR151</f>
        <v>0</v>
      </c>
      <c r="BU151" s="24"/>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row>
    <row r="152" customFormat="false" ht="12.75" hidden="false" customHeight="false" outlineLevel="0" collapsed="false">
      <c r="A152" s="214"/>
      <c r="B152" s="173"/>
      <c r="C152" s="0"/>
      <c r="D152" s="0"/>
      <c r="E152" s="0"/>
      <c r="F152" s="0"/>
      <c r="G152" s="0"/>
      <c r="H152" s="0"/>
      <c r="I152" s="0"/>
      <c r="J152" s="4"/>
      <c r="K152" s="0"/>
      <c r="L152" s="169"/>
      <c r="M152" s="115"/>
      <c r="O152" s="115"/>
      <c r="Q152" s="115"/>
      <c r="S152" s="115"/>
      <c r="T152" s="115"/>
      <c r="U152" s="115"/>
      <c r="V152" s="115"/>
      <c r="X152" s="115"/>
      <c r="Z152" s="115"/>
      <c r="AB152" s="115"/>
      <c r="AD152" s="115"/>
      <c r="BJ152" s="115"/>
      <c r="BK152" s="115"/>
      <c r="BM152" s="115"/>
      <c r="BN152" s="115"/>
      <c r="BO152" s="115"/>
      <c r="BU152" s="115"/>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c r="FL152" s="206"/>
      <c r="FM152" s="206"/>
      <c r="FN152" s="206"/>
      <c r="FO152" s="206"/>
      <c r="FP152" s="206"/>
      <c r="FQ152" s="206"/>
      <c r="FR152" s="206"/>
      <c r="FS152" s="206"/>
      <c r="FT152" s="206"/>
      <c r="FU152" s="206"/>
      <c r="FV152" s="206"/>
      <c r="FW152" s="206"/>
      <c r="FX152" s="206"/>
      <c r="FY152" s="206"/>
      <c r="FZ152" s="206"/>
      <c r="GA152" s="206"/>
      <c r="GB152" s="206"/>
      <c r="GC152" s="206"/>
      <c r="GD152" s="206"/>
      <c r="GE152" s="206"/>
      <c r="GF152" s="206"/>
      <c r="GG152" s="206"/>
      <c r="GH152" s="206"/>
      <c r="GI152" s="206"/>
      <c r="GJ152" s="206"/>
      <c r="GK152" s="206"/>
      <c r="GL152" s="206"/>
      <c r="GM152" s="206"/>
      <c r="GN152" s="206"/>
      <c r="GO152" s="206"/>
      <c r="GP152" s="206"/>
      <c r="GQ152" s="206"/>
      <c r="GR152" s="206"/>
      <c r="GS152" s="206"/>
      <c r="GT152" s="206"/>
      <c r="GU152" s="206"/>
      <c r="GV152" s="206"/>
      <c r="GW152" s="206"/>
      <c r="GX152" s="206"/>
      <c r="GY152" s="206"/>
      <c r="GZ152" s="206"/>
      <c r="HA152" s="206"/>
      <c r="HB152" s="206"/>
      <c r="HC152" s="206"/>
      <c r="HD152" s="206"/>
      <c r="HE152" s="206"/>
      <c r="HF152" s="206"/>
      <c r="HG152" s="206"/>
      <c r="HH152" s="206"/>
      <c r="HI152" s="206"/>
      <c r="HJ152" s="206"/>
      <c r="HK152" s="206"/>
      <c r="HL152" s="206"/>
      <c r="HM152" s="206"/>
      <c r="HN152" s="206"/>
      <c r="HO152" s="206"/>
      <c r="HP152" s="206"/>
      <c r="HQ152" s="206"/>
      <c r="HR152" s="206"/>
      <c r="HS152" s="206"/>
      <c r="HT152" s="206"/>
      <c r="HU152" s="206"/>
      <c r="HV152" s="206"/>
      <c r="HW152" s="206"/>
      <c r="HX152" s="206"/>
      <c r="HY152" s="206"/>
      <c r="HZ152" s="206"/>
      <c r="IA152" s="206"/>
      <c r="IB152" s="206"/>
      <c r="IC152" s="206"/>
      <c r="ID152" s="206"/>
      <c r="IE152" s="206"/>
      <c r="IF152" s="206"/>
      <c r="IG152" s="206"/>
      <c r="IH152" s="206"/>
      <c r="II152" s="206"/>
      <c r="IJ152" s="206"/>
      <c r="IK152" s="206"/>
      <c r="IL152" s="206"/>
      <c r="IM152" s="206"/>
      <c r="IN152" s="206"/>
      <c r="IO152" s="206"/>
      <c r="IP152" s="206"/>
      <c r="IQ152" s="206"/>
      <c r="IR152" s="206"/>
      <c r="IS152" s="206"/>
      <c r="IT152" s="206"/>
      <c r="IU152" s="206"/>
      <c r="IV152" s="206"/>
      <c r="IW152" s="206"/>
    </row>
    <row r="153" customFormat="false" ht="12.75" hidden="false" customHeight="false" outlineLevel="0" collapsed="false">
      <c r="A153" s="182" t="s">
        <v>261</v>
      </c>
      <c r="B153" s="174"/>
      <c r="C153" s="0"/>
      <c r="D153" s="0"/>
      <c r="E153" s="0"/>
      <c r="F153" s="0"/>
      <c r="G153" s="0"/>
      <c r="H153" s="0"/>
      <c r="I153" s="0"/>
      <c r="J153" s="4"/>
      <c r="K153" s="0"/>
      <c r="L153" s="169"/>
      <c r="M153" s="115"/>
      <c r="O153" s="115"/>
      <c r="Q153" s="115"/>
      <c r="S153" s="115"/>
      <c r="T153" s="115"/>
      <c r="U153" s="115"/>
      <c r="V153" s="115"/>
      <c r="X153" s="115"/>
      <c r="Z153" s="115"/>
      <c r="AB153" s="115"/>
      <c r="AD153" s="115"/>
      <c r="BJ153" s="115"/>
      <c r="BK153" s="115"/>
      <c r="BM153" s="115"/>
      <c r="BN153" s="115"/>
      <c r="BO153" s="115"/>
      <c r="BU153" s="115"/>
    </row>
    <row r="154" customFormat="false" ht="12.75" hidden="false" customHeight="false" outlineLevel="0" collapsed="false">
      <c r="A154" s="165"/>
      <c r="B154" s="174" t="s">
        <v>262</v>
      </c>
      <c r="C154" s="174"/>
      <c r="D154" s="174"/>
      <c r="E154" s="174"/>
      <c r="F154" s="174"/>
      <c r="G154" s="174"/>
      <c r="H154" s="174"/>
      <c r="I154" s="174"/>
      <c r="J154" s="220"/>
      <c r="K154" s="174"/>
      <c r="L154" s="221" t="s">
        <v>249</v>
      </c>
      <c r="M154" s="115"/>
      <c r="N154" s="115" t="n">
        <v>200000</v>
      </c>
      <c r="O154" s="115"/>
      <c r="P154" s="115" t="n">
        <v>0</v>
      </c>
      <c r="Q154" s="115"/>
      <c r="R154" s="115" t="n">
        <v>30000</v>
      </c>
      <c r="S154" s="115"/>
      <c r="T154" s="115" t="n">
        <v>0</v>
      </c>
      <c r="U154" s="115"/>
      <c r="V154" s="115" t="n">
        <v>0</v>
      </c>
      <c r="X154" s="115" t="n">
        <v>14497.18</v>
      </c>
      <c r="Z154" s="115" t="n">
        <v>0</v>
      </c>
      <c r="AB154" s="115" t="n">
        <v>0</v>
      </c>
      <c r="AD154" s="115" t="n">
        <v>0</v>
      </c>
      <c r="AF154" s="115" t="n">
        <v>0</v>
      </c>
      <c r="AH154" s="115" t="n">
        <v>0</v>
      </c>
      <c r="AJ154" s="115" t="n">
        <v>0</v>
      </c>
      <c r="AL154" s="115" t="n">
        <v>0</v>
      </c>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K154" s="115"/>
      <c r="BL154" s="115" t="n">
        <f aca="false">SUM(T154:BK154)</f>
        <v>14497.18</v>
      </c>
      <c r="BM154" s="115"/>
      <c r="BN154" s="115" t="n">
        <v>0</v>
      </c>
      <c r="BO154" s="115"/>
      <c r="BP154" s="115" t="n">
        <f aca="false">IF(+R154-BL154+BN154&gt;0,R154-BL154+BN154,0)</f>
        <v>15502.82</v>
      </c>
      <c r="BR154" s="115" t="n">
        <f aca="false">+BL154+BP154</f>
        <v>30000</v>
      </c>
      <c r="BT154" s="115" t="n">
        <f aca="false">+R154-BR154</f>
        <v>0</v>
      </c>
      <c r="BU154" s="115"/>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c r="IO154" s="174"/>
      <c r="IP154" s="174"/>
      <c r="IQ154" s="174"/>
      <c r="IR154" s="174"/>
      <c r="IS154" s="174"/>
      <c r="IT154" s="174"/>
      <c r="IU154" s="174"/>
      <c r="IV154" s="174"/>
      <c r="IW154" s="174"/>
    </row>
    <row r="155" customFormat="false" ht="12.75" hidden="false" customHeight="false" outlineLevel="0" collapsed="false">
      <c r="A155" s="165"/>
      <c r="B155" s="174" t="s">
        <v>263</v>
      </c>
      <c r="C155" s="174"/>
      <c r="D155" s="174"/>
      <c r="E155" s="174"/>
      <c r="F155" s="174"/>
      <c r="G155" s="174"/>
      <c r="H155" s="174"/>
      <c r="I155" s="174"/>
      <c r="J155" s="220"/>
      <c r="K155" s="174"/>
      <c r="L155" s="221" t="s">
        <v>249</v>
      </c>
      <c r="M155" s="115"/>
      <c r="N155" s="115" t="n">
        <v>0</v>
      </c>
      <c r="O155" s="115"/>
      <c r="P155" s="115" t="n">
        <v>50000</v>
      </c>
      <c r="Q155" s="115"/>
      <c r="R155" s="115" t="n">
        <v>150000</v>
      </c>
      <c r="S155" s="115"/>
      <c r="T155" s="115" t="n">
        <v>0</v>
      </c>
      <c r="U155" s="115"/>
      <c r="V155" s="115" t="n">
        <v>1177.53</v>
      </c>
      <c r="X155" s="115" t="n">
        <v>426.75</v>
      </c>
      <c r="Z155" s="115" t="n">
        <f aca="false">825.67+21.17+687.5+96.74+1098.18</f>
        <v>2729.26</v>
      </c>
      <c r="AB155" s="115" t="n">
        <v>1480.06</v>
      </c>
      <c r="AD155" s="115" t="n">
        <f aca="false">828.24+1000.53+13.74+42+868.24</f>
        <v>2752.75</v>
      </c>
      <c r="AF155" s="115" t="n">
        <v>11808.68</v>
      </c>
      <c r="AH155" s="115" t="n">
        <v>12739.96</v>
      </c>
      <c r="AJ155" s="115" t="n">
        <v>11636.6</v>
      </c>
      <c r="AL155" s="115" t="n">
        <v>3911.51</v>
      </c>
      <c r="AN155" s="115" t="n">
        <v>3113.56</v>
      </c>
      <c r="AP155" s="115" t="n">
        <v>7537.43</v>
      </c>
      <c r="AR155" s="115" t="n">
        <v>3430.47</v>
      </c>
      <c r="AT155" s="115" t="n">
        <v>6123.69</v>
      </c>
      <c r="AV155" s="115" t="n">
        <v>1927.44</v>
      </c>
      <c r="AX155" s="115" t="n">
        <v>5311.06</v>
      </c>
      <c r="AZ155" s="115" t="n">
        <v>0</v>
      </c>
      <c r="BB155" s="115" t="n">
        <v>931.37</v>
      </c>
      <c r="BD155" s="115" t="n">
        <v>0</v>
      </c>
      <c r="BF155" s="115" t="n">
        <v>0</v>
      </c>
      <c r="BH155" s="115" t="n">
        <v>0</v>
      </c>
      <c r="BJ155" s="115" t="n">
        <v>0</v>
      </c>
      <c r="BK155" s="115"/>
      <c r="BL155" s="115" t="n">
        <f aca="false">SUM(T155:BK155)</f>
        <v>77038.12</v>
      </c>
      <c r="BM155" s="115"/>
      <c r="BN155" s="115" t="n">
        <v>0</v>
      </c>
      <c r="BO155" s="115"/>
      <c r="BP155" s="115" t="n">
        <f aca="false">IF(+R155-BL155+BN155&gt;0,R155-BL155+BN155,0)</f>
        <v>72961.88</v>
      </c>
      <c r="BR155" s="115" t="n">
        <f aca="false">+BL155+BP155</f>
        <v>150000</v>
      </c>
      <c r="BT155" s="115" t="n">
        <f aca="false">+R155-BR155</f>
        <v>0</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362</v>
      </c>
      <c r="C156" s="174"/>
      <c r="D156" s="174"/>
      <c r="E156" s="174"/>
      <c r="F156" s="174"/>
      <c r="G156" s="174"/>
      <c r="H156" s="174"/>
      <c r="I156" s="174"/>
      <c r="J156" s="220"/>
      <c r="K156" s="174"/>
      <c r="L156" s="221" t="s">
        <v>249</v>
      </c>
      <c r="M156" s="115"/>
      <c r="N156" s="115" t="n">
        <v>0</v>
      </c>
      <c r="O156" s="115"/>
      <c r="P156" s="115" t="n">
        <v>24235</v>
      </c>
      <c r="Q156" s="115"/>
      <c r="S156" s="115"/>
      <c r="T156" s="115" t="n">
        <v>0</v>
      </c>
      <c r="U156" s="115"/>
      <c r="V156" s="115" t="n">
        <v>0</v>
      </c>
      <c r="X156" s="115" t="n">
        <v>0</v>
      </c>
      <c r="Z156" s="115" t="n">
        <v>0</v>
      </c>
      <c r="AB156" s="115" t="n">
        <v>0</v>
      </c>
      <c r="AD156" s="115" t="n">
        <v>0</v>
      </c>
      <c r="AF156" s="115" t="n">
        <v>0</v>
      </c>
      <c r="AH156" s="115" t="n">
        <v>0</v>
      </c>
      <c r="AJ156" s="115" t="n">
        <v>0</v>
      </c>
      <c r="AL156" s="115" t="n">
        <v>0</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K156" s="115"/>
      <c r="BL156" s="115" t="n">
        <f aca="false">SUM(T156:BK156)</f>
        <v>0</v>
      </c>
      <c r="BM156" s="115"/>
      <c r="BN156" s="115" t="n">
        <v>0</v>
      </c>
      <c r="BO156" s="115"/>
      <c r="BP156" s="115" t="n">
        <f aca="false">IF(+R156-BL156+BN156&gt;0,R156-BL156+BN156,0)</f>
        <v>0</v>
      </c>
      <c r="BR156" s="115" t="n">
        <f aca="false">+BL156+BP156</f>
        <v>0</v>
      </c>
      <c r="BT156" s="115" t="n">
        <f aca="false">+R156-BR156</f>
        <v>0</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152</v>
      </c>
      <c r="C157" s="174"/>
      <c r="D157" s="174"/>
      <c r="E157" s="174"/>
      <c r="F157" s="174"/>
      <c r="G157" s="174"/>
      <c r="H157" s="174"/>
      <c r="I157" s="174"/>
      <c r="J157" s="220"/>
      <c r="K157" s="174"/>
      <c r="L157" s="221" t="s">
        <v>249</v>
      </c>
      <c r="M157" s="115"/>
      <c r="N157" s="115" t="n">
        <v>400000</v>
      </c>
      <c r="O157" s="115"/>
      <c r="P157" s="115" t="n">
        <f aca="false">49065-N157-6000</f>
        <v>-356935</v>
      </c>
      <c r="Q157" s="115"/>
      <c r="R157" s="115" t="n">
        <v>220000</v>
      </c>
      <c r="S157" s="115"/>
      <c r="T157" s="115" t="n">
        <v>0</v>
      </c>
      <c r="U157" s="115"/>
      <c r="V157" s="115" t="n">
        <v>0</v>
      </c>
      <c r="X157" s="115"/>
      <c r="Z157" s="115"/>
      <c r="AB157" s="115"/>
      <c r="AD157" s="115" t="n">
        <f aca="false">2287.5</f>
        <v>2287.5</v>
      </c>
      <c r="AF157" s="115" t="n">
        <v>7317.49</v>
      </c>
      <c r="AH157" s="115" t="n">
        <v>20400</v>
      </c>
      <c r="AJ157" s="115" t="n">
        <v>875</v>
      </c>
      <c r="AL157" s="115" t="n">
        <v>26869.6</v>
      </c>
      <c r="AN157" s="115" t="n">
        <v>11540.02</v>
      </c>
      <c r="AP157" s="115" t="n">
        <f aca="false">106180-83333.35</f>
        <v>22846.65</v>
      </c>
      <c r="AR157" s="115" t="n">
        <f aca="false">23517.61+1866.18+2591+150</f>
        <v>28124.79</v>
      </c>
      <c r="AT157" s="115" t="n">
        <v>28858.74</v>
      </c>
      <c r="AV157" s="115" t="n">
        <v>29874.24</v>
      </c>
      <c r="AX157" s="115" t="n">
        <v>47425</v>
      </c>
      <c r="AZ157" s="115" t="n">
        <f aca="false">66831-2500</f>
        <v>64331</v>
      </c>
      <c r="BB157" s="115" t="n">
        <f aca="false">39287.61</f>
        <v>39287.61</v>
      </c>
      <c r="BD157" s="115" t="n">
        <v>0</v>
      </c>
      <c r="BF157" s="115" t="n">
        <v>0</v>
      </c>
      <c r="BH157" s="115" t="n">
        <v>0</v>
      </c>
      <c r="BJ157" s="115" t="n">
        <v>0</v>
      </c>
      <c r="BK157" s="115"/>
      <c r="BL157" s="115" t="n">
        <f aca="false">SUM(T157:BK157)</f>
        <v>330037.64</v>
      </c>
      <c r="BM157" s="115"/>
      <c r="BN157" s="115" t="n">
        <v>0</v>
      </c>
      <c r="BO157" s="115"/>
      <c r="BP157" s="115" t="n">
        <f aca="false">IF(+R157-BL157+BN157&gt;0,R157-BL157+BN157,0)</f>
        <v>0</v>
      </c>
      <c r="BR157" s="115" t="n">
        <f aca="false">+BL157+BP157</f>
        <v>330037.64</v>
      </c>
      <c r="BT157" s="115" t="n">
        <f aca="false">+R157-BR157</f>
        <v>-110037.64</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401</v>
      </c>
      <c r="C158" s="174"/>
      <c r="D158" s="174"/>
      <c r="E158" s="174"/>
      <c r="F158" s="174"/>
      <c r="G158" s="174"/>
      <c r="H158" s="174"/>
      <c r="I158" s="174"/>
      <c r="J158" s="220"/>
      <c r="K158" s="174"/>
      <c r="L158" s="221"/>
      <c r="M158" s="115"/>
      <c r="O158" s="115"/>
      <c r="Q158" s="115"/>
      <c r="S158" s="115"/>
      <c r="T158" s="115"/>
      <c r="U158" s="115"/>
      <c r="V158" s="115"/>
      <c r="X158" s="115"/>
      <c r="Z158" s="115"/>
      <c r="AB158" s="115"/>
      <c r="AD158" s="115"/>
      <c r="AP158" s="115" t="n">
        <v>83333.35</v>
      </c>
      <c r="AR158" s="115" t="n">
        <f aca="false">82333.33+25346.23+4027.9</f>
        <v>111707.46</v>
      </c>
      <c r="BJ158" s="115"/>
      <c r="BK158" s="115"/>
      <c r="BL158" s="115" t="n">
        <f aca="false">SUM(T158:BK158)</f>
        <v>195040.81</v>
      </c>
      <c r="BM158" s="115"/>
      <c r="BN158" s="115" t="n">
        <v>0</v>
      </c>
      <c r="BO158" s="115"/>
      <c r="BP158" s="115" t="n">
        <f aca="false">IF(+R158-BL158+BN158&gt;0,R158-BL158+BN158,0)</f>
        <v>0</v>
      </c>
      <c r="BR158" s="115" t="n">
        <f aca="false">+BL158+BP158</f>
        <v>195040.81</v>
      </c>
      <c r="BT158" s="115" t="n">
        <f aca="false">+R158-BR158</f>
        <v>-195040.81</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363</v>
      </c>
      <c r="C159" s="174"/>
      <c r="D159" s="174"/>
      <c r="E159" s="174"/>
      <c r="F159" s="174"/>
      <c r="G159" s="174"/>
      <c r="H159" s="174"/>
      <c r="I159" s="174"/>
      <c r="J159" s="220"/>
      <c r="K159" s="174"/>
      <c r="L159" s="221"/>
      <c r="M159" s="115"/>
      <c r="O159" s="115"/>
      <c r="Q159" s="115"/>
      <c r="S159" s="115"/>
      <c r="T159" s="115"/>
      <c r="U159" s="115"/>
      <c r="V159" s="115"/>
      <c r="X159" s="115"/>
      <c r="Z159" s="115"/>
      <c r="AB159" s="115"/>
      <c r="AD159" s="115"/>
      <c r="AF159" s="115" t="n">
        <v>75487.01</v>
      </c>
      <c r="AH159" s="115" t="n">
        <f aca="false">17132.73+566.91+17351.65+16608.78+10439.68+3047.17</f>
        <v>65146.92</v>
      </c>
      <c r="AJ159" s="115" t="n">
        <v>18599.24</v>
      </c>
      <c r="AV159" s="115" t="n">
        <v>9122.91</v>
      </c>
      <c r="BJ159" s="115"/>
      <c r="BK159" s="115"/>
      <c r="BL159" s="115" t="n">
        <f aca="false">SUM(T159:BK159)</f>
        <v>168356.08</v>
      </c>
      <c r="BM159" s="115"/>
      <c r="BN159" s="115" t="n">
        <v>159233</v>
      </c>
      <c r="BO159" s="115"/>
      <c r="BP159" s="115" t="n">
        <f aca="false">IF(+R159-BL159+BN159&gt;0,R159-BL159+BN159,0)</f>
        <v>0</v>
      </c>
      <c r="BR159" s="115" t="n">
        <f aca="false">+BL159+BP159</f>
        <v>168356.08</v>
      </c>
      <c r="BT159" s="115" t="n">
        <f aca="false">+R159-BR159</f>
        <v>-168356.08</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82"/>
      <c r="B160" s="216" t="s">
        <v>267</v>
      </c>
      <c r="C160" s="2"/>
      <c r="D160" s="2"/>
      <c r="E160" s="2"/>
      <c r="F160" s="2"/>
      <c r="G160" s="2"/>
      <c r="H160" s="2"/>
      <c r="I160" s="2"/>
      <c r="J160" s="3"/>
      <c r="K160" s="2"/>
      <c r="L160" s="188"/>
      <c r="M160" s="24"/>
      <c r="N160" s="210" t="n">
        <f aca="false">SUM(N154:N157)</f>
        <v>600000</v>
      </c>
      <c r="O160" s="24"/>
      <c r="P160" s="210" t="n">
        <f aca="false">SUM(P154:P157)</f>
        <v>-282700</v>
      </c>
      <c r="Q160" s="24"/>
      <c r="R160" s="210" t="n">
        <f aca="false">SUM(R154:R159)</f>
        <v>400000</v>
      </c>
      <c r="S160" s="210" t="n">
        <f aca="false">SUM(S154:S159)</f>
        <v>0</v>
      </c>
      <c r="T160" s="210" t="n">
        <f aca="false">SUM(T154:T159)</f>
        <v>0</v>
      </c>
      <c r="U160" s="210" t="n">
        <f aca="false">SUM(U154:U159)</f>
        <v>0</v>
      </c>
      <c r="V160" s="210" t="n">
        <f aca="false">SUM(V154:V159)</f>
        <v>1177.53</v>
      </c>
      <c r="W160" s="210" t="n">
        <f aca="false">SUM(W154:W159)</f>
        <v>0</v>
      </c>
      <c r="X160" s="210" t="n">
        <f aca="false">SUM(X154:X159)</f>
        <v>14923.93</v>
      </c>
      <c r="Y160" s="210" t="n">
        <f aca="false">SUM(Y154:Y159)</f>
        <v>0</v>
      </c>
      <c r="Z160" s="210" t="n">
        <f aca="false">SUM(Z154:Z159)</f>
        <v>2729.26</v>
      </c>
      <c r="AA160" s="210" t="n">
        <f aca="false">SUM(AA154:AA159)</f>
        <v>0</v>
      </c>
      <c r="AB160" s="210" t="n">
        <f aca="false">SUM(AB154:AB159)</f>
        <v>1480.06</v>
      </c>
      <c r="AC160" s="210" t="n">
        <f aca="false">SUM(AC154:AC159)</f>
        <v>0</v>
      </c>
      <c r="AD160" s="210" t="n">
        <f aca="false">SUM(AD154:AD159)</f>
        <v>5040.25</v>
      </c>
      <c r="AE160" s="210" t="n">
        <f aca="false">SUM(AE154:AE159)</f>
        <v>0</v>
      </c>
      <c r="AF160" s="210" t="n">
        <f aca="false">SUM(AF154:AF159)</f>
        <v>94613.18</v>
      </c>
      <c r="AG160" s="210" t="n">
        <f aca="false">SUM(AG154:AG159)</f>
        <v>0</v>
      </c>
      <c r="AH160" s="210" t="n">
        <f aca="false">SUM(AH154:AH159)</f>
        <v>98286.88</v>
      </c>
      <c r="AI160" s="210" t="n">
        <f aca="false">SUM(AI154:AI159)</f>
        <v>0</v>
      </c>
      <c r="AJ160" s="210" t="n">
        <f aca="false">SUM(AJ154:AJ159)</f>
        <v>31110.84</v>
      </c>
      <c r="AK160" s="210" t="n">
        <f aca="false">SUM(AK154:AK159)</f>
        <v>0</v>
      </c>
      <c r="AL160" s="210" t="n">
        <f aca="false">SUM(AL154:AL159)</f>
        <v>30781.11</v>
      </c>
      <c r="AM160" s="210" t="n">
        <f aca="false">SUM(AM154:AM159)</f>
        <v>0</v>
      </c>
      <c r="AN160" s="210" t="n">
        <f aca="false">SUM(AN154:AN159)</f>
        <v>14653.58</v>
      </c>
      <c r="AO160" s="210" t="n">
        <f aca="false">SUM(AO154:AO159)</f>
        <v>0</v>
      </c>
      <c r="AP160" s="210" t="n">
        <f aca="false">SUM(AP154:AP159)</f>
        <v>113717.43</v>
      </c>
      <c r="AQ160" s="210" t="n">
        <f aca="false">SUM(AQ154:AQ159)</f>
        <v>0</v>
      </c>
      <c r="AR160" s="210" t="n">
        <f aca="false">SUM(AR154:AR159)</f>
        <v>143262.72</v>
      </c>
      <c r="AS160" s="210" t="n">
        <f aca="false">SUM(AS154:AS159)</f>
        <v>0</v>
      </c>
      <c r="AT160" s="210" t="n">
        <f aca="false">SUM(AT154:AT159)</f>
        <v>34982.43</v>
      </c>
      <c r="AU160" s="210" t="n">
        <f aca="false">SUM(AU154:AU159)</f>
        <v>0</v>
      </c>
      <c r="AV160" s="210" t="n">
        <f aca="false">SUM(AV154:AV159)</f>
        <v>40924.59</v>
      </c>
      <c r="AW160" s="210" t="n">
        <f aca="false">SUM(AW154:AW159)</f>
        <v>0</v>
      </c>
      <c r="AX160" s="210" t="n">
        <f aca="false">SUM(AX154:AX159)</f>
        <v>52736.06</v>
      </c>
      <c r="AY160" s="210" t="n">
        <f aca="false">SUM(AY154:AY159)</f>
        <v>0</v>
      </c>
      <c r="AZ160" s="210" t="n">
        <f aca="false">SUM(AZ154:AZ159)</f>
        <v>64331</v>
      </c>
      <c r="BA160" s="210" t="n">
        <f aca="false">SUM(BA154:BA159)</f>
        <v>0</v>
      </c>
      <c r="BB160" s="210" t="n">
        <f aca="false">SUM(BB154:BB159)</f>
        <v>40218.98</v>
      </c>
      <c r="BC160" s="210" t="n">
        <f aca="false">SUM(BC154:BC159)</f>
        <v>0</v>
      </c>
      <c r="BD160" s="210" t="n">
        <f aca="false">SUM(BD154:BD159)</f>
        <v>0</v>
      </c>
      <c r="BE160" s="210" t="n">
        <f aca="false">SUM(BE154:BE159)</f>
        <v>0</v>
      </c>
      <c r="BF160" s="210" t="n">
        <f aca="false">SUM(BF154:BF159)</f>
        <v>0</v>
      </c>
      <c r="BG160" s="210" t="n">
        <f aca="false">SUM(BG154:BG159)</f>
        <v>0</v>
      </c>
      <c r="BH160" s="210" t="n">
        <f aca="false">SUM(BH154:BH159)</f>
        <v>0</v>
      </c>
      <c r="BI160" s="210" t="n">
        <f aca="false">SUM(BI154:BI159)</f>
        <v>0</v>
      </c>
      <c r="BJ160" s="210" t="n">
        <f aca="false">SUM(BJ154:BJ159)</f>
        <v>0</v>
      </c>
      <c r="BK160" s="210" t="n">
        <f aca="false">SUM(BK154:BK159)</f>
        <v>0</v>
      </c>
      <c r="BL160" s="210" t="n">
        <f aca="false">SUM(BL154:BL159)</f>
        <v>784969.83</v>
      </c>
      <c r="BM160" s="210" t="n">
        <f aca="false">SUM(BM154:BM159)</f>
        <v>0</v>
      </c>
      <c r="BN160" s="210" t="n">
        <f aca="false">SUM(BN154:BN159)</f>
        <v>159233</v>
      </c>
      <c r="BO160" s="210" t="n">
        <f aca="false">SUM(BO154:BO159)</f>
        <v>0</v>
      </c>
      <c r="BP160" s="210" t="n">
        <f aca="false">SUM(BP154:BP159)</f>
        <v>88464.7</v>
      </c>
      <c r="BQ160" s="210" t="n">
        <f aca="false">SUM(BQ154:BQ159)</f>
        <v>0</v>
      </c>
      <c r="BR160" s="210" t="n">
        <f aca="false">SUM(BR154:BR159)</f>
        <v>873434.53</v>
      </c>
      <c r="BS160" s="210" t="n">
        <f aca="false">SUM(BS154:BS159)</f>
        <v>0</v>
      </c>
      <c r="BT160" s="210" t="n">
        <f aca="false">SUM(BT154:BT159)</f>
        <v>-473434.53</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c r="B161" s="216"/>
      <c r="C161" s="2"/>
      <c r="D161" s="2"/>
      <c r="E161" s="2"/>
      <c r="F161" s="2"/>
      <c r="G161" s="2"/>
      <c r="H161" s="2"/>
      <c r="I161" s="2"/>
      <c r="J161" s="3"/>
      <c r="K161" s="2"/>
      <c r="L161" s="188"/>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t="s">
        <v>268</v>
      </c>
      <c r="B162" s="174"/>
      <c r="C162" s="0"/>
      <c r="D162" s="0"/>
      <c r="E162" s="0"/>
      <c r="F162" s="0"/>
      <c r="G162" s="0"/>
      <c r="H162" s="0"/>
      <c r="I162" s="0"/>
      <c r="J162" s="4"/>
      <c r="K162" s="0"/>
      <c r="L162" s="169"/>
      <c r="M162" s="115"/>
      <c r="O162" s="115"/>
      <c r="Q162" s="115"/>
      <c r="S162" s="115"/>
      <c r="T162" s="115"/>
      <c r="U162" s="115"/>
      <c r="V162" s="115"/>
      <c r="X162" s="115"/>
      <c r="Z162" s="115"/>
      <c r="AB162" s="115"/>
      <c r="AD162" s="115"/>
      <c r="BJ162" s="115"/>
      <c r="BK162" s="115"/>
      <c r="BM162" s="115"/>
      <c r="BN162" s="115"/>
      <c r="BO162" s="115"/>
      <c r="BU162" s="115"/>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5"/>
      <c r="B163" s="174" t="s">
        <v>269</v>
      </c>
      <c r="C163" s="174"/>
      <c r="D163" s="174"/>
      <c r="E163" s="174"/>
      <c r="F163" s="174"/>
      <c r="G163" s="174"/>
      <c r="H163" s="174"/>
      <c r="I163" s="174"/>
      <c r="J163" s="220"/>
      <c r="K163" s="174"/>
      <c r="L163" s="221" t="s">
        <v>249</v>
      </c>
      <c r="M163" s="115"/>
      <c r="N163" s="115" t="n">
        <v>0</v>
      </c>
      <c r="O163" s="115"/>
      <c r="P163" s="115" t="n">
        <f aca="false">300000-5511</f>
        <v>294489</v>
      </c>
      <c r="Q163" s="115"/>
      <c r="R163" s="115" t="n">
        <v>0</v>
      </c>
      <c r="S163" s="115"/>
      <c r="T163" s="115" t="n">
        <v>0</v>
      </c>
      <c r="U163" s="115"/>
      <c r="V163" s="115" t="n">
        <v>0</v>
      </c>
      <c r="X163" s="115" t="n">
        <v>0</v>
      </c>
      <c r="Z163" s="115" t="n">
        <v>0</v>
      </c>
      <c r="AB163" s="115" t="n">
        <v>0</v>
      </c>
      <c r="AD163" s="115"/>
      <c r="AF163" s="115" t="n">
        <v>0</v>
      </c>
      <c r="AH163" s="115" t="n">
        <v>0</v>
      </c>
      <c r="AJ163" s="115" t="n">
        <v>0</v>
      </c>
      <c r="AL163" s="115" t="n">
        <v>0</v>
      </c>
      <c r="AN163" s="115" t="n">
        <v>0</v>
      </c>
      <c r="AP163" s="115" t="n">
        <v>0</v>
      </c>
      <c r="AR163" s="115" t="n">
        <v>0</v>
      </c>
      <c r="AT163" s="115" t="n">
        <v>0</v>
      </c>
      <c r="AV163" s="115" t="n">
        <v>0</v>
      </c>
      <c r="AX163" s="115" t="n">
        <v>0</v>
      </c>
      <c r="AZ163" s="115" t="n">
        <v>0</v>
      </c>
      <c r="BB163" s="115" t="n">
        <v>0</v>
      </c>
      <c r="BD163" s="115" t="n">
        <v>0</v>
      </c>
      <c r="BF163" s="115" t="n">
        <v>0</v>
      </c>
      <c r="BH163" s="115" t="n">
        <v>0</v>
      </c>
      <c r="BJ163" s="115" t="n">
        <v>0</v>
      </c>
      <c r="BK163" s="115"/>
      <c r="BL163" s="115" t="n">
        <f aca="false">SUM(T163:BK163)</f>
        <v>0</v>
      </c>
      <c r="BM163" s="115"/>
      <c r="BN163" s="115" t="n">
        <v>0</v>
      </c>
      <c r="BO163" s="115"/>
      <c r="BP163" s="115" t="n">
        <f aca="false">IF(+R163-BL163+BN163&gt;0,R163-BL163+BN163,0)</f>
        <v>0</v>
      </c>
      <c r="BR163" s="115" t="n">
        <f aca="false">+BL163+BP163</f>
        <v>0</v>
      </c>
      <c r="BT163" s="115" t="n">
        <f aca="false">+R163-BR163</f>
        <v>0</v>
      </c>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c r="IO163" s="174"/>
      <c r="IP163" s="174"/>
      <c r="IQ163" s="174"/>
      <c r="IR163" s="174"/>
      <c r="IS163" s="174"/>
      <c r="IT163" s="174"/>
      <c r="IU163" s="174"/>
      <c r="IV163" s="174"/>
      <c r="IW163" s="174"/>
    </row>
    <row r="164" customFormat="false" ht="12.75" hidden="false" customHeight="false" outlineLevel="0" collapsed="false">
      <c r="A164" s="165"/>
      <c r="B164" s="174" t="s">
        <v>119</v>
      </c>
      <c r="C164" s="174"/>
      <c r="D164" s="174"/>
      <c r="E164" s="174"/>
      <c r="F164" s="174"/>
      <c r="G164" s="174"/>
      <c r="H164" s="174"/>
      <c r="I164" s="174"/>
      <c r="J164" s="220"/>
      <c r="K164" s="174"/>
      <c r="L164" s="221"/>
      <c r="M164" s="115"/>
      <c r="O164" s="115"/>
      <c r="Q164" s="115"/>
      <c r="R164" s="115" t="n">
        <v>0</v>
      </c>
      <c r="S164" s="115"/>
      <c r="T164" s="115"/>
      <c r="U164" s="115"/>
      <c r="V164" s="115"/>
      <c r="X164" s="115"/>
      <c r="Z164" s="115"/>
      <c r="AB164" s="115"/>
      <c r="AD164" s="115"/>
      <c r="AR164" s="115" t="n">
        <f aca="false">165893.1+86315.36</f>
        <v>252208.46</v>
      </c>
      <c r="AT164" s="115" t="n">
        <v>49463.67</v>
      </c>
      <c r="BJ164" s="115"/>
      <c r="BK164" s="115"/>
      <c r="BL164" s="115" t="n">
        <f aca="false">SUM(T164:BK164)</f>
        <v>301672.13</v>
      </c>
      <c r="BM164" s="115"/>
      <c r="BN164" s="115" t="n">
        <v>0</v>
      </c>
      <c r="BO164" s="115"/>
      <c r="BP164" s="115" t="n">
        <f aca="false">IF(+R164-BL164+BN164&gt;0,R164-BL164+BN164,0)</f>
        <v>0</v>
      </c>
      <c r="BR164" s="115" t="n">
        <f aca="false">+BL164+BP164</f>
        <v>301672.13</v>
      </c>
      <c r="BT164" s="115" t="n">
        <f aca="false">+R164-BR164</f>
        <v>-301672.13</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152</v>
      </c>
      <c r="C165" s="174"/>
      <c r="D165" s="174"/>
      <c r="E165" s="174"/>
      <c r="F165" s="174"/>
      <c r="G165" s="174"/>
      <c r="H165" s="174"/>
      <c r="I165" s="174"/>
      <c r="J165" s="220"/>
      <c r="K165" s="174"/>
      <c r="L165" s="221" t="s">
        <v>249</v>
      </c>
      <c r="M165" s="115"/>
      <c r="N165" s="115" t="n">
        <v>500000</v>
      </c>
      <c r="O165" s="115"/>
      <c r="P165" s="115" t="n">
        <v>-300000</v>
      </c>
      <c r="Q165" s="115"/>
      <c r="R165" s="115" t="n">
        <v>400000</v>
      </c>
      <c r="S165" s="115"/>
      <c r="T165" s="115" t="n">
        <v>0</v>
      </c>
      <c r="U165" s="115"/>
      <c r="V165" s="115" t="n">
        <v>0</v>
      </c>
      <c r="X165" s="115" t="n">
        <v>0</v>
      </c>
      <c r="Z165" s="115"/>
      <c r="AB165" s="115"/>
      <c r="AD165" s="115"/>
      <c r="AF165" s="115" t="n">
        <v>0</v>
      </c>
      <c r="AH165" s="115" t="n">
        <v>15169.98</v>
      </c>
      <c r="AJ165" s="115" t="n">
        <v>0</v>
      </c>
      <c r="AL165" s="115" t="n">
        <v>29399.49</v>
      </c>
      <c r="AN165" s="115" t="n">
        <v>20442.9</v>
      </c>
      <c r="AP165" s="115" t="n">
        <v>10582.42</v>
      </c>
      <c r="AR165" s="115" t="n">
        <f aca="false">589.73+2046.96+65709.82</f>
        <v>68346.51</v>
      </c>
      <c r="AT165" s="115" t="n">
        <v>5360.34</v>
      </c>
      <c r="AV165" s="115" t="n">
        <v>13664.6</v>
      </c>
      <c r="AX165" s="115" t="n">
        <v>7710.95</v>
      </c>
      <c r="AZ165" s="115" t="n">
        <v>20000</v>
      </c>
      <c r="BB165" s="115" t="n">
        <v>1956.25</v>
      </c>
      <c r="BD165" s="115" t="n">
        <v>0</v>
      </c>
      <c r="BF165" s="115" t="n">
        <v>0</v>
      </c>
      <c r="BH165" s="115" t="n">
        <v>0</v>
      </c>
      <c r="BJ165" s="115" t="n">
        <v>0</v>
      </c>
      <c r="BK165" s="115"/>
      <c r="BL165" s="115" t="n">
        <f aca="false">SUM(T165:BK165)</f>
        <v>192633.44</v>
      </c>
      <c r="BM165" s="115"/>
      <c r="BN165" s="115" t="n">
        <v>0</v>
      </c>
      <c r="BO165" s="115"/>
      <c r="BP165" s="115" t="n">
        <f aca="false">IF(+R165-BL165+BN165&gt;0,R165-BL165+BN165,0)</f>
        <v>207366.56</v>
      </c>
      <c r="BR165" s="115" t="n">
        <f aca="false">+BL165+BP165</f>
        <v>400000</v>
      </c>
      <c r="BT165" s="115" t="n">
        <f aca="false">+R165-BR165</f>
        <v>0</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c r="C166" s="174"/>
      <c r="D166" s="174"/>
      <c r="E166" s="174"/>
      <c r="F166" s="174"/>
      <c r="G166" s="174"/>
      <c r="H166" s="174"/>
      <c r="I166" s="174"/>
      <c r="J166" s="220"/>
      <c r="K166" s="174"/>
      <c r="L166" s="221"/>
      <c r="M166" s="115"/>
      <c r="O166" s="115"/>
      <c r="P166" s="115" t="n">
        <v>5511</v>
      </c>
      <c r="Q166" s="115"/>
      <c r="S166" s="115"/>
      <c r="T166" s="115"/>
      <c r="U166" s="115"/>
      <c r="V166" s="115"/>
      <c r="X166" s="115"/>
      <c r="Z166" s="115"/>
      <c r="AB166" s="115"/>
      <c r="AD166" s="115"/>
      <c r="BJ166" s="115"/>
      <c r="BK166" s="115"/>
      <c r="BL166" s="115" t="n">
        <f aca="false">SUM(T166:BK166)</f>
        <v>0</v>
      </c>
      <c r="BM166" s="115"/>
      <c r="BN166" s="115" t="n">
        <v>0</v>
      </c>
      <c r="BO166" s="115"/>
      <c r="BP166" s="115" t="n">
        <f aca="false">IF(+R166-BL166+BN166&gt;0,R166-BL166+BN166,0)</f>
        <v>0</v>
      </c>
      <c r="BR166" s="115" t="n">
        <f aca="false">+BL166+BP166</f>
        <v>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82"/>
      <c r="B167" s="216" t="s">
        <v>271</v>
      </c>
      <c r="C167" s="2"/>
      <c r="D167" s="2"/>
      <c r="E167" s="2"/>
      <c r="F167" s="2"/>
      <c r="G167" s="2"/>
      <c r="H167" s="2"/>
      <c r="I167" s="2"/>
      <c r="J167" s="3"/>
      <c r="K167" s="2"/>
      <c r="L167" s="188"/>
      <c r="M167" s="24"/>
      <c r="N167" s="210" t="n">
        <f aca="false">SUM(N163:N166)</f>
        <v>500000</v>
      </c>
      <c r="O167" s="210" t="n">
        <f aca="false">SUM(O163:O166)</f>
        <v>0</v>
      </c>
      <c r="P167" s="210" t="n">
        <f aca="false">SUM(P163:P166)</f>
        <v>0</v>
      </c>
      <c r="Q167" s="210" t="n">
        <f aca="false">SUM(Q163:Q166)</f>
        <v>0</v>
      </c>
      <c r="R167" s="210" t="n">
        <f aca="false">SUM(R163:R166)</f>
        <v>400000</v>
      </c>
      <c r="S167" s="24"/>
      <c r="T167" s="210" t="n">
        <f aca="false">SUM(T163:T166)</f>
        <v>0</v>
      </c>
      <c r="U167" s="24"/>
      <c r="V167" s="210" t="n">
        <f aca="false">SUM(V163:V166)</f>
        <v>0</v>
      </c>
      <c r="W167" s="24"/>
      <c r="X167" s="210" t="n">
        <f aca="false">SUM(X163:X166)</f>
        <v>0</v>
      </c>
      <c r="Y167" s="24"/>
      <c r="Z167" s="210" t="n">
        <f aca="false">SUM(Z163:Z166)</f>
        <v>0</v>
      </c>
      <c r="AA167" s="24"/>
      <c r="AB167" s="210" t="n">
        <f aca="false">SUM(AB163:AB166)</f>
        <v>0</v>
      </c>
      <c r="AC167" s="24"/>
      <c r="AD167" s="210" t="n">
        <f aca="false">SUM(AD163:AD166)</f>
        <v>0</v>
      </c>
      <c r="AE167" s="24"/>
      <c r="AF167" s="210" t="n">
        <f aca="false">SUM(AF163:AF166)</f>
        <v>0</v>
      </c>
      <c r="AG167" s="24"/>
      <c r="AH167" s="210" t="n">
        <f aca="false">SUM(AH163:AH166)</f>
        <v>15169.98</v>
      </c>
      <c r="AI167" s="24"/>
      <c r="AJ167" s="210" t="n">
        <f aca="false">SUM(AJ163:AJ166)</f>
        <v>0</v>
      </c>
      <c r="AK167" s="24"/>
      <c r="AL167" s="210" t="n">
        <f aca="false">SUM(AL163:AL166)</f>
        <v>29399.49</v>
      </c>
      <c r="AM167" s="24"/>
      <c r="AN167" s="210" t="n">
        <f aca="false">SUM(AN163:AN166)</f>
        <v>20442.9</v>
      </c>
      <c r="AO167" s="24"/>
      <c r="AP167" s="210" t="n">
        <f aca="false">SUM(AP163:AP166)</f>
        <v>10582.42</v>
      </c>
      <c r="AQ167" s="24"/>
      <c r="AR167" s="210" t="n">
        <f aca="false">SUM(AR163:AR166)</f>
        <v>320554.97</v>
      </c>
      <c r="AS167" s="24"/>
      <c r="AT167" s="210" t="n">
        <f aca="false">SUM(AT163:AT166)</f>
        <v>54824.01</v>
      </c>
      <c r="AU167" s="24"/>
      <c r="AV167" s="210" t="n">
        <f aca="false">SUM(AV163:AV166)</f>
        <v>13664.6</v>
      </c>
      <c r="AW167" s="24"/>
      <c r="AX167" s="210" t="n">
        <f aca="false">SUM(AX163:AX166)</f>
        <v>7710.95</v>
      </c>
      <c r="AY167" s="24"/>
      <c r="AZ167" s="210" t="n">
        <f aca="false">SUM(AZ163:AZ166)</f>
        <v>20000</v>
      </c>
      <c r="BA167" s="24"/>
      <c r="BB167" s="210" t="n">
        <f aca="false">SUM(BB163:BB166)</f>
        <v>1956.25</v>
      </c>
      <c r="BC167" s="24"/>
      <c r="BD167" s="210" t="n">
        <f aca="false">SUM(BD163:BD166)</f>
        <v>0</v>
      </c>
      <c r="BE167" s="24"/>
      <c r="BF167" s="210" t="n">
        <f aca="false">SUM(BF163:BF166)</f>
        <v>0</v>
      </c>
      <c r="BG167" s="24"/>
      <c r="BH167" s="210" t="n">
        <f aca="false">SUM(BH163:BH166)</f>
        <v>0</v>
      </c>
      <c r="BI167" s="24"/>
      <c r="BJ167" s="210" t="n">
        <f aca="false">SUM(BJ163:BJ166)</f>
        <v>0</v>
      </c>
      <c r="BK167" s="24"/>
      <c r="BL167" s="210" t="n">
        <f aca="false">SUM(BL163:BL166)</f>
        <v>494305.57</v>
      </c>
      <c r="BM167" s="24"/>
      <c r="BN167" s="210" t="n">
        <f aca="false">SUM(BN163:BN166)</f>
        <v>0</v>
      </c>
      <c r="BO167" s="24"/>
      <c r="BP167" s="210" t="n">
        <f aca="false">SUM(BP163:BP166)</f>
        <v>207366.56</v>
      </c>
      <c r="BQ167" s="24"/>
      <c r="BR167" s="210" t="n">
        <f aca="false">SUM(BR163:BR166)</f>
        <v>701672.13</v>
      </c>
      <c r="BS167" s="24"/>
      <c r="BT167" s="210"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5"/>
      <c r="B168" s="216"/>
      <c r="C168" s="2"/>
      <c r="D168" s="2"/>
      <c r="E168" s="2"/>
      <c r="F168" s="2"/>
      <c r="G168" s="2"/>
      <c r="H168" s="2"/>
      <c r="I168" s="2"/>
      <c r="J168" s="3"/>
      <c r="K168" s="2"/>
      <c r="L168" s="188"/>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t="s">
        <v>272</v>
      </c>
      <c r="B169" s="216"/>
      <c r="C169" s="216"/>
      <c r="D169" s="216"/>
      <c r="E169" s="216"/>
      <c r="F169" s="216"/>
      <c r="G169" s="216"/>
      <c r="H169" s="216"/>
      <c r="I169" s="216"/>
      <c r="J169" s="217"/>
      <c r="K169" s="216"/>
      <c r="L169" s="218" t="s">
        <v>142</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710982</v>
      </c>
      <c r="BA169" s="24"/>
      <c r="BB169" s="24" t="n">
        <f aca="false">[1]Wheatland!$T$39</f>
        <v>720660.560770823</v>
      </c>
      <c r="BC169" s="24"/>
      <c r="BD169" s="24" t="n">
        <v>0</v>
      </c>
      <c r="BE169" s="24"/>
      <c r="BF169" s="24" t="n">
        <v>0</v>
      </c>
      <c r="BG169" s="24"/>
      <c r="BH169" s="24" t="n">
        <v>0</v>
      </c>
      <c r="BI169" s="24"/>
      <c r="BJ169" s="24" t="n">
        <v>0</v>
      </c>
      <c r="BK169" s="24"/>
      <c r="BL169" s="24" t="n">
        <f aca="false">SUM(T169:BK169)</f>
        <v>8776985.17794831</v>
      </c>
      <c r="BM169" s="24"/>
      <c r="BN169" s="24" t="n">
        <f aca="false">-R169+[1]Wheatland!$Y$39</f>
        <v>-417426.830234733</v>
      </c>
      <c r="BO169" s="24"/>
      <c r="BP169" s="115" t="n">
        <f aca="false">IF(+R169-BL169+BN169&gt;0,R169-BL169+BN169,0)</f>
        <v>837912.991816957</v>
      </c>
      <c r="BQ169" s="24"/>
      <c r="BR169" s="24" t="n">
        <f aca="false">+BL169+BP169</f>
        <v>9614898.16976527</v>
      </c>
      <c r="BS169" s="24"/>
      <c r="BT169" s="24" t="n">
        <f aca="false">+R169-BR169</f>
        <v>417426.830234733</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6"/>
      <c r="DT169" s="216"/>
      <c r="DU169" s="216"/>
      <c r="DV169" s="216"/>
      <c r="DW169" s="216"/>
      <c r="DX169" s="216"/>
      <c r="DY169" s="216"/>
      <c r="DZ169" s="216"/>
      <c r="EA169" s="216"/>
      <c r="EB169" s="216"/>
      <c r="EC169" s="216"/>
      <c r="ED169" s="216"/>
      <c r="EE169" s="216"/>
      <c r="EF169" s="216"/>
      <c r="EG169" s="216"/>
      <c r="EH169" s="216"/>
      <c r="EI169" s="216"/>
      <c r="EJ169" s="216"/>
      <c r="EK169" s="216"/>
      <c r="EL169" s="216"/>
      <c r="EM169" s="216"/>
      <c r="EN169" s="216"/>
      <c r="EO169" s="216"/>
      <c r="EP169" s="216"/>
      <c r="EQ169" s="216"/>
      <c r="ER169" s="216"/>
      <c r="ES169" s="216"/>
      <c r="ET169" s="216"/>
      <c r="EU169" s="216"/>
      <c r="EV169" s="216"/>
      <c r="EW169" s="216"/>
      <c r="EX169" s="216"/>
      <c r="EY169" s="216"/>
      <c r="EZ169" s="216"/>
      <c r="FA169" s="216"/>
      <c r="FB169" s="216"/>
      <c r="FC169" s="216"/>
      <c r="FD169" s="216"/>
      <c r="FE169" s="216"/>
      <c r="FF169" s="216"/>
      <c r="FG169" s="216"/>
      <c r="FH169" s="216"/>
      <c r="FI169" s="216"/>
      <c r="FJ169" s="216"/>
      <c r="FK169" s="216"/>
      <c r="FL169" s="216"/>
      <c r="FM169" s="216"/>
      <c r="FN169" s="216"/>
      <c r="FO169" s="216"/>
      <c r="FP169" s="216"/>
      <c r="FQ169" s="216"/>
      <c r="FR169" s="216"/>
      <c r="FS169" s="216"/>
      <c r="FT169" s="216"/>
      <c r="FU169" s="216"/>
      <c r="FV169" s="216"/>
      <c r="FW169" s="216"/>
      <c r="FX169" s="216"/>
      <c r="FY169" s="216"/>
      <c r="FZ169" s="216"/>
      <c r="GA169" s="216"/>
      <c r="GB169" s="216"/>
      <c r="GC169" s="216"/>
      <c r="GD169" s="216"/>
      <c r="GE169" s="216"/>
      <c r="GF169" s="216"/>
      <c r="GG169" s="216"/>
      <c r="GH169" s="216"/>
      <c r="GI169" s="216"/>
      <c r="GJ169" s="216"/>
      <c r="GK169" s="216"/>
      <c r="GL169" s="216"/>
      <c r="GM169" s="216"/>
      <c r="GN169" s="216"/>
      <c r="GO169" s="216"/>
      <c r="GP169" s="216"/>
      <c r="GQ169" s="216"/>
      <c r="GR169" s="216"/>
      <c r="GS169" s="216"/>
      <c r="GT169" s="216"/>
      <c r="GU169" s="216"/>
      <c r="GV169" s="216"/>
      <c r="GW169" s="216"/>
      <c r="GX169" s="216"/>
      <c r="GY169" s="216"/>
      <c r="GZ169" s="216"/>
      <c r="HA169" s="216"/>
      <c r="HB169" s="216"/>
      <c r="HC169" s="216"/>
      <c r="HD169" s="216"/>
      <c r="HE169" s="216"/>
      <c r="HF169" s="216"/>
      <c r="HG169" s="216"/>
      <c r="HH169" s="216"/>
      <c r="HI169" s="216"/>
      <c r="HJ169" s="216"/>
      <c r="HK169" s="216"/>
      <c r="HL169" s="216"/>
      <c r="HM169" s="216"/>
      <c r="HN169" s="216"/>
      <c r="HO169" s="216"/>
      <c r="HP169" s="216"/>
      <c r="HQ169" s="216"/>
      <c r="HR169" s="216"/>
      <c r="HS169" s="216"/>
      <c r="HT169" s="216"/>
      <c r="HU169" s="216"/>
      <c r="HV169" s="216"/>
      <c r="HW169" s="216"/>
      <c r="HX169" s="216"/>
      <c r="HY169" s="216"/>
      <c r="HZ169" s="216"/>
      <c r="IA169" s="216"/>
      <c r="IB169" s="216"/>
      <c r="IC169" s="216"/>
      <c r="ID169" s="216"/>
      <c r="IE169" s="216"/>
      <c r="IF169" s="216"/>
      <c r="IG169" s="216"/>
      <c r="IH169" s="216"/>
      <c r="II169" s="216"/>
      <c r="IJ169" s="216"/>
      <c r="IK169" s="216"/>
      <c r="IL169" s="216"/>
      <c r="IM169" s="216"/>
      <c r="IN169" s="216"/>
      <c r="IO169" s="216"/>
      <c r="IP169" s="216"/>
      <c r="IQ169" s="216"/>
      <c r="IR169" s="216"/>
      <c r="IS169" s="216"/>
      <c r="IT169" s="216"/>
      <c r="IU169" s="216"/>
      <c r="IV169" s="216"/>
      <c r="IW169" s="216"/>
    </row>
    <row r="170" customFormat="false" ht="12.75" hidden="false" customHeight="false" outlineLevel="0" collapsed="false">
      <c r="A170" s="182"/>
      <c r="B170" s="216"/>
      <c r="C170" s="2"/>
      <c r="D170" s="2"/>
      <c r="E170" s="2"/>
      <c r="F170" s="2"/>
      <c r="G170" s="2"/>
      <c r="H170" s="2"/>
      <c r="I170" s="2"/>
      <c r="J170" s="3"/>
      <c r="K170" s="2"/>
      <c r="L170" s="188"/>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2" t="s">
        <v>273</v>
      </c>
      <c r="B171" s="223"/>
      <c r="C171" s="197"/>
      <c r="D171" s="197"/>
      <c r="E171" s="197"/>
      <c r="F171" s="197"/>
      <c r="G171" s="197"/>
      <c r="H171" s="197"/>
      <c r="I171" s="197"/>
      <c r="J171" s="198"/>
      <c r="K171" s="197"/>
      <c r="L171" s="199"/>
      <c r="M171" s="200"/>
      <c r="N171" s="200"/>
      <c r="O171" s="200"/>
      <c r="P171" s="200"/>
      <c r="Q171" s="200"/>
      <c r="R171" s="200" t="n">
        <f aca="false">R169+R160+R151+R149+R147+R141+R139+R137+R130+R123+R121+R119+R117+R115+R167</f>
        <v>23583842</v>
      </c>
      <c r="S171" s="200" t="n">
        <f aca="false">S169+S160+S151+S149+S147+S141+S139+S137+S130+S123+S121+S119+S117+S115+S167</f>
        <v>0</v>
      </c>
      <c r="T171" s="200" t="n">
        <f aca="false">T169+T160+T151+T149+T147+T141+T139+T137+T130+T123+T121+T119+T117+T115+T167</f>
        <v>413818</v>
      </c>
      <c r="U171" s="200" t="n">
        <f aca="false">U169+U160+U151+U149+U147+U141+U139+U137+U130+U123+U121+U119+U117+U115+U167</f>
        <v>0</v>
      </c>
      <c r="V171" s="200" t="n">
        <f aca="false">V169+V160+V151+V149+V147+V141+V139+V137+V130+V123+V121+V119+V117+V115+V167</f>
        <v>241018.53</v>
      </c>
      <c r="W171" s="200" t="n">
        <f aca="false">W169+W160+W151+W149+W147+W141+W139+W137+W130+W123+W121+W119+W117+W115+W167</f>
        <v>0</v>
      </c>
      <c r="X171" s="200" t="n">
        <f aca="false">X169+X160+X151+X149+X147+X141+X139+X137+X130+X123+X121+X119+X117+X115+X167</f>
        <v>405396.93</v>
      </c>
      <c r="Y171" s="200" t="n">
        <f aca="false">Y169+Y160+Y151+Y149+Y147+Y141+Y139+Y137+Y130+Y123+Y121+Y119+Y117+Y115+Y167</f>
        <v>0</v>
      </c>
      <c r="Z171" s="200" t="n">
        <f aca="false">Z169+Z160+Z151+Z149+Z147+Z141+Z139+Z137+Z130+Z123+Z121+Z119+Z117+Z115+Z167</f>
        <v>440729.95</v>
      </c>
      <c r="AA171" s="200" t="n">
        <f aca="false">AA169+AA160+AA151+AA149+AA147+AA141+AA139+AA137+AA130+AA123+AA121+AA119+AA117+AA115+AA167</f>
        <v>0</v>
      </c>
      <c r="AB171" s="200" t="n">
        <f aca="false">AB169+AB160+AB151+AB149+AB147+AB141+AB139+AB137+AB130+AB123+AB121+AB119+AB117+AB115+AB167</f>
        <v>471664.43</v>
      </c>
      <c r="AC171" s="200" t="n">
        <f aca="false">AC169+AC160+AC151+AC149+AC147+AC141+AC139+AC137+AC130+AC123+AC121+AC119+AC117+AC115+AC167</f>
        <v>0</v>
      </c>
      <c r="AD171" s="200" t="n">
        <f aca="false">AD169+AD160+AD151+AD149+AD147+AD141+AD139+AD137+AD130+AD123+AD121+AD119+AD117+AD115+AD167</f>
        <v>525025.68</v>
      </c>
      <c r="AE171" s="200" t="n">
        <f aca="false">AE169+AE160+AE151+AE149+AE147+AE141+AE139+AE137+AE130+AE123+AE121+AE119+AE117+AE115+AE167</f>
        <v>0</v>
      </c>
      <c r="AF171" s="200" t="n">
        <f aca="false">AF169+AF160+AF151+AF149+AF147+AF141+AF139+AF137+AF130+AF123+AF121+AF119+AF117+AF115+AF167</f>
        <v>573248.108620833</v>
      </c>
      <c r="AG171" s="200" t="n">
        <f aca="false">AG169+AG160+AG151+AG149+AG147+AG141+AG139+AG137+AG130+AG123+AG121+AG119+AG117+AG115+AG167</f>
        <v>0</v>
      </c>
      <c r="AH171" s="200" t="n">
        <f aca="false">AH169+AH160+AH151+AH149+AH147+AH141+AH139+AH137+AH130+AH123+AH121+AH119+AH117+AH115+AH167</f>
        <v>580523.052138363</v>
      </c>
      <c r="AI171" s="200" t="n">
        <f aca="false">AI169+AI160+AI151+AI149+AI147+AI141+AI139+AI137+AI130+AI123+AI121+AI119+AI117+AI115+AI167</f>
        <v>0</v>
      </c>
      <c r="AJ171" s="200" t="n">
        <f aca="false">AJ169+AJ160+AJ151+AJ149+AJ147+AJ141+AJ139+AJ137+AJ130+AJ123+AJ121+AJ119+AJ117+AJ115+AJ167</f>
        <v>551485.426416612</v>
      </c>
      <c r="AK171" s="200" t="n">
        <f aca="false">AK169+AK160+AK151+AK149+AK147+AK141+AK139+AK137+AK130+AK123+AK121+AK119+AK117+AK115+AK167</f>
        <v>0</v>
      </c>
      <c r="AL171" s="200" t="n">
        <f aca="false">AL169+AL160+AL151+AL149+AL147+AL141+AL139+AL137+AL130+AL123+AL121+AL119+AL117+AL115+AL167</f>
        <v>1502808.93</v>
      </c>
      <c r="AM171" s="200" t="n">
        <f aca="false">AM169+AM160+AM151+AM149+AM147+AM141+AM139+AM137+AM130+AM123+AM121+AM119+AM117+AM115+AM167</f>
        <v>0</v>
      </c>
      <c r="AN171" s="200" t="n">
        <f aca="false">AN169+AN160+AN151+AN149+AN147+AN141+AN139+AN137+AN130+AN123+AN121+AN119+AN117+AN115+AN167</f>
        <v>634977.905506925</v>
      </c>
      <c r="AO171" s="200" t="n">
        <f aca="false">AO169+AO160+AO151+AO149+AO147+AO141+AO139+AO137+AO130+AO123+AO121+AO119+AO117+AO115+AO167</f>
        <v>0</v>
      </c>
      <c r="AP171" s="200" t="n">
        <f aca="false">AP169+AP160+AP151+AP149+AP147+AP141+AP139+AP137+AP130+AP123+AP121+AP119+AP117+AP115+AP167</f>
        <v>710648.81096592</v>
      </c>
      <c r="AQ171" s="200" t="n">
        <f aca="false">AQ169+AQ160+AQ151+AQ149+AQ147+AQ141+AQ139+AQ137+AQ130+AQ123+AQ121+AQ119+AQ117+AQ115+AQ167</f>
        <v>0</v>
      </c>
      <c r="AR171" s="200" t="n">
        <f aca="false">AR169+AR160+AR151+AR149+AR147+AR141+AR139+AR137+AR130+AR123+AR121+AR119+AR117+AR115+AR167</f>
        <v>2133337.75</v>
      </c>
      <c r="AS171" s="200" t="n">
        <f aca="false">AS169+AS160+AS151+AS149+AS147+AS141+AS139+AS137+AS130+AS123+AS121+AS119+AS117+AS115+AS167</f>
        <v>0</v>
      </c>
      <c r="AT171" s="200" t="n">
        <f aca="false">AT169+AT160+AT151+AT149+AT147+AT141+AT139+AT137+AT130+AT123+AT121+AT119+AT117+AT115+AT167</f>
        <v>968319.945110041</v>
      </c>
      <c r="AU171" s="200" t="n">
        <f aca="false">AU169+AU160+AU151+AU149+AU147+AU141+AU139+AU137+AU130+AU123+AU121+AU119+AU117+AU115+AU167</f>
        <v>0</v>
      </c>
      <c r="AV171" s="200" t="n">
        <f aca="false">AV169+AV160+AV151+AV149+AV147+AV141+AV139+AV137+AV130+AV123+AV121+AV119+AV117+AV115+AV167</f>
        <v>1280665.80825994</v>
      </c>
      <c r="AW171" s="200" t="n">
        <f aca="false">AW169+AW160+AW151+AW149+AW147+AW141+AW139+AW137+AW130+AW123+AW121+AW119+AW117+AW115+AW167</f>
        <v>0</v>
      </c>
      <c r="AX171" s="200" t="n">
        <f aca="false">AX169+AX160+AX151+AX149+AX147+AX141+AX139+AX137+AX130+AX123+AX121+AX119+AX117+AX115+AX167</f>
        <v>1367991.78015885</v>
      </c>
      <c r="AY171" s="200" t="n">
        <f aca="false">AY169+AY160+AY151+AY149+AY147+AY141+AY139+AY137+AY130+AY123+AY121+AY119+AY117+AY115+AY167</f>
        <v>0</v>
      </c>
      <c r="AZ171" s="200" t="n">
        <f aca="false">AZ169+AZ160+AZ151+AZ149+AZ147+AZ141+AZ139+AZ137+AZ130+AZ123+AZ121+AZ119+AZ117+AZ115+AZ167</f>
        <v>1135448.07</v>
      </c>
      <c r="BA171" s="200" t="n">
        <f aca="false">BA169+BA160+BA151+BA149+BA147+BA141+BA139+BA137+BA130+BA123+BA121+BA119+BA117+BA115+BA167</f>
        <v>0</v>
      </c>
      <c r="BB171" s="200" t="n">
        <f aca="false">BB169+BB160+BB151+BB149+BB147+BB141+BB139+BB137+BB130+BB123+BB121+BB119+BB117+BB115+BB167</f>
        <v>988144.770770823</v>
      </c>
      <c r="BC171" s="200" t="n">
        <f aca="false">BC169+BC160+BC151+BC149+BC147+BC141+BC139+BC137+BC130+BC123+BC121+BC119+BC117+BC115+BC167</f>
        <v>0</v>
      </c>
      <c r="BD171" s="200" t="n">
        <f aca="false">BD169+BD160+BD151+BD149+BD147+BD141+BD139+BD137+BD130+BD123+BD121+BD119+BD117+BD115+BD167</f>
        <v>0</v>
      </c>
      <c r="BE171" s="200" t="n">
        <f aca="false">BE169+BE160+BE151+BE149+BE147+BE141+BE139+BE137+BE130+BE123+BE121+BE119+BE117+BE115+BE167</f>
        <v>0</v>
      </c>
      <c r="BF171" s="200" t="n">
        <f aca="false">BF169+BF160+BF151+BF149+BF147+BF141+BF139+BF137+BF130+BF123+BF121+BF119+BF117+BF115+BF167</f>
        <v>0</v>
      </c>
      <c r="BG171" s="200" t="n">
        <f aca="false">BG169+BG160+BG151+BG149+BG147+BG141+BG139+BG137+BG130+BG123+BG121+BG119+BG117+BG115+BG167</f>
        <v>0</v>
      </c>
      <c r="BH171" s="200" t="n">
        <f aca="false">BH169+BH160+BH151+BH149+BH147+BH141+BH139+BH137+BH130+BH123+BH121+BH119+BH117+BH115+BH167</f>
        <v>0</v>
      </c>
      <c r="BI171" s="200" t="n">
        <f aca="false">BI169+BI160+BI151+BI149+BI147+BI141+BI139+BI137+BI130+BI123+BI121+BI119+BI117+BI115+BI167</f>
        <v>0</v>
      </c>
      <c r="BJ171" s="200" t="n">
        <f aca="false">BJ169+BJ160+BJ151+BJ149+BJ147+BJ141+BJ139+BJ137+BJ130+BJ123+BJ121+BJ119+BJ117+BJ115+BJ167</f>
        <v>0</v>
      </c>
      <c r="BK171" s="200" t="n">
        <f aca="false">BK169+BK160+BK151+BK149+BK147+BK141+BK139+BK137+BK130+BK123+BK121+BK119+BK117+BK115+BK167</f>
        <v>0</v>
      </c>
      <c r="BL171" s="200" t="n">
        <f aca="false">BL169+BL160+BL151+BL149+BL147+BL141+BL139+BL137+BL130+BL123+BL121+BL119+BL117+BL115+BL167</f>
        <v>14925253.8779483</v>
      </c>
      <c r="BM171" s="200" t="n">
        <f aca="false">BM169+BM160+BM151+BM149+BM147+BM141+BM139+BM137+BM130+BM123+BM121+BM119+BM117+BM115+BM167</f>
        <v>0</v>
      </c>
      <c r="BN171" s="200" t="n">
        <f aca="false">BN169+BN160+BN151+BN149+BN147+BN141+BN139+BN137+BN130+BN123+BN121+BN119+BN117+BN115+BN167</f>
        <v>84750.1697652675</v>
      </c>
      <c r="BO171" s="200" t="n">
        <f aca="false">BO169+BO160+BO151+BO149+BO147+BO141+BO139+BO137+BO130+BO123+BO121+BO119+BO117+BO115+BO167</f>
        <v>0</v>
      </c>
      <c r="BP171" s="200" t="n">
        <f aca="false">BP169+BP160+BP151+BP149+BP147+BP141+BP139+BP137+BP130+BP123+BP121+BP119+BP117+BP115+BP167</f>
        <v>10159070.521817</v>
      </c>
      <c r="BQ171" s="200" t="n">
        <f aca="false">BQ169+BQ160+BQ151+BQ149+BQ147+BQ141+BQ139+BQ137+BQ130+BQ123+BQ121+BQ119+BQ117+BQ115+BQ167</f>
        <v>0</v>
      </c>
      <c r="BR171" s="200" t="n">
        <f aca="false">BR169+BR160+BR151+BR149+BR147+BR141+BR139+BR137+BR130+BR123+BR121+BR119+BR117+BR115+BR167</f>
        <v>25084324.3997653</v>
      </c>
      <c r="BS171" s="200" t="n">
        <f aca="false">BS169+BS160+BS151+BS149+BS147+BS141+BS139+BS137+BS130+BS123+BS121+BS119+BS117+BS115+BS167</f>
        <v>0</v>
      </c>
      <c r="BT171" s="200" t="n">
        <f aca="false">BT169+BT160+BT151+BT149+BT147+BT141+BT139+BT137+BT130+BT123+BT121+BT119+BT117+BT115+BT167</f>
        <v>-1500482.39976527</v>
      </c>
      <c r="BU171" s="200"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7"/>
      <c r="DT171" s="197"/>
      <c r="DU171" s="197"/>
      <c r="DV171" s="197"/>
      <c r="DW171" s="197"/>
      <c r="DX171" s="197"/>
      <c r="DY171" s="197"/>
      <c r="DZ171" s="197"/>
      <c r="EA171" s="197"/>
      <c r="EB171" s="197"/>
      <c r="EC171" s="197"/>
      <c r="ED171" s="197"/>
      <c r="EE171" s="197"/>
      <c r="EF171" s="197"/>
      <c r="EG171" s="197"/>
      <c r="EH171" s="197"/>
      <c r="EI171" s="197"/>
      <c r="EJ171" s="197"/>
      <c r="EK171" s="197"/>
      <c r="EL171" s="197"/>
      <c r="EM171" s="197"/>
      <c r="EN171" s="197"/>
      <c r="EO171" s="197"/>
      <c r="EP171" s="197"/>
      <c r="EQ171" s="197"/>
      <c r="ER171" s="197"/>
      <c r="ES171" s="197"/>
      <c r="ET171" s="197"/>
      <c r="EU171" s="197"/>
      <c r="EV171" s="197"/>
      <c r="EW171" s="197"/>
      <c r="EX171" s="197"/>
      <c r="EY171" s="197"/>
      <c r="EZ171" s="197"/>
      <c r="FA171" s="197"/>
      <c r="FB171" s="197"/>
      <c r="FC171" s="197"/>
      <c r="FD171" s="197"/>
      <c r="FE171" s="197"/>
      <c r="FF171" s="197"/>
      <c r="FG171" s="197"/>
      <c r="FH171" s="197"/>
      <c r="FI171" s="197"/>
      <c r="FJ171" s="197"/>
      <c r="FK171" s="197"/>
      <c r="FL171" s="197"/>
      <c r="FM171" s="197"/>
      <c r="FN171" s="197"/>
      <c r="FO171" s="197"/>
      <c r="FP171" s="197"/>
      <c r="FQ171" s="197"/>
      <c r="FR171" s="197"/>
      <c r="FS171" s="197"/>
      <c r="FT171" s="197"/>
      <c r="FU171" s="197"/>
      <c r="FV171" s="197"/>
      <c r="FW171" s="197"/>
      <c r="FX171" s="197"/>
      <c r="FY171" s="197"/>
      <c r="FZ171" s="197"/>
      <c r="GA171" s="197"/>
      <c r="GB171" s="197"/>
      <c r="GC171" s="197"/>
      <c r="GD171" s="197"/>
      <c r="GE171" s="197"/>
      <c r="GF171" s="197"/>
      <c r="GG171" s="197"/>
      <c r="GH171" s="197"/>
      <c r="GI171" s="197"/>
      <c r="GJ171" s="197"/>
      <c r="GK171" s="197"/>
      <c r="GL171" s="197"/>
      <c r="GM171" s="197"/>
      <c r="GN171" s="197"/>
      <c r="GO171" s="197"/>
      <c r="GP171" s="197"/>
      <c r="GQ171" s="197"/>
      <c r="GR171" s="197"/>
      <c r="GS171" s="197"/>
      <c r="GT171" s="197"/>
      <c r="GU171" s="197"/>
      <c r="GV171" s="197"/>
      <c r="GW171" s="197"/>
      <c r="GX171" s="197"/>
      <c r="GY171" s="197"/>
      <c r="GZ171" s="197"/>
      <c r="HA171" s="197"/>
      <c r="HB171" s="197"/>
      <c r="HC171" s="197"/>
      <c r="HD171" s="197"/>
      <c r="HE171" s="197"/>
      <c r="HF171" s="197"/>
      <c r="HG171" s="197"/>
      <c r="HH171" s="197"/>
      <c r="HI171" s="197"/>
      <c r="HJ171" s="197"/>
      <c r="HK171" s="197"/>
      <c r="HL171" s="197"/>
      <c r="HM171" s="197"/>
      <c r="HN171" s="197"/>
      <c r="HO171" s="197"/>
      <c r="HP171" s="197"/>
      <c r="HQ171" s="197"/>
      <c r="HR171" s="197"/>
      <c r="HS171" s="197"/>
      <c r="HT171" s="197"/>
      <c r="HU171" s="197"/>
      <c r="HV171" s="197"/>
      <c r="HW171" s="197"/>
      <c r="HX171" s="197"/>
      <c r="HY171" s="197"/>
      <c r="HZ171" s="197"/>
      <c r="IA171" s="197"/>
      <c r="IB171" s="197"/>
      <c r="IC171" s="197"/>
      <c r="ID171" s="197"/>
      <c r="IE171" s="197"/>
      <c r="IF171" s="197"/>
      <c r="IG171" s="197"/>
      <c r="IH171" s="197"/>
      <c r="II171" s="197"/>
      <c r="IJ171" s="197"/>
      <c r="IK171" s="197"/>
      <c r="IL171" s="197"/>
      <c r="IM171" s="197"/>
      <c r="IN171" s="197"/>
      <c r="IO171" s="197"/>
      <c r="IP171" s="197"/>
      <c r="IQ171" s="197"/>
      <c r="IR171" s="197"/>
      <c r="IS171" s="197"/>
      <c r="IT171" s="197"/>
      <c r="IU171" s="197"/>
      <c r="IV171" s="197"/>
      <c r="IW171" s="197"/>
    </row>
    <row r="172" customFormat="false" ht="12.75" hidden="false" customHeight="false" outlineLevel="0" collapsed="false">
      <c r="A172" s="182"/>
      <c r="B172" s="216"/>
      <c r="C172" s="2"/>
      <c r="D172" s="2"/>
      <c r="E172" s="2"/>
      <c r="F172" s="2"/>
      <c r="G172" s="2"/>
      <c r="H172" s="2"/>
      <c r="I172" s="2"/>
      <c r="J172" s="3"/>
      <c r="K172" s="2"/>
      <c r="L172" s="188"/>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t="s">
        <v>178</v>
      </c>
      <c r="B173" s="216"/>
      <c r="C173" s="2"/>
      <c r="D173" s="2"/>
      <c r="E173" s="2"/>
      <c r="F173" s="2"/>
      <c r="G173" s="2"/>
      <c r="H173" s="2"/>
      <c r="I173" s="2"/>
      <c r="J173" s="3"/>
      <c r="K173" s="2"/>
      <c r="L173" s="188" t="s">
        <v>142</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15" t="n">
        <f aca="false">IF(+R173-BL173+BN173&gt;0,R173-BL173+BN173,0)</f>
        <v>0.100000000093132</v>
      </c>
      <c r="BQ173" s="24" t="n">
        <v>2030320</v>
      </c>
      <c r="BR173" s="24" t="n">
        <f aca="false">+BL173+BP173</f>
        <v>0.100000000093132</v>
      </c>
      <c r="BS173" s="24" t="n">
        <v>2030320</v>
      </c>
      <c r="BT173" s="115"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c r="B174" s="216"/>
      <c r="C174" s="2"/>
      <c r="D174" s="2"/>
      <c r="E174" s="2"/>
      <c r="F174" s="2"/>
      <c r="G174" s="2"/>
      <c r="H174" s="2"/>
      <c r="I174" s="2"/>
      <c r="J174" s="3"/>
      <c r="K174" s="2"/>
      <c r="L174" s="188"/>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4" t="s">
        <v>274</v>
      </c>
      <c r="B176" s="225"/>
      <c r="C176" s="225"/>
      <c r="D176" s="225"/>
      <c r="E176" s="225"/>
      <c r="F176" s="225"/>
      <c r="G176" s="225"/>
      <c r="H176" s="225"/>
      <c r="I176" s="225"/>
      <c r="J176" s="226"/>
      <c r="K176" s="225"/>
      <c r="L176" s="227"/>
      <c r="M176" s="228"/>
      <c r="N176" s="228"/>
      <c r="O176" s="228"/>
      <c r="P176" s="228"/>
      <c r="Q176" s="228"/>
      <c r="R176" s="229" t="n">
        <f aca="false">R34+R102+R91+R107+R171+R173</f>
        <v>158451248.1</v>
      </c>
      <c r="S176" s="229" t="n">
        <f aca="false">S34+S102+S91+S107+S171+S173</f>
        <v>0</v>
      </c>
      <c r="T176" s="229" t="n">
        <f aca="false">T34+T102+T91+T107+T171+T173</f>
        <v>17087218</v>
      </c>
      <c r="U176" s="229" t="n">
        <f aca="false">U34+U102+U91+U107+U171+U173</f>
        <v>0</v>
      </c>
      <c r="V176" s="229" t="n">
        <f aca="false">V34+V102+V91+V107+V171+V173</f>
        <v>43642668.53</v>
      </c>
      <c r="W176" s="229" t="n">
        <f aca="false">W34+W102+W91+W107+W171+W173</f>
        <v>0</v>
      </c>
      <c r="X176" s="229" t="n">
        <f aca="false">X34+X102+X91+X107+X171+X173</f>
        <v>4696471.93</v>
      </c>
      <c r="Y176" s="229" t="n">
        <f aca="false">Y34+Y102+Y91+Y107+Y171+Y173</f>
        <v>0</v>
      </c>
      <c r="Z176" s="229" t="n">
        <f aca="false">Z34+Z102+Z91+Z107+Z171+Z173</f>
        <v>440729.95</v>
      </c>
      <c r="AA176" s="229" t="n">
        <f aca="false">AA34+AA102+AA91+AA107+AA171+AA173</f>
        <v>0</v>
      </c>
      <c r="AB176" s="229" t="n">
        <f aca="false">AB34+AB102+AB91+AB107+AB171+AB173</f>
        <v>4762739.43</v>
      </c>
      <c r="AC176" s="229" t="n">
        <f aca="false">AC34+AC102+AC91+AC107+AC171+AC173</f>
        <v>0</v>
      </c>
      <c r="AD176" s="229" t="n">
        <f aca="false">AD34+AD102+AD91+AD107+AD171+AD173</f>
        <v>9142692.68</v>
      </c>
      <c r="AE176" s="229" t="n">
        <f aca="false">AE34+AE102+AE91+AE107+AE171+AE173</f>
        <v>0</v>
      </c>
      <c r="AF176" s="229" t="n">
        <f aca="false">AF34+AF102+AF91+AF107+AF171+AF173</f>
        <v>573248.108620833</v>
      </c>
      <c r="AG176" s="229" t="n">
        <f aca="false">AG34+AG102+AG91+AG107+AG171+AG173</f>
        <v>0</v>
      </c>
      <c r="AH176" s="229" t="n">
        <f aca="false">AH34+AH102+AH91+AH107+AH171+AH173</f>
        <v>1116780.75213836</v>
      </c>
      <c r="AI176" s="229" t="n">
        <f aca="false">AI34+AI102+AI91+AI107+AI171+AI173</f>
        <v>0</v>
      </c>
      <c r="AJ176" s="229" t="n">
        <f aca="false">AJ34+AJ102+AJ91+AJ107+AJ171+AJ173</f>
        <v>1496281.32641661</v>
      </c>
      <c r="AK176" s="229" t="n">
        <f aca="false">AK34+AK102+AK91+AK107+AK171+AK173</f>
        <v>0</v>
      </c>
      <c r="AL176" s="229" t="n">
        <f aca="false">AL34+AL102+AL91+AL107+AL171+AL173</f>
        <v>1780115.93</v>
      </c>
      <c r="AM176" s="229" t="n">
        <f aca="false">AM34+AM102+AM91+AM107+AM171+AM173</f>
        <v>0</v>
      </c>
      <c r="AN176" s="229" t="n">
        <f aca="false">AN34+AN102+AN91+AN107+AN171+AN173</f>
        <v>1566383.00550692</v>
      </c>
      <c r="AO176" s="229" t="n">
        <f aca="false">AO34+AO102+AO91+AO107+AO171+AO173</f>
        <v>0</v>
      </c>
      <c r="AP176" s="229" t="n">
        <f aca="false">AP34+AP102+AP91+AP107+AP171+AP173</f>
        <v>5481999.37096592</v>
      </c>
      <c r="AQ176" s="229" t="n">
        <f aca="false">AQ34+AQ102+AQ91+AQ107+AQ171+AQ173</f>
        <v>0</v>
      </c>
      <c r="AR176" s="229" t="n">
        <f aca="false">AR34+AR102+AR91+AR107+AR171+AR173</f>
        <v>4677967.54</v>
      </c>
      <c r="AS176" s="229" t="n">
        <f aca="false">AS34+AS102+AS91+AS107+AS171+AS173</f>
        <v>0</v>
      </c>
      <c r="AT176" s="229" t="n">
        <f aca="false">AT34+AT102+AT91+AT107+AT171+AT173</f>
        <v>8750380.30511004</v>
      </c>
      <c r="AU176" s="229" t="n">
        <f aca="false">AU34+AU102+AU91+AU107+AU171+AU173</f>
        <v>0</v>
      </c>
      <c r="AV176" s="229" t="n">
        <f aca="false">AV34+AV102+AV91+AV107+AV171+AV173</f>
        <v>9706071.65825994</v>
      </c>
      <c r="AW176" s="229" t="n">
        <f aca="false">AW34+AW102+AW91+AW107+AW171+AW173</f>
        <v>0</v>
      </c>
      <c r="AX176" s="229" t="n">
        <f aca="false">AX34+AX102+AX91+AX107+AX171+AX173</f>
        <v>9777060.12015885</v>
      </c>
      <c r="AY176" s="229" t="n">
        <f aca="false">AY34+AY102+AY91+AY107+AY171+AY173</f>
        <v>0</v>
      </c>
      <c r="AZ176" s="229" t="n">
        <f aca="false">AZ34+AZ102+AZ91+AZ107+AZ171+AZ173</f>
        <v>8038835.07</v>
      </c>
      <c r="BA176" s="229" t="n">
        <f aca="false">BA34+BA102+BA91+BA107+BA171+BA173</f>
        <v>0</v>
      </c>
      <c r="BB176" s="229" t="n">
        <f aca="false">BB34+BB102+BB91+BB107+BB171+BB173</f>
        <v>1661352.51077082</v>
      </c>
      <c r="BC176" s="229" t="n">
        <f aca="false">BC34+BC102+BC91+BC107+BC171+BC173</f>
        <v>0</v>
      </c>
      <c r="BD176" s="229" t="n">
        <f aca="false">BD34+BD102+BD91+BD107+BD171+BD173</f>
        <v>0</v>
      </c>
      <c r="BE176" s="229" t="n">
        <f aca="false">BE34+BE102+BE91+BE107+BE171+BE173</f>
        <v>0</v>
      </c>
      <c r="BF176" s="229" t="n">
        <f aca="false">BF34+BF102+BF91+BF107+BF171+BF173</f>
        <v>0</v>
      </c>
      <c r="BG176" s="229" t="n">
        <f aca="false">BG34+BG102+BG91+BG107+BG171+BG173</f>
        <v>0</v>
      </c>
      <c r="BH176" s="229" t="n">
        <f aca="false">BH34+BH102+BH91+BH107+BH171+BH173</f>
        <v>0</v>
      </c>
      <c r="BI176" s="229" t="n">
        <f aca="false">BI34+BI102+BI91+BI107+BI171+BI173</f>
        <v>0</v>
      </c>
      <c r="BJ176" s="229" t="n">
        <f aca="false">BJ34+BJ102+BJ91+BJ107+BJ171+BJ173</f>
        <v>0</v>
      </c>
      <c r="BK176" s="229" t="n">
        <f aca="false">BK34+BK102+BK91+BK107+BK171+BK173</f>
        <v>0</v>
      </c>
      <c r="BL176" s="229" t="n">
        <f aca="false">BL34+BL102+BL91+BL107+BL171+BL173</f>
        <v>134398996.217948</v>
      </c>
      <c r="BM176" s="229" t="n">
        <f aca="false">BM34+BM102+BM91+BM107+BM171+BM173</f>
        <v>3202104</v>
      </c>
      <c r="BN176" s="229" t="n">
        <f aca="false">BN34+BN102+BN91+BN107+BN171+BN173</f>
        <v>3969295.16976527</v>
      </c>
      <c r="BO176" s="229" t="n">
        <f aca="false">BO34+BO102+BO91+BO107+BO171+BO173</f>
        <v>4673615</v>
      </c>
      <c r="BP176" s="229" t="n">
        <f aca="false">BP34+BP102+BP91+BP107+BP171+BP173</f>
        <v>24746048.881817</v>
      </c>
      <c r="BQ176" s="229" t="n">
        <f aca="false">BQ34+BQ102+BQ91+BQ107+BQ171+BQ173</f>
        <v>7699097</v>
      </c>
      <c r="BR176" s="229" t="n">
        <f aca="false">BR34+BR102+BR91+BR107+BR171+BR173</f>
        <v>160088910.099765</v>
      </c>
      <c r="BS176" s="229" t="n">
        <f aca="false">BS34+BS102+BS91+BS107+BS171+BS173</f>
        <v>14335953</v>
      </c>
      <c r="BT176" s="229" t="n">
        <f aca="false">BT34+BT102+BT91+BT107+BT171+BT173</f>
        <v>-1637661.99976527</v>
      </c>
      <c r="BU176" s="228"/>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c r="GY176" s="225"/>
      <c r="GZ176" s="225"/>
      <c r="HA176" s="225"/>
      <c r="HB176" s="225"/>
      <c r="HC176" s="225"/>
      <c r="HD176" s="225"/>
      <c r="HE176" s="225"/>
      <c r="HF176" s="225"/>
      <c r="HG176" s="225"/>
      <c r="HH176" s="225"/>
      <c r="HI176" s="225"/>
      <c r="HJ176" s="225"/>
      <c r="HK176" s="225"/>
      <c r="HL176" s="225"/>
      <c r="HM176" s="225"/>
      <c r="HN176" s="225"/>
      <c r="HO176" s="225"/>
      <c r="HP176" s="225"/>
      <c r="HQ176" s="225"/>
      <c r="HR176" s="225"/>
      <c r="HS176" s="225"/>
      <c r="HT176" s="225"/>
      <c r="HU176" s="225"/>
      <c r="HV176" s="225"/>
      <c r="HW176" s="225"/>
      <c r="HX176" s="225"/>
      <c r="HY176" s="225"/>
      <c r="HZ176" s="225"/>
      <c r="IA176" s="225"/>
      <c r="IB176" s="225"/>
      <c r="IC176" s="225"/>
      <c r="ID176" s="225"/>
      <c r="IE176" s="225"/>
      <c r="IF176" s="225"/>
      <c r="IG176" s="225"/>
      <c r="IH176" s="225"/>
      <c r="II176" s="225"/>
      <c r="IJ176" s="225"/>
      <c r="IK176" s="225"/>
      <c r="IL176" s="225"/>
      <c r="IM176" s="225"/>
      <c r="IN176" s="225"/>
      <c r="IO176" s="225"/>
      <c r="IP176" s="225"/>
      <c r="IQ176" s="225"/>
      <c r="IR176" s="225"/>
      <c r="IS176" s="225"/>
      <c r="IT176" s="225"/>
      <c r="IU176" s="225"/>
      <c r="IV176" s="225"/>
      <c r="IW176" s="225"/>
    </row>
    <row r="177" customFormat="false" ht="12.75" hidden="false" customHeight="false" outlineLevel="0" collapsed="false">
      <c r="A177" s="182" t="s">
        <v>275</v>
      </c>
      <c r="B177" s="216"/>
      <c r="C177" s="2"/>
      <c r="D177" s="2"/>
      <c r="E177" s="2"/>
      <c r="F177" s="2"/>
      <c r="G177" s="2"/>
      <c r="H177" s="2"/>
      <c r="I177" s="2"/>
      <c r="J177" s="3"/>
      <c r="K177" s="2"/>
      <c r="L177" s="18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340614.702339926</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2"/>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5" t="s">
        <v>276</v>
      </c>
      <c r="B179" s="216"/>
      <c r="C179" s="2"/>
      <c r="D179" s="2"/>
      <c r="E179" s="2"/>
      <c r="F179" s="2"/>
      <c r="G179" s="2"/>
      <c r="H179" s="2"/>
      <c r="I179" s="2"/>
      <c r="J179" s="3"/>
      <c r="K179" s="2"/>
      <c r="L179" s="188" t="s">
        <v>142</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2"/>
      <c r="B180" s="216"/>
      <c r="C180" s="2"/>
      <c r="D180" s="2"/>
      <c r="E180" s="2"/>
      <c r="F180" s="2"/>
      <c r="G180" s="2"/>
      <c r="H180" s="2"/>
      <c r="I180" s="2"/>
      <c r="J180" s="3"/>
      <c r="K180" s="2"/>
      <c r="L180" s="188"/>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t="s">
        <v>277</v>
      </c>
      <c r="B181" s="216"/>
      <c r="C181" s="2"/>
      <c r="D181" s="2"/>
      <c r="E181" s="2"/>
      <c r="F181" s="2"/>
      <c r="G181" s="2"/>
      <c r="H181" s="2"/>
      <c r="I181" s="2"/>
      <c r="J181" s="3"/>
      <c r="K181" s="2"/>
      <c r="L181" s="188"/>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t="n">
        <v>100</v>
      </c>
      <c r="BC181" s="24"/>
      <c r="BD181" s="24"/>
      <c r="BE181" s="24"/>
      <c r="BF181" s="24"/>
      <c r="BG181" s="24"/>
      <c r="BH181" s="24"/>
      <c r="BI181" s="24"/>
      <c r="BJ181" s="24"/>
      <c r="BK181" s="24"/>
      <c r="BL181" s="24" t="n">
        <f aca="false">SUM(T181:BK181)</f>
        <v>100</v>
      </c>
      <c r="BM181" s="24"/>
      <c r="BN181" s="24" t="n">
        <v>0</v>
      </c>
      <c r="BO181" s="24"/>
      <c r="BP181" s="24" t="n">
        <f aca="false">+R181-BL181+BN181</f>
        <v>-100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c r="B182" s="216"/>
      <c r="C182" s="2"/>
      <c r="D182" s="2"/>
      <c r="E182" s="2"/>
      <c r="F182" s="2"/>
      <c r="G182" s="2"/>
      <c r="H182" s="2"/>
      <c r="I182" s="2"/>
      <c r="J182" s="3"/>
      <c r="K182" s="2"/>
      <c r="L182" s="188"/>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5" t="s">
        <v>279</v>
      </c>
      <c r="B183" s="216"/>
      <c r="C183" s="2"/>
      <c r="D183" s="2"/>
      <c r="E183" s="2"/>
      <c r="F183" s="2"/>
      <c r="G183" s="2"/>
      <c r="H183" s="2"/>
      <c r="I183" s="2"/>
      <c r="J183" s="3"/>
      <c r="K183" s="2"/>
      <c r="L183" s="188"/>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c r="B184" s="216"/>
      <c r="C184" s="2"/>
      <c r="D184" s="2"/>
      <c r="E184" s="2"/>
      <c r="F184" s="2"/>
      <c r="G184" s="2"/>
      <c r="H184" s="2"/>
      <c r="I184" s="2"/>
      <c r="J184" s="3"/>
      <c r="K184" s="2"/>
      <c r="L184" s="188"/>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t="s">
        <v>280</v>
      </c>
      <c r="B185" s="216"/>
      <c r="C185" s="2"/>
      <c r="D185" s="2"/>
      <c r="E185" s="2"/>
      <c r="F185" s="2"/>
      <c r="G185" s="2"/>
      <c r="H185" s="2"/>
      <c r="I185" s="2"/>
      <c r="J185" s="3"/>
      <c r="K185" s="2"/>
      <c r="L185" s="188"/>
      <c r="M185" s="24"/>
      <c r="N185" s="24"/>
      <c r="O185" s="24"/>
      <c r="P185" s="24"/>
      <c r="Q185" s="24"/>
      <c r="R185" s="24" t="n">
        <f aca="false">R176+R179+R181+R183</f>
        <v>158390291.1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8038835.07</v>
      </c>
      <c r="BA185" s="24" t="n">
        <f aca="false">BA176+BA179+BA181+BA183</f>
        <v>0</v>
      </c>
      <c r="BB185" s="24" t="n">
        <f aca="false">BB176+BB179+BB181+BB183</f>
        <v>1661452.51077082</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134287774.727948</v>
      </c>
      <c r="BM185" s="24" t="n">
        <f aca="false">BM176+BM179+BM181+BM183</f>
        <v>3202104</v>
      </c>
      <c r="BN185" s="24" t="n">
        <f aca="false">BN176+BN179+BN181+BN183</f>
        <v>3969295.16976527</v>
      </c>
      <c r="BO185" s="24" t="n">
        <f aca="false">BO176+BO179+BO181+BO183</f>
        <v>4673615</v>
      </c>
      <c r="BP185" s="24" t="n">
        <f aca="false">BP176+BP179+BP181+BP183</f>
        <v>24745948.371817</v>
      </c>
      <c r="BQ185" s="24" t="n">
        <f aca="false">BQ176+BQ179+BQ181+BQ183</f>
        <v>7699097</v>
      </c>
      <c r="BR185" s="24" t="n">
        <f aca="false">BR176+BR179+BR181+BR183</f>
        <v>159977588.099765</v>
      </c>
      <c r="BS185" s="24" t="n">
        <f aca="false">BS176+BS179+BS181+BS183</f>
        <v>14335953</v>
      </c>
      <c r="BT185" s="24" t="n">
        <f aca="false">BT176+BT179+BT181+BT183</f>
        <v>-1637661.99976527</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c r="B186" s="216"/>
      <c r="C186" s="2"/>
      <c r="D186" s="2"/>
      <c r="E186" s="2"/>
      <c r="F186" s="2"/>
      <c r="G186" s="2"/>
      <c r="H186" s="2"/>
      <c r="I186" s="2"/>
      <c r="J186" s="3"/>
      <c r="K186" s="2"/>
      <c r="L186" s="188"/>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9"/>
      <c r="M187" s="115"/>
      <c r="O187" s="115"/>
      <c r="Q187" s="115"/>
      <c r="S187" s="115"/>
      <c r="T187" s="115"/>
      <c r="U187" s="115"/>
      <c r="V187" s="115"/>
      <c r="X187" s="115"/>
      <c r="Z187" s="115"/>
      <c r="AB187" s="115"/>
      <c r="AD187" s="115"/>
      <c r="BJ187" s="115"/>
      <c r="BK187" s="115"/>
      <c r="BM187" s="115"/>
      <c r="BN187" s="115"/>
      <c r="BO187" s="115"/>
      <c r="BU187" s="115"/>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30" t="s">
        <v>92</v>
      </c>
      <c r="B188" s="231"/>
      <c r="C188" s="130"/>
      <c r="D188" s="130"/>
      <c r="E188" s="130"/>
      <c r="F188" s="130"/>
      <c r="G188" s="130"/>
      <c r="H188" s="130"/>
      <c r="I188" s="130"/>
      <c r="J188" s="232"/>
      <c r="K188" s="130"/>
      <c r="L188" s="233"/>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234"/>
      <c r="BJ188" s="234"/>
      <c r="BK188" s="234"/>
      <c r="BL188" s="234"/>
      <c r="BM188" s="234"/>
      <c r="BN188" s="234"/>
      <c r="BO188" s="234"/>
      <c r="BP188" s="234"/>
      <c r="BQ188" s="234"/>
      <c r="BR188" s="200"/>
      <c r="BS188" s="234"/>
      <c r="BT188" s="234"/>
      <c r="BU188" s="23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281</v>
      </c>
      <c r="C189" s="0"/>
      <c r="D189" s="0"/>
      <c r="E189" s="0"/>
      <c r="F189" s="0"/>
      <c r="G189" s="0"/>
      <c r="H189" s="0"/>
      <c r="I189" s="0"/>
      <c r="J189" s="4"/>
      <c r="K189" s="0"/>
      <c r="L189" s="169" t="s">
        <v>249</v>
      </c>
      <c r="M189" s="115"/>
      <c r="N189" s="115" t="n">
        <v>0</v>
      </c>
      <c r="O189" s="115"/>
      <c r="P189" s="115" t="n">
        <v>220000</v>
      </c>
      <c r="Q189" s="115"/>
      <c r="R189" s="24" t="n">
        <v>0</v>
      </c>
      <c r="S189" s="115"/>
      <c r="T189" s="115"/>
      <c r="U189" s="115"/>
      <c r="V189" s="115"/>
      <c r="X189" s="115" t="n">
        <v>15000</v>
      </c>
      <c r="Z189" s="115" t="n">
        <v>0</v>
      </c>
      <c r="AB189" s="115"/>
      <c r="AD189" s="115"/>
      <c r="BJ189" s="115"/>
      <c r="BK189" s="115"/>
      <c r="BL189" s="24" t="n">
        <f aca="false">SUM(T189:BK189)</f>
        <v>15000</v>
      </c>
      <c r="BM189" s="115"/>
      <c r="BN189" s="115"/>
      <c r="BO189" s="115"/>
      <c r="BP189" s="24" t="n">
        <v>0</v>
      </c>
      <c r="BR189" s="24" t="n">
        <f aca="false">+BP189+BL189</f>
        <v>15000</v>
      </c>
      <c r="BT189" s="24" t="n">
        <v>0</v>
      </c>
      <c r="BU189" s="115"/>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260</v>
      </c>
      <c r="C190" s="0"/>
      <c r="D190" s="0"/>
      <c r="E190" s="0"/>
      <c r="F190" s="0"/>
      <c r="G190" s="0"/>
      <c r="H190" s="0"/>
      <c r="I190" s="0"/>
      <c r="J190" s="4"/>
      <c r="K190" s="0"/>
      <c r="L190" s="169" t="s">
        <v>249</v>
      </c>
      <c r="M190" s="115"/>
      <c r="N190" s="115" t="n">
        <v>0</v>
      </c>
      <c r="O190" s="115"/>
      <c r="P190" s="115" t="n">
        <v>30000</v>
      </c>
      <c r="Q190" s="115"/>
      <c r="R190" s="24" t="n">
        <v>0</v>
      </c>
      <c r="S190" s="115"/>
      <c r="T190" s="115"/>
      <c r="U190" s="115"/>
      <c r="V190" s="115"/>
      <c r="X190" s="115" t="n">
        <v>0</v>
      </c>
      <c r="Z190" s="115"/>
      <c r="AB190" s="115"/>
      <c r="AD190" s="115"/>
      <c r="BJ190" s="115"/>
      <c r="BK190" s="115"/>
      <c r="BL190" s="24" t="n">
        <f aca="false">SUM(T190:BK190)</f>
        <v>0</v>
      </c>
      <c r="BM190" s="115"/>
      <c r="BN190" s="115"/>
      <c r="BO190" s="115"/>
      <c r="BP190" s="24" t="n">
        <v>0</v>
      </c>
      <c r="BR190" s="24" t="n">
        <f aca="false">+BP190+BL190</f>
        <v>0</v>
      </c>
      <c r="BT190" s="24" t="n">
        <f aca="false">+R190-BR190</f>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247</v>
      </c>
      <c r="C191" s="0"/>
      <c r="D191" s="0"/>
      <c r="E191" s="0"/>
      <c r="F191" s="0"/>
      <c r="G191" s="0"/>
      <c r="H191" s="0"/>
      <c r="I191" s="0"/>
      <c r="J191" s="4"/>
      <c r="K191" s="0"/>
      <c r="L191" s="169" t="s">
        <v>249</v>
      </c>
      <c r="M191" s="115"/>
      <c r="N191" s="115" t="n">
        <v>0</v>
      </c>
      <c r="O191" s="115"/>
      <c r="P191" s="115" t="n">
        <v>35000</v>
      </c>
      <c r="Q191" s="115"/>
      <c r="R191" s="24" t="n">
        <v>0</v>
      </c>
      <c r="S191" s="115"/>
      <c r="T191" s="115"/>
      <c r="U191" s="115"/>
      <c r="V191" s="115"/>
      <c r="X191" s="115" t="n">
        <v>0</v>
      </c>
      <c r="Z191" s="115" t="n">
        <v>100</v>
      </c>
      <c r="AB191" s="115"/>
      <c r="AD191" s="115"/>
      <c r="BJ191" s="115"/>
      <c r="BK191" s="115"/>
      <c r="BL191" s="24" t="n">
        <f aca="false">SUM(T191:BK191)</f>
        <v>100</v>
      </c>
      <c r="BM191" s="115"/>
      <c r="BN191" s="115"/>
      <c r="BO191" s="115"/>
      <c r="BP191" s="24" t="n">
        <v>0</v>
      </c>
      <c r="BR191" s="24" t="n">
        <f aca="false">+BP191+BL191</f>
        <v>100</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261</v>
      </c>
      <c r="C192" s="0"/>
      <c r="D192" s="0"/>
      <c r="E192" s="0"/>
      <c r="F192" s="0"/>
      <c r="G192" s="0"/>
      <c r="H192" s="0"/>
      <c r="I192" s="0"/>
      <c r="J192" s="4"/>
      <c r="K192" s="0"/>
      <c r="L192" s="169" t="s">
        <v>249</v>
      </c>
      <c r="M192" s="115"/>
      <c r="N192" s="115" t="n">
        <v>0</v>
      </c>
      <c r="O192" s="115"/>
      <c r="P192" s="115" t="n">
        <v>20000</v>
      </c>
      <c r="Q192" s="115"/>
      <c r="R192" s="24" t="n">
        <v>0</v>
      </c>
      <c r="S192" s="115"/>
      <c r="T192" s="115"/>
      <c r="U192" s="115"/>
      <c r="V192" s="115"/>
      <c r="X192" s="115"/>
      <c r="Z192" s="115"/>
      <c r="AB192" s="115"/>
      <c r="AD192" s="115"/>
      <c r="BJ192" s="115"/>
      <c r="BK192" s="115"/>
      <c r="BL192" s="24" t="n">
        <f aca="false">SUM(T192:BK192)</f>
        <v>0</v>
      </c>
      <c r="BM192" s="115"/>
      <c r="BN192" s="115"/>
      <c r="BO192" s="115"/>
      <c r="BP192" s="24" t="n">
        <v>0</v>
      </c>
      <c r="BR192" s="24" t="n">
        <f aca="false">+BP192+BL192</f>
        <v>0</v>
      </c>
      <c r="BT192" s="24" t="n">
        <f aca="false">+R192-BR192</f>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2" t="s">
        <v>268</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5" t="s">
        <v>417</v>
      </c>
      <c r="B194" s="223"/>
      <c r="C194" s="197"/>
      <c r="D194" s="197"/>
      <c r="E194" s="197"/>
      <c r="F194" s="197"/>
      <c r="G194" s="197"/>
      <c r="H194" s="197"/>
      <c r="I194" s="197"/>
      <c r="J194" s="198"/>
      <c r="K194" s="197"/>
      <c r="L194" s="199"/>
      <c r="M194" s="200"/>
      <c r="N194" s="236" t="n">
        <f aca="false">SUM(N189:N193)</f>
        <v>0</v>
      </c>
      <c r="O194" s="200"/>
      <c r="P194" s="236" t="n">
        <f aca="false">SUM(P189:P193)</f>
        <v>305000</v>
      </c>
      <c r="Q194" s="200"/>
      <c r="R194" s="236" t="n">
        <f aca="false">SUM(R189:R193)</f>
        <v>0</v>
      </c>
      <c r="S194" s="200"/>
      <c r="T194" s="236" t="n">
        <f aca="false">SUM(T189:T193)</f>
        <v>0</v>
      </c>
      <c r="U194" s="200"/>
      <c r="V194" s="236" t="n">
        <f aca="false">SUM(V189:V193)</f>
        <v>0</v>
      </c>
      <c r="W194" s="200"/>
      <c r="X194" s="236" t="n">
        <f aca="false">SUM(X189:X193)</f>
        <v>15000</v>
      </c>
      <c r="Y194" s="200"/>
      <c r="Z194" s="236" t="n">
        <f aca="false">SUM(Z189:Z193)</f>
        <v>100</v>
      </c>
      <c r="AA194" s="236" t="n">
        <f aca="false">SUM(AA189:AA193)</f>
        <v>0</v>
      </c>
      <c r="AB194" s="236" t="n">
        <f aca="false">SUM(AB189:AB193)</f>
        <v>0</v>
      </c>
      <c r="AC194" s="236" t="n">
        <f aca="false">SUM(AC189:AC193)</f>
        <v>0</v>
      </c>
      <c r="AD194" s="236" t="n">
        <f aca="false">SUM(AD189:AD193)</f>
        <v>0</v>
      </c>
      <c r="AE194" s="200"/>
      <c r="AF194" s="236"/>
      <c r="AG194" s="200"/>
      <c r="AH194" s="236"/>
      <c r="AI194" s="200"/>
      <c r="AJ194" s="236"/>
      <c r="AK194" s="200"/>
      <c r="AL194" s="236"/>
      <c r="AM194" s="200"/>
      <c r="AN194" s="236"/>
      <c r="AO194" s="200"/>
      <c r="AP194" s="236"/>
      <c r="AQ194" s="200"/>
      <c r="AR194" s="236"/>
      <c r="AS194" s="200"/>
      <c r="AT194" s="236"/>
      <c r="AU194" s="200"/>
      <c r="AV194" s="236"/>
      <c r="AW194" s="200"/>
      <c r="AX194" s="236"/>
      <c r="AY194" s="200"/>
      <c r="AZ194" s="236"/>
      <c r="BA194" s="200"/>
      <c r="BB194" s="236"/>
      <c r="BC194" s="200"/>
      <c r="BD194" s="236"/>
      <c r="BE194" s="200"/>
      <c r="BF194" s="236"/>
      <c r="BG194" s="200"/>
      <c r="BH194" s="236"/>
      <c r="BI194" s="200"/>
      <c r="BJ194" s="236"/>
      <c r="BK194" s="200"/>
      <c r="BL194" s="236" t="n">
        <f aca="false">SUM(T194:BK194)</f>
        <v>15100</v>
      </c>
      <c r="BM194" s="200"/>
      <c r="BN194" s="236"/>
      <c r="BO194" s="200"/>
      <c r="BP194" s="236" t="n">
        <f aca="false">SUM(BP188:BP193)</f>
        <v>0</v>
      </c>
      <c r="BQ194" s="200"/>
      <c r="BR194" s="236" t="n">
        <f aca="false">+BP194+BL194</f>
        <v>15100</v>
      </c>
      <c r="BS194" s="200"/>
      <c r="BT194" s="236" t="n">
        <f aca="false">SUM(BT189:BT193)</f>
        <v>0</v>
      </c>
      <c r="BU194" s="20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7"/>
      <c r="DT194" s="197"/>
      <c r="DU194" s="197"/>
      <c r="DV194" s="197"/>
      <c r="DW194" s="197"/>
      <c r="DX194" s="197"/>
      <c r="DY194" s="197"/>
      <c r="DZ194" s="197"/>
      <c r="EA194" s="197"/>
      <c r="EB194" s="197"/>
      <c r="EC194" s="197"/>
      <c r="ED194" s="197"/>
      <c r="EE194" s="197"/>
      <c r="EF194" s="197"/>
      <c r="EG194" s="197"/>
      <c r="EH194" s="197"/>
      <c r="EI194" s="197"/>
      <c r="EJ194" s="197"/>
      <c r="EK194" s="197"/>
      <c r="EL194" s="197"/>
      <c r="EM194" s="197"/>
      <c r="EN194" s="197"/>
      <c r="EO194" s="197"/>
      <c r="EP194" s="197"/>
      <c r="EQ194" s="197"/>
      <c r="ER194" s="197"/>
      <c r="ES194" s="197"/>
      <c r="ET194" s="197"/>
      <c r="EU194" s="197"/>
      <c r="EV194" s="197"/>
      <c r="EW194" s="197"/>
      <c r="EX194" s="197"/>
      <c r="EY194" s="197"/>
      <c r="EZ194" s="197"/>
      <c r="FA194" s="197"/>
      <c r="FB194" s="197"/>
      <c r="FC194" s="197"/>
      <c r="FD194" s="197"/>
      <c r="FE194" s="197"/>
      <c r="FF194" s="197"/>
      <c r="FG194" s="197"/>
      <c r="FH194" s="197"/>
      <c r="FI194" s="197"/>
      <c r="FJ194" s="197"/>
      <c r="FK194" s="197"/>
      <c r="FL194" s="197"/>
      <c r="FM194" s="197"/>
      <c r="FN194" s="197"/>
      <c r="FO194" s="197"/>
      <c r="FP194" s="197"/>
      <c r="FQ194" s="197"/>
      <c r="FR194" s="197"/>
      <c r="FS194" s="197"/>
      <c r="FT194" s="197"/>
      <c r="FU194" s="197"/>
      <c r="FV194" s="197"/>
      <c r="FW194" s="197"/>
      <c r="FX194" s="197"/>
      <c r="FY194" s="197"/>
      <c r="FZ194" s="197"/>
      <c r="GA194" s="197"/>
      <c r="GB194" s="197"/>
      <c r="GC194" s="197"/>
      <c r="GD194" s="197"/>
      <c r="GE194" s="197"/>
      <c r="GF194" s="197"/>
      <c r="GG194" s="197"/>
      <c r="GH194" s="197"/>
      <c r="GI194" s="197"/>
      <c r="GJ194" s="197"/>
      <c r="GK194" s="197"/>
      <c r="GL194" s="197"/>
      <c r="GM194" s="197"/>
      <c r="GN194" s="197"/>
      <c r="GO194" s="197"/>
      <c r="GP194" s="197"/>
      <c r="GQ194" s="197"/>
      <c r="GR194" s="197"/>
      <c r="GS194" s="197"/>
      <c r="GT194" s="197"/>
      <c r="GU194" s="197"/>
      <c r="GV194" s="197"/>
      <c r="GW194" s="197"/>
      <c r="GX194" s="197"/>
      <c r="GY194" s="197"/>
      <c r="GZ194" s="197"/>
      <c r="HA194" s="197"/>
      <c r="HB194" s="197"/>
      <c r="HC194" s="197"/>
      <c r="HD194" s="197"/>
      <c r="HE194" s="197"/>
      <c r="HF194" s="197"/>
      <c r="HG194" s="197"/>
      <c r="HH194" s="197"/>
      <c r="HI194" s="197"/>
      <c r="HJ194" s="197"/>
      <c r="HK194" s="197"/>
      <c r="HL194" s="197"/>
      <c r="HM194" s="197"/>
      <c r="HN194" s="197"/>
      <c r="HO194" s="197"/>
      <c r="HP194" s="197"/>
      <c r="HQ194" s="197"/>
      <c r="HR194" s="197"/>
      <c r="HS194" s="197"/>
      <c r="HT194" s="197"/>
      <c r="HU194" s="197"/>
      <c r="HV194" s="197"/>
      <c r="HW194" s="197"/>
      <c r="HX194" s="197"/>
      <c r="HY194" s="197"/>
      <c r="HZ194" s="197"/>
      <c r="IA194" s="197"/>
      <c r="IB194" s="197"/>
      <c r="IC194" s="197"/>
      <c r="ID194" s="197"/>
      <c r="IE194" s="197"/>
      <c r="IF194" s="197"/>
      <c r="IG194" s="197"/>
      <c r="IH194" s="197"/>
      <c r="II194" s="197"/>
      <c r="IJ194" s="197"/>
      <c r="IK194" s="197"/>
      <c r="IL194" s="197"/>
      <c r="IM194" s="197"/>
      <c r="IN194" s="197"/>
      <c r="IO194" s="197"/>
      <c r="IP194" s="197"/>
      <c r="IQ194" s="197"/>
      <c r="IR194" s="197"/>
      <c r="IS194" s="197"/>
      <c r="IT194" s="197"/>
      <c r="IU194" s="197"/>
      <c r="IV194" s="197"/>
      <c r="IW194" s="197"/>
    </row>
    <row r="195" customFormat="false" ht="13.5" hidden="false" customHeight="false" outlineLevel="0" collapsed="false">
      <c r="C195" s="0"/>
      <c r="D195" s="0"/>
      <c r="E195" s="0"/>
      <c r="F195" s="0"/>
      <c r="G195" s="0"/>
      <c r="H195" s="0"/>
      <c r="I195" s="0"/>
      <c r="J195" s="4"/>
      <c r="K195" s="0"/>
      <c r="L195" s="169"/>
      <c r="M195" s="115"/>
      <c r="O195" s="115"/>
      <c r="Q195" s="115"/>
      <c r="S195" s="115"/>
      <c r="T195" s="115"/>
      <c r="U195" s="115"/>
      <c r="V195" s="115"/>
      <c r="X195" s="115"/>
      <c r="Z195" s="115"/>
      <c r="AB195" s="115"/>
      <c r="AD195" s="115"/>
      <c r="BJ195" s="115"/>
      <c r="BK195" s="115"/>
      <c r="BM195" s="115"/>
      <c r="BN195" s="115"/>
      <c r="BO195" s="115"/>
      <c r="BR195" s="215"/>
      <c r="BU195" s="115"/>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4"/>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30" t="s">
        <v>418</v>
      </c>
      <c r="B198" s="231"/>
      <c r="C198" s="130"/>
      <c r="D198" s="130"/>
      <c r="E198" s="130"/>
      <c r="F198" s="130"/>
      <c r="G198" s="130"/>
      <c r="H198" s="130"/>
      <c r="I198" s="130"/>
      <c r="J198" s="232"/>
      <c r="K198" s="130"/>
      <c r="L198" s="233"/>
      <c r="M198" s="234"/>
      <c r="N198" s="236" t="e">
        <f aca="false">#REF!+N194</f>
        <v>#REF!</v>
      </c>
      <c r="O198" s="236"/>
      <c r="P198" s="236" t="e">
        <f aca="false">#REF!+P194</f>
        <v>#REF!</v>
      </c>
      <c r="Q198" s="236"/>
      <c r="R198" s="236" t="n">
        <f aca="false">R176+R194</f>
        <v>158451248.1</v>
      </c>
      <c r="S198" s="236" t="n">
        <f aca="false">S176+S194</f>
        <v>0</v>
      </c>
      <c r="T198" s="236" t="n">
        <f aca="false">T176+T194</f>
        <v>17087218</v>
      </c>
      <c r="U198" s="236" t="n">
        <f aca="false">U176+U194</f>
        <v>0</v>
      </c>
      <c r="V198" s="236" t="n">
        <f aca="false">V176+V194</f>
        <v>43642668.53</v>
      </c>
      <c r="W198" s="236" t="n">
        <f aca="false">W176+W194</f>
        <v>0</v>
      </c>
      <c r="X198" s="236" t="n">
        <f aca="false">X176+X194</f>
        <v>4711471.93</v>
      </c>
      <c r="Y198" s="236" t="n">
        <f aca="false">Y176+Y194</f>
        <v>0</v>
      </c>
      <c r="Z198" s="236" t="n">
        <f aca="false">Z176+Z194</f>
        <v>440829.95</v>
      </c>
      <c r="AA198" s="236" t="n">
        <f aca="false">AA176+AA194</f>
        <v>0</v>
      </c>
      <c r="AB198" s="236" t="n">
        <f aca="false">AB176+AB194</f>
        <v>4762739.43</v>
      </c>
      <c r="AC198" s="236" t="n">
        <f aca="false">AC176+AC194</f>
        <v>0</v>
      </c>
      <c r="AD198" s="236" t="n">
        <f aca="false">AD176+AD194</f>
        <v>9142692.68</v>
      </c>
      <c r="AE198" s="236" t="n">
        <f aca="false">AE176+AE194</f>
        <v>0</v>
      </c>
      <c r="AF198" s="236" t="n">
        <f aca="false">AF176+AF194</f>
        <v>573248.108620833</v>
      </c>
      <c r="AG198" s="236" t="n">
        <f aca="false">AG176+AG194</f>
        <v>0</v>
      </c>
      <c r="AH198" s="236" t="n">
        <f aca="false">AH176+AH194</f>
        <v>1116780.75213836</v>
      </c>
      <c r="AI198" s="236" t="n">
        <f aca="false">AI176+AI194</f>
        <v>0</v>
      </c>
      <c r="AJ198" s="236" t="n">
        <f aca="false">AJ176+AJ194</f>
        <v>1496281.32641661</v>
      </c>
      <c r="AK198" s="236" t="n">
        <f aca="false">AK176+AK194</f>
        <v>0</v>
      </c>
      <c r="AL198" s="236" t="n">
        <f aca="false">AL176+AL194</f>
        <v>1780115.93</v>
      </c>
      <c r="AM198" s="236" t="n">
        <f aca="false">AM176+AM194</f>
        <v>0</v>
      </c>
      <c r="AN198" s="236" t="n">
        <f aca="false">AN176+AN194</f>
        <v>1566383.00550692</v>
      </c>
      <c r="AO198" s="236" t="n">
        <f aca="false">AO176+AO194</f>
        <v>0</v>
      </c>
      <c r="AP198" s="236" t="n">
        <f aca="false">AP176+AP194</f>
        <v>5481999.37096592</v>
      </c>
      <c r="AQ198" s="236" t="n">
        <f aca="false">AQ176+AQ194</f>
        <v>0</v>
      </c>
      <c r="AR198" s="236" t="n">
        <f aca="false">AR176+AR194</f>
        <v>4677967.54</v>
      </c>
      <c r="AS198" s="236" t="n">
        <f aca="false">AS176+AS194</f>
        <v>0</v>
      </c>
      <c r="AT198" s="236" t="n">
        <f aca="false">AT176+AT194</f>
        <v>8750380.30511004</v>
      </c>
      <c r="AU198" s="236" t="n">
        <f aca="false">AU176+AU194</f>
        <v>0</v>
      </c>
      <c r="AV198" s="236" t="n">
        <f aca="false">AV176+AV194</f>
        <v>9706071.65825994</v>
      </c>
      <c r="AW198" s="236" t="n">
        <f aca="false">AW176+AW194</f>
        <v>0</v>
      </c>
      <c r="AX198" s="236" t="n">
        <f aca="false">AX176+AX194</f>
        <v>9777060.12015885</v>
      </c>
      <c r="AY198" s="236" t="n">
        <f aca="false">AY176+AY194</f>
        <v>0</v>
      </c>
      <c r="AZ198" s="236" t="n">
        <f aca="false">AZ176+AZ194</f>
        <v>8038835.07</v>
      </c>
      <c r="BA198" s="236" t="n">
        <f aca="false">BA176+BA194</f>
        <v>0</v>
      </c>
      <c r="BB198" s="236" t="n">
        <f aca="false">BB176+BB194</f>
        <v>1661352.51077082</v>
      </c>
      <c r="BC198" s="236" t="n">
        <f aca="false">BC176+BC194</f>
        <v>0</v>
      </c>
      <c r="BD198" s="236" t="n">
        <f aca="false">BD176+BD194</f>
        <v>0</v>
      </c>
      <c r="BE198" s="236" t="n">
        <f aca="false">BE176+BE194</f>
        <v>0</v>
      </c>
      <c r="BF198" s="236" t="n">
        <f aca="false">BF176+BF194</f>
        <v>0</v>
      </c>
      <c r="BG198" s="236" t="n">
        <f aca="false">BG176+BG194</f>
        <v>0</v>
      </c>
      <c r="BH198" s="236" t="n">
        <f aca="false">BH176+BH194</f>
        <v>0</v>
      </c>
      <c r="BI198" s="236" t="n">
        <f aca="false">BI176+BI194</f>
        <v>0</v>
      </c>
      <c r="BJ198" s="236" t="n">
        <f aca="false">BJ176+BJ194</f>
        <v>0</v>
      </c>
      <c r="BK198" s="236" t="n">
        <f aca="false">BK176+BK194</f>
        <v>0</v>
      </c>
      <c r="BL198" s="236" t="n">
        <f aca="false">BL176+BL194</f>
        <v>134414096.217948</v>
      </c>
      <c r="BM198" s="236" t="n">
        <f aca="false">BM176+BM194</f>
        <v>3202104</v>
      </c>
      <c r="BN198" s="236" t="n">
        <f aca="false">BN176+BN194</f>
        <v>3969295.16976527</v>
      </c>
      <c r="BO198" s="236" t="n">
        <f aca="false">BO176+BO194</f>
        <v>4673615</v>
      </c>
      <c r="BP198" s="236" t="n">
        <f aca="false">BP176+BP194</f>
        <v>24746048.881817</v>
      </c>
      <c r="BQ198" s="236" t="n">
        <f aca="false">BQ176+BQ194</f>
        <v>7699097</v>
      </c>
      <c r="BR198" s="236" t="n">
        <f aca="false">BR176+BR194</f>
        <v>160104010.099765</v>
      </c>
      <c r="BS198" s="236" t="n">
        <f aca="false">BS176+BS194</f>
        <v>14335953</v>
      </c>
      <c r="BT198" s="236" t="n">
        <f aca="false">BT176+BT194</f>
        <v>-1637661.99976527</v>
      </c>
      <c r="BU198" s="23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c r="IV198" s="231"/>
      <c r="IW198" s="231"/>
    </row>
    <row r="199" customFormat="false" ht="13.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419</v>
      </c>
      <c r="B200" s="231"/>
      <c r="C200" s="130"/>
      <c r="D200" s="130"/>
      <c r="E200" s="130"/>
      <c r="F200" s="130"/>
      <c r="G200" s="130"/>
      <c r="H200" s="130"/>
      <c r="I200" s="130"/>
      <c r="J200" s="232"/>
      <c r="K200" s="130"/>
      <c r="L200" s="233"/>
      <c r="M200" s="234"/>
      <c r="N200" s="236" t="e">
        <f aca="false">#REF!+N196</f>
        <v>#REF!</v>
      </c>
      <c r="O200" s="236"/>
      <c r="P200" s="236" t="e">
        <f aca="false">#REF!+P196</f>
        <v>#REF!</v>
      </c>
      <c r="Q200" s="236"/>
      <c r="R200" s="236" t="n">
        <f aca="false">R185+R194</f>
        <v>158390291.1</v>
      </c>
      <c r="S200" s="236" t="n">
        <f aca="false">S185+S194</f>
        <v>0</v>
      </c>
      <c r="T200" s="236" t="n">
        <f aca="false">T185+T194</f>
        <v>17087218</v>
      </c>
      <c r="U200" s="236" t="n">
        <f aca="false">U185+U194</f>
        <v>0</v>
      </c>
      <c r="V200" s="236" t="n">
        <f aca="false">V185+V194</f>
        <v>43642668.53</v>
      </c>
      <c r="W200" s="236" t="n">
        <f aca="false">W185+W194</f>
        <v>0</v>
      </c>
      <c r="X200" s="236" t="n">
        <f aca="false">X185+X194</f>
        <v>4711471.93</v>
      </c>
      <c r="Y200" s="236" t="n">
        <f aca="false">Y185+Y194</f>
        <v>0</v>
      </c>
      <c r="Z200" s="236" t="n">
        <f aca="false">Z185+Z194</f>
        <v>419273.55</v>
      </c>
      <c r="AA200" s="236" t="n">
        <f aca="false">AA185+AA194</f>
        <v>0</v>
      </c>
      <c r="AB200" s="236" t="n">
        <f aca="false">AB185+AB194</f>
        <v>4762089.34</v>
      </c>
      <c r="AC200" s="236" t="n">
        <f aca="false">AC185+AC194</f>
        <v>0</v>
      </c>
      <c r="AD200" s="236" t="n">
        <f aca="false">AD185+AD194</f>
        <v>9103942.68</v>
      </c>
      <c r="AE200" s="236" t="n">
        <f aca="false">AE185+AE194</f>
        <v>0</v>
      </c>
      <c r="AF200" s="236" t="n">
        <f aca="false">AF185+AF194</f>
        <v>546828.108620833</v>
      </c>
      <c r="AG200" s="236" t="n">
        <f aca="false">AG185+AG194</f>
        <v>0</v>
      </c>
      <c r="AH200" s="236" t="n">
        <f aca="false">AH185+AH194</f>
        <v>1092835.75213836</v>
      </c>
      <c r="AI200" s="236" t="n">
        <f aca="false">AI185+AI194</f>
        <v>0</v>
      </c>
      <c r="AJ200" s="236" t="n">
        <f aca="false">AJ185+AJ194</f>
        <v>1496281.32641661</v>
      </c>
      <c r="AK200" s="236" t="n">
        <f aca="false">AK185+AK194</f>
        <v>0</v>
      </c>
      <c r="AL200" s="236" t="n">
        <f aca="false">AL185+AL194</f>
        <v>1780115.93</v>
      </c>
      <c r="AM200" s="236" t="n">
        <f aca="false">AM185+AM194</f>
        <v>0</v>
      </c>
      <c r="AN200" s="236" t="n">
        <f aca="false">AN185+AN194</f>
        <v>1603218.00550692</v>
      </c>
      <c r="AO200" s="236" t="n">
        <f aca="false">AO185+AO194</f>
        <v>0</v>
      </c>
      <c r="AP200" s="236" t="n">
        <f aca="false">AP185+AP194</f>
        <v>5445164.37096592</v>
      </c>
      <c r="AQ200" s="236" t="n">
        <f aca="false">AQ185+AQ194</f>
        <v>0</v>
      </c>
      <c r="AR200" s="236" t="n">
        <f aca="false">AR185+AR194</f>
        <v>4677967.54</v>
      </c>
      <c r="AS200" s="236" t="n">
        <f aca="false">AS185+AS194</f>
        <v>0</v>
      </c>
      <c r="AT200" s="236" t="n">
        <f aca="false">AT185+AT194</f>
        <v>8750380.30511004</v>
      </c>
      <c r="AU200" s="236" t="n">
        <f aca="false">AU185+AU194</f>
        <v>0</v>
      </c>
      <c r="AV200" s="236" t="n">
        <f aca="false">AV185+AV194</f>
        <v>9706071.65825994</v>
      </c>
      <c r="AW200" s="236" t="n">
        <f aca="false">AW185+AW194</f>
        <v>0</v>
      </c>
      <c r="AX200" s="236" t="n">
        <f aca="false">AX185+AX194</f>
        <v>9777060.12015885</v>
      </c>
      <c r="AY200" s="236" t="n">
        <f aca="false">AY185+AY194</f>
        <v>0</v>
      </c>
      <c r="AZ200" s="236" t="n">
        <f aca="false">AZ185+AZ194</f>
        <v>8038835.07</v>
      </c>
      <c r="BA200" s="236" t="n">
        <f aca="false">BA185+BA194</f>
        <v>0</v>
      </c>
      <c r="BB200" s="236" t="n">
        <f aca="false">BB185+BB194</f>
        <v>1661452.51077082</v>
      </c>
      <c r="BC200" s="236" t="n">
        <f aca="false">BC185+BC194</f>
        <v>0</v>
      </c>
      <c r="BD200" s="236" t="n">
        <f aca="false">BD185+BD194</f>
        <v>0</v>
      </c>
      <c r="BE200" s="236" t="n">
        <f aca="false">BE185+BE194</f>
        <v>0</v>
      </c>
      <c r="BF200" s="236" t="n">
        <f aca="false">BF185+BF194</f>
        <v>0</v>
      </c>
      <c r="BG200" s="236" t="n">
        <f aca="false">BG185+BG194</f>
        <v>0</v>
      </c>
      <c r="BH200" s="236" t="n">
        <f aca="false">BH185+BH194</f>
        <v>0</v>
      </c>
      <c r="BI200" s="236" t="n">
        <f aca="false">BI185+BI194</f>
        <v>0</v>
      </c>
      <c r="BJ200" s="236" t="n">
        <f aca="false">BJ185+BJ194</f>
        <v>0</v>
      </c>
      <c r="BK200" s="236" t="n">
        <f aca="false">BK185+BK194</f>
        <v>0</v>
      </c>
      <c r="BL200" s="236" t="n">
        <f aca="false">BL185+BL194</f>
        <v>134302874.727948</v>
      </c>
      <c r="BM200" s="236" t="n">
        <f aca="false">BM185+BM194</f>
        <v>3202104</v>
      </c>
      <c r="BN200" s="236" t="n">
        <f aca="false">BN185+BN194</f>
        <v>3969295.16976527</v>
      </c>
      <c r="BO200" s="236" t="n">
        <f aca="false">BO185+BO194</f>
        <v>4673615</v>
      </c>
      <c r="BP200" s="236" t="n">
        <f aca="false">BP185+BP194</f>
        <v>24745948.371817</v>
      </c>
      <c r="BQ200" s="236" t="n">
        <f aca="false">BQ185+BQ194</f>
        <v>7699097</v>
      </c>
      <c r="BR200" s="236" t="n">
        <f aca="false">BR185+BR194</f>
        <v>159992688.099765</v>
      </c>
      <c r="BS200" s="236" t="n">
        <f aca="false">BS185+BS194</f>
        <v>14335953</v>
      </c>
      <c r="BT200" s="236" t="n">
        <f aca="false">BT185+BT194</f>
        <v>-1637661.99976527</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c r="M214" s="115"/>
      <c r="O214" s="115"/>
      <c r="Q214" s="115"/>
      <c r="S214" s="115"/>
      <c r="T214" s="115"/>
      <c r="U214" s="115"/>
      <c r="V214" s="115"/>
      <c r="X214" s="115"/>
      <c r="Z214" s="115"/>
      <c r="AB214" s="115"/>
      <c r="AD214" s="115"/>
      <c r="BJ214" s="115"/>
      <c r="BK214" s="115"/>
      <c r="BM214" s="115"/>
      <c r="BN214" s="115"/>
      <c r="BO214" s="115"/>
      <c r="BU214" s="115"/>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K222" s="124"/>
      <c r="L222" s="237"/>
    </row>
    <row r="223" customFormat="false" ht="12.75" hidden="false" customHeight="false" outlineLevel="0" collapsed="false">
      <c r="L223" s="169"/>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clau</cp:lastModifiedBy>
  <cp:lastPrinted>2000-06-05T19:31:27Z</cp:lastPrinted>
  <cp:revision>0</cp:revision>
  <dc:subject/>
  <dc:title/>
</cp:coreProperties>
</file>