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00" sheetId="1" state="visible" r:id="rId3"/>
  </sheets>
  <externalReferences>
    <externalReference r:id="rId4"/>
  </externalReferences>
  <definedNames>
    <definedName function="false" hidden="false" localSheetId="0" name="_xlnm.Print_Area" vbProcedure="false">PLAN00!$A$3:$R$290</definedName>
    <definedName function="false" hidden="false" localSheetId="0" name="_xlnm.Print_Titles" vbProcedure="false">PLAN00!$1:$10</definedName>
    <definedName function="false" hidden="false" name="BLANCO_CE" vbProcedure="false">#REF!</definedName>
    <definedName function="false" hidden="false" name="BLANCO_EST" vbProcedure="false">#REF!</definedName>
    <definedName function="false" hidden="false" name="BLANCO_PLAN" vbProcedure="false">#REF!</definedName>
    <definedName function="false" hidden="false" name="COMP_ACT95" vbProcedure="false">#REF!</definedName>
    <definedName function="false" hidden="false" name="COST_CE" vbProcedure="false">#REF!</definedName>
    <definedName function="false" hidden="false" name="COST_CE2_A" vbProcedure="false">#REF!</definedName>
    <definedName function="false" hidden="false" name="COST_EST" vbProcedure="false">#REF!</definedName>
    <definedName function="false" hidden="false" name="COST_PLAN" vbProcedure="false">#REF!</definedName>
    <definedName function="false" hidden="false" name="COST_PLAN97_A" vbProcedure="false">#REF!</definedName>
    <definedName function="false" hidden="false" name="DCHANGE_ACT95" vbProcedure="false">#REF!</definedName>
    <definedName function="false" hidden="false" name="DEMAND_ACT95" vbProcedure="false">#REF!</definedName>
    <definedName function="false" hidden="false" name="DISC_ACT95" vbProcedure="false">#REF!</definedName>
    <definedName function="false" hidden="false" name="EASTFT_ACT95" vbProcedure="false">#REF!</definedName>
    <definedName function="false" hidden="false" name="EASTFT_CE" vbProcedure="false">#REF!</definedName>
    <definedName function="false" hidden="false" name="EASTFT_EST" vbProcedure="false">#REF!</definedName>
    <definedName function="false" hidden="false" name="EASTFT_PLAN" vbProcedure="false">#REF!</definedName>
    <definedName function="false" hidden="false" name="EASTIT_ACT95" vbProcedure="false">#REF!</definedName>
    <definedName function="false" hidden="false" name="EASTIT_CE" vbProcedure="false">#REF!</definedName>
    <definedName function="false" hidden="false" name="EASTIT_EST" vbProcedure="false">#REF!</definedName>
    <definedName function="false" hidden="false" name="EASTIT_PALN" vbProcedure="false">#REF!</definedName>
    <definedName function="false" hidden="false" name="EAST_ACT95" vbProcedure="false">#REF!</definedName>
    <definedName function="false" hidden="false" name="EAST_CE" vbProcedure="false">#REF!</definedName>
    <definedName function="false" hidden="false" name="EAST_EST" vbProcedure="false">#REF!</definedName>
    <definedName function="false" hidden="false" name="EAST_PLAN" vbProcedure="false">#REF!</definedName>
    <definedName function="false" hidden="false" name="FTS_ACT95" vbProcedure="false">#REF!</definedName>
    <definedName function="false" hidden="false" name="FTS_CE" vbProcedure="false">#REF!</definedName>
    <definedName function="false" hidden="false" name="FTS_EST" vbProcedure="false">#REF!</definedName>
    <definedName function="false" hidden="false" name="FTS_PLAN" vbProcedure="false">#REF!</definedName>
    <definedName function="false" hidden="false" name="FUEL_ACT95" vbProcedure="false">#REF!</definedName>
    <definedName function="false" hidden="false" name="FUEL_CE" vbProcedure="false">#REF!</definedName>
    <definedName function="false" hidden="false" name="FUEL_EST" vbProcedure="false">#REF!</definedName>
    <definedName function="false" hidden="false" name="FUEL_PLAN" vbProcedure="false">#REF!</definedName>
    <definedName function="false" hidden="false" name="ITS_ACT95" vbProcedure="false">#REF!</definedName>
    <definedName function="false" hidden="false" name="ITS_CE" vbProcedure="false">#REF!</definedName>
    <definedName function="false" hidden="false" name="ITS_EST" vbProcedure="false">#REF!</definedName>
    <definedName function="false" hidden="false" name="ITS_PLAN" vbProcedure="false">#REF!</definedName>
    <definedName function="false" hidden="false" name="MARGIN_ACT95" vbProcedure="false">#REF!</definedName>
    <definedName function="false" hidden="false" name="MARGIN_CE" vbProcedure="false">#REF!</definedName>
    <definedName function="false" hidden="false" name="MARGIN_EST" vbProcedure="false">#REF!</definedName>
    <definedName function="false" hidden="false" name="MARGIN_PLAN" vbProcedure="false">#REF!</definedName>
    <definedName function="false" hidden="false" name="MARGIN_PLAN97_A" vbProcedure="false">PLAN00!$A$114:$T$180</definedName>
    <definedName function="false" hidden="false" name="RATES_ACT95" vbProcedure="false">#REF!</definedName>
    <definedName function="false" hidden="false" name="REVENUE_PLAN97_A" vbProcedure="false">PLAN00!$A$181:$T$290</definedName>
    <definedName function="false" hidden="false" name="REVSUM_ATC95" vbProcedure="false">#REF!</definedName>
    <definedName function="false" hidden="false" name="REVSUM_ESTIMATE_A" vbProcedure="false">#REF!</definedName>
    <definedName function="false" hidden="false" name="R_ACT95" vbProcedure="false">#REF!</definedName>
    <definedName function="false" hidden="false" name="SALES_ACT95" vbProcedure="false">#REF!</definedName>
    <definedName function="false" hidden="false" name="SALES_CE" vbProcedure="false">#REF!</definedName>
    <definedName function="false" hidden="false" name="SALES_CE2_A" vbProcedure="false">#REF!</definedName>
    <definedName function="false" hidden="false" name="SALES_EST" vbProcedure="false">#REF!</definedName>
    <definedName function="false" hidden="false" name="SALES_PLAN" vbProcedure="false">#REF!</definedName>
    <definedName function="false" hidden="false" name="SALES_PLAN97_A" vbProcedure="false">PLAN00!$A$1:$N$290</definedName>
    <definedName function="false" hidden="false" name="SJEAST_CE" vbProcedure="false">#REF!</definedName>
    <definedName function="false" hidden="false" name="SJEAST_EST" vbProcedure="false">#REF!</definedName>
    <definedName function="false" hidden="false" name="SJEAST_PLAN" vbProcedure="false">#REF!</definedName>
    <definedName function="false" hidden="false" name="SJTHOR_CE" vbProcedure="false">#REF!</definedName>
    <definedName function="false" hidden="false" name="SJTHOR_EST" vbProcedure="false">#REF!</definedName>
    <definedName function="false" hidden="false" name="SJTHOR_PLAN" vbProcedure="false">#REF!</definedName>
    <definedName function="false" hidden="false" name="SJ_ACT95" vbProcedure="false">#REF!</definedName>
    <definedName function="false" hidden="false" name="SJ_CE" vbProcedure="false">#REF!</definedName>
    <definedName function="false" hidden="false" name="SJ_EST" vbProcedure="false">#REF!</definedName>
    <definedName function="false" hidden="false" name="SJ_PLAN" vbProcedure="false">#REF!</definedName>
    <definedName function="false" hidden="false" name="SUMMARY_ACT95" vbProcedure="false">#REF!</definedName>
    <definedName function="false" hidden="false" name="SUMMARY_CE" vbProcedure="false">#REF!</definedName>
    <definedName function="false" hidden="false" name="SUMMARY_CE2" vbProcedure="false">#REF!</definedName>
    <definedName function="false" hidden="false" name="SUMMARY_EST" vbProcedure="false">#REF!</definedName>
    <definedName function="false" hidden="false" name="SUMMARY_PLAN" vbProcedure="false">#REF!</definedName>
    <definedName function="false" hidden="false" name="SUMMARY_PLAN97_A" vbProcedure="false">PLAN00!$A$3:$R$290</definedName>
    <definedName function="false" hidden="false" name="VAR_ACT95" vbProcedure="false">#REF!</definedName>
    <definedName function="false" hidden="false" name="VOLUME_CE" vbProcedure="false">#REF!</definedName>
    <definedName function="false" hidden="false" name="VOLUME_EST" vbProcedure="false">#REF!</definedName>
    <definedName function="false" hidden="false" name="VOLUME_PLAN" vbProcedure="false">#REF!</definedName>
    <definedName function="false" hidden="false" name="VOLUME_PLAN97_A" vbProcedure="false">PLAN00!$A$3:$T$112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48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39</xdr:row>
                <xdr:rowOff>4</xdr:rowOff>
              </xdr:from>
              <xdr:to>
                <xdr:col>19</xdr:col>
                <xdr:colOff>59</xdr:colOff>
                <xdr:row>42</xdr:row>
                <xdr:rowOff>12</xdr:rowOff>
              </xdr:to>
            </anchor>
          </commentPr>
        </mc:Choice>
        <mc:Fallback/>
      </mc:AlternateContent>
    </comment>
    <comment ref="O18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149</xdr:row>
                <xdr:rowOff>12</xdr:rowOff>
              </xdr:from>
              <xdr:to>
                <xdr:col>19</xdr:col>
                <xdr:colOff>59</xdr:colOff>
                <xdr:row>153</xdr:row>
                <xdr:rowOff>1</xdr:rowOff>
              </xdr:to>
            </anchor>
          </commentPr>
        </mc:Choice>
        <mc:Fallback/>
      </mc:AlternateContent>
    </comment>
    <comment ref="O184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152</xdr:row>
                <xdr:rowOff>16</xdr:rowOff>
              </xdr:from>
              <xdr:to>
                <xdr:col>19</xdr:col>
                <xdr:colOff>59</xdr:colOff>
                <xdr:row>156</xdr:row>
                <xdr:rowOff>7</xdr:rowOff>
              </xdr:to>
            </anchor>
          </commentPr>
        </mc:Choice>
        <mc:Fallback/>
      </mc:AlternateContent>
    </comment>
    <comment ref="O185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153</xdr:row>
                <xdr:rowOff>12</xdr:rowOff>
              </xdr:from>
              <xdr:to>
                <xdr:col>19</xdr:col>
                <xdr:colOff>59</xdr:colOff>
                <xdr:row>157</xdr:row>
                <xdr:rowOff>10</xdr:rowOff>
              </xdr:to>
            </anchor>
          </commentPr>
        </mc:Choice>
        <mc:Fallback/>
      </mc:AlternateContent>
    </comment>
    <comment ref="O186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154</xdr:row>
                <xdr:rowOff>5</xdr:rowOff>
              </xdr:from>
              <xdr:to>
                <xdr:col>19</xdr:col>
                <xdr:colOff>59</xdr:colOff>
                <xdr:row>157</xdr:row>
                <xdr:rowOff>20</xdr:rowOff>
              </xdr:to>
            </anchor>
          </commentPr>
        </mc:Choice>
        <mc:Fallback/>
      </mc:AlternateContent>
    </comment>
    <comment ref="O187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155</xdr:row>
                <xdr:rowOff>5</xdr:rowOff>
              </xdr:from>
              <xdr:to>
                <xdr:col>19</xdr:col>
                <xdr:colOff>59</xdr:colOff>
                <xdr:row>158</xdr:row>
                <xdr:rowOff>13</xdr:rowOff>
              </xdr:to>
            </anchor>
          </commentPr>
        </mc:Choice>
        <mc:Fallback/>
      </mc:AlternateContent>
    </comment>
    <comment ref="O188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155</xdr:row>
                <xdr:rowOff>22</xdr:rowOff>
              </xdr:from>
              <xdr:to>
                <xdr:col>19</xdr:col>
                <xdr:colOff>59</xdr:colOff>
                <xdr:row>159</xdr:row>
                <xdr:rowOff>13</xdr:rowOff>
              </xdr:to>
            </anchor>
          </commentPr>
        </mc:Choice>
        <mc:Fallback/>
      </mc:AlternateContent>
    </comment>
    <comment ref="O19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158</xdr:row>
                <xdr:rowOff>8</xdr:rowOff>
              </xdr:from>
              <xdr:to>
                <xdr:col>19</xdr:col>
                <xdr:colOff>59</xdr:colOff>
                <xdr:row>161</xdr:row>
                <xdr:rowOff>23</xdr:rowOff>
              </xdr:to>
            </anchor>
          </commentPr>
        </mc:Choice>
        <mc:Fallback/>
      </mc:AlternateContent>
    </comment>
    <comment ref="O192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159</xdr:row>
                <xdr:rowOff>8</xdr:rowOff>
              </xdr:from>
              <xdr:to>
                <xdr:col>19</xdr:col>
                <xdr:colOff>59</xdr:colOff>
                <xdr:row>162</xdr:row>
                <xdr:rowOff>16</xdr:rowOff>
              </xdr:to>
            </anchor>
          </commentPr>
        </mc:Choice>
        <mc:Fallback/>
      </mc:AlternateContent>
    </comment>
    <comment ref="O193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160</xdr:row>
                <xdr:rowOff>1</xdr:rowOff>
              </xdr:from>
              <xdr:to>
                <xdr:col>19</xdr:col>
                <xdr:colOff>59</xdr:colOff>
                <xdr:row>163</xdr:row>
                <xdr:rowOff>16</xdr:rowOff>
              </xdr:to>
            </anchor>
          </commentPr>
        </mc:Choice>
        <mc:Fallback/>
      </mc:AlternateContent>
    </comment>
    <comment ref="O194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161</xdr:row>
                <xdr:rowOff>1</xdr:rowOff>
              </xdr:from>
              <xdr:to>
                <xdr:col>19</xdr:col>
                <xdr:colOff>59</xdr:colOff>
                <xdr:row>164</xdr:row>
                <xdr:rowOff>9</xdr:rowOff>
              </xdr:to>
            </anchor>
          </commentPr>
        </mc:Choice>
        <mc:Fallback/>
      </mc:AlternateContent>
    </comment>
    <comment ref="O195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161</xdr:row>
                <xdr:rowOff>18</xdr:rowOff>
              </xdr:from>
              <xdr:to>
                <xdr:col>19</xdr:col>
                <xdr:colOff>59</xdr:colOff>
                <xdr:row>165</xdr:row>
                <xdr:rowOff>9</xdr:rowOff>
              </xdr:to>
            </anchor>
          </commentPr>
        </mc:Choice>
        <mc:Fallback/>
      </mc:AlternateContent>
    </comment>
    <comment ref="O197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163</xdr:row>
                <xdr:rowOff>11</xdr:rowOff>
              </xdr:from>
              <xdr:to>
                <xdr:col>19</xdr:col>
                <xdr:colOff>59</xdr:colOff>
                <xdr:row>167</xdr:row>
                <xdr:rowOff>2</xdr:rowOff>
              </xdr:to>
            </anchor>
          </commentPr>
        </mc:Choice>
        <mc:Fallback/>
      </mc:AlternateContent>
    </comment>
    <comment ref="O207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171</xdr:row>
                <xdr:rowOff>17</xdr:rowOff>
              </xdr:from>
              <xdr:to>
                <xdr:col>19</xdr:col>
                <xdr:colOff>59</xdr:colOff>
                <xdr:row>175</xdr:row>
                <xdr:rowOff>8</xdr:rowOff>
              </xdr:to>
            </anchor>
          </commentPr>
        </mc:Choice>
        <mc:Fallback/>
      </mc:AlternateContent>
    </comment>
    <comment ref="O208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172</xdr:row>
                <xdr:rowOff>10</xdr:rowOff>
              </xdr:from>
              <xdr:to>
                <xdr:col>19</xdr:col>
                <xdr:colOff>59</xdr:colOff>
                <xdr:row>176</xdr:row>
                <xdr:rowOff>1</xdr:rowOff>
              </xdr:to>
            </anchor>
          </commentPr>
        </mc:Choice>
        <mc:Fallback/>
      </mc:AlternateContent>
    </comment>
    <comment ref="O209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173</xdr:row>
                <xdr:rowOff>10</xdr:rowOff>
              </xdr:from>
              <xdr:to>
                <xdr:col>19</xdr:col>
                <xdr:colOff>59</xdr:colOff>
                <xdr:row>177</xdr:row>
                <xdr:rowOff>1</xdr:rowOff>
              </xdr:to>
            </anchor>
          </commentPr>
        </mc:Choice>
        <mc:Fallback/>
      </mc:AlternateContent>
    </comment>
    <comment ref="O212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175</xdr:row>
                <xdr:rowOff>20</xdr:rowOff>
              </xdr:from>
              <xdr:to>
                <xdr:col>19</xdr:col>
                <xdr:colOff>59</xdr:colOff>
                <xdr:row>179</xdr:row>
                <xdr:rowOff>11</xdr:rowOff>
              </xdr:to>
            </anchor>
          </commentPr>
        </mc:Choice>
        <mc:Fallback/>
      </mc:AlternateContent>
    </comment>
    <comment ref="O219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181</xdr:row>
                <xdr:rowOff>12</xdr:rowOff>
              </xdr:from>
              <xdr:to>
                <xdr:col>19</xdr:col>
                <xdr:colOff>59</xdr:colOff>
                <xdr:row>185</xdr:row>
                <xdr:rowOff>3</xdr:rowOff>
              </xdr:to>
            </anchor>
          </commentPr>
        </mc:Choice>
        <mc:Fallback/>
      </mc:AlternateContent>
    </comment>
    <comment ref="O220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183</xdr:row>
                <xdr:rowOff>3</xdr:rowOff>
              </xdr:from>
              <xdr:to>
                <xdr:col>19</xdr:col>
                <xdr:colOff>59</xdr:colOff>
                <xdr:row>186</xdr:row>
                <xdr:rowOff>5</xdr:rowOff>
              </xdr:to>
            </anchor>
          </commentPr>
        </mc:Choice>
        <mc:Fallback/>
      </mc:AlternateContent>
    </comment>
    <comment ref="O22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183</xdr:row>
                <xdr:rowOff>9</xdr:rowOff>
              </xdr:from>
              <xdr:to>
                <xdr:col>19</xdr:col>
                <xdr:colOff>59</xdr:colOff>
                <xdr:row>187</xdr:row>
                <xdr:rowOff>15</xdr:rowOff>
              </xdr:to>
            </anchor>
          </commentPr>
        </mc:Choice>
        <mc:Fallback/>
      </mc:AlternateContent>
    </comment>
    <comment ref="O222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184</xdr:row>
                <xdr:rowOff>2</xdr:rowOff>
              </xdr:from>
              <xdr:to>
                <xdr:col>19</xdr:col>
                <xdr:colOff>59</xdr:colOff>
                <xdr:row>187</xdr:row>
                <xdr:rowOff>17</xdr:rowOff>
              </xdr:to>
            </anchor>
          </commentPr>
        </mc:Choice>
        <mc:Fallback/>
      </mc:AlternateContent>
    </comment>
    <comment ref="O223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185</xdr:row>
                <xdr:rowOff>2</xdr:rowOff>
              </xdr:from>
              <xdr:to>
                <xdr:col>19</xdr:col>
                <xdr:colOff>59</xdr:colOff>
                <xdr:row>188</xdr:row>
                <xdr:rowOff>10</xdr:rowOff>
              </xdr:to>
            </anchor>
          </commentPr>
        </mc:Choice>
        <mc:Fallback/>
      </mc:AlternateContent>
    </comment>
    <comment ref="O226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187</xdr:row>
                <xdr:rowOff>12</xdr:rowOff>
              </xdr:from>
              <xdr:to>
                <xdr:col>19</xdr:col>
                <xdr:colOff>59</xdr:colOff>
                <xdr:row>191</xdr:row>
                <xdr:rowOff>3</xdr:rowOff>
              </xdr:to>
            </anchor>
          </commentPr>
        </mc:Choice>
        <mc:Fallback/>
      </mc:AlternateContent>
    </comment>
    <comment ref="O227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188</xdr:row>
                <xdr:rowOff>5</xdr:rowOff>
              </xdr:from>
              <xdr:to>
                <xdr:col>19</xdr:col>
                <xdr:colOff>59</xdr:colOff>
                <xdr:row>191</xdr:row>
                <xdr:rowOff>20</xdr:rowOff>
              </xdr:to>
            </anchor>
          </commentPr>
        </mc:Choice>
        <mc:Fallback/>
      </mc:AlternateContent>
    </comment>
    <comment ref="O228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189</xdr:row>
                <xdr:rowOff>5</xdr:rowOff>
              </xdr:from>
              <xdr:to>
                <xdr:col>19</xdr:col>
                <xdr:colOff>59</xdr:colOff>
                <xdr:row>192</xdr:row>
                <xdr:rowOff>13</xdr:rowOff>
              </xdr:to>
            </anchor>
          </commentPr>
        </mc:Choice>
        <mc:Fallback/>
      </mc:AlternateContent>
    </comment>
    <comment ref="O229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189</xdr:row>
                <xdr:rowOff>22</xdr:rowOff>
              </xdr:from>
              <xdr:to>
                <xdr:col>19</xdr:col>
                <xdr:colOff>59</xdr:colOff>
                <xdr:row>193</xdr:row>
                <xdr:rowOff>13</xdr:rowOff>
              </xdr:to>
            </anchor>
          </commentPr>
        </mc:Choice>
        <mc:Fallback/>
      </mc:AlternateContent>
    </comment>
    <comment ref="O23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191</xdr:row>
                <xdr:rowOff>15</xdr:rowOff>
              </xdr:from>
              <xdr:to>
                <xdr:col>19</xdr:col>
                <xdr:colOff>59</xdr:colOff>
                <xdr:row>195</xdr:row>
                <xdr:rowOff>6</xdr:rowOff>
              </xdr:to>
            </anchor>
          </commentPr>
        </mc:Choice>
        <mc:Fallback/>
      </mc:AlternateContent>
    </comment>
    <comment ref="O24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199</xdr:row>
                <xdr:rowOff>21</xdr:rowOff>
              </xdr:from>
              <xdr:to>
                <xdr:col>19</xdr:col>
                <xdr:colOff>59</xdr:colOff>
                <xdr:row>203</xdr:row>
                <xdr:rowOff>12</xdr:rowOff>
              </xdr:to>
            </anchor>
          </commentPr>
        </mc:Choice>
        <mc:Fallback/>
      </mc:AlternateContent>
    </comment>
    <comment ref="O242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200</xdr:row>
                <xdr:rowOff>14</xdr:rowOff>
              </xdr:from>
              <xdr:to>
                <xdr:col>19</xdr:col>
                <xdr:colOff>59</xdr:colOff>
                <xdr:row>204</xdr:row>
                <xdr:rowOff>5</xdr:rowOff>
              </xdr:to>
            </anchor>
          </commentPr>
        </mc:Choice>
        <mc:Fallback/>
      </mc:AlternateContent>
    </comment>
    <comment ref="O243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201</xdr:row>
                <xdr:rowOff>14</xdr:rowOff>
              </xdr:from>
              <xdr:to>
                <xdr:col>19</xdr:col>
                <xdr:colOff>59</xdr:colOff>
                <xdr:row>205</xdr:row>
                <xdr:rowOff>5</xdr:rowOff>
              </xdr:to>
            </anchor>
          </commentPr>
        </mc:Choice>
        <mc:Fallback/>
      </mc:AlternateContent>
    </comment>
    <comment ref="O244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202</xdr:row>
                <xdr:rowOff>7</xdr:rowOff>
              </xdr:from>
              <xdr:to>
                <xdr:col>19</xdr:col>
                <xdr:colOff>59</xdr:colOff>
                <xdr:row>205</xdr:row>
                <xdr:rowOff>22</xdr:rowOff>
              </xdr:to>
            </anchor>
          </commentPr>
        </mc:Choice>
        <mc:Fallback/>
      </mc:AlternateContent>
    </comment>
    <comment ref="O245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203</xdr:row>
                <xdr:rowOff>7</xdr:rowOff>
              </xdr:from>
              <xdr:to>
                <xdr:col>19</xdr:col>
                <xdr:colOff>59</xdr:colOff>
                <xdr:row>206</xdr:row>
                <xdr:rowOff>15</xdr:rowOff>
              </xdr:to>
            </anchor>
          </commentPr>
        </mc:Choice>
        <mc:Fallback/>
      </mc:AlternateContent>
    </comment>
    <comment ref="O260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215</xdr:row>
                <xdr:rowOff>20</xdr:rowOff>
              </xdr:from>
              <xdr:to>
                <xdr:col>19</xdr:col>
                <xdr:colOff>59</xdr:colOff>
                <xdr:row>219</xdr:row>
                <xdr:rowOff>11</xdr:rowOff>
              </xdr:to>
            </anchor>
          </commentPr>
        </mc:Choice>
        <mc:Fallback/>
      </mc:AlternateContent>
    </comment>
    <comment ref="O26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216</xdr:row>
                <xdr:rowOff>13</xdr:rowOff>
              </xdr:from>
              <xdr:to>
                <xdr:col>19</xdr:col>
                <xdr:colOff>59</xdr:colOff>
                <xdr:row>220</xdr:row>
                <xdr:rowOff>4</xdr:rowOff>
              </xdr:to>
            </anchor>
          </commentPr>
        </mc:Choice>
        <mc:Fallback/>
      </mc:AlternateContent>
    </comment>
    <comment ref="O263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218</xdr:row>
                <xdr:rowOff>6</xdr:rowOff>
              </xdr:from>
              <xdr:to>
                <xdr:col>19</xdr:col>
                <xdr:colOff>59</xdr:colOff>
                <xdr:row>221</xdr:row>
                <xdr:rowOff>21</xdr:rowOff>
              </xdr:to>
            </anchor>
          </commentPr>
        </mc:Choice>
        <mc:Fallback/>
      </mc:AlternateContent>
    </comment>
    <comment ref="O270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224</xdr:row>
                <xdr:rowOff>2</xdr:rowOff>
              </xdr:from>
              <xdr:to>
                <xdr:col>19</xdr:col>
                <xdr:colOff>59</xdr:colOff>
                <xdr:row>227</xdr:row>
                <xdr:rowOff>17</xdr:rowOff>
              </xdr:to>
            </anchor>
          </commentPr>
        </mc:Choice>
        <mc:Fallback/>
      </mc:AlternateContent>
    </comment>
    <comment ref="O27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225</xdr:row>
                <xdr:rowOff>17</xdr:rowOff>
              </xdr:from>
              <xdr:to>
                <xdr:col>19</xdr:col>
                <xdr:colOff>59</xdr:colOff>
                <xdr:row>229</xdr:row>
                <xdr:rowOff>6</xdr:rowOff>
              </xdr:to>
            </anchor>
          </commentPr>
        </mc:Choice>
        <mc:Fallback/>
      </mc:AlternateContent>
    </comment>
    <comment ref="O272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225</xdr:row>
                <xdr:rowOff>23</xdr:rowOff>
              </xdr:from>
              <xdr:to>
                <xdr:col>19</xdr:col>
                <xdr:colOff>59</xdr:colOff>
                <xdr:row>230</xdr:row>
                <xdr:rowOff>9</xdr:rowOff>
              </xdr:to>
            </anchor>
          </commentPr>
        </mc:Choice>
        <mc:Fallback/>
      </mc:AlternateContent>
    </comment>
    <comment ref="O273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226</xdr:row>
                <xdr:rowOff>16</xdr:rowOff>
              </xdr:from>
              <xdr:to>
                <xdr:col>19</xdr:col>
                <xdr:colOff>59</xdr:colOff>
                <xdr:row>230</xdr:row>
                <xdr:rowOff>7</xdr:rowOff>
              </xdr:to>
            </anchor>
          </commentPr>
        </mc:Choice>
        <mc:Fallback/>
      </mc:AlternateContent>
    </comment>
    <comment ref="O274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227</xdr:row>
                <xdr:rowOff>16</xdr:rowOff>
              </xdr:from>
              <xdr:to>
                <xdr:col>19</xdr:col>
                <xdr:colOff>59</xdr:colOff>
                <xdr:row>231</xdr:row>
                <xdr:rowOff>7</xdr:rowOff>
              </xdr:to>
            </anchor>
          </commentPr>
        </mc:Choice>
        <mc:Fallback/>
      </mc:AlternateContent>
    </comment>
    <comment ref="P48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39</xdr:row>
                <xdr:rowOff>4</xdr:rowOff>
              </xdr:from>
              <xdr:to>
                <xdr:col>19</xdr:col>
                <xdr:colOff>59</xdr:colOff>
                <xdr:row>42</xdr:row>
                <xdr:rowOff>12</xdr:rowOff>
              </xdr:to>
            </anchor>
          </commentPr>
        </mc:Choice>
        <mc:Fallback/>
      </mc:AlternateContent>
    </comment>
    <comment ref="Q48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16</xdr:colOff>
                <xdr:row>39</xdr:row>
                <xdr:rowOff>4</xdr:rowOff>
              </xdr:from>
              <xdr:to>
                <xdr:col>19</xdr:col>
                <xdr:colOff>59</xdr:colOff>
                <xdr:row>42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<sst xmlns="http://schemas.openxmlformats.org/spreadsheetml/2006/main" count="273" uniqueCount="101">
  <si>
    <t xml:space="preserve">DAYS OF MONTH</t>
  </si>
  <si>
    <t xml:space="preserve">TRANSWESTERN PIPELINE COMPANY</t>
  </si>
  <si>
    <t xml:space="preserve">2000 PLAN</t>
  </si>
  <si>
    <t xml:space="preserve">MARGIN SUMMARY</t>
  </si>
  <si>
    <t xml:space="preserve">Act</t>
  </si>
  <si>
    <t xml:space="preserve">JAN</t>
  </si>
  <si>
    <t xml:space="preserve">FEB </t>
  </si>
  <si>
    <t xml:space="preserve">MAR  </t>
  </si>
  <si>
    <t xml:space="preserve">APR  </t>
  </si>
  <si>
    <t xml:space="preserve">MAY </t>
  </si>
  <si>
    <t xml:space="preserve">JUN 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</si>
  <si>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</si>
  <si>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</si>
  <si>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</si>
  <si>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</si>
  <si>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</si>
  <si>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</si>
  <si>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</si>
  <si>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MONTH</t>
  </si>
  <si>
    <t xml:space="preserve">QUARTER</t>
  </si>
  <si>
    <t xml:space="preserve">TSPT VOLUME (MMMBTU/DAY)</t>
  </si>
  <si>
    <t xml:space="preserve">WEST</t>
  </si>
  <si>
    <t xml:space="preserve">WEST: THOREAU</t>
  </si>
  <si>
    <t xml:space="preserve">    DEMAND </t>
  </si>
  <si>
    <t xml:space="preserve">    FTS </t>
  </si>
  <si>
    <t xml:space="preserve">    FR </t>
  </si>
  <si>
    <t xml:space="preserve">    ITS  (incl.West of Thoreau)</t>
  </si>
  <si>
    <t xml:space="preserve">    TOTAL THOREAU TO WEST</t>
  </si>
  <si>
    <t xml:space="preserve">WEST: EAST OF THOREAU </t>
  </si>
  <si>
    <t xml:space="preserve">    ITS </t>
  </si>
  <si>
    <t xml:space="preserve">    TOTAL EAST OF THOREAU TO WEST</t>
  </si>
  <si>
    <t xml:space="preserve">WEST: IGNACIO</t>
  </si>
  <si>
    <t xml:space="preserve">Capital Pool - do not include per Tracy Geaccone</t>
  </si>
  <si>
    <t xml:space="preserve">    TOTAL IGNACIO TO WEST</t>
  </si>
  <si>
    <t xml:space="preserve">WEST:  SAN JUAN</t>
  </si>
  <si>
    <t xml:space="preserve">    LFT--San Juan</t>
  </si>
  <si>
    <t xml:space="preserve">    TOTAL SAN JUAN TO WEST</t>
  </si>
  <si>
    <t xml:space="preserve">TOTAL TRANSPORT WEST</t>
  </si>
  <si>
    <t xml:space="preserve">TOTAL DEMAND WEST</t>
  </si>
  <si>
    <t xml:space="preserve">EAST</t>
  </si>
  <si>
    <t xml:space="preserve">EAST: WEST OF THOREAU and Thoreau</t>
  </si>
  <si>
    <t xml:space="preserve">    TOTAL THOREAU TO EAST</t>
  </si>
  <si>
    <t xml:space="preserve">EAST: EAST TO EAST</t>
  </si>
  <si>
    <t xml:space="preserve">    PNR-East of Thoreau</t>
  </si>
  <si>
    <t xml:space="preserve">    TOTAL EAST TO EAST</t>
  </si>
  <si>
    <t xml:space="preserve">EAST: IGNACIO</t>
  </si>
  <si>
    <t xml:space="preserve">    TOTAL IGNACIO TO EAST</t>
  </si>
  <si>
    <t xml:space="preserve">EAST: SAN JUAN</t>
  </si>
  <si>
    <t xml:space="preserve">    TOTAL SAN JUAN TO EAST</t>
  </si>
  <si>
    <t xml:space="preserve">TOTAL TRANSPORT EAST</t>
  </si>
  <si>
    <t xml:space="preserve">TOTAL DEMAND EAST</t>
  </si>
  <si>
    <t xml:space="preserve">IGNACIO/BLANCO</t>
  </si>
  <si>
    <t xml:space="preserve">IGNACIO TO BLANCO HUB</t>
  </si>
  <si>
    <t xml:space="preserve">    DEMAND</t>
  </si>
  <si>
    <t xml:space="preserve">    FTS</t>
  </si>
  <si>
    <t xml:space="preserve">    ITS</t>
  </si>
  <si>
    <t xml:space="preserve">     TOTAL IGNACIO TO BLANCO HUB</t>
  </si>
  <si>
    <t xml:space="preserve">IGNACIO TO EL PASO BLANCO</t>
  </si>
  <si>
    <t xml:space="preserve">     TOTAL IGNACIO TO EL PASO BLANCO</t>
  </si>
  <si>
    <t xml:space="preserve">TOTAL TRANSPORT IGNACIO/BLANCO</t>
  </si>
  <si>
    <t xml:space="preserve">TOTAL DEMAND IGNACIO/BLANCO</t>
  </si>
  <si>
    <t xml:space="preserve">SAN JUAN</t>
  </si>
  <si>
    <t xml:space="preserve">THOREAU:  SAN JUAN</t>
  </si>
  <si>
    <t xml:space="preserve">    FR</t>
  </si>
  <si>
    <t xml:space="preserve">TOTAL TRANSPORT SAN JUAN</t>
  </si>
  <si>
    <t xml:space="preserve">TOTAL SAN JUAN DEMAND</t>
  </si>
  <si>
    <t xml:space="preserve">     (Total Lateral Demand)</t>
  </si>
  <si>
    <t xml:space="preserve">COMPANY TOTAL</t>
  </si>
  <si>
    <t xml:space="preserve">TOTAL COMPANY COMMODITY</t>
  </si>
  <si>
    <t xml:space="preserve">TOTAL COMPANY DEMAND</t>
  </si>
  <si>
    <t xml:space="preserve">TOTAL COMPANY THROUGHPUT</t>
  </si>
  <si>
    <t xml:space="preserve">TSPT MARGIN  PER  MMBTU</t>
  </si>
  <si>
    <t xml:space="preserve">WEST: THOREAU </t>
  </si>
  <si>
    <t xml:space="preserve">WEST: EAST OF THOREAU</t>
  </si>
  <si>
    <t xml:space="preserve">WEST:  IGNACIO</t>
  </si>
  <si>
    <t xml:space="preserve">EAST:  WEST OF THOREAU </t>
  </si>
  <si>
    <t xml:space="preserve">EAST:  EAST TO EAST</t>
  </si>
  <si>
    <t xml:space="preserve">EAST:  IGNACIO TO EAST</t>
  </si>
  <si>
    <t xml:space="preserve">SAN JUAN TO THOREAU:</t>
  </si>
  <si>
    <t xml:space="preserve">TSPT REVENUE </t>
  </si>
  <si>
    <t xml:space="preserve">WEST:  THOREAU</t>
  </si>
  <si>
    <t xml:space="preserve">   SETTLEMENT SURCHARGE</t>
  </si>
  <si>
    <t xml:space="preserve">   LFT</t>
  </si>
  <si>
    <t xml:space="preserve">WEST: SAN JUAN</t>
  </si>
  <si>
    <t xml:space="preserve">         SUBTOTAL WEST DEMAND</t>
  </si>
  <si>
    <t xml:space="preserve">         SUBTOTAL WEST COMMODITY</t>
  </si>
  <si>
    <t xml:space="preserve">TOTAL WEST</t>
  </si>
  <si>
    <t xml:space="preserve">         SUBTOTAL EAST DEMAND</t>
  </si>
  <si>
    <t xml:space="preserve">         SUBTOTAL EAST COMMODITY</t>
  </si>
  <si>
    <t xml:space="preserve">TOTAL EAST</t>
  </si>
  <si>
    <t xml:space="preserve">     TOTAL IGNACIO TO EP BLANCO</t>
  </si>
  <si>
    <t xml:space="preserve">         SUBTOTAL IGNACIO DEMAND</t>
  </si>
  <si>
    <t xml:space="preserve">         SUBTOTAL IGNACIO COMMODITY</t>
  </si>
  <si>
    <t xml:space="preserve">TOTAL IGNACIO</t>
  </si>
  <si>
    <t xml:space="preserve">   FR</t>
  </si>
  <si>
    <t xml:space="preserve">      SUBTOTAL SAN JUAN DEMAND</t>
  </si>
  <si>
    <t xml:space="preserve">      SUBTOTAL SAN JUAN COMMODITY</t>
  </si>
  <si>
    <t xml:space="preserve">TOTAL SAN JUAN</t>
  </si>
  <si>
    <t xml:space="preserve">    PNR</t>
  </si>
  <si>
    <t xml:space="preserve">    LFT</t>
  </si>
  <si>
    <t xml:space="preserve">TOTAL COMPANY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</si>
</sst>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#,##0.0_);\(#,##0.0\)"/>
    <numFmt numFmtId="166" formatCode="0_)"/>
    <numFmt numFmtId="167" formatCode="[$-409]#,##0_);\(#,##0\)"/>
    <numFmt numFmtId="168" formatCode="mm/dd/yy_)"/>
    <numFmt numFmtId="169" formatCode="[$-409]m/d/yyyy\ h:mm"/>
    <numFmt numFmtId="170" formatCode="#,##0.0_);[RED]\(#,##0.0\)"/>
    <numFmt numFmtId="171" formatCode="\$#,##0.0000_);&quot;($&quot;#,##0.0000\)"/>
    <numFmt numFmtId="172" formatCode="_(* #,##0.00_);_(* \(#,##0.00\);_(* \-??_);_(@_)"/>
    <numFmt numFmtId="173" formatCode="_(* #,##0.0_);_(* \(#,##0.0\);_(* \-??_);_(@_)"/>
    <numFmt numFmtId="174" formatCode="\$#,##0.00_);&quot;($&quot;#,##0.00\)"/>
    <numFmt numFmtId="175" formatCode="[$-409]#,##0.00_);\(#,##0.00\)"/>
    <numFmt numFmtId="176" formatCode="_(* #,##0.0000_);_(* \(#,##0.0000\);_(* \-????_);_(@_)"/>
    <numFmt numFmtId="177" formatCode="#,##0.0000_);\(#,##0.0000\)"/>
    <numFmt numFmtId="178" formatCode="\$#,##0_);&quot;($&quot;#,##0\)"/>
    <numFmt numFmtId="179" formatCode="_(\$* #,##0.00_);_(\$* \(#,##0.00\);_(\$* \-??_);_(@_)"/>
    <numFmt numFmtId="180" formatCode="_(* #,##0.0_);_(* \(#,##0.0\);_(* \-?_);_(@_)"/>
  </numFmts>
  <fonts count="27">
    <font>
      <sz val="7"/>
      <name val="Arial Narrow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 Narrow"/>
      <family val="0"/>
    </font>
    <font>
      <b val="true"/>
      <sz val="10"/>
      <color rgb="FF00000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Arial Narrow"/>
      <family val="2"/>
    </font>
    <font>
      <sz val="10"/>
      <name val="Arial Narrow"/>
      <family val="2"/>
    </font>
    <font>
      <b val="true"/>
      <sz val="14"/>
      <color rgb="FF000000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 val="true"/>
      <sz val="14"/>
      <color rgb="FF000000"/>
      <name val="Arial Narrow"/>
      <family val="0"/>
    </font>
    <font>
      <sz val="8"/>
      <color rgb="FF000000"/>
      <name val="Arial Narrow"/>
      <family val="2"/>
    </font>
    <font>
      <sz val="10"/>
      <color rgb="FF000000"/>
      <name val="Arial Narrow"/>
      <family val="2"/>
    </font>
    <font>
      <sz val="7"/>
      <color rgb="FF000000"/>
      <name val="Arial Narrow"/>
      <family val="2"/>
    </font>
    <font>
      <b val="true"/>
      <sz val="10"/>
      <color rgb="FF000000"/>
      <name val="Arial Narrow"/>
      <family val="0"/>
    </font>
    <font>
      <b val="true"/>
      <sz val="12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 Narrow"/>
      <family val="2"/>
    </font>
    <font>
      <sz val="8"/>
      <color rgb="FF0000FF"/>
      <name val="Arial Narrow"/>
      <family val="2"/>
    </font>
    <font>
      <b val="true"/>
      <sz val="8"/>
      <color rgb="FF000000"/>
      <name val="Arial Narrow"/>
      <family val="2"/>
    </font>
    <font>
      <sz val="8"/>
      <color rgb="FF000000"/>
      <name val="Arial"/>
      <family val="2"/>
    </font>
    <font>
      <b val="true"/>
      <sz val="7"/>
      <name val="Arial Narrow"/>
      <family val="2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center" textRotation="0" wrapText="false" indent="0" shrinkToFit="false"/>
    </xf>
    <xf numFmtId="41" fontId="1" fillId="0" borderId="0" applyFont="true" applyBorder="false" applyAlignment="false" applyProtection="false"/>
    <xf numFmtId="179" fontId="0" fillId="0" borderId="0" applyFont="true" applyBorder="false" applyAlignment="true" applyProtection="false">
      <alignment horizontal="general" vertical="center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2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1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5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80" fontId="8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1" fontId="2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2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21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5" fillId="0" borderId="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:/HOMEDEPT/Mkt_anly/TW/TWFIN/2000/sanju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9Plan"/>
      <sheetName val="Adjustments"/>
      <sheetName val="2000Plan"/>
      <sheetName val="2=000Plan"/>
    </sheetNames>
    <sheetDataSet>
      <sheetData sheetId="0"/>
      <sheetData sheetId="1"/>
      <sheetData sheetId="2"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M10">
            <v>0</v>
          </cell>
          <cell r="N10">
            <v>0</v>
          </cell>
          <cell r="O1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1" width="62.59"/>
    <col collapsed="false" customWidth="true" hidden="false" outlineLevel="0" max="13" min="2" style="2" width="15.39"/>
    <col collapsed="false" customWidth="true" hidden="false" outlineLevel="0" max="14" min="14" style="3" width="16.99"/>
    <col collapsed="false" customWidth="true" hidden="true" outlineLevel="0" max="17" min="15" style="2" width="12.99"/>
    <col collapsed="false" customWidth="true" hidden="true" outlineLevel="0" max="18" min="18" style="2" width="16.19"/>
    <col collapsed="false" customWidth="true" hidden="false" outlineLevel="0" max="20" min="19" style="3" width="16.99"/>
    <col collapsed="false" customWidth="true" hidden="false" outlineLevel="0" max="21" min="21" style="4" width="15.99"/>
    <col collapsed="false" customWidth="true" hidden="false" outlineLevel="0" max="22" min="22" style="2" width="16.78"/>
    <col collapsed="false" customWidth="true" hidden="false" outlineLevel="0" max="23" min="23" style="2" width="8.78"/>
    <col collapsed="false" customWidth="true" hidden="false" outlineLevel="0" max="24" min="24" style="2" width="6.78"/>
    <col collapsed="false" customWidth="true" hidden="false" outlineLevel="0" max="25" min="25" style="2" width="8.98"/>
    <col collapsed="false" customWidth="true" hidden="false" outlineLevel="0" max="26" min="26" style="2" width="6.78"/>
    <col collapsed="false" customWidth="true" hidden="false" outlineLevel="0" max="27" min="27" style="2" width="8.98"/>
    <col collapsed="false" customWidth="false" hidden="false" outlineLevel="0" max="257" min="28" style="2" width="9.59"/>
  </cols>
  <sheetData>
    <row r="1" customFormat="false" ht="12.75" hidden="false" customHeight="false" outlineLevel="0" collapsed="false">
      <c r="A1" s="5" t="s">
        <v>0</v>
      </c>
      <c r="B1" s="6" t="n">
        <v>31</v>
      </c>
      <c r="C1" s="7" t="n">
        <v>29</v>
      </c>
      <c r="D1" s="8" t="n">
        <v>31</v>
      </c>
      <c r="E1" s="8" t="n">
        <v>30</v>
      </c>
      <c r="F1" s="8" t="n">
        <v>31</v>
      </c>
      <c r="G1" s="8" t="n">
        <v>30</v>
      </c>
      <c r="H1" s="8" t="n">
        <v>31</v>
      </c>
      <c r="I1" s="8" t="n">
        <v>31</v>
      </c>
      <c r="J1" s="8" t="n">
        <v>30</v>
      </c>
      <c r="K1" s="8" t="n">
        <v>31</v>
      </c>
      <c r="L1" s="9" t="n">
        <v>30</v>
      </c>
      <c r="M1" s="10" t="n">
        <v>31</v>
      </c>
      <c r="N1" s="11" t="n">
        <f aca="false">SUM(B1:M1)</f>
        <v>366</v>
      </c>
      <c r="O1" s="12" t="e">
        <f aca="false">CHOOSE(#REF!,SUM(B1,B1),SUM(B1:C1),SUM(B1:D1),SUM(B1:E1),SUM(B1:F1),SUM(B1:G1),SUM(B1:H1),SUM(B1:I1),SUM(B1:J1),SUM(B1:K1),SUM(B1:L1),SUM(B1:M1))</f>
        <v>#REF!</v>
      </c>
      <c r="P1" s="10" t="e">
        <f aca="false">N1-O1</f>
        <v>#REF!</v>
      </c>
      <c r="Q1" s="10" t="n">
        <f aca="false">N1</f>
        <v>366</v>
      </c>
      <c r="R1" s="12" t="e">
        <f aca="false">IF(#REF!=1,SUM(B1:D1),IF(#REF!=2,SUM(E1:G1),IF(#REF!=3,SUM(H1:J1),IF(#REF!=4,SUM(K1:M1),"    WRONG  "))))</f>
        <v>#REF!</v>
      </c>
      <c r="S1" s="11" t="n">
        <v>365</v>
      </c>
      <c r="T1" s="11" t="n">
        <v>365</v>
      </c>
    </row>
    <row r="2" customFormat="false" ht="0.75" hidden="false" customHeight="true" outlineLevel="0" collapsed="false">
      <c r="A2" s="8"/>
      <c r="B2" s="13" t="n">
        <f aca="false">5</f>
        <v>5</v>
      </c>
      <c r="C2" s="10" t="n">
        <v>2</v>
      </c>
      <c r="D2" s="10"/>
      <c r="E2" s="10"/>
      <c r="F2" s="10"/>
      <c r="G2" s="10"/>
      <c r="H2" s="10"/>
      <c r="I2" s="10"/>
      <c r="J2" s="10"/>
      <c r="K2" s="10"/>
      <c r="L2" s="10"/>
      <c r="M2" s="14"/>
      <c r="N2" s="11"/>
      <c r="O2" s="10"/>
      <c r="P2" s="10"/>
      <c r="Q2" s="10"/>
      <c r="R2" s="10"/>
      <c r="S2" s="11"/>
      <c r="T2" s="11"/>
    </row>
    <row r="3" customFormat="false" ht="18" hidden="false" customHeight="false" outlineLevel="0" collapsed="false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8" hidden="false" customHeight="false" outlineLevel="0" collapsed="false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false" outlineLevel="0" collapsed="false">
      <c r="A5" s="1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8" hidden="false" customHeight="false" outlineLevel="0" collapsed="false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  <c r="L6" s="20"/>
      <c r="M6" s="19"/>
      <c r="N6" s="21"/>
      <c r="O6" s="19"/>
      <c r="P6" s="19"/>
      <c r="Q6" s="19"/>
      <c r="R6" s="19"/>
      <c r="S6" s="21"/>
      <c r="T6" s="21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false" outlineLevel="0" collapsed="false">
      <c r="A7" s="22" t="str">
        <f aca="true">CELL("FILENAME")</f>
        <v>'file:///mnt/12tb/@roms/datasets/enron/EDRM Enron Email Data Set v2 XML/filtered-attachments/xls/2000_Plan.xls'#$PLAN00</v>
      </c>
      <c r="B7" s="23"/>
      <c r="C7" s="24"/>
      <c r="D7" s="24"/>
      <c r="E7" s="24"/>
      <c r="F7" s="24"/>
      <c r="G7" s="24"/>
      <c r="H7" s="24"/>
      <c r="I7" s="24"/>
      <c r="J7" s="0"/>
      <c r="K7" s="24"/>
      <c r="L7" s="25"/>
      <c r="M7" s="24"/>
      <c r="N7" s="0"/>
      <c r="O7" s="24"/>
      <c r="P7" s="24"/>
      <c r="Q7" s="24"/>
      <c r="R7" s="24"/>
      <c r="S7" s="0"/>
      <c r="T7" s="0"/>
    </row>
    <row r="8" customFormat="false" ht="18" hidden="false" customHeight="false" outlineLevel="0" collapsed="false">
      <c r="A8" s="26" t="n">
        <f aca="true">NOW()</f>
        <v>45926.9824128596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0"/>
      <c r="T8" s="0"/>
      <c r="V8" s="16"/>
      <c r="W8" s="16"/>
      <c r="X8" s="16"/>
      <c r="Y8" s="16"/>
      <c r="Z8" s="16"/>
      <c r="AA8" s="16"/>
      <c r="AB8" s="16"/>
    </row>
    <row r="9" customFormat="false" ht="12.75" hidden="false" customHeight="false" outlineLevel="0" collapsed="false">
      <c r="A9" s="27"/>
      <c r="B9" s="24" t="s">
        <v>4</v>
      </c>
      <c r="C9" s="24" t="s">
        <v>4</v>
      </c>
      <c r="D9" s="24" t="s">
        <v>4</v>
      </c>
      <c r="E9" s="24" t="s">
        <v>4</v>
      </c>
      <c r="F9" s="24" t="s">
        <v>4</v>
      </c>
      <c r="G9" s="24" t="s">
        <v>4</v>
      </c>
      <c r="H9" s="24" t="s">
        <v>4</v>
      </c>
      <c r="I9" s="24" t="s">
        <v>4</v>
      </c>
      <c r="J9" s="24" t="s">
        <v>4</v>
      </c>
      <c r="K9" s="24" t="s">
        <v>4</v>
      </c>
      <c r="L9" s="24" t="s">
        <v>4</v>
      </c>
      <c r="M9" s="24" t="s">
        <v>4</v>
      </c>
      <c r="N9" s="24"/>
      <c r="O9" s="28" t="e">
        <f aca="false">#REF!</f>
        <v>#REF!</v>
      </c>
      <c r="P9" s="28" t="e">
        <f aca="false">$Q$9-$O$9</f>
        <v>#REF!</v>
      </c>
      <c r="Q9" s="28" t="n">
        <v>12</v>
      </c>
      <c r="R9" s="28" t="e">
        <f aca="false">#REF!</f>
        <v>#REF!</v>
      </c>
      <c r="S9" s="0"/>
      <c r="T9" s="0"/>
    </row>
    <row r="10" customFormat="false" ht="18" hidden="false" customHeight="false" outlineLevel="0" collapsed="false">
      <c r="A10" s="29"/>
      <c r="B10" s="30" t="s">
        <v>5</v>
      </c>
      <c r="C10" s="30" t="s">
        <v>6</v>
      </c>
      <c r="D10" s="30" t="s">
        <v>7</v>
      </c>
      <c r="E10" s="30" t="s">
        <v>8</v>
      </c>
      <c r="F10" s="30" t="s">
        <v>9</v>
      </c>
      <c r="G10" s="30" t="s">
        <v>10</v>
      </c>
      <c r="H10" s="30" t="s">
        <v>11</v>
      </c>
      <c r="I10" s="30" t="s">
        <v>12</v>
      </c>
      <c r="J10" s="30" t="s">
        <v>13</v>
      </c>
      <c r="K10" s="30" t="s">
        <v>14</v>
      </c>
      <c r="L10" s="30" t="s">
        <v>15</v>
      </c>
      <c r="M10" s="30" t="s">
        <v>16</v>
      </c>
      <c r="N10" s="31" t="s">
        <v>17</v>
      </c>
      <c r="O10" s="32" t="s">
        <v>18</v>
      </c>
      <c r="P10" s="32" t="str">
        <f aca="false">O10</f>
        <v>MONTH</v>
      </c>
      <c r="Q10" s="32" t="str">
        <f aca="false">O10</f>
        <v>MONTH</v>
      </c>
      <c r="R10" s="32" t="s">
        <v>19</v>
      </c>
      <c r="S10" s="0"/>
      <c r="T10" s="0"/>
      <c r="V10" s="16"/>
      <c r="W10" s="16"/>
      <c r="X10" s="16"/>
      <c r="Y10" s="16"/>
      <c r="Z10" s="16"/>
      <c r="AA10" s="16"/>
      <c r="AB10" s="16"/>
    </row>
    <row r="11" customFormat="false" ht="15.75" hidden="false" customHeight="false" outlineLevel="0" collapsed="false">
      <c r="A11" s="33" t="s">
        <v>20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4"/>
      <c r="P11" s="34"/>
      <c r="Q11" s="34"/>
      <c r="R11" s="34"/>
      <c r="S11" s="0"/>
      <c r="T11" s="0"/>
    </row>
    <row r="12" customFormat="false" ht="18" hidden="false" customHeight="false" outlineLevel="0" collapsed="false">
      <c r="A12" s="36" t="s">
        <v>21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4"/>
      <c r="P12" s="34"/>
      <c r="Q12" s="34"/>
      <c r="R12" s="34"/>
      <c r="S12" s="0"/>
      <c r="T12" s="0"/>
      <c r="V12" s="16"/>
      <c r="W12" s="16"/>
      <c r="X12" s="16"/>
      <c r="Y12" s="16"/>
      <c r="Z12" s="16"/>
      <c r="AA12" s="16"/>
      <c r="AB12" s="16"/>
    </row>
    <row r="13" customFormat="false" ht="12.75" hidden="false" customHeight="false" outlineLevel="0" collapsed="false">
      <c r="A13" s="37" t="s">
        <v>22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38"/>
      <c r="P13" s="38"/>
      <c r="Q13" s="38"/>
      <c r="R13" s="38"/>
      <c r="S13" s="0"/>
      <c r="T13" s="0"/>
    </row>
    <row r="14" customFormat="false" ht="18" hidden="false" customHeight="false" outlineLevel="0" collapsed="false">
      <c r="A14" s="40" t="s">
        <v>23</v>
      </c>
      <c r="B14" s="41" t="n">
        <v>269</v>
      </c>
      <c r="C14" s="41" t="n">
        <v>269</v>
      </c>
      <c r="D14" s="41" t="n">
        <v>269</v>
      </c>
      <c r="E14" s="41" t="n">
        <v>265</v>
      </c>
      <c r="F14" s="41" t="n">
        <v>265</v>
      </c>
      <c r="G14" s="41" t="n">
        <v>269.333</v>
      </c>
      <c r="H14" s="41" t="n">
        <f aca="false">265+5.806</f>
        <v>270.806</v>
      </c>
      <c r="I14" s="41" t="n">
        <v>265</v>
      </c>
      <c r="J14" s="41" t="n">
        <v>265</v>
      </c>
      <c r="K14" s="41" t="n">
        <v>265</v>
      </c>
      <c r="L14" s="41" t="n">
        <v>269</v>
      </c>
      <c r="M14" s="41" t="n">
        <v>265</v>
      </c>
      <c r="N14" s="4" t="n">
        <f aca="false">SUM(B14:M14)/12</f>
        <v>267.17825</v>
      </c>
      <c r="O14" s="42" t="e">
        <f aca="false"/>
        <v>#REF!</v>
      </c>
      <c r="P14" s="42" t="e">
        <f aca="false"/>
        <v>#REF!</v>
      </c>
      <c r="Q14" s="42" t="e">
        <f aca="false"/>
        <v>#REF!</v>
      </c>
      <c r="R14" s="42" t="e">
        <f aca="false"/>
        <v>#REF!</v>
      </c>
      <c r="S14" s="0"/>
      <c r="T14" s="0"/>
      <c r="V14" s="16"/>
      <c r="W14" s="16"/>
      <c r="X14" s="16"/>
      <c r="Y14" s="16"/>
      <c r="Z14" s="16"/>
      <c r="AA14" s="16"/>
      <c r="AB14" s="16"/>
    </row>
    <row r="15" customFormat="false" ht="12.75" hidden="false" customHeight="false" outlineLevel="0" collapsed="false">
      <c r="A15" s="40" t="s">
        <v>24</v>
      </c>
      <c r="B15" s="41" t="n">
        <v>397.512</v>
      </c>
      <c r="C15" s="41" t="n">
        <v>426.333</v>
      </c>
      <c r="D15" s="41" t="n">
        <v>448.922</v>
      </c>
      <c r="E15" s="41" t="n">
        <v>324.921</v>
      </c>
      <c r="F15" s="41" t="n">
        <v>342.201</v>
      </c>
      <c r="G15" s="41" t="n">
        <v>245.941</v>
      </c>
      <c r="H15" s="41" t="n">
        <f aca="false">258.27+1.957</f>
        <v>260.227</v>
      </c>
      <c r="I15" s="41" t="n">
        <f aca="false">259.145</f>
        <v>259.145</v>
      </c>
      <c r="J15" s="41" t="n">
        <v>259.409</v>
      </c>
      <c r="K15" s="41" t="n">
        <v>260.699</v>
      </c>
      <c r="L15" s="41" t="n">
        <v>228.65</v>
      </c>
      <c r="M15" s="41" t="n">
        <v>426.193</v>
      </c>
      <c r="N15" s="4" t="n">
        <f aca="false">SUM(B15:M15)/12</f>
        <v>323.346083333333</v>
      </c>
      <c r="O15" s="42" t="e">
        <f aca="false"/>
        <v>#REF!</v>
      </c>
      <c r="P15" s="42" t="e">
        <f aca="false"/>
        <v>#REF!</v>
      </c>
      <c r="Q15" s="42" t="e">
        <f aca="false"/>
        <v>#REF!</v>
      </c>
      <c r="R15" s="42" t="e">
        <f aca="false"/>
        <v>#REF!</v>
      </c>
      <c r="S15" s="0"/>
      <c r="T15" s="0"/>
    </row>
    <row r="16" customFormat="false" ht="18" hidden="false" customHeight="false" outlineLevel="0" collapsed="false">
      <c r="A16" s="40" t="s">
        <v>25</v>
      </c>
      <c r="B16" s="41" t="n">
        <v>43.269</v>
      </c>
      <c r="C16" s="41" t="n">
        <v>12.149</v>
      </c>
      <c r="D16" s="41" t="n">
        <v>11.964</v>
      </c>
      <c r="E16" s="41" t="n">
        <v>8.059</v>
      </c>
      <c r="F16" s="41" t="n">
        <v>63.748</v>
      </c>
      <c r="G16" s="41" t="n">
        <v>141.965</v>
      </c>
      <c r="H16" s="41" t="n">
        <v>146.675</v>
      </c>
      <c r="I16" s="41" t="n">
        <f aca="false">150.816</f>
        <v>150.816</v>
      </c>
      <c r="J16" s="41" t="n">
        <v>140.672</v>
      </c>
      <c r="K16" s="41" t="n">
        <v>149.848</v>
      </c>
      <c r="L16" s="41" t="n">
        <v>0</v>
      </c>
      <c r="M16" s="41" t="n">
        <v>15.118</v>
      </c>
      <c r="N16" s="4" t="n">
        <f aca="false">SUM(B16:M16)/12</f>
        <v>73.69025</v>
      </c>
      <c r="O16" s="42" t="e">
        <f aca="false"/>
        <v>#REF!</v>
      </c>
      <c r="P16" s="42" t="e">
        <f aca="false"/>
        <v>#REF!</v>
      </c>
      <c r="Q16" s="42" t="e">
        <f aca="false"/>
        <v>#REF!</v>
      </c>
      <c r="R16" s="42" t="e">
        <f aca="false"/>
        <v>#REF!</v>
      </c>
      <c r="S16" s="0"/>
      <c r="T16" s="0"/>
      <c r="V16" s="16"/>
      <c r="W16" s="16"/>
      <c r="X16" s="16"/>
      <c r="Y16" s="16"/>
      <c r="Z16" s="16"/>
      <c r="AA16" s="16"/>
      <c r="AB16" s="16"/>
    </row>
    <row r="17" customFormat="false" ht="12.75" hidden="false" customHeight="false" outlineLevel="0" collapsed="false">
      <c r="A17" s="40" t="s">
        <v>26</v>
      </c>
      <c r="B17" s="43" t="n">
        <v>0</v>
      </c>
      <c r="C17" s="43" t="n">
        <v>0</v>
      </c>
      <c r="D17" s="43" t="n">
        <f aca="false">0.279+0.516</f>
        <v>0.795</v>
      </c>
      <c r="E17" s="43" t="n">
        <v>0.232</v>
      </c>
      <c r="F17" s="43" t="n">
        <v>0</v>
      </c>
      <c r="G17" s="43" t="n">
        <f aca="false">0.796+5.84</f>
        <v>6.636</v>
      </c>
      <c r="H17" s="43" t="n">
        <v>1.885</v>
      </c>
      <c r="I17" s="43" t="n">
        <f aca="false">4.525</f>
        <v>4.525</v>
      </c>
      <c r="J17" s="43" t="n">
        <f aca="false">11.833+34.138</f>
        <v>45.971</v>
      </c>
      <c r="K17" s="43" t="n">
        <v>15.342</v>
      </c>
      <c r="L17" s="43" t="n">
        <v>0</v>
      </c>
      <c r="M17" s="43" t="n">
        <f aca="false">0.592+6.024</f>
        <v>6.616</v>
      </c>
      <c r="N17" s="44" t="n">
        <f aca="false">SUM(B17:M17)/12</f>
        <v>6.8335</v>
      </c>
      <c r="O17" s="45" t="e">
        <f aca="false"/>
        <v>#REF!</v>
      </c>
      <c r="P17" s="45" t="e">
        <f aca="false"/>
        <v>#REF!</v>
      </c>
      <c r="Q17" s="45" t="e">
        <f aca="false"/>
        <v>#REF!</v>
      </c>
      <c r="R17" s="45" t="e">
        <f aca="false"/>
        <v>#REF!</v>
      </c>
      <c r="S17" s="0"/>
      <c r="T17" s="0"/>
    </row>
    <row r="18" customFormat="false" ht="18" hidden="false" customHeight="false" outlineLevel="0" collapsed="false">
      <c r="A18" s="37" t="s">
        <v>27</v>
      </c>
      <c r="B18" s="4" t="n">
        <f aca="false">SUM(B15:B17)</f>
        <v>440.781</v>
      </c>
      <c r="C18" s="4" t="n">
        <f aca="false">SUM(C15:C17)</f>
        <v>438.482</v>
      </c>
      <c r="D18" s="4" t="n">
        <f aca="false">SUM(D15:D17)</f>
        <v>461.681</v>
      </c>
      <c r="E18" s="4" t="n">
        <f aca="false">SUM(E15:E17)</f>
        <v>333.212</v>
      </c>
      <c r="F18" s="4" t="n">
        <f aca="false">SUM(F15:F17)</f>
        <v>405.949</v>
      </c>
      <c r="G18" s="4" t="n">
        <f aca="false">SUM(G15:G17)</f>
        <v>394.542</v>
      </c>
      <c r="H18" s="4" t="n">
        <f aca="false">SUM(H15:H17)</f>
        <v>408.787</v>
      </c>
      <c r="I18" s="4" t="n">
        <f aca="false">SUM(I15:I17)</f>
        <v>414.486</v>
      </c>
      <c r="J18" s="4" t="n">
        <f aca="false">SUM(J15:J17)</f>
        <v>446.052</v>
      </c>
      <c r="K18" s="4" t="n">
        <f aca="false">SUM(K15:K17)</f>
        <v>425.889</v>
      </c>
      <c r="L18" s="4" t="n">
        <f aca="false">SUM(L15:L17)</f>
        <v>228.65</v>
      </c>
      <c r="M18" s="4" t="n">
        <f aca="false">SUM(M15:M17)</f>
        <v>447.927</v>
      </c>
      <c r="N18" s="4" t="n">
        <f aca="false">SUM(N15:N17)</f>
        <v>403.869833333333</v>
      </c>
      <c r="O18" s="39" t="e">
        <f aca="false">(#REF!+#REF!+#REF!)/O$1</f>
        <v>#REF!</v>
      </c>
      <c r="P18" s="39" t="e">
        <f aca="false">(#REF!+#REF!+#REF!)/P$1</f>
        <v>#REF!</v>
      </c>
      <c r="Q18" s="39" t="e">
        <f aca="false">(#REF!+#REF!+#REF!)/Q$1</f>
        <v>#REF!</v>
      </c>
      <c r="R18" s="39" t="e">
        <f aca="false">SUM(R15:R17)</f>
        <v>#REF!</v>
      </c>
      <c r="S18" s="0"/>
      <c r="T18" s="0"/>
      <c r="V18" s="16"/>
      <c r="W18" s="16"/>
      <c r="X18" s="16"/>
      <c r="Y18" s="16"/>
      <c r="Z18" s="16"/>
      <c r="AA18" s="16"/>
      <c r="AB18" s="16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2.75" hidden="false" customHeight="false" outlineLevel="0" collapsed="false">
      <c r="A19" s="3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/>
      <c r="P19" s="39"/>
      <c r="Q19" s="39"/>
      <c r="R19" s="39"/>
      <c r="S19" s="0"/>
      <c r="T19" s="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8" hidden="false" customHeight="false" outlineLevel="0" collapsed="false">
      <c r="A20" s="37" t="s">
        <v>28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4"/>
      <c r="O20" s="38"/>
      <c r="P20" s="38"/>
      <c r="Q20" s="38"/>
      <c r="R20" s="38"/>
      <c r="S20" s="0"/>
      <c r="T20" s="0"/>
      <c r="V20" s="16"/>
      <c r="W20" s="16"/>
      <c r="X20" s="16"/>
      <c r="Y20" s="16"/>
      <c r="Z20" s="16"/>
      <c r="AA20" s="16"/>
      <c r="AB20" s="16"/>
    </row>
    <row r="21" customFormat="false" ht="12.75" hidden="false" customHeight="false" outlineLevel="0" collapsed="false">
      <c r="A21" s="40" t="s">
        <v>23</v>
      </c>
      <c r="B21" s="41" t="n">
        <v>553.948</v>
      </c>
      <c r="C21" s="41" t="n">
        <v>547.15</v>
      </c>
      <c r="D21" s="41" t="n">
        <v>559.15</v>
      </c>
      <c r="E21" s="41" t="n">
        <v>514.817</v>
      </c>
      <c r="F21" s="41" t="n">
        <v>535.611</v>
      </c>
      <c r="G21" s="41" t="n">
        <v>538.25</v>
      </c>
      <c r="H21" s="41" t="n">
        <v>574.379</v>
      </c>
      <c r="I21" s="41" t="n">
        <v>578.25</v>
      </c>
      <c r="J21" s="41" t="n">
        <v>578.25</v>
      </c>
      <c r="K21" s="41" t="n">
        <v>578.25</v>
      </c>
      <c r="L21" s="41" t="n">
        <v>633.325</v>
      </c>
      <c r="M21" s="41" t="n">
        <v>578.25</v>
      </c>
      <c r="N21" s="4" t="n">
        <f aca="false">SUM(B21:M21)/12</f>
        <v>564.135833333333</v>
      </c>
      <c r="O21" s="42" t="e">
        <f aca="false"/>
        <v>#REF!</v>
      </c>
      <c r="P21" s="42" t="e">
        <f aca="false"/>
        <v>#REF!</v>
      </c>
      <c r="Q21" s="42" t="e">
        <f aca="false"/>
        <v>#REF!</v>
      </c>
      <c r="R21" s="42" t="e">
        <f aca="false"/>
        <v>#REF!</v>
      </c>
      <c r="S21" s="0"/>
      <c r="T21" s="0"/>
    </row>
    <row r="22" customFormat="false" ht="18" hidden="false" customHeight="false" outlineLevel="0" collapsed="false">
      <c r="A22" s="40" t="s">
        <v>24</v>
      </c>
      <c r="B22" s="41" t="n">
        <v>279.59</v>
      </c>
      <c r="C22" s="41" t="n">
        <v>269.983</v>
      </c>
      <c r="D22" s="41" t="n">
        <v>253.362</v>
      </c>
      <c r="E22" s="41" t="n">
        <v>212.094</v>
      </c>
      <c r="F22" s="41" t="n">
        <v>179.757</v>
      </c>
      <c r="G22" s="41" t="n">
        <v>352.457</v>
      </c>
      <c r="H22" s="41" t="n">
        <v>346.975</v>
      </c>
      <c r="I22" s="41" t="n">
        <v>377.326</v>
      </c>
      <c r="J22" s="41" t="n">
        <v>382.88</v>
      </c>
      <c r="K22" s="41" t="n">
        <v>386.572</v>
      </c>
      <c r="L22" s="41" t="n">
        <f aca="false">538.32625-71.773-62</f>
        <v>404.55325</v>
      </c>
      <c r="M22" s="41" t="n">
        <v>398.444</v>
      </c>
      <c r="N22" s="4" t="n">
        <f aca="false">SUM(B22:M22)/12</f>
        <v>320.332770833333</v>
      </c>
      <c r="O22" s="42" t="e">
        <f aca="false"/>
        <v>#REF!</v>
      </c>
      <c r="P22" s="42" t="e">
        <f aca="false"/>
        <v>#REF!</v>
      </c>
      <c r="Q22" s="42" t="e">
        <f aca="false"/>
        <v>#REF!</v>
      </c>
      <c r="R22" s="42" t="e">
        <f aca="false"/>
        <v>#REF!</v>
      </c>
      <c r="S22" s="0"/>
      <c r="T22" s="0"/>
      <c r="V22" s="16"/>
      <c r="W22" s="16"/>
      <c r="X22" s="16"/>
      <c r="Y22" s="16"/>
      <c r="Z22" s="16"/>
      <c r="AA22" s="16"/>
      <c r="AB22" s="16"/>
    </row>
    <row r="23" customFormat="false" ht="12.75" hidden="false" customHeight="false" outlineLevel="0" collapsed="false">
      <c r="A23" s="40" t="s">
        <v>25</v>
      </c>
      <c r="B23" s="41" t="n">
        <v>7.107</v>
      </c>
      <c r="C23" s="41" t="n">
        <v>4.199</v>
      </c>
      <c r="D23" s="41" t="n">
        <v>3.278</v>
      </c>
      <c r="E23" s="41" t="n">
        <v>5.017</v>
      </c>
      <c r="F23" s="41" t="n">
        <v>5.062</v>
      </c>
      <c r="G23" s="41" t="n">
        <v>5.353</v>
      </c>
      <c r="H23" s="41" t="n">
        <v>5.011</v>
      </c>
      <c r="I23" s="41" t="n">
        <v>9.397</v>
      </c>
      <c r="J23" s="41" t="n">
        <v>16.971</v>
      </c>
      <c r="K23" s="41" t="n">
        <v>15.487</v>
      </c>
      <c r="L23" s="41" t="n">
        <v>47.3</v>
      </c>
      <c r="M23" s="41" t="n">
        <v>9.472</v>
      </c>
      <c r="N23" s="4" t="n">
        <f aca="false">SUM(B23:M23)/12</f>
        <v>11.1378333333333</v>
      </c>
      <c r="O23" s="42" t="e">
        <f aca="false"/>
        <v>#REF!</v>
      </c>
      <c r="P23" s="42" t="e">
        <f aca="false"/>
        <v>#REF!</v>
      </c>
      <c r="Q23" s="42" t="e">
        <f aca="false"/>
        <v>#REF!</v>
      </c>
      <c r="R23" s="42" t="e">
        <f aca="false"/>
        <v>#REF!</v>
      </c>
      <c r="S23" s="0"/>
      <c r="T23" s="0"/>
    </row>
    <row r="24" customFormat="false" ht="18" hidden="false" customHeight="false" outlineLevel="0" collapsed="false">
      <c r="A24" s="40" t="s">
        <v>29</v>
      </c>
      <c r="B24" s="41" t="n">
        <v>0.167</v>
      </c>
      <c r="C24" s="41" t="n">
        <v>0.227</v>
      </c>
      <c r="D24" s="41" t="n">
        <v>0.389</v>
      </c>
      <c r="E24" s="41" t="n">
        <v>0.118</v>
      </c>
      <c r="F24" s="41" t="n">
        <v>0.127</v>
      </c>
      <c r="G24" s="41" t="n">
        <v>1.474</v>
      </c>
      <c r="H24" s="41" t="n">
        <v>0.089</v>
      </c>
      <c r="I24" s="41" t="n">
        <v>1.402</v>
      </c>
      <c r="J24" s="41" t="n">
        <v>0.113</v>
      </c>
      <c r="K24" s="41" t="n">
        <v>0</v>
      </c>
      <c r="L24" s="41" t="n">
        <f aca="false">53-53</f>
        <v>0</v>
      </c>
      <c r="M24" s="41" t="n">
        <f aca="false">53-53</f>
        <v>0</v>
      </c>
      <c r="N24" s="44" t="n">
        <f aca="false">SUM(B24:M24)/12</f>
        <v>0.342166666666667</v>
      </c>
      <c r="O24" s="45" t="e">
        <f aca="false"/>
        <v>#REF!</v>
      </c>
      <c r="P24" s="45" t="e">
        <f aca="false"/>
        <v>#REF!</v>
      </c>
      <c r="Q24" s="45" t="e">
        <f aca="false"/>
        <v>#REF!</v>
      </c>
      <c r="R24" s="45" t="e">
        <f aca="false"/>
        <v>#REF!</v>
      </c>
      <c r="S24" s="0"/>
      <c r="T24" s="0"/>
      <c r="V24" s="16"/>
      <c r="W24" s="16"/>
      <c r="X24" s="16"/>
      <c r="Y24" s="16"/>
      <c r="Z24" s="16"/>
      <c r="AA24" s="16"/>
      <c r="AB24" s="16"/>
    </row>
    <row r="25" customFormat="false" ht="12.75" hidden="false" customHeight="false" outlineLevel="0" collapsed="false">
      <c r="A25" s="37" t="s">
        <v>30</v>
      </c>
      <c r="B25" s="4" t="n">
        <f aca="false">SUM(B22:B24)</f>
        <v>286.864</v>
      </c>
      <c r="C25" s="4" t="n">
        <f aca="false">SUM(C22:C24)</f>
        <v>274.409</v>
      </c>
      <c r="D25" s="4" t="n">
        <f aca="false">SUM(D22:D24)</f>
        <v>257.029</v>
      </c>
      <c r="E25" s="4" t="n">
        <f aca="false">SUM(E22:E24)</f>
        <v>217.229</v>
      </c>
      <c r="F25" s="4" t="n">
        <f aca="false">SUM(F22:F24)</f>
        <v>184.946</v>
      </c>
      <c r="G25" s="4" t="n">
        <f aca="false">SUM(G22:G24)</f>
        <v>359.284</v>
      </c>
      <c r="H25" s="4" t="n">
        <f aca="false">SUM(H22:H24)</f>
        <v>352.075</v>
      </c>
      <c r="I25" s="4" t="n">
        <f aca="false">SUM(I22:I24)</f>
        <v>388.125</v>
      </c>
      <c r="J25" s="4" t="n">
        <f aca="false">SUM(J22:J24)</f>
        <v>399.964</v>
      </c>
      <c r="K25" s="4" t="n">
        <f aca="false">SUM(K22:K24)</f>
        <v>402.059</v>
      </c>
      <c r="L25" s="4" t="n">
        <f aca="false">SUM(L22:L24)</f>
        <v>451.85325</v>
      </c>
      <c r="M25" s="4" t="n">
        <f aca="false">SUM(M22:M24)</f>
        <v>407.916</v>
      </c>
      <c r="N25" s="4" t="n">
        <f aca="false">SUM(N22:N24)</f>
        <v>331.812770833333</v>
      </c>
      <c r="O25" s="39" t="e">
        <f aca="false">(#REF!+#REF!+#REF!)/O$1</f>
        <v>#REF!</v>
      </c>
      <c r="P25" s="39" t="e">
        <f aca="false">(#REF!+#REF!+#REF!)/P$1</f>
        <v>#REF!</v>
      </c>
      <c r="Q25" s="39" t="e">
        <f aca="false">(#REF!+#REF!+#REF!)/Q$1</f>
        <v>#REF!</v>
      </c>
      <c r="R25" s="39" t="e">
        <f aca="false">SUM(R22:R24)</f>
        <v>#REF!</v>
      </c>
      <c r="S25" s="0"/>
      <c r="T25" s="0"/>
    </row>
    <row r="26" customFormat="false" ht="18" hidden="false" customHeight="false" outlineLevel="0" collapsed="false">
      <c r="A26" s="3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/>
      <c r="P26" s="39"/>
      <c r="Q26" s="39"/>
      <c r="R26" s="39"/>
      <c r="S26" s="0"/>
      <c r="T26" s="0"/>
      <c r="V26" s="16"/>
      <c r="W26" s="16"/>
      <c r="X26" s="16"/>
      <c r="Y26" s="16"/>
      <c r="Z26" s="16"/>
      <c r="AA26" s="16"/>
      <c r="AB26" s="16"/>
    </row>
    <row r="27" customFormat="false" ht="12.75" hidden="false" customHeight="false" outlineLevel="0" collapsed="false">
      <c r="A27" s="37" t="s">
        <v>31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4"/>
      <c r="O27" s="38"/>
      <c r="P27" s="38"/>
      <c r="Q27" s="38"/>
      <c r="R27" s="38"/>
      <c r="S27" s="0"/>
      <c r="T27" s="0"/>
    </row>
    <row r="28" customFormat="false" ht="18" hidden="false" customHeight="false" outlineLevel="0" collapsed="false">
      <c r="A28" s="40" t="s">
        <v>23</v>
      </c>
      <c r="B28" s="41" t="n">
        <v>60</v>
      </c>
      <c r="C28" s="41" t="n">
        <v>60</v>
      </c>
      <c r="D28" s="41" t="n">
        <v>60</v>
      </c>
      <c r="E28" s="41" t="n">
        <v>60</v>
      </c>
      <c r="F28" s="41" t="n">
        <v>60</v>
      </c>
      <c r="G28" s="41" t="n">
        <v>62</v>
      </c>
      <c r="H28" s="41" t="n">
        <v>60</v>
      </c>
      <c r="I28" s="41" t="n">
        <v>60</v>
      </c>
      <c r="J28" s="41" t="n">
        <v>60</v>
      </c>
      <c r="K28" s="41" t="n">
        <v>60</v>
      </c>
      <c r="L28" s="41" t="n">
        <v>60</v>
      </c>
      <c r="M28" s="41" t="n">
        <v>60</v>
      </c>
      <c r="N28" s="4" t="n">
        <f aca="false">SUM(B28:M28)/12</f>
        <v>60.1666666666667</v>
      </c>
      <c r="O28" s="42" t="e">
        <f aca="false"/>
        <v>#REF!</v>
      </c>
      <c r="P28" s="42" t="e">
        <f aca="false"/>
        <v>#REF!</v>
      </c>
      <c r="Q28" s="42" t="e">
        <f aca="false"/>
        <v>#REF!</v>
      </c>
      <c r="R28" s="42" t="e">
        <f aca="false"/>
        <v>#REF!</v>
      </c>
      <c r="S28" s="0"/>
      <c r="T28" s="0"/>
      <c r="V28" s="16"/>
      <c r="W28" s="16"/>
      <c r="X28" s="16"/>
      <c r="Y28" s="16"/>
      <c r="Z28" s="16"/>
      <c r="AA28" s="16"/>
      <c r="AB28" s="16"/>
    </row>
    <row r="29" customFormat="false" ht="12.75" hidden="false" customHeight="false" outlineLevel="0" collapsed="false">
      <c r="A29" s="40" t="s">
        <v>24</v>
      </c>
      <c r="B29" s="41" t="n">
        <v>58.607</v>
      </c>
      <c r="C29" s="41" t="n">
        <v>60</v>
      </c>
      <c r="D29" s="41" t="n">
        <v>59.941</v>
      </c>
      <c r="E29" s="41" t="n">
        <v>51.268</v>
      </c>
      <c r="F29" s="41" t="n">
        <v>59.518</v>
      </c>
      <c r="G29" s="41" t="n">
        <v>61.502</v>
      </c>
      <c r="H29" s="41" t="n">
        <v>60.473</v>
      </c>
      <c r="I29" s="41" t="n">
        <v>56.863</v>
      </c>
      <c r="J29" s="41" t="n">
        <v>52.723</v>
      </c>
      <c r="K29" s="41" t="n">
        <v>56.863</v>
      </c>
      <c r="L29" s="41" t="n">
        <v>51</v>
      </c>
      <c r="M29" s="41" t="n">
        <v>59.686</v>
      </c>
      <c r="N29" s="4" t="n">
        <f aca="false">SUM(B29:M29)/12</f>
        <v>57.3703333333333</v>
      </c>
      <c r="O29" s="42" t="e">
        <f aca="false"/>
        <v>#REF!</v>
      </c>
      <c r="P29" s="42" t="e">
        <f aca="false"/>
        <v>#REF!</v>
      </c>
      <c r="Q29" s="42" t="e">
        <f aca="false"/>
        <v>#REF!</v>
      </c>
      <c r="R29" s="42" t="e">
        <f aca="false"/>
        <v>#REF!</v>
      </c>
      <c r="S29" s="0"/>
      <c r="T29" s="0"/>
    </row>
    <row r="30" customFormat="false" ht="18" hidden="false" customHeight="false" outlineLevel="0" collapsed="false">
      <c r="A30" s="46" t="s">
        <v>32</v>
      </c>
      <c r="B30" s="41" t="n">
        <v>0</v>
      </c>
      <c r="C30" s="41" t="n">
        <v>0</v>
      </c>
      <c r="D30" s="41" t="n">
        <v>0</v>
      </c>
      <c r="E30" s="41" t="n">
        <v>0</v>
      </c>
      <c r="F30" s="41" t="n">
        <v>0</v>
      </c>
      <c r="G30" s="41" t="n">
        <v>0</v>
      </c>
      <c r="H30" s="41" t="n">
        <v>0</v>
      </c>
      <c r="I30" s="41" t="n">
        <v>0</v>
      </c>
      <c r="J30" s="41" t="n">
        <v>0</v>
      </c>
      <c r="K30" s="41" t="n">
        <v>0</v>
      </c>
      <c r="L30" s="41" t="n">
        <f aca="false">9.3-9.3</f>
        <v>0</v>
      </c>
      <c r="M30" s="41" t="n">
        <f aca="false">9.5-9.5</f>
        <v>0</v>
      </c>
      <c r="N30" s="4" t="n">
        <f aca="false">SUM(B30:M30)/12</f>
        <v>0</v>
      </c>
      <c r="O30" s="42" t="e">
        <f aca="false"/>
        <v>#REF!</v>
      </c>
      <c r="P30" s="42" t="e">
        <f aca="false"/>
        <v>#REF!</v>
      </c>
      <c r="Q30" s="42" t="e">
        <f aca="false"/>
        <v>#REF!</v>
      </c>
      <c r="R30" s="42" t="e">
        <f aca="false"/>
        <v>#REF!</v>
      </c>
      <c r="S30" s="0"/>
      <c r="T30" s="0"/>
      <c r="V30" s="16"/>
      <c r="W30" s="16"/>
      <c r="X30" s="16"/>
      <c r="Y30" s="16"/>
      <c r="Z30" s="16"/>
      <c r="AA30" s="16"/>
      <c r="AB30" s="16"/>
    </row>
    <row r="31" customFormat="false" ht="12.75" hidden="false" customHeight="false" outlineLevel="0" collapsed="false">
      <c r="A31" s="40" t="s">
        <v>29</v>
      </c>
      <c r="B31" s="41" t="n">
        <v>0</v>
      </c>
      <c r="C31" s="41" t="n">
        <v>0</v>
      </c>
      <c r="D31" s="41" t="n">
        <v>0</v>
      </c>
      <c r="E31" s="41" t="n">
        <v>0</v>
      </c>
      <c r="F31" s="41" t="n">
        <v>0</v>
      </c>
      <c r="G31" s="41" t="n">
        <v>0</v>
      </c>
      <c r="H31" s="41" t="n">
        <v>0</v>
      </c>
      <c r="I31" s="41" t="n">
        <v>0</v>
      </c>
      <c r="J31" s="41" t="n">
        <v>0</v>
      </c>
      <c r="K31" s="41" t="n">
        <v>0</v>
      </c>
      <c r="L31" s="41" t="n">
        <v>0</v>
      </c>
      <c r="M31" s="41" t="n">
        <v>0</v>
      </c>
      <c r="N31" s="44" t="n">
        <f aca="false">SUM(B31:M31)/12</f>
        <v>0</v>
      </c>
      <c r="O31" s="45" t="e">
        <f aca="false"/>
        <v>#REF!</v>
      </c>
      <c r="P31" s="45" t="e">
        <f aca="false"/>
        <v>#REF!</v>
      </c>
      <c r="Q31" s="45" t="e">
        <f aca="false"/>
        <v>#REF!</v>
      </c>
      <c r="R31" s="45" t="e">
        <f aca="false"/>
        <v>#REF!</v>
      </c>
      <c r="S31" s="0"/>
      <c r="T31" s="0"/>
    </row>
    <row r="32" customFormat="false" ht="18" hidden="false" customHeight="false" outlineLevel="0" collapsed="false">
      <c r="A32" s="37" t="s">
        <v>33</v>
      </c>
      <c r="B32" s="4" t="n">
        <f aca="false">SUM(B29:B31)</f>
        <v>58.607</v>
      </c>
      <c r="C32" s="4" t="n">
        <f aca="false">SUM(C29:C31)</f>
        <v>60</v>
      </c>
      <c r="D32" s="4" t="n">
        <f aca="false">SUM(D29:D31)</f>
        <v>59.941</v>
      </c>
      <c r="E32" s="4" t="n">
        <f aca="false">SUM(E29:E31)</f>
        <v>51.268</v>
      </c>
      <c r="F32" s="4" t="n">
        <f aca="false">SUM(F29:F31)</f>
        <v>59.518</v>
      </c>
      <c r="G32" s="4" t="n">
        <f aca="false">SUM(G29:G31)</f>
        <v>61.502</v>
      </c>
      <c r="H32" s="4" t="n">
        <f aca="false">SUM(H29:H31)</f>
        <v>60.473</v>
      </c>
      <c r="I32" s="4" t="n">
        <f aca="false">SUM(I29:I31)</f>
        <v>56.863</v>
      </c>
      <c r="J32" s="4" t="n">
        <f aca="false">SUM(J29:J31)</f>
        <v>52.723</v>
      </c>
      <c r="K32" s="4" t="n">
        <f aca="false">SUM(K29:K31)</f>
        <v>56.863</v>
      </c>
      <c r="L32" s="4" t="n">
        <f aca="false">SUM(L29:L31)</f>
        <v>51</v>
      </c>
      <c r="M32" s="4" t="n">
        <f aca="false">SUM(M29:M31)</f>
        <v>59.686</v>
      </c>
      <c r="N32" s="4" t="n">
        <f aca="false">SUM(N29:N31)</f>
        <v>57.3703333333333</v>
      </c>
      <c r="O32" s="39" t="e">
        <f aca="false">(#REF!)/O$1</f>
        <v>#REF!</v>
      </c>
      <c r="P32" s="39" t="e">
        <f aca="false">(#REF!)/P$1</f>
        <v>#REF!</v>
      </c>
      <c r="Q32" s="39" t="e">
        <f aca="false">(#REF!)/Q$1</f>
        <v>#REF!</v>
      </c>
      <c r="R32" s="39" t="e">
        <f aca="false">SUM(R29:R31)</f>
        <v>#REF!</v>
      </c>
      <c r="S32" s="0"/>
      <c r="T32" s="0"/>
      <c r="V32" s="16"/>
      <c r="W32" s="16"/>
      <c r="X32" s="16"/>
      <c r="Y32" s="16"/>
      <c r="Z32" s="16"/>
      <c r="AA32" s="16"/>
      <c r="AB32" s="16"/>
    </row>
    <row r="33" customFormat="false" ht="12.75" hidden="false" customHeight="false" outlineLevel="0" collapsed="false">
      <c r="A33" s="3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39"/>
      <c r="P33" s="39"/>
      <c r="Q33" s="39"/>
      <c r="R33" s="39"/>
      <c r="S33" s="0"/>
      <c r="T33" s="0"/>
    </row>
    <row r="34" customFormat="false" ht="18" hidden="false" customHeight="false" outlineLevel="0" collapsed="false">
      <c r="A34" s="37" t="s">
        <v>34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8"/>
      <c r="P34" s="38"/>
      <c r="Q34" s="38"/>
      <c r="R34" s="38"/>
      <c r="S34" s="0"/>
      <c r="T34" s="0"/>
      <c r="V34" s="16"/>
      <c r="W34" s="16"/>
      <c r="X34" s="16"/>
      <c r="Y34" s="16"/>
      <c r="Z34" s="16"/>
      <c r="AA34" s="16"/>
      <c r="AB34" s="16"/>
    </row>
    <row r="35" customFormat="false" ht="12.75" hidden="false" customHeight="false" outlineLevel="0" collapsed="false">
      <c r="A35" s="40" t="s">
        <v>23</v>
      </c>
      <c r="B35" s="41" t="n">
        <v>93.6</v>
      </c>
      <c r="C35" s="41" t="n">
        <v>93.6</v>
      </c>
      <c r="D35" s="41" t="n">
        <v>129.6</v>
      </c>
      <c r="E35" s="41" t="n">
        <v>150.933</v>
      </c>
      <c r="F35" s="41" t="n">
        <v>180.697</v>
      </c>
      <c r="G35" s="41" t="n">
        <v>190.267</v>
      </c>
      <c r="H35" s="41" t="n">
        <v>183.6</v>
      </c>
      <c r="I35" s="41" t="n">
        <v>183.6</v>
      </c>
      <c r="J35" s="41" t="n">
        <v>183.6</v>
      </c>
      <c r="K35" s="41" t="n">
        <v>183.6</v>
      </c>
      <c r="L35" s="41" t="n">
        <f aca="false">138.6+5</f>
        <v>143.6</v>
      </c>
      <c r="M35" s="41" t="n">
        <v>193.6</v>
      </c>
      <c r="N35" s="4" t="n">
        <f aca="false">SUM(B35:M35)/12</f>
        <v>159.191416666667</v>
      </c>
      <c r="O35" s="42" t="e">
        <f aca="false"/>
        <v>#REF!</v>
      </c>
      <c r="P35" s="42" t="e">
        <f aca="false"/>
        <v>#REF!</v>
      </c>
      <c r="Q35" s="42" t="e">
        <f aca="false"/>
        <v>#REF!</v>
      </c>
      <c r="R35" s="42" t="e">
        <f aca="false"/>
        <v>#REF!</v>
      </c>
      <c r="S35" s="0"/>
      <c r="T35" s="0"/>
    </row>
    <row r="36" customFormat="false" ht="18" hidden="false" customHeight="false" outlineLevel="0" collapsed="false">
      <c r="A36" s="40" t="s">
        <v>24</v>
      </c>
      <c r="B36" s="41" t="n">
        <v>68.879</v>
      </c>
      <c r="C36" s="41" t="n">
        <v>69.6</v>
      </c>
      <c r="D36" s="41" t="n">
        <v>112.491</v>
      </c>
      <c r="E36" s="41" t="n">
        <v>118.585</v>
      </c>
      <c r="F36" s="41" t="n">
        <v>177.269</v>
      </c>
      <c r="G36" s="41" t="n">
        <v>172.851</v>
      </c>
      <c r="H36" s="41" t="n">
        <v>163.387</v>
      </c>
      <c r="I36" s="41" t="n">
        <v>176.147</v>
      </c>
      <c r="J36" s="41" t="n">
        <v>163.976</v>
      </c>
      <c r="K36" s="41" t="n">
        <v>167.93</v>
      </c>
      <c r="L36" s="41" t="n">
        <f aca="false">117.81+4.25+60+45.107</f>
        <v>227.167</v>
      </c>
      <c r="M36" s="41" t="n">
        <v>180.124</v>
      </c>
      <c r="N36" s="4" t="n">
        <f aca="false">SUM(B36:M36)/12</f>
        <v>149.867166666667</v>
      </c>
      <c r="O36" s="42" t="e">
        <f aca="false"/>
        <v>#REF!</v>
      </c>
      <c r="P36" s="42" t="e">
        <f aca="false"/>
        <v>#REF!</v>
      </c>
      <c r="Q36" s="42" t="e">
        <f aca="false"/>
        <v>#REF!</v>
      </c>
      <c r="R36" s="42" t="e">
        <f aca="false"/>
        <v>#REF!</v>
      </c>
      <c r="S36" s="0"/>
      <c r="T36" s="0"/>
      <c r="V36" s="16"/>
      <c r="W36" s="16"/>
      <c r="X36" s="16"/>
      <c r="Y36" s="16"/>
      <c r="Z36" s="16"/>
      <c r="AA36" s="16"/>
      <c r="AB36" s="16"/>
    </row>
    <row r="37" customFormat="false" ht="12.75" hidden="false" customHeight="false" outlineLevel="0" collapsed="false">
      <c r="A37" s="40" t="s">
        <v>25</v>
      </c>
      <c r="B37" s="41" t="n">
        <v>0</v>
      </c>
      <c r="C37" s="41" t="n">
        <v>0</v>
      </c>
      <c r="D37" s="41" t="n">
        <v>0</v>
      </c>
      <c r="E37" s="41" t="n">
        <v>0</v>
      </c>
      <c r="F37" s="41" t="n">
        <v>0</v>
      </c>
      <c r="G37" s="41" t="n">
        <v>0</v>
      </c>
      <c r="H37" s="41" t="n">
        <v>0</v>
      </c>
      <c r="I37" s="41" t="n">
        <v>0</v>
      </c>
      <c r="J37" s="41" t="n">
        <v>0</v>
      </c>
      <c r="K37" s="41" t="n">
        <v>0</v>
      </c>
      <c r="L37" s="41" t="n">
        <v>0</v>
      </c>
      <c r="M37" s="41" t="n">
        <f aca="false">0</f>
        <v>0</v>
      </c>
      <c r="N37" s="4" t="n">
        <f aca="false">SUM(B37:M37)/12</f>
        <v>0</v>
      </c>
      <c r="O37" s="42" t="e">
        <f aca="false"/>
        <v>#REF!</v>
      </c>
      <c r="P37" s="42" t="e">
        <f aca="false"/>
        <v>#REF!</v>
      </c>
      <c r="Q37" s="42" t="e">
        <f aca="false"/>
        <v>#REF!</v>
      </c>
      <c r="R37" s="42" t="e">
        <f aca="false"/>
        <v>#REF!</v>
      </c>
      <c r="S37" s="0"/>
      <c r="T37" s="0"/>
    </row>
    <row r="38" customFormat="false" ht="18" hidden="false" customHeight="false" outlineLevel="0" collapsed="false">
      <c r="A38" s="40" t="s">
        <v>35</v>
      </c>
      <c r="B38" s="41" t="n">
        <v>13.999</v>
      </c>
      <c r="C38" s="41" t="n">
        <v>14</v>
      </c>
      <c r="D38" s="41" t="n">
        <v>13.861</v>
      </c>
      <c r="E38" s="41" t="n">
        <v>8.202</v>
      </c>
      <c r="F38" s="41"/>
      <c r="G38" s="41"/>
      <c r="H38" s="41"/>
      <c r="I38" s="41"/>
      <c r="J38" s="41"/>
      <c r="K38" s="41"/>
      <c r="L38" s="41"/>
      <c r="M38" s="41" t="n">
        <v>9.677</v>
      </c>
      <c r="N38" s="4" t="n">
        <f aca="false">SUM(B38:M38)/12</f>
        <v>4.97825</v>
      </c>
      <c r="O38" s="42" t="e">
        <f aca="false"/>
        <v>#REF!</v>
      </c>
      <c r="P38" s="42" t="e">
        <f aca="false"/>
        <v>#REF!</v>
      </c>
      <c r="Q38" s="42" t="e">
        <f aca="false"/>
        <v>#REF!</v>
      </c>
      <c r="R38" s="42" t="e">
        <f aca="false"/>
        <v>#REF!</v>
      </c>
      <c r="S38" s="0"/>
      <c r="T38" s="0"/>
      <c r="V38" s="16"/>
      <c r="W38" s="16"/>
      <c r="X38" s="16"/>
      <c r="Y38" s="16"/>
      <c r="Z38" s="16"/>
      <c r="AA38" s="16"/>
      <c r="AB38" s="16"/>
    </row>
    <row r="39" customFormat="false" ht="12.75" hidden="false" customHeight="false" outlineLevel="0" collapsed="false">
      <c r="A39" s="40" t="s">
        <v>29</v>
      </c>
      <c r="B39" s="43" t="n">
        <v>0</v>
      </c>
      <c r="C39" s="43" t="n">
        <v>0</v>
      </c>
      <c r="D39" s="43" t="n">
        <v>0</v>
      </c>
      <c r="E39" s="43" t="n">
        <v>0</v>
      </c>
      <c r="F39" s="43" t="n">
        <v>0.806</v>
      </c>
      <c r="G39" s="43" t="n">
        <f aca="false">-44.226</f>
        <v>-44.226</v>
      </c>
      <c r="H39" s="43" t="n">
        <v>0</v>
      </c>
      <c r="I39" s="43" t="n">
        <v>0</v>
      </c>
      <c r="J39" s="43" t="n">
        <v>0</v>
      </c>
      <c r="K39" s="43" t="n">
        <v>0</v>
      </c>
      <c r="L39" s="43" t="n">
        <v>4.329</v>
      </c>
      <c r="M39" s="43" t="n">
        <v>0</v>
      </c>
      <c r="N39" s="44" t="n">
        <f aca="false">SUM(B39:M39)/12</f>
        <v>-3.25758333333333</v>
      </c>
      <c r="O39" s="45" t="e">
        <f aca="false"/>
        <v>#REF!</v>
      </c>
      <c r="P39" s="45" t="e">
        <f aca="false"/>
        <v>#REF!</v>
      </c>
      <c r="Q39" s="45" t="e">
        <f aca="false"/>
        <v>#REF!</v>
      </c>
      <c r="R39" s="45" t="e">
        <f aca="false"/>
        <v>#REF!</v>
      </c>
      <c r="S39" s="0"/>
      <c r="T39" s="0"/>
    </row>
    <row r="40" customFormat="false" ht="18" hidden="false" customHeight="false" outlineLevel="0" collapsed="false">
      <c r="A40" s="37" t="s">
        <v>36</v>
      </c>
      <c r="B40" s="4" t="n">
        <f aca="false">SUM(B36:B39)</f>
        <v>82.878</v>
      </c>
      <c r="C40" s="4" t="n">
        <f aca="false">SUM(C36:C39)</f>
        <v>83.6</v>
      </c>
      <c r="D40" s="4" t="n">
        <f aca="false">SUM(D36:D39)</f>
        <v>126.352</v>
      </c>
      <c r="E40" s="4" t="n">
        <f aca="false">SUM(E36:E39)</f>
        <v>126.787</v>
      </c>
      <c r="F40" s="4" t="n">
        <f aca="false">SUM(F36:F39)</f>
        <v>178.075</v>
      </c>
      <c r="G40" s="4" t="n">
        <f aca="false">SUM(G36:G39)</f>
        <v>128.625</v>
      </c>
      <c r="H40" s="4" t="n">
        <f aca="false">SUM(H36:H39)</f>
        <v>163.387</v>
      </c>
      <c r="I40" s="4" t="n">
        <f aca="false">SUM(I36:I39)</f>
        <v>176.147</v>
      </c>
      <c r="J40" s="4" t="n">
        <f aca="false">SUM(J36:J39)</f>
        <v>163.976</v>
      </c>
      <c r="K40" s="4" t="n">
        <f aca="false">SUM(K36:K39)</f>
        <v>167.93</v>
      </c>
      <c r="L40" s="4" t="n">
        <f aca="false">SUM(L36:L39)</f>
        <v>231.496</v>
      </c>
      <c r="M40" s="4" t="n">
        <f aca="false">SUM(M36:M39)</f>
        <v>189.801</v>
      </c>
      <c r="N40" s="4" t="n">
        <f aca="false">SUM(N36:N39)</f>
        <v>151.587833333333</v>
      </c>
      <c r="O40" s="39" t="e">
        <f aca="false"/>
        <v>#REF!</v>
      </c>
      <c r="P40" s="39" t="e">
        <f aca="false"/>
        <v>#REF!</v>
      </c>
      <c r="Q40" s="39" t="e">
        <f aca="false"/>
        <v>#REF!</v>
      </c>
      <c r="R40" s="39" t="e">
        <f aca="false"/>
        <v>#REF!</v>
      </c>
      <c r="S40" s="0"/>
      <c r="T40" s="0"/>
      <c r="V40" s="16"/>
      <c r="W40" s="16"/>
      <c r="X40" s="16"/>
      <c r="Y40" s="16"/>
      <c r="Z40" s="16"/>
      <c r="AA40" s="16"/>
      <c r="AB40" s="16"/>
    </row>
    <row r="41" customFormat="false" ht="12.75" hidden="false" customHeight="false" outlineLevel="0" collapsed="false">
      <c r="A41" s="47" t="s">
        <v>37</v>
      </c>
      <c r="B41" s="48" t="n">
        <f aca="false">B18+B25+B32+B40</f>
        <v>869.13</v>
      </c>
      <c r="C41" s="48" t="n">
        <f aca="false">C18+C25+C32+C40</f>
        <v>856.491</v>
      </c>
      <c r="D41" s="48" t="n">
        <f aca="false">D18+D25+D32+D40</f>
        <v>905.003</v>
      </c>
      <c r="E41" s="48" t="n">
        <f aca="false">E18+E25+E32+E40</f>
        <v>728.496</v>
      </c>
      <c r="F41" s="48" t="n">
        <f aca="false">F18+F25+F32+F40</f>
        <v>828.488</v>
      </c>
      <c r="G41" s="48" t="n">
        <f aca="false">G18+G25+G32+G40</f>
        <v>943.953</v>
      </c>
      <c r="H41" s="48" t="n">
        <f aca="false">H18+H25+H32+H40</f>
        <v>984.722</v>
      </c>
      <c r="I41" s="48" t="n">
        <f aca="false">I18+I25+I32+I40</f>
        <v>1035.621</v>
      </c>
      <c r="J41" s="48" t="n">
        <f aca="false">J18+J25+J32+J40</f>
        <v>1062.715</v>
      </c>
      <c r="K41" s="48" t="n">
        <f aca="false">K18+K25+K32+K40</f>
        <v>1052.741</v>
      </c>
      <c r="L41" s="48" t="n">
        <f aca="false">L18+L25+L32+L40</f>
        <v>962.99925</v>
      </c>
      <c r="M41" s="48" t="n">
        <f aca="false">M18+M25+M32+M40</f>
        <v>1105.33</v>
      </c>
      <c r="N41" s="49" t="n">
        <f aca="false">N18+N25+N32+N40</f>
        <v>944.640770833333</v>
      </c>
      <c r="O41" s="50" t="e">
        <f aca="false">(#REF!+#REF!+#REF!)/O$1</f>
        <v>#REF!</v>
      </c>
      <c r="P41" s="50" t="e">
        <f aca="false">(#REF!+#REF!+#REF!)/P$1</f>
        <v>#REF!</v>
      </c>
      <c r="Q41" s="50" t="e">
        <f aca="false">(#REF!+#REF!+#REF!)/Q$1</f>
        <v>#REF!</v>
      </c>
      <c r="R41" s="50" t="e">
        <f aca="false">R18+R25+R32+R40</f>
        <v>#REF!</v>
      </c>
      <c r="S41" s="0"/>
      <c r="T41" s="0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8" hidden="false" customHeight="false" outlineLevel="0" collapsed="false">
      <c r="A42" s="47" t="s">
        <v>38</v>
      </c>
      <c r="B42" s="48" t="n">
        <f aca="false">+B14+B21+B28+B35</f>
        <v>976.548</v>
      </c>
      <c r="C42" s="48" t="n">
        <f aca="false">+C14+C21+C28+C35</f>
        <v>969.75</v>
      </c>
      <c r="D42" s="48" t="n">
        <f aca="false">+D14+D21+D28+D35</f>
        <v>1017.75</v>
      </c>
      <c r="E42" s="48" t="n">
        <f aca="false">+E14+E21+E28+E35</f>
        <v>990.75</v>
      </c>
      <c r="F42" s="48" t="n">
        <f aca="false">+F14+F21+F28+F35</f>
        <v>1041.308</v>
      </c>
      <c r="G42" s="48" t="n">
        <f aca="false">+G14+G21+G28+G35</f>
        <v>1059.85</v>
      </c>
      <c r="H42" s="48" t="n">
        <f aca="false">+H14+H21+H28+H35</f>
        <v>1088.785</v>
      </c>
      <c r="I42" s="48" t="n">
        <f aca="false">+I14+I21+I28+I35</f>
        <v>1086.85</v>
      </c>
      <c r="J42" s="48" t="n">
        <f aca="false">+J14+J21+J28+J35</f>
        <v>1086.85</v>
      </c>
      <c r="K42" s="48" t="n">
        <f aca="false">+K14+K21+K28+K35</f>
        <v>1086.85</v>
      </c>
      <c r="L42" s="48" t="n">
        <f aca="false">+L14+L21+L28+L35</f>
        <v>1105.925</v>
      </c>
      <c r="M42" s="48" t="n">
        <f aca="false">+M14+M21+M28+M35</f>
        <v>1096.85</v>
      </c>
      <c r="N42" s="49" t="n">
        <f aca="false">+N14+N21+N28+N35</f>
        <v>1050.67216666667</v>
      </c>
      <c r="O42" s="50" t="e">
        <f aca="false">#REF!+O35+#REF!+O28+O21+O14</f>
        <v>#REF!</v>
      </c>
      <c r="P42" s="50" t="e">
        <f aca="false">#REF!+P35+#REF!+P28+P21+P14</f>
        <v>#REF!</v>
      </c>
      <c r="Q42" s="50" t="e">
        <f aca="false">#REF!+Q35+#REF!+Q28+Q21+Q14</f>
        <v>#REF!</v>
      </c>
      <c r="R42" s="50" t="e">
        <f aca="false">#REF!+R35+#REF!+R28+R21+R14</f>
        <v>#REF!</v>
      </c>
      <c r="S42" s="0"/>
      <c r="T42" s="0"/>
      <c r="V42" s="16"/>
      <c r="W42" s="16"/>
      <c r="X42" s="16"/>
      <c r="Y42" s="16"/>
      <c r="Z42" s="16"/>
      <c r="AA42" s="16"/>
      <c r="AB42" s="16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2.75" hidden="false" customHeight="false" outlineLevel="0" collapsed="false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4"/>
      <c r="O43" s="42"/>
      <c r="P43" s="42"/>
      <c r="Q43" s="42"/>
      <c r="R43" s="42"/>
      <c r="S43" s="0"/>
      <c r="T43" s="0"/>
    </row>
    <row r="44" customFormat="false" ht="18" hidden="false" customHeight="false" outlineLevel="0" collapsed="false">
      <c r="A44" s="36" t="s">
        <v>39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4"/>
      <c r="O44" s="34"/>
      <c r="P44" s="34"/>
      <c r="Q44" s="34"/>
      <c r="R44" s="34"/>
      <c r="S44" s="0"/>
      <c r="T44" s="0"/>
      <c r="V44" s="16"/>
      <c r="W44" s="16"/>
      <c r="X44" s="16"/>
      <c r="Y44" s="16"/>
      <c r="Z44" s="16"/>
      <c r="AA44" s="16"/>
      <c r="AB44" s="16"/>
    </row>
    <row r="45" customFormat="false" ht="12.75" hidden="false" customHeight="false" outlineLevel="0" collapsed="false">
      <c r="A45" s="37" t="s">
        <v>40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4"/>
      <c r="O45" s="38"/>
      <c r="P45" s="38"/>
      <c r="Q45" s="38"/>
      <c r="R45" s="38"/>
      <c r="S45" s="0"/>
      <c r="T45" s="0"/>
    </row>
    <row r="46" customFormat="false" ht="18" hidden="false" customHeight="false" outlineLevel="0" collapsed="false">
      <c r="A46" s="40" t="s">
        <v>23</v>
      </c>
      <c r="B46" s="41" t="n">
        <v>45</v>
      </c>
      <c r="C46" s="41" t="n">
        <v>45</v>
      </c>
      <c r="D46" s="41" t="n">
        <v>0</v>
      </c>
      <c r="E46" s="41" t="n">
        <v>8</v>
      </c>
      <c r="F46" s="41" t="n">
        <v>49.032</v>
      </c>
      <c r="G46" s="41" t="n">
        <v>80</v>
      </c>
      <c r="H46" s="41" t="n">
        <v>80</v>
      </c>
      <c r="I46" s="41" t="n">
        <v>80</v>
      </c>
      <c r="J46" s="41" t="n">
        <v>80</v>
      </c>
      <c r="K46" s="41" t="n">
        <v>80</v>
      </c>
      <c r="L46" s="41" t="n">
        <v>0</v>
      </c>
      <c r="M46" s="41" t="n">
        <v>80</v>
      </c>
      <c r="N46" s="4" t="n">
        <f aca="false">SUM(B46:M46)/12</f>
        <v>52.2526666666667</v>
      </c>
      <c r="O46" s="42" t="e">
        <f aca="false"/>
        <v>#REF!</v>
      </c>
      <c r="P46" s="42" t="e">
        <f aca="false"/>
        <v>#REF!</v>
      </c>
      <c r="Q46" s="42" t="e">
        <f aca="false"/>
        <v>#REF!</v>
      </c>
      <c r="R46" s="42" t="e">
        <f aca="false"/>
        <v>#REF!</v>
      </c>
      <c r="S46" s="0"/>
      <c r="T46" s="0"/>
      <c r="V46" s="16"/>
      <c r="W46" s="16"/>
      <c r="X46" s="16"/>
      <c r="Y46" s="16"/>
      <c r="Z46" s="16"/>
      <c r="AA46" s="16"/>
      <c r="AB46" s="16"/>
    </row>
    <row r="47" customFormat="false" ht="12.75" hidden="false" customHeight="false" outlineLevel="0" collapsed="false">
      <c r="A47" s="40" t="s">
        <v>24</v>
      </c>
      <c r="B47" s="41" t="n">
        <v>0</v>
      </c>
      <c r="C47" s="41" t="n">
        <v>0</v>
      </c>
      <c r="D47" s="41" t="n">
        <v>9.977</v>
      </c>
      <c r="E47" s="41" t="n">
        <v>27.03</v>
      </c>
      <c r="F47" s="41" t="n">
        <f aca="false">5.432+32.825</f>
        <v>38.257</v>
      </c>
      <c r="G47" s="41" t="n">
        <v>26.826</v>
      </c>
      <c r="H47" s="41" t="n">
        <v>28.887</v>
      </c>
      <c r="I47" s="41" t="n">
        <v>29.499</v>
      </c>
      <c r="J47" s="41" t="n">
        <v>16.193</v>
      </c>
      <c r="K47" s="41" t="n">
        <v>15.68</v>
      </c>
      <c r="L47" s="41" t="n">
        <v>0</v>
      </c>
      <c r="M47" s="41" t="n">
        <v>9.178</v>
      </c>
      <c r="N47" s="4" t="n">
        <f aca="false">SUM(B47:M47)/12</f>
        <v>16.7939166666667</v>
      </c>
      <c r="O47" s="42" t="e">
        <f aca="false"/>
        <v>#REF!</v>
      </c>
      <c r="P47" s="42" t="e">
        <f aca="false"/>
        <v>#REF!</v>
      </c>
      <c r="Q47" s="42" t="e">
        <f aca="false"/>
        <v>#REF!</v>
      </c>
      <c r="R47" s="42" t="e">
        <f aca="false"/>
        <v>#REF!</v>
      </c>
      <c r="S47" s="0"/>
      <c r="T47" s="0"/>
    </row>
    <row r="48" customFormat="false" ht="18" hidden="false" customHeight="false" outlineLevel="0" collapsed="false">
      <c r="A48" s="40" t="s">
        <v>25</v>
      </c>
      <c r="B48" s="41" t="n">
        <v>0</v>
      </c>
      <c r="C48" s="41" t="n">
        <v>0</v>
      </c>
      <c r="D48" s="41" t="n">
        <v>0</v>
      </c>
      <c r="E48" s="41" t="n">
        <v>0</v>
      </c>
      <c r="F48" s="41" t="n">
        <v>0</v>
      </c>
      <c r="G48" s="41" t="n">
        <v>0</v>
      </c>
      <c r="H48" s="41" t="n">
        <v>0</v>
      </c>
      <c r="I48" s="41" t="n">
        <v>0</v>
      </c>
      <c r="J48" s="41" t="n">
        <v>0</v>
      </c>
      <c r="K48" s="41" t="n">
        <v>0</v>
      </c>
      <c r="L48" s="41" t="n">
        <v>0</v>
      </c>
      <c r="M48" s="41" t="n">
        <v>0</v>
      </c>
      <c r="N48" s="4" t="n">
        <f aca="false">SUM(B48:M48)/12</f>
        <v>0</v>
      </c>
      <c r="O48" s="42" t="e">
        <f aca="false"/>
        <v>#REF!</v>
      </c>
      <c r="P48" s="42" t="e">
        <f aca="false"/>
        <v>#REF!</v>
      </c>
      <c r="Q48" s="42" t="e">
        <f aca="false"/>
        <v>#REF!</v>
      </c>
      <c r="R48" s="42" t="e">
        <f aca="false"/>
        <v>#REF!</v>
      </c>
      <c r="S48" s="0"/>
      <c r="T48" s="0"/>
      <c r="V48" s="16"/>
      <c r="W48" s="16"/>
      <c r="X48" s="16"/>
      <c r="Y48" s="16"/>
      <c r="Z48" s="16"/>
      <c r="AA48" s="16"/>
      <c r="AB48" s="16"/>
    </row>
    <row r="49" customFormat="false" ht="12.75" hidden="false" customHeight="false" outlineLevel="0" collapsed="false">
      <c r="A49" s="40" t="s">
        <v>29</v>
      </c>
      <c r="B49" s="43" t="n">
        <v>2.621</v>
      </c>
      <c r="C49" s="43" t="n">
        <v>0</v>
      </c>
      <c r="D49" s="43" t="n">
        <v>0</v>
      </c>
      <c r="E49" s="43" t="n">
        <v>1.064</v>
      </c>
      <c r="F49" s="43" t="n">
        <v>4.141</v>
      </c>
      <c r="G49" s="43" t="n">
        <f aca="false">1.309</f>
        <v>1.309</v>
      </c>
      <c r="H49" s="43" t="n">
        <v>3.877</v>
      </c>
      <c r="I49" s="43" t="n">
        <f aca="false">20.754</f>
        <v>20.754</v>
      </c>
      <c r="J49" s="43" t="n">
        <v>7.333</v>
      </c>
      <c r="K49" s="43" t="n">
        <v>4.355</v>
      </c>
      <c r="L49" s="43" t="n">
        <v>0</v>
      </c>
      <c r="M49" s="43" t="n">
        <v>1.194</v>
      </c>
      <c r="N49" s="44" t="n">
        <f aca="false">SUM(B49:M49)/12</f>
        <v>3.88733333333333</v>
      </c>
      <c r="O49" s="45" t="e">
        <f aca="false"/>
        <v>#REF!</v>
      </c>
      <c r="P49" s="45" t="e">
        <f aca="false"/>
        <v>#REF!</v>
      </c>
      <c r="Q49" s="45" t="e">
        <f aca="false"/>
        <v>#REF!</v>
      </c>
      <c r="R49" s="45" t="e">
        <f aca="false"/>
        <v>#REF!</v>
      </c>
      <c r="S49" s="0"/>
      <c r="T49" s="0"/>
    </row>
    <row r="50" customFormat="false" ht="18" hidden="false" customHeight="false" outlineLevel="0" collapsed="false">
      <c r="A50" s="37" t="s">
        <v>41</v>
      </c>
      <c r="B50" s="4" t="n">
        <f aca="false">SUM(B47:B49)</f>
        <v>2.621</v>
      </c>
      <c r="C50" s="4" t="n">
        <f aca="false">SUM(C47:C49)</f>
        <v>0</v>
      </c>
      <c r="D50" s="4" t="n">
        <f aca="false">SUM(D47:D49)</f>
        <v>9.977</v>
      </c>
      <c r="E50" s="4" t="n">
        <f aca="false">SUM(E47:E49)</f>
        <v>28.094</v>
      </c>
      <c r="F50" s="4" t="n">
        <f aca="false">SUM(F47:F49)</f>
        <v>42.398</v>
      </c>
      <c r="G50" s="4" t="n">
        <f aca="false">SUM(G47:G49)</f>
        <v>28.135</v>
      </c>
      <c r="H50" s="4" t="n">
        <f aca="false">SUM(H47:H49)</f>
        <v>32.764</v>
      </c>
      <c r="I50" s="4" t="n">
        <f aca="false">SUM(I47:I49)</f>
        <v>50.253</v>
      </c>
      <c r="J50" s="4" t="n">
        <f aca="false">SUM(J47:J49)</f>
        <v>23.526</v>
      </c>
      <c r="K50" s="4" t="n">
        <f aca="false">SUM(K47:K49)</f>
        <v>20.035</v>
      </c>
      <c r="L50" s="4" t="n">
        <f aca="false">SUM(L47:L49)</f>
        <v>0</v>
      </c>
      <c r="M50" s="4" t="n">
        <f aca="false">SUM(M47:M49)</f>
        <v>10.372</v>
      </c>
      <c r="N50" s="4" t="n">
        <f aca="false">SUM(N47:N49)</f>
        <v>20.68125</v>
      </c>
      <c r="O50" s="39" t="e">
        <f aca="false">(#REF!+#REF!+#REF!+#REF!)/O$1</f>
        <v>#REF!</v>
      </c>
      <c r="P50" s="39" t="e">
        <f aca="false">(#REF!+#REF!+#REF!+#REF!)/P$1</f>
        <v>#REF!</v>
      </c>
      <c r="Q50" s="39" t="e">
        <f aca="false">(#REF!+#REF!+#REF!+#REF!)/Q$1</f>
        <v>#REF!</v>
      </c>
      <c r="R50" s="39" t="e">
        <f aca="false">SUM(R47:R49)</f>
        <v>#REF!</v>
      </c>
      <c r="S50" s="0"/>
      <c r="T50" s="0"/>
      <c r="V50" s="16"/>
      <c r="W50" s="16"/>
      <c r="X50" s="16"/>
      <c r="Y50" s="16"/>
      <c r="Z50" s="16"/>
      <c r="AA50" s="16"/>
      <c r="AB50" s="16"/>
    </row>
    <row r="51" customFormat="false" ht="12.75" hidden="false" customHeight="false" outlineLevel="0" collapsed="false">
      <c r="A51" s="3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/>
      <c r="P51" s="39"/>
      <c r="Q51" s="39"/>
      <c r="R51" s="39"/>
      <c r="S51" s="0"/>
      <c r="T51" s="0"/>
    </row>
    <row r="52" customFormat="false" ht="18" hidden="false" customHeight="false" outlineLevel="0" collapsed="false">
      <c r="A52" s="37" t="s">
        <v>42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4"/>
      <c r="O52" s="38"/>
      <c r="P52" s="38"/>
      <c r="Q52" s="38"/>
      <c r="R52" s="38"/>
      <c r="S52" s="0"/>
      <c r="T52" s="0"/>
      <c r="V52" s="16"/>
      <c r="W52" s="16"/>
      <c r="X52" s="16"/>
      <c r="Y52" s="16"/>
      <c r="Z52" s="16"/>
      <c r="AA52" s="16"/>
      <c r="AB52" s="16"/>
    </row>
    <row r="53" customFormat="false" ht="12.75" hidden="false" customHeight="false" outlineLevel="0" collapsed="false">
      <c r="A53" s="40" t="s">
        <v>23</v>
      </c>
      <c r="B53" s="41" t="n">
        <v>243.012</v>
      </c>
      <c r="C53" s="41" t="n">
        <v>236.229</v>
      </c>
      <c r="D53" s="41" t="n">
        <v>227.861</v>
      </c>
      <c r="E53" s="41" t="n">
        <v>569.467</v>
      </c>
      <c r="F53" s="41" t="n">
        <v>506.105</v>
      </c>
      <c r="G53" s="41" t="n">
        <v>469.31</v>
      </c>
      <c r="H53" s="41" t="n">
        <v>449.353</v>
      </c>
      <c r="I53" s="41" t="n">
        <v>476.112</v>
      </c>
      <c r="J53" s="41" t="n">
        <v>501.512</v>
      </c>
      <c r="K53" s="41" t="n">
        <v>507.252</v>
      </c>
      <c r="L53" s="41" t="n">
        <f aca="false">235.85-25+400-50-40+20-35.7</f>
        <v>505.15</v>
      </c>
      <c r="M53" s="41" t="n">
        <v>521.292</v>
      </c>
      <c r="N53" s="4" t="n">
        <f aca="false">SUM(B53:M53)/12</f>
        <v>434.387916666667</v>
      </c>
      <c r="O53" s="42" t="e">
        <f aca="false"/>
        <v>#REF!</v>
      </c>
      <c r="P53" s="42" t="e">
        <f aca="false"/>
        <v>#REF!</v>
      </c>
      <c r="Q53" s="42" t="e">
        <f aca="false"/>
        <v>#REF!</v>
      </c>
      <c r="R53" s="42" t="e">
        <f aca="false"/>
        <v>#REF!</v>
      </c>
      <c r="S53" s="0"/>
      <c r="T53" s="0"/>
    </row>
    <row r="54" customFormat="false" ht="18" hidden="false" customHeight="false" outlineLevel="0" collapsed="false">
      <c r="A54" s="40" t="s">
        <v>24</v>
      </c>
      <c r="B54" s="41" t="n">
        <v>199.239</v>
      </c>
      <c r="C54" s="41" t="n">
        <v>206.565</v>
      </c>
      <c r="D54" s="41" t="n">
        <v>219.906</v>
      </c>
      <c r="E54" s="41" t="n">
        <v>319.02</v>
      </c>
      <c r="F54" s="41" t="n">
        <v>333.508</v>
      </c>
      <c r="G54" s="41" t="n">
        <v>163.245</v>
      </c>
      <c r="H54" s="41" t="n">
        <v>201.024</v>
      </c>
      <c r="I54" s="41" t="n">
        <v>191.962</v>
      </c>
      <c r="J54" s="41" t="n">
        <v>224.425</v>
      </c>
      <c r="K54" s="41" t="n">
        <v>165.529</v>
      </c>
      <c r="L54" s="41" t="n">
        <f aca="false">183.963-19.5+100-39</f>
        <v>225.463</v>
      </c>
      <c r="M54" s="41" t="n">
        <v>156.476</v>
      </c>
      <c r="N54" s="4" t="n">
        <f aca="false">SUM(B54:M54)/12</f>
        <v>217.196833333333</v>
      </c>
      <c r="O54" s="42" t="e">
        <f aca="false"/>
        <v>#REF!</v>
      </c>
      <c r="P54" s="42" t="e">
        <f aca="false"/>
        <v>#REF!</v>
      </c>
      <c r="Q54" s="42" t="e">
        <f aca="false"/>
        <v>#REF!</v>
      </c>
      <c r="R54" s="42" t="e">
        <f aca="false"/>
        <v>#REF!</v>
      </c>
      <c r="S54" s="0"/>
      <c r="T54" s="0"/>
      <c r="V54" s="16"/>
      <c r="W54" s="16"/>
      <c r="X54" s="16"/>
      <c r="Y54" s="16"/>
      <c r="Z54" s="16"/>
      <c r="AA54" s="16"/>
      <c r="AB54" s="16"/>
    </row>
    <row r="55" customFormat="false" ht="12.75" hidden="false" customHeight="false" outlineLevel="0" collapsed="false">
      <c r="A55" s="40" t="s">
        <v>25</v>
      </c>
      <c r="B55" s="41" t="n">
        <v>0</v>
      </c>
      <c r="C55" s="41" t="n">
        <v>0</v>
      </c>
      <c r="D55" s="41" t="n">
        <v>0</v>
      </c>
      <c r="E55" s="41" t="n">
        <v>0</v>
      </c>
      <c r="F55" s="41" t="n">
        <v>0</v>
      </c>
      <c r="G55" s="41" t="n">
        <v>0</v>
      </c>
      <c r="H55" s="41" t="n">
        <v>0</v>
      </c>
      <c r="I55" s="41" t="n">
        <v>0</v>
      </c>
      <c r="J55" s="41" t="n">
        <v>0</v>
      </c>
      <c r="K55" s="41" t="n">
        <v>0</v>
      </c>
      <c r="L55" s="41" t="n">
        <v>10.3</v>
      </c>
      <c r="M55" s="41" t="n">
        <f aca="false">0</f>
        <v>0</v>
      </c>
      <c r="N55" s="4" t="n">
        <f aca="false">SUM(B55:M55)/12</f>
        <v>0.858333333333333</v>
      </c>
      <c r="O55" s="42" t="e">
        <f aca="false"/>
        <v>#REF!</v>
      </c>
      <c r="P55" s="42" t="e">
        <f aca="false"/>
        <v>#REF!</v>
      </c>
      <c r="Q55" s="42" t="e">
        <f aca="false"/>
        <v>#REF!</v>
      </c>
      <c r="R55" s="42" t="e">
        <f aca="false"/>
        <v>#REF!</v>
      </c>
      <c r="S55" s="0"/>
      <c r="T55" s="0"/>
    </row>
    <row r="56" customFormat="false" ht="18" hidden="false" customHeight="false" outlineLevel="0" collapsed="false">
      <c r="A56" s="40" t="s">
        <v>43</v>
      </c>
      <c r="B56" s="41" t="n">
        <v>0.2</v>
      </c>
      <c r="C56" s="41" t="n">
        <v>1.609</v>
      </c>
      <c r="D56" s="41" t="n">
        <f aca="false">-0.161</f>
        <v>-0.161</v>
      </c>
      <c r="E56" s="41" t="n">
        <v>0.43</v>
      </c>
      <c r="F56" s="41" t="n">
        <v>0.049</v>
      </c>
      <c r="G56" s="41" t="n">
        <v>0.05</v>
      </c>
      <c r="H56" s="41" t="n">
        <f aca="false">0</f>
        <v>0</v>
      </c>
      <c r="I56" s="41" t="n">
        <v>0</v>
      </c>
      <c r="J56" s="41" t="n">
        <f aca="false">0</f>
        <v>0</v>
      </c>
      <c r="K56" s="41" t="n">
        <f aca="false">0</f>
        <v>0</v>
      </c>
      <c r="L56" s="41"/>
      <c r="M56" s="41" t="n">
        <f aca="false">-0.102</f>
        <v>-0.102</v>
      </c>
      <c r="N56" s="4"/>
      <c r="O56" s="42"/>
      <c r="P56" s="42"/>
      <c r="Q56" s="42"/>
      <c r="R56" s="42"/>
      <c r="S56" s="0"/>
      <c r="T56" s="0"/>
      <c r="V56" s="16"/>
      <c r="W56" s="16"/>
      <c r="X56" s="16"/>
      <c r="Y56" s="16"/>
      <c r="Z56" s="16"/>
      <c r="AA56" s="16"/>
      <c r="AB56" s="16"/>
    </row>
    <row r="57" customFormat="false" ht="12.75" hidden="false" customHeight="false" outlineLevel="0" collapsed="false">
      <c r="A57" s="40" t="s">
        <v>29</v>
      </c>
      <c r="B57" s="43" t="n">
        <v>35.206</v>
      </c>
      <c r="C57" s="43" t="n">
        <v>23.867</v>
      </c>
      <c r="D57" s="43" t="n">
        <v>26.284</v>
      </c>
      <c r="E57" s="43" t="n">
        <v>23.874</v>
      </c>
      <c r="F57" s="43" t="n">
        <v>20.19</v>
      </c>
      <c r="G57" s="43" t="n">
        <v>23.893</v>
      </c>
      <c r="H57" s="43" t="n">
        <v>46.78</v>
      </c>
      <c r="I57" s="43" t="n">
        <v>36.822</v>
      </c>
      <c r="J57" s="43" t="n">
        <v>11.07</v>
      </c>
      <c r="K57" s="43" t="n">
        <v>18.822</v>
      </c>
      <c r="L57" s="43" t="n">
        <v>35</v>
      </c>
      <c r="M57" s="43" t="n">
        <v>30.594</v>
      </c>
      <c r="N57" s="44" t="n">
        <f aca="false">SUM(B57:M57)/12</f>
        <v>27.7001666666667</v>
      </c>
      <c r="O57" s="45" t="e">
        <f aca="false"/>
        <v>#REF!</v>
      </c>
      <c r="P57" s="45" t="e">
        <f aca="false"/>
        <v>#REF!</v>
      </c>
      <c r="Q57" s="45" t="e">
        <f aca="false"/>
        <v>#REF!</v>
      </c>
      <c r="R57" s="45" t="e">
        <f aca="false"/>
        <v>#REF!</v>
      </c>
      <c r="S57" s="0"/>
      <c r="T57" s="0"/>
    </row>
    <row r="58" customFormat="false" ht="18" hidden="false" customHeight="false" outlineLevel="0" collapsed="false">
      <c r="A58" s="37" t="s">
        <v>44</v>
      </c>
      <c r="B58" s="4" t="n">
        <f aca="false">SUM(B54:B57)</f>
        <v>234.645</v>
      </c>
      <c r="C58" s="4" t="n">
        <f aca="false">SUM(C54:C57)</f>
        <v>232.041</v>
      </c>
      <c r="D58" s="4" t="n">
        <f aca="false">SUM(D54:D57)</f>
        <v>246.029</v>
      </c>
      <c r="E58" s="4" t="n">
        <f aca="false">SUM(E54:E57)</f>
        <v>343.324</v>
      </c>
      <c r="F58" s="4" t="n">
        <f aca="false">SUM(F54:F57)</f>
        <v>353.747</v>
      </c>
      <c r="G58" s="4" t="n">
        <f aca="false">SUM(G54:G57)</f>
        <v>187.188</v>
      </c>
      <c r="H58" s="4" t="n">
        <f aca="false">SUM(H54:H57)</f>
        <v>247.804</v>
      </c>
      <c r="I58" s="4" t="n">
        <f aca="false">SUM(I54:I57)</f>
        <v>228.784</v>
      </c>
      <c r="J58" s="4" t="n">
        <f aca="false">SUM(J54:J57)</f>
        <v>235.495</v>
      </c>
      <c r="K58" s="4" t="n">
        <f aca="false">SUM(K54:K57)</f>
        <v>184.351</v>
      </c>
      <c r="L58" s="4" t="n">
        <f aca="false">SUM(L54:L57)</f>
        <v>270.763</v>
      </c>
      <c r="M58" s="4" t="n">
        <f aca="false">SUM(M54:M57)</f>
        <v>186.968</v>
      </c>
      <c r="N58" s="4" t="n">
        <f aca="false">SUM(N54:N57)</f>
        <v>245.755333333333</v>
      </c>
      <c r="O58" s="39" t="e">
        <f aca="false">(#REF!+#REF!+#REF!)/O$1</f>
        <v>#REF!</v>
      </c>
      <c r="P58" s="39" t="e">
        <f aca="false">(#REF!+#REF!+#REF!)/P$1</f>
        <v>#REF!</v>
      </c>
      <c r="Q58" s="39" t="e">
        <f aca="false">(#REF!+#REF!+#REF!)/Q$1</f>
        <v>#REF!</v>
      </c>
      <c r="R58" s="39" t="e">
        <f aca="false">SUM(R54:R57)</f>
        <v>#REF!</v>
      </c>
      <c r="S58" s="0"/>
      <c r="T58" s="0"/>
      <c r="V58" s="16"/>
      <c r="W58" s="16"/>
      <c r="X58" s="16"/>
      <c r="Y58" s="16"/>
      <c r="Z58" s="16"/>
      <c r="AA58" s="16"/>
      <c r="AB58" s="16"/>
    </row>
    <row r="59" customFormat="false" ht="12.75" hidden="false" customHeight="false" outlineLevel="0" collapsed="false">
      <c r="A59" s="3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39"/>
      <c r="P59" s="39"/>
      <c r="Q59" s="39"/>
      <c r="R59" s="39"/>
      <c r="S59" s="0"/>
      <c r="T59" s="0"/>
    </row>
    <row r="60" customFormat="false" ht="18" hidden="false" customHeight="false" outlineLevel="0" collapsed="false">
      <c r="A60" s="37" t="s">
        <v>45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4"/>
      <c r="O60" s="38"/>
      <c r="P60" s="38"/>
      <c r="Q60" s="38"/>
      <c r="R60" s="38"/>
      <c r="S60" s="0"/>
      <c r="T60" s="0"/>
      <c r="V60" s="16"/>
      <c r="W60" s="16"/>
      <c r="X60" s="16"/>
      <c r="Y60" s="16"/>
      <c r="Z60" s="16"/>
      <c r="AA60" s="16"/>
      <c r="AB60" s="16"/>
    </row>
    <row r="61" customFormat="false" ht="12.75" hidden="false" customHeight="false" outlineLevel="0" collapsed="false">
      <c r="A61" s="40" t="s">
        <v>23</v>
      </c>
      <c r="B61" s="41" t="n">
        <v>40</v>
      </c>
      <c r="C61" s="41" t="n">
        <v>40</v>
      </c>
      <c r="D61" s="41" t="n">
        <v>40</v>
      </c>
      <c r="E61" s="41" t="n">
        <v>40</v>
      </c>
      <c r="F61" s="41" t="n">
        <v>40</v>
      </c>
      <c r="G61" s="41" t="n">
        <v>40</v>
      </c>
      <c r="H61" s="41" t="n">
        <v>40</v>
      </c>
      <c r="I61" s="41" t="n">
        <v>40</v>
      </c>
      <c r="J61" s="41" t="n">
        <v>40</v>
      </c>
      <c r="K61" s="41" t="n">
        <v>40</v>
      </c>
      <c r="L61" s="41" t="n">
        <v>40</v>
      </c>
      <c r="M61" s="41" t="n">
        <v>40</v>
      </c>
      <c r="N61" s="4" t="n">
        <f aca="false">SUM(B61:M61)/12</f>
        <v>40</v>
      </c>
      <c r="O61" s="42" t="e">
        <f aca="false"/>
        <v>#REF!</v>
      </c>
      <c r="P61" s="42" t="e">
        <f aca="false"/>
        <v>#REF!</v>
      </c>
      <c r="Q61" s="42" t="e">
        <f aca="false"/>
        <v>#REF!</v>
      </c>
      <c r="R61" s="42" t="e">
        <f aca="false"/>
        <v>#REF!</v>
      </c>
      <c r="S61" s="0"/>
      <c r="T61" s="0"/>
    </row>
    <row r="62" customFormat="false" ht="18" hidden="false" customHeight="false" outlineLevel="0" collapsed="false">
      <c r="A62" s="40" t="s">
        <v>24</v>
      </c>
      <c r="B62" s="41" t="n">
        <v>17.931</v>
      </c>
      <c r="C62" s="41" t="n">
        <v>27.172</v>
      </c>
      <c r="D62" s="41" t="n">
        <v>24.3</v>
      </c>
      <c r="E62" s="41" t="n">
        <v>21.137</v>
      </c>
      <c r="F62" s="41" t="n">
        <v>26.988</v>
      </c>
      <c r="G62" s="41" t="n">
        <v>35.279</v>
      </c>
      <c r="H62" s="41" t="n">
        <v>24.428</v>
      </c>
      <c r="I62" s="41" t="n">
        <v>23.344</v>
      </c>
      <c r="J62" s="41" t="n">
        <v>23.212</v>
      </c>
      <c r="K62" s="41" t="n">
        <v>24.908</v>
      </c>
      <c r="L62" s="41" t="n">
        <v>29.2</v>
      </c>
      <c r="M62" s="41" t="n">
        <v>29.11</v>
      </c>
      <c r="N62" s="4" t="n">
        <f aca="false">SUM(B62:M62)/12</f>
        <v>25.5840833333333</v>
      </c>
      <c r="O62" s="42" t="e">
        <f aca="false"/>
        <v>#REF!</v>
      </c>
      <c r="P62" s="42" t="e">
        <f aca="false"/>
        <v>#REF!</v>
      </c>
      <c r="Q62" s="42" t="e">
        <f aca="false"/>
        <v>#REF!</v>
      </c>
      <c r="R62" s="42" t="e">
        <f aca="false"/>
        <v>#REF!</v>
      </c>
      <c r="S62" s="0"/>
      <c r="T62" s="0"/>
      <c r="V62" s="16"/>
      <c r="W62" s="16"/>
      <c r="X62" s="16"/>
      <c r="Y62" s="16"/>
      <c r="Z62" s="16"/>
      <c r="AA62" s="16"/>
      <c r="AB62" s="16"/>
    </row>
    <row r="63" customFormat="false" ht="12.75" hidden="false" customHeight="false" outlineLevel="0" collapsed="false">
      <c r="A63" s="40" t="s">
        <v>25</v>
      </c>
      <c r="B63" s="41" t="n">
        <v>0</v>
      </c>
      <c r="C63" s="41" t="n">
        <v>0</v>
      </c>
      <c r="D63" s="41" t="n">
        <v>0</v>
      </c>
      <c r="E63" s="41" t="n">
        <v>0</v>
      </c>
      <c r="F63" s="41" t="n">
        <v>0</v>
      </c>
      <c r="G63" s="41" t="n">
        <v>0</v>
      </c>
      <c r="H63" s="41" t="n">
        <v>0</v>
      </c>
      <c r="I63" s="41" t="n">
        <v>0</v>
      </c>
      <c r="J63" s="41" t="n">
        <v>0</v>
      </c>
      <c r="K63" s="41" t="n">
        <v>0</v>
      </c>
      <c r="L63" s="41" t="n">
        <v>0</v>
      </c>
      <c r="M63" s="41" t="n">
        <v>0</v>
      </c>
      <c r="N63" s="4" t="n">
        <f aca="false">SUM(B63:M63)/12</f>
        <v>0</v>
      </c>
      <c r="O63" s="42" t="e">
        <f aca="false"/>
        <v>#REF!</v>
      </c>
      <c r="P63" s="42" t="e">
        <f aca="false"/>
        <v>#REF!</v>
      </c>
      <c r="Q63" s="42" t="e">
        <f aca="false"/>
        <v>#REF!</v>
      </c>
      <c r="R63" s="42" t="e">
        <f aca="false"/>
        <v>#REF!</v>
      </c>
      <c r="S63" s="0"/>
      <c r="T63" s="0"/>
    </row>
    <row r="64" customFormat="false" ht="18" hidden="false" customHeight="false" outlineLevel="0" collapsed="false">
      <c r="A64" s="40" t="s">
        <v>29</v>
      </c>
      <c r="B64" s="43" t="n">
        <v>1.597</v>
      </c>
      <c r="C64" s="43" t="n">
        <v>0</v>
      </c>
      <c r="D64" s="43" t="n">
        <v>0</v>
      </c>
      <c r="E64" s="43" t="n">
        <v>0</v>
      </c>
      <c r="F64" s="43" t="n">
        <v>0.037</v>
      </c>
      <c r="G64" s="43" t="n">
        <v>0</v>
      </c>
      <c r="H64" s="43" t="n">
        <v>0</v>
      </c>
      <c r="I64" s="43" t="n">
        <v>0</v>
      </c>
      <c r="J64" s="43" t="n">
        <v>3.345</v>
      </c>
      <c r="K64" s="43" t="n">
        <v>3.372</v>
      </c>
      <c r="L64" s="43" t="n">
        <v>0</v>
      </c>
      <c r="M64" s="43" t="n">
        <v>2.9</v>
      </c>
      <c r="N64" s="44" t="n">
        <f aca="false">SUM(B64:M64)/12</f>
        <v>0.937583333333333</v>
      </c>
      <c r="O64" s="45" t="e">
        <f aca="false"/>
        <v>#REF!</v>
      </c>
      <c r="P64" s="45" t="e">
        <f aca="false"/>
        <v>#REF!</v>
      </c>
      <c r="Q64" s="45" t="e">
        <f aca="false"/>
        <v>#REF!</v>
      </c>
      <c r="R64" s="45" t="e">
        <f aca="false"/>
        <v>#REF!</v>
      </c>
      <c r="S64" s="0"/>
      <c r="T64" s="0"/>
      <c r="V64" s="16"/>
      <c r="W64" s="16"/>
      <c r="X64" s="16"/>
      <c r="Y64" s="16"/>
      <c r="Z64" s="16"/>
      <c r="AA64" s="16"/>
      <c r="AB64" s="16"/>
    </row>
    <row r="65" customFormat="false" ht="12.75" hidden="false" customHeight="false" outlineLevel="0" collapsed="false">
      <c r="A65" s="37" t="s">
        <v>46</v>
      </c>
      <c r="B65" s="4" t="n">
        <f aca="false">SUM(B62:B64)</f>
        <v>19.528</v>
      </c>
      <c r="C65" s="4" t="n">
        <f aca="false">SUM(C62:C64)</f>
        <v>27.172</v>
      </c>
      <c r="D65" s="4" t="n">
        <f aca="false">SUM(D62:D64)</f>
        <v>24.3</v>
      </c>
      <c r="E65" s="4" t="n">
        <f aca="false">SUM(E62:E64)</f>
        <v>21.137</v>
      </c>
      <c r="F65" s="4" t="n">
        <f aca="false">SUM(F62:F64)</f>
        <v>27.025</v>
      </c>
      <c r="G65" s="4" t="n">
        <f aca="false">SUM(G62:G64)</f>
        <v>35.279</v>
      </c>
      <c r="H65" s="4" t="n">
        <f aca="false">SUM(H62:H64)</f>
        <v>24.428</v>
      </c>
      <c r="I65" s="4" t="n">
        <f aca="false">SUM(I62:I64)</f>
        <v>23.344</v>
      </c>
      <c r="J65" s="4" t="n">
        <f aca="false">SUM(J62:J64)</f>
        <v>26.557</v>
      </c>
      <c r="K65" s="4" t="n">
        <f aca="false">SUM(K62:K64)</f>
        <v>28.28</v>
      </c>
      <c r="L65" s="4" t="n">
        <f aca="false">SUM(L62:L64)</f>
        <v>29.2</v>
      </c>
      <c r="M65" s="4" t="n">
        <f aca="false">SUM(M62:M64)</f>
        <v>32.01</v>
      </c>
      <c r="N65" s="4" t="n">
        <f aca="false">SUM(N62:N64)</f>
        <v>26.5216666666667</v>
      </c>
      <c r="O65" s="39" t="e">
        <f aca="false">(#REF!+#REF!+#REF!+#REF!)/O$1</f>
        <v>#REF!</v>
      </c>
      <c r="P65" s="39" t="e">
        <f aca="false">(#REF!+#REF!+#REF!+#REF!)/P$1</f>
        <v>#REF!</v>
      </c>
      <c r="Q65" s="39" t="e">
        <f aca="false">(#REF!+#REF!+#REF!+#REF!)/Q$1</f>
        <v>#REF!</v>
      </c>
      <c r="R65" s="39" t="e">
        <f aca="false">SUM(R62:R64)</f>
        <v>#REF!</v>
      </c>
      <c r="S65" s="0"/>
      <c r="T65" s="0"/>
    </row>
    <row r="66" customFormat="false" ht="18" hidden="false" customHeight="false" outlineLevel="0" collapsed="false">
      <c r="A66" s="3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/>
      <c r="P66" s="39"/>
      <c r="Q66" s="39"/>
      <c r="R66" s="39"/>
      <c r="S66" s="0"/>
      <c r="T66" s="0"/>
      <c r="V66" s="16"/>
      <c r="W66" s="16"/>
      <c r="X66" s="16"/>
      <c r="Y66" s="16"/>
      <c r="Z66" s="16"/>
      <c r="AA66" s="16"/>
      <c r="AB66" s="16"/>
    </row>
    <row r="67" customFormat="false" ht="12.75" hidden="false" customHeight="false" outlineLevel="0" collapsed="false">
      <c r="A67" s="37" t="s">
        <v>47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4"/>
      <c r="O67" s="38"/>
      <c r="P67" s="38"/>
      <c r="Q67" s="38"/>
      <c r="R67" s="38"/>
      <c r="S67" s="0"/>
      <c r="T67" s="0"/>
    </row>
    <row r="68" customFormat="false" ht="18" hidden="false" customHeight="false" outlineLevel="0" collapsed="false">
      <c r="A68" s="40" t="s">
        <v>23</v>
      </c>
      <c r="B68" s="41" t="n">
        <v>159</v>
      </c>
      <c r="C68" s="41" t="n">
        <v>159</v>
      </c>
      <c r="D68" s="41" t="n">
        <v>104</v>
      </c>
      <c r="E68" s="41" t="n">
        <v>100</v>
      </c>
      <c r="F68" s="41" t="n">
        <v>111.613</v>
      </c>
      <c r="G68" s="41" t="n">
        <v>100</v>
      </c>
      <c r="H68" s="41" t="n">
        <v>100</v>
      </c>
      <c r="I68" s="41" t="n">
        <v>100</v>
      </c>
      <c r="J68" s="41" t="n">
        <v>100</v>
      </c>
      <c r="K68" s="41" t="n">
        <v>100</v>
      </c>
      <c r="L68" s="41" t="n">
        <v>115</v>
      </c>
      <c r="M68" s="41" t="n">
        <v>100</v>
      </c>
      <c r="N68" s="4" t="n">
        <f aca="false">SUM(B68:M68)/12</f>
        <v>112.384416666667</v>
      </c>
      <c r="O68" s="42" t="e">
        <f aca="false"/>
        <v>#REF!</v>
      </c>
      <c r="P68" s="42" t="e">
        <f aca="false"/>
        <v>#REF!</v>
      </c>
      <c r="Q68" s="42" t="e">
        <f aca="false"/>
        <v>#REF!</v>
      </c>
      <c r="R68" s="42" t="e">
        <f aca="false"/>
        <v>#REF!</v>
      </c>
      <c r="S68" s="0"/>
      <c r="T68" s="0"/>
      <c r="V68" s="16"/>
      <c r="W68" s="16"/>
      <c r="X68" s="16"/>
      <c r="Y68" s="16"/>
      <c r="Z68" s="16"/>
      <c r="AA68" s="16"/>
      <c r="AB68" s="16"/>
    </row>
    <row r="69" customFormat="false" ht="12.75" hidden="false" customHeight="false" outlineLevel="0" collapsed="false">
      <c r="A69" s="40" t="s">
        <v>24</v>
      </c>
      <c r="B69" s="41" t="n">
        <v>112.179</v>
      </c>
      <c r="C69" s="41" t="n">
        <v>155.804</v>
      </c>
      <c r="D69" s="41" t="n">
        <v>101</v>
      </c>
      <c r="E69" s="41" t="n">
        <v>86.519</v>
      </c>
      <c r="F69" s="41" t="n">
        <v>107.127</v>
      </c>
      <c r="G69" s="41" t="n">
        <v>97.497</v>
      </c>
      <c r="H69" s="41" t="n">
        <v>99.692</v>
      </c>
      <c r="I69" s="41" t="n">
        <v>98.811</v>
      </c>
      <c r="J69" s="41" t="n">
        <v>90.59</v>
      </c>
      <c r="K69" s="41" t="n">
        <v>89.887</v>
      </c>
      <c r="L69" s="41" t="n">
        <f aca="false">103.5-13.333</f>
        <v>90.167</v>
      </c>
      <c r="M69" s="41" t="n">
        <v>80.687</v>
      </c>
      <c r="N69" s="4" t="n">
        <f aca="false">SUM(B69:M69)/12</f>
        <v>100.83</v>
      </c>
      <c r="O69" s="42" t="e">
        <f aca="false"/>
        <v>#REF!</v>
      </c>
      <c r="P69" s="42" t="e">
        <f aca="false"/>
        <v>#REF!</v>
      </c>
      <c r="Q69" s="42" t="e">
        <f aca="false"/>
        <v>#REF!</v>
      </c>
      <c r="R69" s="42" t="e">
        <f aca="false"/>
        <v>#REF!</v>
      </c>
      <c r="S69" s="0"/>
      <c r="T69" s="0"/>
    </row>
    <row r="70" customFormat="false" ht="18" hidden="false" customHeight="false" outlineLevel="0" collapsed="false">
      <c r="A70" s="40" t="s">
        <v>25</v>
      </c>
      <c r="B70" s="41" t="n">
        <v>0</v>
      </c>
      <c r="C70" s="41" t="n">
        <v>0</v>
      </c>
      <c r="D70" s="41" t="n">
        <v>0</v>
      </c>
      <c r="E70" s="41" t="n">
        <v>0</v>
      </c>
      <c r="F70" s="41" t="n">
        <v>0</v>
      </c>
      <c r="G70" s="41" t="n">
        <v>0</v>
      </c>
      <c r="H70" s="41" t="n">
        <v>0</v>
      </c>
      <c r="I70" s="41" t="n">
        <v>0</v>
      </c>
      <c r="J70" s="41" t="n">
        <v>0</v>
      </c>
      <c r="K70" s="41" t="n">
        <v>0</v>
      </c>
      <c r="L70" s="41" t="n">
        <v>0</v>
      </c>
      <c r="M70" s="41" t="n">
        <v>0</v>
      </c>
      <c r="N70" s="4" t="n">
        <f aca="false">SUM(B70:M70)/12</f>
        <v>0</v>
      </c>
      <c r="O70" s="42" t="e">
        <f aca="false"/>
        <v>#REF!</v>
      </c>
      <c r="P70" s="42" t="e">
        <f aca="false"/>
        <v>#REF!</v>
      </c>
      <c r="Q70" s="42" t="e">
        <f aca="false"/>
        <v>#REF!</v>
      </c>
      <c r="R70" s="42" t="e">
        <f aca="false"/>
        <v>#REF!</v>
      </c>
      <c r="S70" s="0"/>
      <c r="T70" s="0"/>
      <c r="V70" s="16"/>
      <c r="W70" s="16"/>
      <c r="X70" s="16"/>
      <c r="Y70" s="16"/>
      <c r="Z70" s="16"/>
      <c r="AA70" s="16"/>
      <c r="AB70" s="16"/>
    </row>
    <row r="71" customFormat="false" ht="12.75" hidden="false" customHeight="false" outlineLevel="0" collapsed="false">
      <c r="A71" s="40" t="s">
        <v>29</v>
      </c>
      <c r="B71" s="43" t="n">
        <v>0.252</v>
      </c>
      <c r="C71" s="43" t="n">
        <v>1.792</v>
      </c>
      <c r="D71" s="43" t="n">
        <v>2.531</v>
      </c>
      <c r="E71" s="43" t="n">
        <v>8.04</v>
      </c>
      <c r="F71" s="43" t="n">
        <v>7.055</v>
      </c>
      <c r="G71" s="43" t="n">
        <v>20.551</v>
      </c>
      <c r="H71" s="43" t="n">
        <v>25.788</v>
      </c>
      <c r="I71" s="43" t="n">
        <v>21.335</v>
      </c>
      <c r="J71" s="43" t="n">
        <v>8.833</v>
      </c>
      <c r="K71" s="43" t="n">
        <v>5.641</v>
      </c>
      <c r="L71" s="43" t="n">
        <v>0</v>
      </c>
      <c r="M71" s="43" t="n">
        <v>5.053</v>
      </c>
      <c r="N71" s="44" t="n">
        <f aca="false">SUM(B71:M71)/12</f>
        <v>8.90591666666667</v>
      </c>
      <c r="O71" s="45" t="e">
        <f aca="false"/>
        <v>#REF!</v>
      </c>
      <c r="P71" s="45" t="e">
        <f aca="false"/>
        <v>#REF!</v>
      </c>
      <c r="Q71" s="45" t="e">
        <f aca="false"/>
        <v>#REF!</v>
      </c>
      <c r="R71" s="45" t="e">
        <f aca="false"/>
        <v>#REF!</v>
      </c>
      <c r="S71" s="0"/>
      <c r="T71" s="0"/>
    </row>
    <row r="72" customFormat="false" ht="18" hidden="false" customHeight="false" outlineLevel="0" collapsed="false">
      <c r="A72" s="37" t="s">
        <v>48</v>
      </c>
      <c r="B72" s="44" t="n">
        <f aca="false">SUM(B69:B71)</f>
        <v>112.431</v>
      </c>
      <c r="C72" s="44" t="n">
        <f aca="false">SUM(C69:C71)</f>
        <v>157.596</v>
      </c>
      <c r="D72" s="44" t="n">
        <f aca="false">SUM(D69:D71)</f>
        <v>103.531</v>
      </c>
      <c r="E72" s="44" t="n">
        <f aca="false">SUM(E69:E71)</f>
        <v>94.559</v>
      </c>
      <c r="F72" s="44" t="n">
        <f aca="false">SUM(F69:F71)</f>
        <v>114.182</v>
      </c>
      <c r="G72" s="44" t="n">
        <f aca="false">SUM(G69:G71)</f>
        <v>118.048</v>
      </c>
      <c r="H72" s="44" t="n">
        <f aca="false">SUM(H69:H71)</f>
        <v>125.48</v>
      </c>
      <c r="I72" s="44" t="n">
        <f aca="false">SUM(I69:I71)</f>
        <v>120.146</v>
      </c>
      <c r="J72" s="44" t="n">
        <f aca="false">SUM(J69:J71)</f>
        <v>99.423</v>
      </c>
      <c r="K72" s="44" t="n">
        <f aca="false">SUM(K69:K71)</f>
        <v>95.528</v>
      </c>
      <c r="L72" s="44" t="n">
        <f aca="false">SUM(L69:L71)</f>
        <v>90.167</v>
      </c>
      <c r="M72" s="44" t="n">
        <f aca="false">SUM(M69:M71)</f>
        <v>85.74</v>
      </c>
      <c r="N72" s="55" t="n">
        <f aca="false">SUM(N69:N71)</f>
        <v>109.735916666667</v>
      </c>
      <c r="O72" s="42"/>
      <c r="P72" s="42"/>
      <c r="Q72" s="42"/>
      <c r="R72" s="42"/>
      <c r="S72" s="0"/>
      <c r="T72" s="0"/>
      <c r="V72" s="16"/>
      <c r="W72" s="16"/>
      <c r="X72" s="16"/>
      <c r="Y72" s="16"/>
      <c r="Z72" s="16"/>
      <c r="AA72" s="16"/>
      <c r="AB72" s="16"/>
    </row>
    <row r="73" customFormat="false" ht="12.75" hidden="false" customHeight="false" outlineLevel="0" collapsed="false">
      <c r="A73" s="47" t="s">
        <v>49</v>
      </c>
      <c r="B73" s="44" t="n">
        <f aca="false">B50+B58+B65+B72</f>
        <v>369.225</v>
      </c>
      <c r="C73" s="44" t="n">
        <f aca="false">C50+C58+C65+C72</f>
        <v>416.809</v>
      </c>
      <c r="D73" s="44" t="n">
        <f aca="false">D50+D58+D65+D72</f>
        <v>383.837</v>
      </c>
      <c r="E73" s="44" t="n">
        <f aca="false">E50+E58+E65+E72</f>
        <v>487.114</v>
      </c>
      <c r="F73" s="44" t="n">
        <f aca="false">F50+F58+F65+F72</f>
        <v>537.352</v>
      </c>
      <c r="G73" s="44" t="n">
        <f aca="false">G50+G58+G65+G72</f>
        <v>368.65</v>
      </c>
      <c r="H73" s="44" t="n">
        <f aca="false">H50+H58+H65+H72</f>
        <v>430.476</v>
      </c>
      <c r="I73" s="44" t="n">
        <f aca="false">I50+I58+I65+I72</f>
        <v>422.527</v>
      </c>
      <c r="J73" s="44" t="n">
        <f aca="false">J50+J58+J65+J72</f>
        <v>385.001</v>
      </c>
      <c r="K73" s="44" t="n">
        <f aca="false">K50+K58+K65+K72</f>
        <v>328.194</v>
      </c>
      <c r="L73" s="44" t="n">
        <f aca="false">L50+L58+L65+L72</f>
        <v>390.13</v>
      </c>
      <c r="M73" s="44" t="n">
        <f aca="false">M50+M58+M65+M72</f>
        <v>315.09</v>
      </c>
      <c r="N73" s="55" t="n">
        <f aca="false">N50+N58+N65+N72</f>
        <v>402.694166666667</v>
      </c>
      <c r="O73" s="42"/>
      <c r="P73" s="42"/>
      <c r="Q73" s="42"/>
      <c r="R73" s="42"/>
      <c r="S73" s="0"/>
      <c r="T73" s="0"/>
    </row>
    <row r="74" customFormat="false" ht="18" hidden="false" customHeight="false" outlineLevel="0" collapsed="false">
      <c r="A74" s="47" t="s">
        <v>50</v>
      </c>
      <c r="B74" s="44" t="n">
        <f aca="false">B68+B61+B53+B46</f>
        <v>487.012</v>
      </c>
      <c r="C74" s="44" t="n">
        <f aca="false">C68+C61+C53+C46</f>
        <v>480.229</v>
      </c>
      <c r="D74" s="44" t="n">
        <f aca="false">D68+D61+D53+D46</f>
        <v>371.861</v>
      </c>
      <c r="E74" s="44" t="n">
        <f aca="false">E68+E61+E53+E46</f>
        <v>717.467</v>
      </c>
      <c r="F74" s="44" t="n">
        <f aca="false">F68+F61+F53+F46</f>
        <v>706.75</v>
      </c>
      <c r="G74" s="44" t="n">
        <f aca="false">G68+G61+G53+G46</f>
        <v>689.31</v>
      </c>
      <c r="H74" s="44" t="n">
        <f aca="false">H68+H61+H53+H46</f>
        <v>669.353</v>
      </c>
      <c r="I74" s="44" t="n">
        <f aca="false">I68+I61+I53+I46</f>
        <v>696.112</v>
      </c>
      <c r="J74" s="44" t="n">
        <f aca="false">J68+J61+J53+J46</f>
        <v>721.512</v>
      </c>
      <c r="K74" s="44" t="n">
        <f aca="false">K68+K61+K53+K46</f>
        <v>727.252</v>
      </c>
      <c r="L74" s="44" t="n">
        <f aca="false">L68+L61+L53+L46</f>
        <v>660.15</v>
      </c>
      <c r="M74" s="44" t="n">
        <f aca="false">M68+M61+M53+M46</f>
        <v>741.292</v>
      </c>
      <c r="N74" s="55" t="n">
        <f aca="false">N68+N61+N53+N46</f>
        <v>639.025</v>
      </c>
      <c r="O74" s="42"/>
      <c r="P74" s="42"/>
      <c r="Q74" s="42"/>
      <c r="R74" s="42"/>
      <c r="S74" s="0"/>
      <c r="T74" s="0"/>
      <c r="V74" s="16"/>
      <c r="W74" s="16"/>
      <c r="X74" s="16"/>
      <c r="Y74" s="16"/>
      <c r="Z74" s="16"/>
      <c r="AA74" s="16"/>
      <c r="AB74" s="16"/>
    </row>
    <row r="75" customFormat="false" ht="12.75" hidden="false" customHeight="false" outlineLevel="0" collapsed="false">
      <c r="A75" s="37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42"/>
      <c r="P75" s="42"/>
      <c r="Q75" s="42"/>
      <c r="R75" s="42"/>
      <c r="S75" s="0"/>
      <c r="T75" s="0"/>
    </row>
    <row r="76" customFormat="false" ht="18" hidden="false" customHeight="false" outlineLevel="0" collapsed="false">
      <c r="A76" s="36" t="s">
        <v>51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4"/>
      <c r="O76" s="42"/>
      <c r="P76" s="42"/>
      <c r="Q76" s="42"/>
      <c r="R76" s="42"/>
      <c r="S76" s="0"/>
      <c r="T76" s="0"/>
      <c r="V76" s="16"/>
      <c r="W76" s="16"/>
      <c r="X76" s="16"/>
      <c r="Y76" s="16"/>
      <c r="Z76" s="16"/>
      <c r="AA76" s="16"/>
      <c r="AB76" s="16"/>
    </row>
    <row r="77" customFormat="false" ht="12.75" hidden="false" customHeight="false" outlineLevel="0" collapsed="false">
      <c r="A77" s="37" t="s">
        <v>52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4"/>
      <c r="O77" s="38"/>
      <c r="P77" s="38"/>
      <c r="Q77" s="38"/>
      <c r="R77" s="38"/>
      <c r="S77" s="0"/>
      <c r="T77" s="0"/>
    </row>
    <row r="78" customFormat="false" ht="18" hidden="false" customHeight="false" outlineLevel="0" collapsed="false">
      <c r="A78" s="40" t="s">
        <v>53</v>
      </c>
      <c r="B78" s="41" t="n">
        <v>307</v>
      </c>
      <c r="C78" s="41" t="n">
        <v>333.172</v>
      </c>
      <c r="D78" s="41" t="n">
        <v>322</v>
      </c>
      <c r="E78" s="41" t="n">
        <v>322</v>
      </c>
      <c r="F78" s="41" t="n">
        <v>322</v>
      </c>
      <c r="G78" s="41" t="n">
        <v>322</v>
      </c>
      <c r="H78" s="41" t="n">
        <v>322</v>
      </c>
      <c r="I78" s="41" t="n">
        <v>322</v>
      </c>
      <c r="J78" s="41" t="n">
        <v>322</v>
      </c>
      <c r="K78" s="41" t="n">
        <v>322</v>
      </c>
      <c r="L78" s="41" t="n">
        <f aca="false">320+45</f>
        <v>365</v>
      </c>
      <c r="M78" s="41" t="n">
        <v>322</v>
      </c>
      <c r="N78" s="4" t="n">
        <f aca="false">SUM(B78:M78)/12</f>
        <v>325.264333333333</v>
      </c>
      <c r="O78" s="42" t="e">
        <f aca="false"/>
        <v>#REF!</v>
      </c>
      <c r="P78" s="42" t="e">
        <f aca="false"/>
        <v>#REF!</v>
      </c>
      <c r="Q78" s="42" t="e">
        <f aca="false"/>
        <v>#REF!</v>
      </c>
      <c r="R78" s="42" t="e">
        <f aca="false"/>
        <v>#REF!</v>
      </c>
      <c r="S78" s="0"/>
      <c r="T78" s="0"/>
      <c r="V78" s="16"/>
      <c r="W78" s="16"/>
      <c r="X78" s="16"/>
      <c r="Y78" s="16"/>
      <c r="Z78" s="16"/>
      <c r="AA78" s="16"/>
      <c r="AB78" s="16"/>
    </row>
    <row r="79" customFormat="false" ht="12.75" hidden="false" customHeight="false" outlineLevel="0" collapsed="false">
      <c r="A79" s="40" t="s">
        <v>54</v>
      </c>
      <c r="B79" s="41" t="n">
        <v>228.011</v>
      </c>
      <c r="C79" s="41" t="n">
        <v>205.432</v>
      </c>
      <c r="D79" s="41" t="n">
        <v>221.454</v>
      </c>
      <c r="E79" s="41" t="n">
        <v>255.528</v>
      </c>
      <c r="F79" s="41" t="n">
        <v>238.756</v>
      </c>
      <c r="G79" s="41" t="n">
        <v>254.749</v>
      </c>
      <c r="H79" s="41" t="n">
        <v>256.461</v>
      </c>
      <c r="I79" s="41" t="n">
        <v>277.541</v>
      </c>
      <c r="J79" s="41" t="n">
        <v>210.834</v>
      </c>
      <c r="K79" s="41" t="n">
        <v>266.924</v>
      </c>
      <c r="L79" s="41" t="n">
        <f aca="false">233.6+32.9</f>
        <v>266.5</v>
      </c>
      <c r="M79" s="41" t="n">
        <v>199.363</v>
      </c>
      <c r="N79" s="4" t="n">
        <f aca="false">SUM(B79:M79)/12</f>
        <v>240.129416666667</v>
      </c>
      <c r="O79" s="42" t="e">
        <f aca="false"/>
        <v>#REF!</v>
      </c>
      <c r="P79" s="42" t="e">
        <f aca="false"/>
        <v>#REF!</v>
      </c>
      <c r="Q79" s="42" t="e">
        <f aca="false"/>
        <v>#REF!</v>
      </c>
      <c r="R79" s="42" t="e">
        <f aca="false"/>
        <v>#REF!</v>
      </c>
      <c r="S79" s="0"/>
      <c r="T79" s="0"/>
    </row>
    <row r="80" customFormat="false" ht="18" hidden="false" customHeight="false" outlineLevel="0" collapsed="false">
      <c r="A80" s="40" t="s">
        <v>25</v>
      </c>
      <c r="B80" s="41" t="n">
        <v>15</v>
      </c>
      <c r="C80" s="41" t="n">
        <v>15</v>
      </c>
      <c r="D80" s="41" t="n">
        <v>0</v>
      </c>
      <c r="E80" s="41" t="n">
        <v>0</v>
      </c>
      <c r="F80" s="41" t="n">
        <v>0</v>
      </c>
      <c r="G80" s="41" t="n">
        <v>0</v>
      </c>
      <c r="H80" s="41" t="n">
        <v>0</v>
      </c>
      <c r="I80" s="41" t="n">
        <v>0</v>
      </c>
      <c r="J80" s="41" t="n">
        <v>0</v>
      </c>
      <c r="K80" s="41" t="n">
        <v>0</v>
      </c>
      <c r="L80" s="41" t="n">
        <v>13.1</v>
      </c>
      <c r="M80" s="41" t="n">
        <v>15</v>
      </c>
      <c r="N80" s="4" t="n">
        <f aca="false">SUM(B80:M80)/12</f>
        <v>4.84166666666667</v>
      </c>
      <c r="O80" s="42" t="e">
        <f aca="false"/>
        <v>#REF!</v>
      </c>
      <c r="P80" s="42" t="e">
        <f aca="false"/>
        <v>#REF!</v>
      </c>
      <c r="Q80" s="42" t="e">
        <f aca="false"/>
        <v>#REF!</v>
      </c>
      <c r="R80" s="42" t="e">
        <f aca="false"/>
        <v>#REF!</v>
      </c>
      <c r="S80" s="0"/>
      <c r="T80" s="0"/>
      <c r="V80" s="16"/>
      <c r="W80" s="16"/>
      <c r="X80" s="16"/>
      <c r="Y80" s="16"/>
      <c r="Z80" s="16"/>
      <c r="AA80" s="16"/>
      <c r="AB80" s="16"/>
    </row>
    <row r="81" customFormat="false" ht="12.75" hidden="false" customHeight="false" outlineLevel="0" collapsed="false">
      <c r="A81" s="40" t="s">
        <v>55</v>
      </c>
      <c r="B81" s="43" t="n">
        <v>8.7</v>
      </c>
      <c r="C81" s="43" t="n">
        <v>6.704</v>
      </c>
      <c r="D81" s="43" t="n">
        <v>14.137</v>
      </c>
      <c r="E81" s="43" t="n">
        <v>12.79</v>
      </c>
      <c r="F81" s="43" t="n">
        <v>29.411</v>
      </c>
      <c r="G81" s="43" t="n">
        <v>22.691</v>
      </c>
      <c r="H81" s="43" t="n">
        <v>20.511</v>
      </c>
      <c r="I81" s="43" t="n">
        <v>71.055</v>
      </c>
      <c r="J81" s="43" t="n">
        <v>51.129</v>
      </c>
      <c r="K81" s="43" t="n">
        <v>40.627</v>
      </c>
      <c r="L81" s="43" t="n">
        <v>0</v>
      </c>
      <c r="M81" s="43" t="n">
        <v>21.979</v>
      </c>
      <c r="N81" s="44" t="n">
        <f aca="false">SUM(B81:M81)/12</f>
        <v>24.9778333333333</v>
      </c>
      <c r="O81" s="45" t="e">
        <f aca="false"/>
        <v>#REF!</v>
      </c>
      <c r="P81" s="45" t="e">
        <f aca="false"/>
        <v>#REF!</v>
      </c>
      <c r="Q81" s="45" t="e">
        <f aca="false"/>
        <v>#REF!</v>
      </c>
      <c r="R81" s="45" t="e">
        <f aca="false"/>
        <v>#REF!</v>
      </c>
      <c r="S81" s="0"/>
      <c r="T81" s="0"/>
    </row>
    <row r="82" customFormat="false" ht="18" hidden="false" customHeight="false" outlineLevel="0" collapsed="false">
      <c r="A82" s="37" t="s">
        <v>56</v>
      </c>
      <c r="B82" s="4" t="n">
        <f aca="false">SUM(B79:B81)</f>
        <v>251.711</v>
      </c>
      <c r="C82" s="4" t="n">
        <f aca="false">SUM(C79:C81)</f>
        <v>227.136</v>
      </c>
      <c r="D82" s="4" t="n">
        <f aca="false">SUM(D79:D81)</f>
        <v>235.591</v>
      </c>
      <c r="E82" s="4" t="n">
        <f aca="false">SUM(E79:E81)</f>
        <v>268.318</v>
      </c>
      <c r="F82" s="4" t="n">
        <f aca="false">SUM(F79:F81)</f>
        <v>268.167</v>
      </c>
      <c r="G82" s="4" t="n">
        <f aca="false">SUM(G79:G81)</f>
        <v>277.44</v>
      </c>
      <c r="H82" s="4" t="n">
        <f aca="false">SUM(H79:H81)</f>
        <v>276.972</v>
      </c>
      <c r="I82" s="4" t="n">
        <f aca="false">SUM(I79:I81)</f>
        <v>348.596</v>
      </c>
      <c r="J82" s="4" t="n">
        <f aca="false">SUM(J79:J81)</f>
        <v>261.963</v>
      </c>
      <c r="K82" s="4" t="n">
        <f aca="false">SUM(K79:K81)</f>
        <v>307.551</v>
      </c>
      <c r="L82" s="4" t="n">
        <f aca="false">SUM(L79:L81)</f>
        <v>279.6</v>
      </c>
      <c r="M82" s="4" t="n">
        <f aca="false">SUM(M79:M81)</f>
        <v>236.342</v>
      </c>
      <c r="N82" s="4" t="n">
        <f aca="false">SUM(N79:N81)</f>
        <v>269.948916666667</v>
      </c>
      <c r="O82" s="39" t="e">
        <f aca="false">(#REF!+#REF!)/O$1</f>
        <v>#REF!</v>
      </c>
      <c r="P82" s="39" t="e">
        <f aca="false">(#REF!+#REF!)/P$1</f>
        <v>#REF!</v>
      </c>
      <c r="Q82" s="39" t="e">
        <f aca="false">(#REF!+#REF!)/Q$1</f>
        <v>#REF!</v>
      </c>
      <c r="R82" s="39" t="e">
        <f aca="false">SUM(R80:R81)</f>
        <v>#REF!</v>
      </c>
      <c r="S82" s="0"/>
      <c r="T82" s="0"/>
      <c r="V82" s="16"/>
      <c r="W82" s="16"/>
      <c r="X82" s="16"/>
      <c r="Y82" s="16"/>
      <c r="Z82" s="16"/>
      <c r="AA82" s="16"/>
      <c r="AB82" s="16"/>
    </row>
    <row r="83" customFormat="false" ht="12.75" hidden="false" customHeight="false" outlineLevel="0" collapsed="false">
      <c r="A83" s="3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39"/>
      <c r="P83" s="39"/>
      <c r="Q83" s="39"/>
      <c r="R83" s="39"/>
      <c r="S83" s="0"/>
      <c r="T83" s="0"/>
    </row>
    <row r="84" customFormat="false" ht="18" hidden="false" customHeight="false" outlineLevel="0" collapsed="false">
      <c r="A84" s="37" t="s">
        <v>57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4"/>
      <c r="O84" s="38"/>
      <c r="P84" s="38"/>
      <c r="Q84" s="38"/>
      <c r="R84" s="38"/>
      <c r="S84" s="0"/>
      <c r="T84" s="0"/>
      <c r="V84" s="16"/>
      <c r="W84" s="16"/>
      <c r="X84" s="16"/>
      <c r="Y84" s="16"/>
      <c r="Z84" s="16"/>
      <c r="AA84" s="16"/>
      <c r="AB84" s="16"/>
    </row>
    <row r="85" customFormat="false" ht="12.75" hidden="false" customHeight="false" outlineLevel="0" collapsed="false">
      <c r="A85" s="40" t="s">
        <v>53</v>
      </c>
      <c r="B85" s="41" t="n">
        <v>138.5</v>
      </c>
      <c r="C85" s="41" t="n">
        <v>213.401</v>
      </c>
      <c r="D85" s="41" t="n">
        <v>196.19</v>
      </c>
      <c r="E85" s="41" t="n">
        <v>194.275</v>
      </c>
      <c r="F85" s="41" t="n">
        <v>239.081</v>
      </c>
      <c r="G85" s="41" t="n">
        <v>189.703</v>
      </c>
      <c r="H85" s="41" t="n">
        <v>209.463</v>
      </c>
      <c r="I85" s="41" t="n">
        <v>210.942</v>
      </c>
      <c r="J85" s="41" t="n">
        <v>215.236</v>
      </c>
      <c r="K85" s="41" t="n">
        <v>238.656</v>
      </c>
      <c r="L85" s="41" t="n">
        <f aca="false">173.5</f>
        <v>173.5</v>
      </c>
      <c r="M85" s="41" t="n">
        <v>233.135</v>
      </c>
      <c r="N85" s="4" t="n">
        <f aca="false">SUM(B85:M85)/12</f>
        <v>204.340166666667</v>
      </c>
      <c r="O85" s="42" t="e">
        <f aca="false"/>
        <v>#REF!</v>
      </c>
      <c r="P85" s="42" t="e">
        <f aca="false"/>
        <v>#REF!</v>
      </c>
      <c r="Q85" s="42" t="e">
        <f aca="false"/>
        <v>#REF!</v>
      </c>
      <c r="R85" s="42" t="e">
        <f aca="false"/>
        <v>#REF!</v>
      </c>
      <c r="S85" s="0"/>
      <c r="T85" s="0"/>
    </row>
    <row r="86" customFormat="false" ht="18" hidden="false" customHeight="false" outlineLevel="0" collapsed="false">
      <c r="A86" s="40" t="s">
        <v>54</v>
      </c>
      <c r="B86" s="41" t="n">
        <v>163.7</v>
      </c>
      <c r="C86" s="41" t="n">
        <v>260.436</v>
      </c>
      <c r="D86" s="41" t="n">
        <v>221.384</v>
      </c>
      <c r="E86" s="41" t="n">
        <v>166.403</v>
      </c>
      <c r="F86" s="41" t="n">
        <v>226.91</v>
      </c>
      <c r="G86" s="41" t="n">
        <v>182.281</v>
      </c>
      <c r="H86" s="41" t="n">
        <v>172.364</v>
      </c>
      <c r="I86" s="41" t="n">
        <v>158.123</v>
      </c>
      <c r="J86" s="41" t="n">
        <v>221.827</v>
      </c>
      <c r="K86" s="41" t="n">
        <v>175.406</v>
      </c>
      <c r="L86" s="41" t="n">
        <f aca="false">126.655-5.833</f>
        <v>120.822</v>
      </c>
      <c r="M86" s="41" t="n">
        <v>268.156</v>
      </c>
      <c r="N86" s="4" t="n">
        <f aca="false">SUM(B86:M86)/12</f>
        <v>194.817666666667</v>
      </c>
      <c r="O86" s="42" t="e">
        <f aca="false"/>
        <v>#REF!</v>
      </c>
      <c r="P86" s="42" t="e">
        <f aca="false"/>
        <v>#REF!</v>
      </c>
      <c r="Q86" s="42" t="e">
        <f aca="false"/>
        <v>#REF!</v>
      </c>
      <c r="R86" s="42" t="e">
        <f aca="false"/>
        <v>#REF!</v>
      </c>
      <c r="S86" s="0"/>
      <c r="T86" s="0"/>
      <c r="V86" s="16"/>
      <c r="W86" s="16"/>
      <c r="X86" s="16"/>
      <c r="Y86" s="16"/>
      <c r="Z86" s="16"/>
      <c r="AA86" s="16"/>
      <c r="AB86" s="16"/>
    </row>
    <row r="87" customFormat="false" ht="12.75" hidden="false" customHeight="false" outlineLevel="0" collapsed="false">
      <c r="A87" s="40" t="s">
        <v>25</v>
      </c>
      <c r="B87" s="41" t="n">
        <v>0</v>
      </c>
      <c r="C87" s="41" t="n">
        <v>0</v>
      </c>
      <c r="D87" s="41" t="n">
        <v>0</v>
      </c>
      <c r="E87" s="41" t="n">
        <v>0</v>
      </c>
      <c r="F87" s="41" t="n">
        <v>0</v>
      </c>
      <c r="G87" s="41" t="n">
        <v>0</v>
      </c>
      <c r="H87" s="41" t="n">
        <v>0</v>
      </c>
      <c r="I87" s="41" t="n">
        <v>0</v>
      </c>
      <c r="J87" s="41" t="n">
        <v>0</v>
      </c>
      <c r="K87" s="41" t="n">
        <v>0</v>
      </c>
      <c r="L87" s="41" t="n">
        <v>153.3</v>
      </c>
      <c r="M87" s="41" t="n">
        <v>0</v>
      </c>
      <c r="N87" s="4" t="n">
        <f aca="false">SUM(B87:M87)/12</f>
        <v>12.775</v>
      </c>
      <c r="O87" s="42" t="e">
        <f aca="false"/>
        <v>#REF!</v>
      </c>
      <c r="P87" s="42" t="e">
        <f aca="false"/>
        <v>#REF!</v>
      </c>
      <c r="Q87" s="42" t="e">
        <f aca="false"/>
        <v>#REF!</v>
      </c>
      <c r="R87" s="42" t="e">
        <f aca="false"/>
        <v>#REF!</v>
      </c>
      <c r="S87" s="0"/>
      <c r="T87" s="0"/>
    </row>
    <row r="88" customFormat="false" ht="18" hidden="false" customHeight="false" outlineLevel="0" collapsed="false">
      <c r="A88" s="40" t="s">
        <v>55</v>
      </c>
      <c r="B88" s="43" t="n">
        <v>129.753</v>
      </c>
      <c r="C88" s="43" t="n">
        <v>53.16</v>
      </c>
      <c r="D88" s="43" t="n">
        <v>55.566</v>
      </c>
      <c r="E88" s="43" t="n">
        <v>84.976</v>
      </c>
      <c r="F88" s="43" t="n">
        <v>116.41</v>
      </c>
      <c r="G88" s="43" t="n">
        <v>148.026</v>
      </c>
      <c r="H88" s="43" t="n">
        <v>135.581</v>
      </c>
      <c r="I88" s="43" t="n">
        <v>125.86</v>
      </c>
      <c r="J88" s="43" t="n">
        <v>103.548</v>
      </c>
      <c r="K88" s="43" t="n">
        <v>130.434</v>
      </c>
      <c r="L88" s="43" t="n">
        <v>45.5</v>
      </c>
      <c r="M88" s="43" t="n">
        <v>98.805</v>
      </c>
      <c r="N88" s="44" t="n">
        <f aca="false">SUM(B88:M88)/12</f>
        <v>102.301583333333</v>
      </c>
      <c r="O88" s="45" t="e">
        <f aca="false"/>
        <v>#REF!</v>
      </c>
      <c r="P88" s="45" t="e">
        <f aca="false"/>
        <v>#REF!</v>
      </c>
      <c r="Q88" s="45" t="e">
        <f aca="false"/>
        <v>#REF!</v>
      </c>
      <c r="R88" s="45" t="e">
        <f aca="false"/>
        <v>#REF!</v>
      </c>
      <c r="S88" s="0"/>
      <c r="T88" s="0"/>
      <c r="V88" s="16"/>
      <c r="W88" s="16"/>
      <c r="X88" s="16"/>
      <c r="Y88" s="16"/>
      <c r="Z88" s="16"/>
      <c r="AA88" s="16"/>
      <c r="AB88" s="16"/>
    </row>
    <row r="89" customFormat="false" ht="12.75" hidden="false" customHeight="false" outlineLevel="0" collapsed="false">
      <c r="A89" s="37" t="s">
        <v>58</v>
      </c>
      <c r="B89" s="44" t="n">
        <f aca="false">SUM(B86:B88)</f>
        <v>293.453</v>
      </c>
      <c r="C89" s="44" t="n">
        <f aca="false">SUM(C86:C88)</f>
        <v>313.596</v>
      </c>
      <c r="D89" s="44" t="n">
        <f aca="false">SUM(D86:D88)</f>
        <v>276.95</v>
      </c>
      <c r="E89" s="44" t="n">
        <f aca="false">SUM(E86:E88)</f>
        <v>251.379</v>
      </c>
      <c r="F89" s="44" t="n">
        <f aca="false">SUM(F86:F88)</f>
        <v>343.32</v>
      </c>
      <c r="G89" s="44" t="n">
        <f aca="false">SUM(G86:G88)</f>
        <v>330.307</v>
      </c>
      <c r="H89" s="44" t="n">
        <f aca="false">SUM(H86:H88)</f>
        <v>307.945</v>
      </c>
      <c r="I89" s="44" t="n">
        <f aca="false">SUM(I86:I88)</f>
        <v>283.983</v>
      </c>
      <c r="J89" s="44" t="n">
        <f aca="false">SUM(J86:J88)</f>
        <v>325.375</v>
      </c>
      <c r="K89" s="44" t="n">
        <f aca="false">SUM(K86:K88)</f>
        <v>305.84</v>
      </c>
      <c r="L89" s="44" t="n">
        <f aca="false">SUM(L86:L88)</f>
        <v>319.622</v>
      </c>
      <c r="M89" s="44" t="n">
        <f aca="false">SUM(M86:M88)</f>
        <v>366.961</v>
      </c>
      <c r="N89" s="55" t="n">
        <f aca="false">SUM(N86:N88)</f>
        <v>309.89425</v>
      </c>
      <c r="O89" s="39" t="e">
        <f aca="false">(#REF!+#REF!)/O$1</f>
        <v>#REF!</v>
      </c>
      <c r="P89" s="39" t="e">
        <f aca="false">(#REF!+#REF!)/P$1</f>
        <v>#REF!</v>
      </c>
      <c r="Q89" s="39" t="e">
        <f aca="false">(#REF!+#REF!)/Q$1</f>
        <v>#REF!</v>
      </c>
      <c r="R89" s="39" t="e">
        <f aca="false">SUM(R86:R88)</f>
        <v>#REF!</v>
      </c>
      <c r="S89" s="0"/>
      <c r="T89" s="0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</row>
    <row r="90" customFormat="false" ht="18" hidden="false" customHeight="false" outlineLevel="0" collapsed="false">
      <c r="A90" s="47" t="s">
        <v>59</v>
      </c>
      <c r="B90" s="44" t="n">
        <f aca="false">B82+B89</f>
        <v>545.164</v>
      </c>
      <c r="C90" s="44" t="n">
        <f aca="false">C82+C89</f>
        <v>540.732</v>
      </c>
      <c r="D90" s="44" t="n">
        <f aca="false">D82+D89</f>
        <v>512.541</v>
      </c>
      <c r="E90" s="44" t="n">
        <f aca="false">E82+E89</f>
        <v>519.697</v>
      </c>
      <c r="F90" s="44" t="n">
        <f aca="false">F82+F89</f>
        <v>611.487</v>
      </c>
      <c r="G90" s="44" t="n">
        <f aca="false">G82+G89</f>
        <v>607.747</v>
      </c>
      <c r="H90" s="44" t="n">
        <f aca="false">H82+H89</f>
        <v>584.917</v>
      </c>
      <c r="I90" s="44" t="n">
        <f aca="false">I82+I89</f>
        <v>632.579</v>
      </c>
      <c r="J90" s="44" t="n">
        <f aca="false">J82+J89</f>
        <v>587.338</v>
      </c>
      <c r="K90" s="44" t="n">
        <f aca="false">K82+K89</f>
        <v>613.391</v>
      </c>
      <c r="L90" s="44" t="n">
        <f aca="false">L82+L89</f>
        <v>599.222</v>
      </c>
      <c r="M90" s="44" t="n">
        <f aca="false">M82+M89</f>
        <v>603.303</v>
      </c>
      <c r="N90" s="55" t="n">
        <f aca="false">N82+N89</f>
        <v>579.843166666667</v>
      </c>
      <c r="O90" s="57" t="e">
        <f aca="false">O82+O89</f>
        <v>#REF!</v>
      </c>
      <c r="P90" s="57" t="e">
        <f aca="false">P82+P89</f>
        <v>#REF!</v>
      </c>
      <c r="Q90" s="57" t="e">
        <f aca="false">Q82+Q89</f>
        <v>#REF!</v>
      </c>
      <c r="R90" s="57" t="e">
        <f aca="false">R82+R89</f>
        <v>#REF!</v>
      </c>
      <c r="S90" s="0"/>
      <c r="T90" s="0"/>
      <c r="V90" s="16"/>
      <c r="W90" s="16"/>
      <c r="X90" s="16"/>
      <c r="Y90" s="16"/>
      <c r="Z90" s="16"/>
      <c r="AA90" s="16"/>
      <c r="AB90" s="16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</row>
    <row r="91" customFormat="false" ht="12.75" hidden="false" customHeight="false" outlineLevel="0" collapsed="false">
      <c r="A91" s="47" t="s">
        <v>60</v>
      </c>
      <c r="B91" s="44" t="n">
        <f aca="false">B85++B78</f>
        <v>445.5</v>
      </c>
      <c r="C91" s="44" t="n">
        <f aca="false">C85++C78</f>
        <v>546.573</v>
      </c>
      <c r="D91" s="44" t="n">
        <f aca="false">D85++D78</f>
        <v>518.19</v>
      </c>
      <c r="E91" s="44" t="n">
        <f aca="false">E85++E78</f>
        <v>516.275</v>
      </c>
      <c r="F91" s="44" t="n">
        <f aca="false">F85++F78</f>
        <v>561.081</v>
      </c>
      <c r="G91" s="44" t="n">
        <f aca="false">G85++G78</f>
        <v>511.703</v>
      </c>
      <c r="H91" s="44" t="n">
        <f aca="false">H85++H78</f>
        <v>531.463</v>
      </c>
      <c r="I91" s="44" t="n">
        <f aca="false">I85++I78</f>
        <v>532.942</v>
      </c>
      <c r="J91" s="44" t="n">
        <f aca="false">J85++J78</f>
        <v>537.236</v>
      </c>
      <c r="K91" s="44" t="n">
        <f aca="false">K85++K78</f>
        <v>560.656</v>
      </c>
      <c r="L91" s="44" t="n">
        <f aca="false">L85++L78</f>
        <v>538.5</v>
      </c>
      <c r="M91" s="44" t="n">
        <f aca="false">M85++M78</f>
        <v>555.135</v>
      </c>
      <c r="N91" s="55" t="n">
        <f aca="false">N85++N78</f>
        <v>529.6045</v>
      </c>
      <c r="O91" s="57" t="e">
        <f aca="false">O85+O79+O78</f>
        <v>#REF!</v>
      </c>
      <c r="P91" s="57" t="e">
        <f aca="false">P85+P79+P78</f>
        <v>#REF!</v>
      </c>
      <c r="Q91" s="57" t="e">
        <f aca="false">Q85+Q79+Q78</f>
        <v>#REF!</v>
      </c>
      <c r="R91" s="57" t="e">
        <f aca="false">R85+R79+R78</f>
        <v>#REF!</v>
      </c>
      <c r="S91" s="0"/>
      <c r="T91" s="0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</row>
    <row r="92" customFormat="false" ht="18" hidden="false" customHeight="false" outlineLevel="0" collapsed="false">
      <c r="A92" s="37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8"/>
      <c r="P92" s="58"/>
      <c r="Q92" s="58"/>
      <c r="R92" s="58"/>
      <c r="S92" s="0"/>
      <c r="T92" s="0"/>
      <c r="V92" s="16"/>
      <c r="W92" s="16"/>
      <c r="X92" s="16"/>
      <c r="Y92" s="16"/>
      <c r="Z92" s="16"/>
      <c r="AA92" s="16"/>
      <c r="AB92" s="16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</row>
    <row r="93" customFormat="false" ht="15.75" hidden="false" customHeight="false" outlineLevel="0" collapsed="false">
      <c r="A93" s="36" t="s">
        <v>61</v>
      </c>
      <c r="B93" s="59"/>
      <c r="C93" s="59"/>
      <c r="D93" s="59"/>
      <c r="E93" s="59"/>
      <c r="F93" s="60"/>
      <c r="G93" s="59"/>
      <c r="H93" s="61"/>
      <c r="I93" s="59"/>
      <c r="J93" s="59"/>
      <c r="K93" s="59"/>
      <c r="L93" s="59"/>
      <c r="M93" s="59"/>
      <c r="N93" s="62"/>
      <c r="O93" s="63"/>
      <c r="P93" s="63"/>
      <c r="Q93" s="63"/>
      <c r="R93" s="63"/>
      <c r="S93" s="0"/>
      <c r="T93" s="0"/>
    </row>
    <row r="94" customFormat="false" ht="18" hidden="false" customHeight="false" outlineLevel="0" collapsed="false">
      <c r="A94" s="37" t="s">
        <v>62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4"/>
      <c r="O94" s="38"/>
      <c r="P94" s="38"/>
      <c r="Q94" s="38"/>
      <c r="R94" s="38"/>
      <c r="S94" s="0"/>
      <c r="T94" s="0"/>
      <c r="V94" s="16"/>
      <c r="W94" s="16"/>
      <c r="X94" s="16"/>
      <c r="Y94" s="16"/>
      <c r="Z94" s="16"/>
      <c r="AA94" s="16"/>
      <c r="AB94" s="16"/>
    </row>
    <row r="95" customFormat="false" ht="12.75" hidden="false" customHeight="false" outlineLevel="0" collapsed="false">
      <c r="A95" s="40" t="s">
        <v>23</v>
      </c>
      <c r="B95" s="41" t="n">
        <v>465</v>
      </c>
      <c r="C95" s="41" t="n">
        <v>465</v>
      </c>
      <c r="D95" s="41" t="n">
        <v>485</v>
      </c>
      <c r="E95" s="41" t="n">
        <v>465</v>
      </c>
      <c r="F95" s="41" t="n">
        <v>465</v>
      </c>
      <c r="G95" s="41" t="n">
        <v>465</v>
      </c>
      <c r="H95" s="41" t="n">
        <v>465</v>
      </c>
      <c r="I95" s="41" t="n">
        <v>465</v>
      </c>
      <c r="J95" s="41" t="n">
        <v>465</v>
      </c>
      <c r="K95" s="41" t="n">
        <v>465</v>
      </c>
      <c r="L95" s="41" t="n">
        <v>469</v>
      </c>
      <c r="M95" s="41" t="n">
        <v>465</v>
      </c>
      <c r="N95" s="4" t="n">
        <f aca="false">SUM(B95:M95)/12</f>
        <v>467</v>
      </c>
      <c r="O95" s="42" t="e">
        <f aca="false">#REF!/O$1</f>
        <v>#REF!</v>
      </c>
      <c r="P95" s="42" t="e">
        <f aca="false">#REF!/P$1</f>
        <v>#REF!</v>
      </c>
      <c r="Q95" s="42" t="e">
        <f aca="false">#REF!/Q$1</f>
        <v>#REF!</v>
      </c>
      <c r="R95" s="42" t="e">
        <f aca="false">#REF!/R$1</f>
        <v>#REF!</v>
      </c>
      <c r="S95" s="0"/>
      <c r="T95" s="0"/>
    </row>
    <row r="96" customFormat="false" ht="18" hidden="false" customHeight="false" outlineLevel="0" collapsed="false">
      <c r="A96" s="40" t="s">
        <v>54</v>
      </c>
      <c r="B96" s="41" t="n">
        <v>416.245</v>
      </c>
      <c r="C96" s="41" t="n">
        <v>452.112</v>
      </c>
      <c r="D96" s="41" t="n">
        <f aca="false">470.076+0.029</f>
        <v>470.105</v>
      </c>
      <c r="E96" s="41" t="n">
        <f aca="false">353.892+0.032</f>
        <v>353.924</v>
      </c>
      <c r="F96" s="41" t="n">
        <v>378.705</v>
      </c>
      <c r="G96" s="41" t="n">
        <f aca="false">280.099+0.011</f>
        <v>280.11</v>
      </c>
      <c r="H96" s="41" t="n">
        <v>280.319</v>
      </c>
      <c r="I96" s="41" t="n">
        <v>281.701</v>
      </c>
      <c r="J96" s="41" t="n">
        <v>271.821</v>
      </c>
      <c r="K96" s="41" t="n">
        <v>272.772</v>
      </c>
      <c r="L96" s="41" t="n">
        <v>459.6</v>
      </c>
      <c r="M96" s="41" t="n">
        <v>448.116</v>
      </c>
      <c r="N96" s="4" t="n">
        <f aca="false">SUM(B96:M96)/12</f>
        <v>363.794166666667</v>
      </c>
      <c r="O96" s="42" t="e">
        <f aca="false">#REF!/O$1</f>
        <v>#REF!</v>
      </c>
      <c r="P96" s="42" t="e">
        <f aca="false">#REF!/P$1</f>
        <v>#REF!</v>
      </c>
      <c r="Q96" s="42" t="e">
        <f aca="false">#REF!/Q$1</f>
        <v>#REF!</v>
      </c>
      <c r="R96" s="42" t="e">
        <f aca="false">#REF!/R$1</f>
        <v>#REF!</v>
      </c>
      <c r="S96" s="0"/>
      <c r="T96" s="0"/>
      <c r="V96" s="16"/>
      <c r="W96" s="16"/>
      <c r="X96" s="16"/>
      <c r="Y96" s="16"/>
      <c r="Z96" s="16"/>
      <c r="AA96" s="16"/>
      <c r="AB96" s="16"/>
    </row>
    <row r="97" customFormat="false" ht="12.75" hidden="false" customHeight="false" outlineLevel="0" collapsed="false">
      <c r="A97" s="40" t="s">
        <v>63</v>
      </c>
      <c r="B97" s="41" t="n">
        <v>47.688</v>
      </c>
      <c r="C97" s="41" t="n">
        <v>22.877</v>
      </c>
      <c r="D97" s="41" t="n">
        <v>22.637</v>
      </c>
      <c r="E97" s="41" t="n">
        <v>21.996</v>
      </c>
      <c r="F97" s="41" t="n">
        <v>79.551</v>
      </c>
      <c r="G97" s="41" t="n">
        <v>151.246</v>
      </c>
      <c r="H97" s="41" t="n">
        <v>172.645</v>
      </c>
      <c r="I97" s="41" t="n">
        <v>177.339</v>
      </c>
      <c r="J97" s="41" t="n">
        <v>163.726</v>
      </c>
      <c r="K97" s="41" t="n">
        <v>172.797</v>
      </c>
      <c r="L97" s="41" t="n">
        <v>-26.4</v>
      </c>
      <c r="M97" s="41" t="n">
        <v>24.143</v>
      </c>
      <c r="N97" s="4" t="n">
        <f aca="false">SUM(B97:M97)/12</f>
        <v>85.85375</v>
      </c>
      <c r="O97" s="42" t="e">
        <f aca="false">#REF!/O$1</f>
        <v>#REF!</v>
      </c>
      <c r="P97" s="42" t="e">
        <f aca="false">#REF!/P$1</f>
        <v>#REF!</v>
      </c>
      <c r="Q97" s="42" t="e">
        <f aca="false">#REF!/Q$1</f>
        <v>#REF!</v>
      </c>
      <c r="R97" s="42" t="e">
        <f aca="false">#REF!/R$1</f>
        <v>#REF!</v>
      </c>
      <c r="S97" s="0"/>
      <c r="T97" s="0"/>
    </row>
    <row r="98" customFormat="false" ht="18" hidden="false" customHeight="false" outlineLevel="0" collapsed="false">
      <c r="A98" s="64" t="s">
        <v>55</v>
      </c>
      <c r="B98" s="41" t="n">
        <f aca="false">[1]2000Plan!D10</f>
        <v>0</v>
      </c>
      <c r="C98" s="41" t="n">
        <f aca="false">[1]2000Plan!E10</f>
        <v>0</v>
      </c>
      <c r="D98" s="41" t="n">
        <f aca="false">0</f>
        <v>0</v>
      </c>
      <c r="E98" s="41" t="n">
        <f aca="false">[1]2000Plan!G10</f>
        <v>0</v>
      </c>
      <c r="F98" s="41" t="n">
        <f aca="false">[1]2000Plan!H10</f>
        <v>0</v>
      </c>
      <c r="G98" s="41" t="n">
        <f aca="false">2.812+0.341</f>
        <v>3.153</v>
      </c>
      <c r="H98" s="41" t="n">
        <v>1.597</v>
      </c>
      <c r="I98" s="41" t="n">
        <f aca="false">0</f>
        <v>0</v>
      </c>
      <c r="J98" s="41" t="n">
        <f aca="false">-5.167</f>
        <v>-5.167</v>
      </c>
      <c r="K98" s="41" t="n">
        <f aca="false">[1]2000Plan!M10</f>
        <v>0</v>
      </c>
      <c r="L98" s="41" t="n">
        <f aca="false">[1]2000Plan!N10</f>
        <v>0</v>
      </c>
      <c r="M98" s="41" t="n">
        <f aca="false">[1]2000Plan!O10</f>
        <v>0</v>
      </c>
      <c r="N98" s="44" t="n">
        <f aca="false">SUM(B98:M98)/12</f>
        <v>-0.03475</v>
      </c>
      <c r="O98" s="45" t="e">
        <f aca="false">#REF!/O$1</f>
        <v>#REF!</v>
      </c>
      <c r="P98" s="45" t="e">
        <f aca="false">#REF!/P$1</f>
        <v>#REF!</v>
      </c>
      <c r="Q98" s="45" t="e">
        <f aca="false">#REF!/Q$1</f>
        <v>#REF!</v>
      </c>
      <c r="R98" s="45" t="e">
        <f aca="false">#REF!/R$1</f>
        <v>#REF!</v>
      </c>
      <c r="S98" s="0"/>
      <c r="T98" s="0"/>
      <c r="V98" s="16"/>
      <c r="W98" s="16"/>
      <c r="X98" s="16"/>
      <c r="Y98" s="16"/>
      <c r="Z98" s="16"/>
      <c r="AA98" s="16"/>
      <c r="AB98" s="16"/>
    </row>
    <row r="99" customFormat="false" ht="12.75" hidden="false" customHeight="false" outlineLevel="0" collapsed="false">
      <c r="A99" s="65" t="s">
        <v>64</v>
      </c>
      <c r="B99" s="44" t="n">
        <f aca="false">SUM(B96:B98)</f>
        <v>463.933</v>
      </c>
      <c r="C99" s="44" t="n">
        <f aca="false">SUM(C96:C98)</f>
        <v>474.989</v>
      </c>
      <c r="D99" s="44" t="n">
        <f aca="false">SUM(D96:D98)</f>
        <v>492.742</v>
      </c>
      <c r="E99" s="44" t="n">
        <f aca="false">SUM(E96:E98)</f>
        <v>375.92</v>
      </c>
      <c r="F99" s="44" t="n">
        <f aca="false">SUM(F96:F98)</f>
        <v>458.256</v>
      </c>
      <c r="G99" s="44" t="n">
        <f aca="false">SUM(G96:G98)</f>
        <v>434.509</v>
      </c>
      <c r="H99" s="44" t="n">
        <f aca="false">SUM(H96:H98)</f>
        <v>454.561</v>
      </c>
      <c r="I99" s="44" t="n">
        <f aca="false">SUM(I96:I98)</f>
        <v>459.04</v>
      </c>
      <c r="J99" s="44" t="n">
        <f aca="false">SUM(J96:J98)</f>
        <v>430.38</v>
      </c>
      <c r="K99" s="44" t="n">
        <f aca="false">SUM(K96:K98)</f>
        <v>445.569</v>
      </c>
      <c r="L99" s="44" t="n">
        <f aca="false">SUM(L96:L98)</f>
        <v>433.2</v>
      </c>
      <c r="M99" s="44" t="n">
        <f aca="false">SUM(M96:M98)</f>
        <v>472.259</v>
      </c>
      <c r="N99" s="55" t="n">
        <f aca="false">SUM(N96:N98)</f>
        <v>449.613166666667</v>
      </c>
      <c r="O99" s="39" t="e">
        <f aca="false">#REF!/O$1</f>
        <v>#REF!</v>
      </c>
      <c r="P99" s="39" t="e">
        <f aca="false">#REF!/P$1</f>
        <v>#REF!</v>
      </c>
      <c r="Q99" s="39" t="e">
        <f aca="false">#REF!/Q$1</f>
        <v>#REF!</v>
      </c>
      <c r="R99" s="39" t="e">
        <f aca="false">#REF!/R$1</f>
        <v>#REF!</v>
      </c>
      <c r="S99" s="0"/>
      <c r="T99" s="0"/>
    </row>
    <row r="100" customFormat="false" ht="18" hidden="false" customHeight="false" outlineLevel="0" collapsed="false">
      <c r="A100" s="47" t="s">
        <v>65</v>
      </c>
      <c r="B100" s="44" t="n">
        <f aca="false">+B95</f>
        <v>465</v>
      </c>
      <c r="C100" s="44" t="n">
        <f aca="false">+C95</f>
        <v>465</v>
      </c>
      <c r="D100" s="44" t="n">
        <f aca="false">+D95</f>
        <v>485</v>
      </c>
      <c r="E100" s="44" t="n">
        <f aca="false">+E95</f>
        <v>465</v>
      </c>
      <c r="F100" s="44" t="n">
        <f aca="false">+F95</f>
        <v>465</v>
      </c>
      <c r="G100" s="44" t="n">
        <f aca="false">+G95</f>
        <v>465</v>
      </c>
      <c r="H100" s="44" t="n">
        <f aca="false">+H95</f>
        <v>465</v>
      </c>
      <c r="I100" s="44" t="n">
        <f aca="false">+I95</f>
        <v>465</v>
      </c>
      <c r="J100" s="44" t="n">
        <f aca="false">+J95</f>
        <v>465</v>
      </c>
      <c r="K100" s="44" t="n">
        <f aca="false">+K95</f>
        <v>465</v>
      </c>
      <c r="L100" s="44" t="n">
        <f aca="false">+L95</f>
        <v>469</v>
      </c>
      <c r="M100" s="44" t="n">
        <f aca="false">+M95</f>
        <v>465</v>
      </c>
      <c r="N100" s="55" t="n">
        <f aca="false">+N95</f>
        <v>467</v>
      </c>
      <c r="O100" s="57" t="e">
        <f aca="false">#REF!/O$1</f>
        <v>#REF!</v>
      </c>
      <c r="P100" s="57" t="e">
        <f aca="false">#REF!/P$1</f>
        <v>#REF!</v>
      </c>
      <c r="Q100" s="57" t="e">
        <f aca="false">#REF!/Q$1</f>
        <v>#REF!</v>
      </c>
      <c r="R100" s="57" t="e">
        <f aca="false">#REF!/R$1</f>
        <v>#REF!</v>
      </c>
      <c r="S100" s="0"/>
      <c r="T100" s="0"/>
      <c r="V100" s="16"/>
      <c r="W100" s="16"/>
      <c r="X100" s="16"/>
      <c r="Y100" s="16"/>
      <c r="Z100" s="16"/>
      <c r="AA100" s="16"/>
      <c r="AB100" s="16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</row>
    <row r="101" customFormat="false" ht="12.75" hidden="false" customHeight="false" outlineLevel="0" collapsed="false">
      <c r="A101" s="47" t="s">
        <v>66</v>
      </c>
      <c r="B101" s="44" t="n">
        <f aca="false">+B95+B68+B35+B61+B28</f>
        <v>817.6</v>
      </c>
      <c r="C101" s="44" t="n">
        <f aca="false">+C95+C68+C35+C61+C28</f>
        <v>817.6</v>
      </c>
      <c r="D101" s="44" t="n">
        <f aca="false">+D95+D68+D35+D61+D28</f>
        <v>818.6</v>
      </c>
      <c r="E101" s="44" t="n">
        <f aca="false">+E95+E68+E35+E61+E28</f>
        <v>815.933</v>
      </c>
      <c r="F101" s="44" t="n">
        <f aca="false">+F95+F68+F35+F61+F28</f>
        <v>857.31</v>
      </c>
      <c r="G101" s="44" t="n">
        <f aca="false">+G95+G68+G35+G61+G28</f>
        <v>857.267</v>
      </c>
      <c r="H101" s="44" t="n">
        <f aca="false">+H95+H68+H35+H61+H28</f>
        <v>848.6</v>
      </c>
      <c r="I101" s="44" t="n">
        <f aca="false">+I95+I68+I35+I61+I28</f>
        <v>848.6</v>
      </c>
      <c r="J101" s="44" t="n">
        <f aca="false">+J95+J68+J35+J61+J28</f>
        <v>848.6</v>
      </c>
      <c r="K101" s="44" t="n">
        <f aca="false">+K95+K68+K35+K61+K28</f>
        <v>848.6</v>
      </c>
      <c r="L101" s="44" t="n">
        <f aca="false">+L95+L68+L35+L61+L28</f>
        <v>827.6</v>
      </c>
      <c r="M101" s="44" t="n">
        <f aca="false">+M95+M68+M35+M61+M28</f>
        <v>858.6</v>
      </c>
      <c r="N101" s="55" t="n">
        <f aca="false">SUM(B101:M101)/12</f>
        <v>838.7425</v>
      </c>
      <c r="O101" s="58"/>
      <c r="P101" s="58"/>
      <c r="Q101" s="58"/>
      <c r="R101" s="58"/>
      <c r="S101" s="0"/>
      <c r="T101" s="0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</row>
    <row r="102" customFormat="false" ht="18" hidden="false" customHeight="false" outlineLevel="0" collapsed="false">
      <c r="A102" s="37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4"/>
      <c r="O102" s="42"/>
      <c r="P102" s="42"/>
      <c r="Q102" s="42"/>
      <c r="R102" s="42"/>
      <c r="S102" s="0"/>
      <c r="T102" s="0"/>
      <c r="V102" s="16"/>
      <c r="W102" s="16"/>
      <c r="X102" s="16"/>
      <c r="Y102" s="16"/>
      <c r="Z102" s="16"/>
      <c r="AA102" s="16"/>
      <c r="AB102" s="16"/>
    </row>
    <row r="103" customFormat="false" ht="15.75" hidden="false" customHeight="false" outlineLevel="0" collapsed="false">
      <c r="A103" s="66" t="s">
        <v>67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8"/>
      <c r="O103" s="38"/>
      <c r="P103" s="38"/>
      <c r="Q103" s="38"/>
      <c r="R103" s="38"/>
      <c r="S103" s="0"/>
      <c r="T103" s="0"/>
    </row>
    <row r="104" customFormat="false" ht="18" hidden="false" customHeight="false" outlineLevel="0" collapsed="false">
      <c r="A104" s="69" t="s">
        <v>23</v>
      </c>
      <c r="B104" s="70" t="n">
        <f aca="false">+B42+B74+B91+B100</f>
        <v>2374.06</v>
      </c>
      <c r="C104" s="70" t="n">
        <f aca="false">+C42+C74+C91+C100</f>
        <v>2461.552</v>
      </c>
      <c r="D104" s="70" t="n">
        <f aca="false">+D42+D74+D91+D100</f>
        <v>2392.801</v>
      </c>
      <c r="E104" s="70" t="n">
        <f aca="false">+E42+E74+E91+E100</f>
        <v>2689.492</v>
      </c>
      <c r="F104" s="70" t="n">
        <f aca="false">+F42+F74+F91+F100</f>
        <v>2774.139</v>
      </c>
      <c r="G104" s="70" t="n">
        <f aca="false">+G42+G74+G91+G100</f>
        <v>2725.863</v>
      </c>
      <c r="H104" s="70" t="n">
        <f aca="false">+H42+H74+H91+H100</f>
        <v>2754.601</v>
      </c>
      <c r="I104" s="70" t="n">
        <f aca="false">+I42+I74+I91+I100</f>
        <v>2780.904</v>
      </c>
      <c r="J104" s="70" t="n">
        <f aca="false">+J42+J74+J91+J100</f>
        <v>2810.598</v>
      </c>
      <c r="K104" s="70" t="n">
        <f aca="false">+K42+K74+K91+K100</f>
        <v>2839.758</v>
      </c>
      <c r="L104" s="70" t="n">
        <f aca="false">+L42+L74+L91+L100</f>
        <v>2773.575</v>
      </c>
      <c r="M104" s="70" t="n">
        <f aca="false">+M42+M74+M91+M100</f>
        <v>2858.277</v>
      </c>
      <c r="N104" s="71" t="n">
        <f aca="false">SUM(B104:M104)/12</f>
        <v>2686.30166666667</v>
      </c>
      <c r="O104" s="42" t="e">
        <f aca="false">#REF!/O$1</f>
        <v>#REF!</v>
      </c>
      <c r="P104" s="42" t="e">
        <f aca="false">#REF!/P$1</f>
        <v>#REF!</v>
      </c>
      <c r="Q104" s="42" t="e">
        <f aca="false">#REF!/Q$1</f>
        <v>#REF!</v>
      </c>
      <c r="R104" s="42" t="e">
        <f aca="false">#REF!/R$1</f>
        <v>#REF!</v>
      </c>
      <c r="S104" s="0"/>
      <c r="T104" s="0"/>
      <c r="V104" s="16"/>
      <c r="W104" s="16"/>
      <c r="X104" s="16"/>
      <c r="Y104" s="16"/>
      <c r="Z104" s="16"/>
      <c r="AA104" s="16"/>
      <c r="AB104" s="16"/>
    </row>
    <row r="105" customFormat="false" ht="12.75" hidden="false" customHeight="false" outlineLevel="0" collapsed="false">
      <c r="A105" s="69" t="s">
        <v>54</v>
      </c>
      <c r="B105" s="70" t="n">
        <f aca="false">+B15+B22+B29+B36+B38+B47+B54+B62+B69+B79+B86+B96</f>
        <v>1955.892</v>
      </c>
      <c r="C105" s="70" t="n">
        <f aca="false">+C15+C22+C29+C36+C38+C47+C54+C62+C69+C79+C86+C96</f>
        <v>2147.437</v>
      </c>
      <c r="D105" s="70" t="n">
        <f aca="false">+D15+D22+D29+D36+D38+D47+D54+D62+D69+D79+D86+D96</f>
        <v>2156.703</v>
      </c>
      <c r="E105" s="70" t="n">
        <f aca="false">+E15+E22+E29+E36+E38+E47+E54+E62+E69+E79+E86+E96</f>
        <v>1944.631</v>
      </c>
      <c r="F105" s="70" t="n">
        <f aca="false">+F15+F22+F29+F36+F38+F47+F54+F62+F69+F79+F86+F96</f>
        <v>2108.996</v>
      </c>
      <c r="G105" s="70" t="n">
        <f aca="false">+G15+G22+G29+G36+G38+G47+G54+G62+G69+G79+G86+G96</f>
        <v>1872.738</v>
      </c>
      <c r="H105" s="70" t="n">
        <f aca="false">+H15+H22+H29+H36+H38+H47+H54+H62+H69+H79+H86+H96</f>
        <v>1894.237</v>
      </c>
      <c r="I105" s="70" t="n">
        <f aca="false">+I15+I22+I29+I36+I38+I47+I54+I62+I69+I79+I86+I96</f>
        <v>1930.462</v>
      </c>
      <c r="J105" s="70" t="n">
        <f aca="false">+J15+J22+J29+J36+J38+J47+J54+J62+J69+J79+J86+J96</f>
        <v>1917.89</v>
      </c>
      <c r="K105" s="70" t="n">
        <f aca="false">+K15+K22+K29+K36+K38+K47+K54+K62+K69+K79+K86+K96</f>
        <v>1883.17</v>
      </c>
      <c r="L105" s="70" t="n">
        <f aca="false">+L15+L22+L29+L36+L38+L47+L54+L62+L69+L79+L86+L96</f>
        <v>2103.12225</v>
      </c>
      <c r="M105" s="70" t="n">
        <f aca="false">+M15+M22+M29+M36+M38+M47+M54+M62+M69+M79+M86+M96</f>
        <v>2265.21</v>
      </c>
      <c r="N105" s="71" t="n">
        <f aca="false">SUM(B105:M105)/12</f>
        <v>2015.0406875</v>
      </c>
      <c r="O105" s="42" t="e">
        <f aca="false">#REF!/O$1</f>
        <v>#REF!</v>
      </c>
      <c r="P105" s="42" t="e">
        <f aca="false">#REF!/P$1</f>
        <v>#REF!</v>
      </c>
      <c r="Q105" s="42" t="e">
        <f aca="false">#REF!/Q$1</f>
        <v>#REF!</v>
      </c>
      <c r="R105" s="42" t="e">
        <f aca="false">#REF!/R$1</f>
        <v>#REF!</v>
      </c>
      <c r="S105" s="0"/>
      <c r="T105" s="0"/>
    </row>
    <row r="106" customFormat="false" ht="18" hidden="false" customHeight="false" outlineLevel="0" collapsed="false">
      <c r="A106" s="69" t="s">
        <v>63</v>
      </c>
      <c r="B106" s="70" t="n">
        <f aca="false">+B16+B23+B30+B37+B48+B55+B63+B70+B80+B87+B97</f>
        <v>113.064</v>
      </c>
      <c r="C106" s="70" t="n">
        <f aca="false">+C16+C23+C30+C37+C48+C55+C63+C70+C80+C87+C97</f>
        <v>54.225</v>
      </c>
      <c r="D106" s="70" t="n">
        <f aca="false">+D16+D23+D30+D37+D48+D55+D63+D70+D80+D87+D97</f>
        <v>37.879</v>
      </c>
      <c r="E106" s="70" t="n">
        <f aca="false">+E16+E23+E30+E37+E48+E55+E63+E70+E80+E87+E97</f>
        <v>35.072</v>
      </c>
      <c r="F106" s="70" t="n">
        <f aca="false">+F16+F23+F30+F37+F48+F55+F63+F70+F80+F87+F97</f>
        <v>148.361</v>
      </c>
      <c r="G106" s="70" t="n">
        <f aca="false">+G16+G23+G30+G37+G48+G55+G63+G70+G80+G87+G97</f>
        <v>298.564</v>
      </c>
      <c r="H106" s="70" t="n">
        <f aca="false">+H16+H23+H30+H37+H48+H55+H63+H70+H80+H87+H97</f>
        <v>324.331</v>
      </c>
      <c r="I106" s="70" t="n">
        <f aca="false">+I16+I23+I30+I37+I48+I55+I63+I70+I80+I87+I97</f>
        <v>337.552</v>
      </c>
      <c r="J106" s="70" t="n">
        <f aca="false">+J16+J23+J30+J37+J48+J55+J63+J70+J80+J87+J97</f>
        <v>321.369</v>
      </c>
      <c r="K106" s="70" t="n">
        <f aca="false">+K16+K23+K30+K37+K48+K55+K63+K70+K80+K87+K97</f>
        <v>338.132</v>
      </c>
      <c r="L106" s="70" t="n">
        <f aca="false">+L16+L23+L30+L37+L48+L55+L63+L70+L80+L87+L97</f>
        <v>197.6</v>
      </c>
      <c r="M106" s="70" t="n">
        <f aca="false">+M16+M23+M30+M37+M48+M55+M63+M70+M80+M87+M97</f>
        <v>63.733</v>
      </c>
      <c r="N106" s="71" t="n">
        <f aca="false">SUM(B106:M106)/12</f>
        <v>189.156833333333</v>
      </c>
      <c r="O106" s="42" t="e">
        <f aca="false">#REF!/O$1</f>
        <v>#REF!</v>
      </c>
      <c r="P106" s="42" t="e">
        <f aca="false">#REF!/P$1</f>
        <v>#REF!</v>
      </c>
      <c r="Q106" s="42" t="e">
        <f aca="false">#REF!/Q$1</f>
        <v>#REF!</v>
      </c>
      <c r="R106" s="42" t="e">
        <f aca="false">#REF!/R$1</f>
        <v>#REF!</v>
      </c>
      <c r="S106" s="0"/>
      <c r="T106" s="0"/>
      <c r="V106" s="16"/>
      <c r="W106" s="16"/>
      <c r="X106" s="16"/>
      <c r="Y106" s="16"/>
      <c r="Z106" s="16"/>
      <c r="AA106" s="16"/>
      <c r="AB106" s="16"/>
    </row>
    <row r="107" customFormat="false" ht="12.75" hidden="false" customHeight="false" outlineLevel="0" collapsed="false">
      <c r="A107" s="72" t="s">
        <v>55</v>
      </c>
      <c r="B107" s="43" t="n">
        <f aca="false">+B17+B24+B31+B39+B49+B56+B57+B64+B71+B81+B88+B98</f>
        <v>178.496</v>
      </c>
      <c r="C107" s="43" t="n">
        <f aca="false">+C17+C24+C31+C39+C49+C56+C57+C64+C71+C81+C88+C98</f>
        <v>87.359</v>
      </c>
      <c r="D107" s="43" t="n">
        <f aca="false">+D17+D24+D31+D39+D49+D56+D57+D64+D71+D81+D88+D98</f>
        <v>99.541</v>
      </c>
      <c r="E107" s="43" t="n">
        <f aca="false">+E17+E24+E31+E39+E49+E56+E57+E64+E71+E81+E88+E98</f>
        <v>131.524</v>
      </c>
      <c r="F107" s="43" t="n">
        <f aca="false">+F17+F24+F31+F39+F49+F56+F57+F64+F71+F81+F88+F98</f>
        <v>178.226</v>
      </c>
      <c r="G107" s="43" t="n">
        <f aca="false">+G17+G24+G31+G39+G49+G56+G57+G64+G71+G81+G88+G98</f>
        <v>183.557</v>
      </c>
      <c r="H107" s="43" t="n">
        <f aca="false">+H17+H24+H31+H39+H49+H56+H57+H64+H71+H81+H88+H98</f>
        <v>236.108</v>
      </c>
      <c r="I107" s="43" t="n">
        <f aca="false">+I17+I24+I31+I39+I49+I56+I57+I64+I71+I81+I88+I98</f>
        <v>281.753</v>
      </c>
      <c r="J107" s="43" t="n">
        <f aca="false">+J17+J24+J31+J39+J49+J56+J57+J64+J71+J81+J88+J98</f>
        <v>226.175</v>
      </c>
      <c r="K107" s="43" t="n">
        <f aca="false">+K17+K24+K31+K39+K49+K56+K57+K64+K71+K81+K88+K98</f>
        <v>218.593</v>
      </c>
      <c r="L107" s="43" t="n">
        <f aca="false">+L17+L24+L31+L39+L49+L56+L57+L64+L71+L81+L88+L98</f>
        <v>84.829</v>
      </c>
      <c r="M107" s="43" t="n">
        <f aca="false">+M17+M24+M31+M39+M49+M56+M57+M64+M71+M81+M88+M98</f>
        <v>167.039</v>
      </c>
      <c r="N107" s="55" t="n">
        <f aca="false">SUM(B107:M107)/12</f>
        <v>172.766666666667</v>
      </c>
      <c r="O107" s="45" t="e">
        <f aca="false">#REF!/O$1</f>
        <v>#REF!</v>
      </c>
      <c r="P107" s="45" t="e">
        <f aca="false">#REF!/P$1</f>
        <v>#REF!</v>
      </c>
      <c r="Q107" s="45" t="e">
        <f aca="false">#REF!/Q$1</f>
        <v>#REF!</v>
      </c>
      <c r="R107" s="45" t="e">
        <f aca="false">#REF!/R$1</f>
        <v>#REF!</v>
      </c>
      <c r="S107" s="0"/>
      <c r="T107" s="0"/>
    </row>
    <row r="108" customFormat="false" ht="18" hidden="false" customHeight="false" outlineLevel="0" collapsed="false">
      <c r="A108" s="65" t="s">
        <v>68</v>
      </c>
      <c r="B108" s="44" t="n">
        <f aca="false">SUM(B105:B107)</f>
        <v>2247.452</v>
      </c>
      <c r="C108" s="44" t="n">
        <f aca="false">SUM(C105:C107)</f>
        <v>2289.021</v>
      </c>
      <c r="D108" s="44" t="n">
        <f aca="false">SUM(D105:D107)</f>
        <v>2294.123</v>
      </c>
      <c r="E108" s="44" t="n">
        <f aca="false">SUM(E105:E107)</f>
        <v>2111.227</v>
      </c>
      <c r="F108" s="44" t="n">
        <f aca="false">SUM(F105:F107)</f>
        <v>2435.583</v>
      </c>
      <c r="G108" s="44" t="n">
        <f aca="false">SUM(G105:G107)</f>
        <v>2354.859</v>
      </c>
      <c r="H108" s="44" t="n">
        <f aca="false">SUM(H105:H107)</f>
        <v>2454.676</v>
      </c>
      <c r="I108" s="44" t="n">
        <f aca="false">SUM(I105:I107)</f>
        <v>2549.767</v>
      </c>
      <c r="J108" s="44" t="n">
        <f aca="false">SUM(J105:J107)</f>
        <v>2465.434</v>
      </c>
      <c r="K108" s="44" t="n">
        <f aca="false">SUM(K105:K107)</f>
        <v>2439.895</v>
      </c>
      <c r="L108" s="44" t="n">
        <f aca="false">SUM(L105:L107)</f>
        <v>2385.55125</v>
      </c>
      <c r="M108" s="44" t="n">
        <f aca="false">SUM(M105:M107)</f>
        <v>2495.982</v>
      </c>
      <c r="N108" s="55" t="n">
        <f aca="false">SUM(N105:N107)</f>
        <v>2376.9641875</v>
      </c>
      <c r="O108" s="39" t="e">
        <f aca="false">#REF!/O$1</f>
        <v>#REF!</v>
      </c>
      <c r="P108" s="39" t="e">
        <f aca="false">#REF!/P$1</f>
        <v>#REF!</v>
      </c>
      <c r="Q108" s="39" t="e">
        <f aca="false">#REF!/Q$1</f>
        <v>#REF!</v>
      </c>
      <c r="R108" s="39" t="e">
        <f aca="false">#REF!/R$1</f>
        <v>#REF!</v>
      </c>
      <c r="S108" s="0"/>
      <c r="T108" s="0"/>
      <c r="V108" s="16"/>
      <c r="W108" s="16"/>
      <c r="X108" s="16"/>
      <c r="Y108" s="16"/>
      <c r="Z108" s="16"/>
      <c r="AA108" s="16"/>
      <c r="AB108" s="16"/>
    </row>
    <row r="109" customFormat="false" ht="12.75" hidden="false" customHeight="false" outlineLevel="0" collapsed="false">
      <c r="A109" s="47" t="s">
        <v>69</v>
      </c>
      <c r="B109" s="44" t="n">
        <f aca="false">+B104</f>
        <v>2374.06</v>
      </c>
      <c r="C109" s="44" t="n">
        <f aca="false">+C104</f>
        <v>2461.552</v>
      </c>
      <c r="D109" s="44" t="n">
        <f aca="false">+D104</f>
        <v>2392.801</v>
      </c>
      <c r="E109" s="44" t="n">
        <f aca="false">+E104</f>
        <v>2689.492</v>
      </c>
      <c r="F109" s="44" t="n">
        <f aca="false">+F104</f>
        <v>2774.139</v>
      </c>
      <c r="G109" s="44" t="n">
        <f aca="false">+G104</f>
        <v>2725.863</v>
      </c>
      <c r="H109" s="44" t="n">
        <f aca="false">+H104</f>
        <v>2754.601</v>
      </c>
      <c r="I109" s="44" t="n">
        <f aca="false">+I104</f>
        <v>2780.904</v>
      </c>
      <c r="J109" s="44" t="n">
        <f aca="false">+J104</f>
        <v>2810.598</v>
      </c>
      <c r="K109" s="44" t="n">
        <f aca="false">+K104</f>
        <v>2839.758</v>
      </c>
      <c r="L109" s="44" t="n">
        <f aca="false">+L104</f>
        <v>2773.575</v>
      </c>
      <c r="M109" s="44" t="n">
        <f aca="false">+M104</f>
        <v>2858.277</v>
      </c>
      <c r="N109" s="55" t="n">
        <f aca="false">+N104</f>
        <v>2686.30166666667</v>
      </c>
      <c r="O109" s="57" t="e">
        <f aca="false">#REF!/O$1</f>
        <v>#REF!</v>
      </c>
      <c r="P109" s="57" t="e">
        <f aca="false">#REF!/P$1</f>
        <v>#REF!</v>
      </c>
      <c r="Q109" s="57" t="e">
        <f aca="false">#REF!/Q$1</f>
        <v>#REF!</v>
      </c>
      <c r="R109" s="57" t="e">
        <f aca="false">#REF!/R$1</f>
        <v>#REF!</v>
      </c>
      <c r="S109" s="0"/>
      <c r="T109" s="0"/>
    </row>
    <row r="110" customFormat="false" ht="18.75" hidden="false" customHeight="false" outlineLevel="0" collapsed="false">
      <c r="A110" s="47" t="s">
        <v>70</v>
      </c>
      <c r="B110" s="44" t="n">
        <f aca="false">B41+B73+B89</f>
        <v>1531.808</v>
      </c>
      <c r="C110" s="44" t="n">
        <f aca="false">C41+C73+C89</f>
        <v>1586.896</v>
      </c>
      <c r="D110" s="44" t="n">
        <f aca="false">D41+D73+D89</f>
        <v>1565.79</v>
      </c>
      <c r="E110" s="44" t="n">
        <f aca="false">E41+E73+E89</f>
        <v>1466.989</v>
      </c>
      <c r="F110" s="44" t="n">
        <f aca="false">F41+F73+F89</f>
        <v>1709.16</v>
      </c>
      <c r="G110" s="44" t="n">
        <f aca="false">G41+G73+G89</f>
        <v>1642.91</v>
      </c>
      <c r="H110" s="44" t="n">
        <f aca="false">H41+H73+H89</f>
        <v>1723.143</v>
      </c>
      <c r="I110" s="44" t="n">
        <f aca="false">I41+I73+I89</f>
        <v>1742.131</v>
      </c>
      <c r="J110" s="44" t="n">
        <f aca="false">J41+J73+J89</f>
        <v>1773.091</v>
      </c>
      <c r="K110" s="44" t="n">
        <f aca="false">K41+K73+K89</f>
        <v>1686.775</v>
      </c>
      <c r="L110" s="44" t="n">
        <f aca="false">L41+L73+L89</f>
        <v>1672.75125</v>
      </c>
      <c r="M110" s="44" t="n">
        <f aca="false">M41+M73+M89</f>
        <v>1787.381</v>
      </c>
      <c r="N110" s="55" t="n">
        <f aca="false">N41+N73+N89</f>
        <v>1657.2291875</v>
      </c>
      <c r="O110" s="73" t="e">
        <f aca="false">O41+#REF!+O90</f>
        <v>#REF!</v>
      </c>
      <c r="P110" s="73" t="e">
        <f aca="false">P41+#REF!+P90</f>
        <v>#REF!</v>
      </c>
      <c r="Q110" s="73" t="e">
        <f aca="false">Q41+#REF!+Q90</f>
        <v>#REF!</v>
      </c>
      <c r="R110" s="73" t="e">
        <f aca="false">R41+#REF!+R89</f>
        <v>#REF!</v>
      </c>
      <c r="S110" s="0"/>
      <c r="T110" s="0"/>
      <c r="V110" s="16"/>
      <c r="W110" s="16"/>
      <c r="X110" s="16"/>
      <c r="Y110" s="16"/>
      <c r="Z110" s="16"/>
      <c r="AA110" s="16"/>
      <c r="AB110" s="16"/>
    </row>
    <row r="111" customFormat="false" ht="13.5" hidden="false" customHeight="false" outlineLevel="0" collapsed="false">
      <c r="A111" s="51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8"/>
      <c r="P111" s="58"/>
      <c r="Q111" s="58"/>
      <c r="R111" s="58"/>
      <c r="S111" s="0"/>
      <c r="T111" s="0"/>
    </row>
    <row r="112" customFormat="false" ht="18" hidden="false" customHeight="false" outlineLevel="0" collapsed="false">
      <c r="A112" s="74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4"/>
      <c r="O112" s="42"/>
      <c r="P112" s="42"/>
      <c r="Q112" s="42"/>
      <c r="R112" s="42"/>
      <c r="S112" s="0"/>
      <c r="T112" s="0"/>
      <c r="V112" s="16"/>
      <c r="W112" s="16"/>
      <c r="X112" s="16"/>
      <c r="Y112" s="16"/>
      <c r="Z112" s="16"/>
      <c r="AA112" s="16"/>
      <c r="AB112" s="16"/>
    </row>
    <row r="113" customFormat="false" ht="12.75" hidden="false" customHeight="false" outlineLevel="0" collapsed="false">
      <c r="A113" s="37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6"/>
      <c r="O113" s="77"/>
      <c r="P113" s="77"/>
      <c r="Q113" s="42"/>
      <c r="R113" s="78"/>
      <c r="S113" s="0"/>
      <c r="T113" s="0"/>
    </row>
    <row r="114" customFormat="false" ht="18" hidden="false" customHeight="false" outlineLevel="0" collapsed="false">
      <c r="A114" s="33" t="s">
        <v>71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4"/>
      <c r="O114" s="38" t="e">
        <f aca="false">#REF!</f>
        <v>#REF!</v>
      </c>
      <c r="P114" s="38" t="e">
        <f aca="false">$Q$9-$O$9</f>
        <v>#REF!</v>
      </c>
      <c r="Q114" s="38" t="n">
        <v>12</v>
      </c>
      <c r="R114" s="38" t="e">
        <f aca="false">#REF!</f>
        <v>#REF!</v>
      </c>
      <c r="S114" s="0"/>
      <c r="T114" s="0"/>
      <c r="V114" s="16"/>
      <c r="W114" s="16"/>
      <c r="X114" s="16"/>
      <c r="Y114" s="16"/>
      <c r="Z114" s="16"/>
      <c r="AA114" s="16"/>
      <c r="AB114" s="16"/>
    </row>
    <row r="115" customFormat="false" ht="12.75" hidden="false" customHeight="false" outlineLevel="0" collapsed="false">
      <c r="A115" s="37" t="s">
        <v>72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4"/>
      <c r="O115" s="38"/>
      <c r="P115" s="38"/>
      <c r="Q115" s="38"/>
      <c r="R115" s="38"/>
      <c r="S115" s="0"/>
      <c r="T115" s="0"/>
    </row>
    <row r="116" customFormat="false" ht="18" hidden="false" customHeight="false" outlineLevel="0" collapsed="false">
      <c r="A116" s="40" t="s">
        <v>23</v>
      </c>
      <c r="B116" s="79" t="n">
        <f aca="false">IF(B14&lt;&gt;0,((B184+B185)/B14)/B$1,0)</f>
        <v>0.296798177239477</v>
      </c>
      <c r="C116" s="79" t="n">
        <f aca="false">IF(C14&lt;&gt;0,((C184+C185)/C14)/C$1,0)</f>
        <v>0.297474682732983</v>
      </c>
      <c r="D116" s="79" t="n">
        <f aca="false">IF(D14&lt;&gt;0,((D184+D185)/D14)/D$1,0)</f>
        <v>0.297422472718551</v>
      </c>
      <c r="E116" s="79" t="n">
        <f aca="false">IF(E14&lt;&gt;0,((E184+E185)/E14)/E$1,0)</f>
        <v>0.301107421383648</v>
      </c>
      <c r="F116" s="79" t="n">
        <f aca="false">IF(F14&lt;&gt;0,((F184+F185)/F14)/F$1,0)</f>
        <v>0.299615094339623</v>
      </c>
      <c r="G116" s="79" t="n">
        <f aca="false">IF(G14&lt;&gt;0,((G184+G185)/G14)/G$1,0)</f>
        <v>0.292750362314805</v>
      </c>
      <c r="H116" s="79" t="n">
        <f aca="false">IF(H14&lt;&gt;0,((H184+H185)/H14)/H$1,0)</f>
        <v>0.29530889033049</v>
      </c>
      <c r="I116" s="79" t="n">
        <f aca="false">IF(I14&lt;&gt;0,((I184+I185)/I14)/I$1,0)</f>
        <v>0.298467924528302</v>
      </c>
      <c r="J116" s="79" t="n">
        <f aca="false">IF(J14&lt;&gt;0,((J184+J185)/J14)/J$1,0)</f>
        <v>0.298494339622642</v>
      </c>
      <c r="K116" s="79" t="n">
        <f aca="false">IF(K14&lt;&gt;0,((K184+K185)/K14)/K$1,0)</f>
        <v>0.299366037735849</v>
      </c>
      <c r="L116" s="79" t="n">
        <f aca="false">IF(L14&lt;&gt;0,((L184+L185)/L14)/L$1,0)</f>
        <v>0.310902726146221</v>
      </c>
      <c r="M116" s="79" t="n">
        <f aca="false">IF(M14&lt;&gt;0,((M184+M185)/M14)/M$1,0)</f>
        <v>0.306133901399878</v>
      </c>
      <c r="N116" s="80" t="n">
        <f aca="false">IF(N14&lt;&gt;0,((N184+N185)/N14)/N$1,0)</f>
        <v>0.299462313791975</v>
      </c>
      <c r="O116" s="81" t="e">
        <f aca="false">IF(#REF!=0,0,#REF!/#REF!)</f>
        <v>#REF!</v>
      </c>
      <c r="P116" s="81" t="e">
        <f aca="false">IF(#REF!=0,0,#REF!/#REF!)</f>
        <v>#REF!</v>
      </c>
      <c r="Q116" s="81" t="e">
        <f aca="false">IF(#REF!=0,0,#REF!/#REF!)</f>
        <v>#REF!</v>
      </c>
      <c r="R116" s="81" t="e">
        <f aca="false">IF(#REF!=0,0,#REF!/#REF!)</f>
        <v>#REF!</v>
      </c>
      <c r="S116" s="0"/>
      <c r="T116" s="0"/>
      <c r="V116" s="16"/>
      <c r="W116" s="16"/>
      <c r="X116" s="16"/>
      <c r="Y116" s="16"/>
      <c r="Z116" s="16"/>
      <c r="AA116" s="16"/>
      <c r="AB116" s="16"/>
    </row>
    <row r="117" customFormat="false" ht="12.75" hidden="false" customHeight="false" outlineLevel="0" collapsed="false">
      <c r="A117" s="40" t="s">
        <v>24</v>
      </c>
      <c r="B117" s="79" t="n">
        <f aca="false">IF(B15&lt;&gt;0,(B186/B15)/B$1,0)</f>
        <v>0.0273231759609286</v>
      </c>
      <c r="C117" s="79" t="n">
        <f aca="false">IF(C15&lt;&gt;0,(C186/C15)/C$1,0)</f>
        <v>0.0246043706971166</v>
      </c>
      <c r="D117" s="79" t="n">
        <f aca="false">IF(D15&lt;&gt;0,(D186/D15)/D$1,0)</f>
        <v>0.0246309761980348</v>
      </c>
      <c r="E117" s="79" t="n">
        <f aca="false">IF(E15&lt;&gt;0,(E186/E15)/E$1,0)</f>
        <v>0.0246714329534461</v>
      </c>
      <c r="F117" s="79" t="n">
        <f aca="false">IF(F15&lt;&gt;0,(F186/F15)/F$1,0)</f>
        <v>0.0245477309081976</v>
      </c>
      <c r="G117" s="79" t="n">
        <f aca="false">IF(G15&lt;&gt;0,(G186/G15)/G$1,0)</f>
        <v>0.024186695182991</v>
      </c>
      <c r="H117" s="79" t="n">
        <f aca="false">IF(H15&lt;&gt;0,(H186/H15)/H$1,0)</f>
        <v>0.0242879758701987</v>
      </c>
      <c r="I117" s="79" t="n">
        <f aca="false">IF(I15&lt;&gt;0,(I186/I15)/I$1,0)</f>
        <v>0.0243347384917772</v>
      </c>
      <c r="J117" s="79" t="n">
        <f aca="false">IF(J15&lt;&gt;0,(J186/J15)/J$1,0)</f>
        <v>0.0243840164887623</v>
      </c>
      <c r="K117" s="79" t="n">
        <f aca="false">IF(K15&lt;&gt;0,(K186/K15)/K$1,0)</f>
        <v>0.0243601909457069</v>
      </c>
      <c r="L117" s="79" t="n">
        <f aca="false">IF(L15&lt;&gt;0,(L186/L15)/L$1,0)</f>
        <v>0.0288</v>
      </c>
      <c r="M117" s="79" t="n">
        <f aca="false">IF(M15&lt;&gt;0,(M186/M15)/M$1,0)</f>
        <v>0.0248719666078892</v>
      </c>
      <c r="N117" s="80" t="n">
        <f aca="false">IF(N15&lt;&gt;0,(N186/N15)/N$1,0)</f>
        <v>0.0250729558648932</v>
      </c>
      <c r="O117" s="81" t="e">
        <f aca="false">IF(#REF!=0,0,#REF!/#REF!)</f>
        <v>#REF!</v>
      </c>
      <c r="P117" s="81" t="e">
        <f aca="false">IF(#REF!=0,0,#REF!/#REF!)</f>
        <v>#REF!</v>
      </c>
      <c r="Q117" s="81" t="e">
        <f aca="false">IF(#REF!=0,0,#REF!/#REF!)</f>
        <v>#REF!</v>
      </c>
      <c r="R117" s="81" t="e">
        <f aca="false">IF(#REF!=0,0,#REF!/#REF!)</f>
        <v>#REF!</v>
      </c>
      <c r="S117" s="0"/>
      <c r="T117" s="0"/>
    </row>
    <row r="118" customFormat="false" ht="18" hidden="false" customHeight="false" outlineLevel="0" collapsed="false">
      <c r="A118" s="40" t="s">
        <v>25</v>
      </c>
      <c r="B118" s="79" t="n">
        <f aca="false">IF(B16&lt;&gt;0,(B187/B16)/B$1,0)</f>
        <v>0</v>
      </c>
      <c r="C118" s="79" t="n">
        <f aca="false">IF(C16&lt;&gt;0,(C187/C16)/C$1,0)</f>
        <v>0.0253007910399891</v>
      </c>
      <c r="D118" s="79" t="n">
        <f aca="false">IF(D16&lt;&gt;0,(D187/D16)/D$1,0)</f>
        <v>0.0252990153255465</v>
      </c>
      <c r="E118" s="79" t="n">
        <f aca="false">IF(E16&lt;&gt;0,(E187/E16)/E$1,0)</f>
        <v>0.0252967696571121</v>
      </c>
      <c r="F118" s="79" t="n">
        <f aca="false">IF(F16&lt;&gt;0,(F187/F16)/F$1,0)</f>
        <v>0.02529971844784</v>
      </c>
      <c r="G118" s="79" t="n">
        <f aca="false">IF(G16&lt;&gt;0,(G187/G16)/G$1,0)</f>
        <v>0.0252998978621491</v>
      </c>
      <c r="H118" s="79" t="n">
        <f aca="false">IF(H16&lt;&gt;0,(H187/H16)/H$1,0)</f>
        <v>0.0252975362470241</v>
      </c>
      <c r="I118" s="79" t="n">
        <f aca="false">IF(I16&lt;&gt;0,(I187/I16)/I$1,0)</f>
        <v>0.0248288022833207</v>
      </c>
      <c r="J118" s="79" t="n">
        <f aca="false">IF(J16&lt;&gt;0,(J187/J16)/J$1,0)</f>
        <v>0.0252997516681832</v>
      </c>
      <c r="K118" s="79" t="n">
        <f aca="false">IF(K16&lt;&gt;0,(K187/K16)/K$1,0)</f>
        <v>0.0252998307101734</v>
      </c>
      <c r="L118" s="79" t="n">
        <f aca="false">IF(L16&lt;&gt;0,(L187/L16)/L$1,0)</f>
        <v>0</v>
      </c>
      <c r="M118" s="79" t="n">
        <f aca="false">IF(M16&lt;&gt;0,(M187/M16)/M$1,0)</f>
        <v>0.0255986241566345</v>
      </c>
      <c r="N118" s="80" t="n">
        <f aca="false">IF(N16&lt;&gt;0,(N187/N16)/N$1,0)</f>
        <v>0.0245891535761778</v>
      </c>
      <c r="O118" s="81" t="e">
        <f aca="false">IF(#REF!=0,0,#REF!/#REF!)</f>
        <v>#REF!</v>
      </c>
      <c r="P118" s="81" t="e">
        <f aca="false">IF(#REF!=0,0,#REF!/#REF!)</f>
        <v>#REF!</v>
      </c>
      <c r="Q118" s="81" t="e">
        <f aca="false">IF(#REF!=0,0,#REF!/#REF!)</f>
        <v>#REF!</v>
      </c>
      <c r="R118" s="81" t="e">
        <f aca="false">IF(#REF!=0,0,#REF!/#REF!)</f>
        <v>#REF!</v>
      </c>
      <c r="S118" s="0"/>
      <c r="T118" s="0"/>
      <c r="V118" s="16"/>
      <c r="W118" s="16"/>
      <c r="X118" s="16"/>
      <c r="Y118" s="16"/>
      <c r="Z118" s="16"/>
      <c r="AA118" s="16"/>
      <c r="AB118" s="16"/>
    </row>
    <row r="119" customFormat="false" ht="12.75" hidden="false" customHeight="false" outlineLevel="0" collapsed="false">
      <c r="A119" s="40" t="s">
        <v>29</v>
      </c>
      <c r="B119" s="79" t="n">
        <f aca="false">IF(B17&lt;&gt;0,(B188/B17)/B$1,0)</f>
        <v>0</v>
      </c>
      <c r="C119" s="79" t="n">
        <f aca="false">IF(C17&lt;&gt;0,(C188/C17)/C$1,0)</f>
        <v>0</v>
      </c>
      <c r="D119" s="79" t="n">
        <f aca="false">IF(D17&lt;&gt;0,(D188/D17)/D$1,0)</f>
        <v>0.0221140190708054</v>
      </c>
      <c r="E119" s="79" t="n">
        <f aca="false">IF(E17&lt;&gt;0,(E188/E17)/E$1,0)</f>
        <v>0</v>
      </c>
      <c r="F119" s="79" t="n">
        <f aca="false">IF(F17&lt;&gt;0,(F188/F17)/F$1,0)</f>
        <v>0</v>
      </c>
      <c r="G119" s="79" t="n">
        <f aca="false">IF(G17&lt;&gt;0,(G188/G17)/G$1,0)</f>
        <v>0.0570323488045007</v>
      </c>
      <c r="H119" s="79" t="n">
        <f aca="false">IF(H17&lt;&gt;0,(H188/H17)/H$1,0)</f>
        <v>0.10760674253444</v>
      </c>
      <c r="I119" s="79" t="n">
        <f aca="false">IF(I17&lt;&gt;0,(I188/I17)/I$1,0)</f>
        <v>0.0632044198895028</v>
      </c>
      <c r="J119" s="79" t="n">
        <f aca="false">IF(J17&lt;&gt;0,(J188/J17)/J$1,0)</f>
        <v>0.0551217071632116</v>
      </c>
      <c r="K119" s="79" t="n">
        <f aca="false">IF(K17&lt;&gt;0,(K188/K17)/K$1,0)</f>
        <v>0.0249977922716894</v>
      </c>
      <c r="L119" s="79" t="n">
        <f aca="false">IF(L17&lt;&gt;0,(L188/L17)/L$1,0)</f>
        <v>0</v>
      </c>
      <c r="M119" s="79" t="n">
        <f aca="false">IF(M17&lt;&gt;0,(M188/M17)/M$1,0)</f>
        <v>0.299966844794633</v>
      </c>
      <c r="N119" s="80" t="n">
        <f aca="false">IF(N17&lt;&gt;0,(N188/N17)/N$1,0)</f>
        <v>0.0705636527857577</v>
      </c>
      <c r="O119" s="81" t="e">
        <f aca="false">IF(O188=0,0,O188/#REF!)</f>
        <v>#REF!</v>
      </c>
      <c r="P119" s="81" t="e">
        <f aca="false">IF(P188=0,0,P188/#REF!)</f>
        <v>#REF!</v>
      </c>
      <c r="Q119" s="81" t="n">
        <f aca="false">IF(Q188=0,0,Q188/#REF!)</f>
        <v>0</v>
      </c>
      <c r="R119" s="81" t="e">
        <f aca="false">IF(R188=0,0,R188/#REF!)</f>
        <v>#REF!</v>
      </c>
      <c r="S119" s="0"/>
      <c r="T119" s="0"/>
    </row>
    <row r="120" customFormat="false" ht="18" hidden="false" customHeight="false" outlineLevel="0" collapsed="false">
      <c r="A120" s="40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39"/>
      <c r="P120" s="39"/>
      <c r="Q120" s="39"/>
      <c r="R120" s="39"/>
      <c r="S120" s="0"/>
      <c r="T120" s="0"/>
      <c r="V120" s="16"/>
      <c r="W120" s="16"/>
      <c r="X120" s="16"/>
      <c r="Y120" s="16"/>
      <c r="Z120" s="16"/>
      <c r="AA120" s="16"/>
      <c r="AB120" s="16"/>
    </row>
    <row r="121" customFormat="false" ht="12.75" hidden="false" customHeight="false" outlineLevel="0" collapsed="false">
      <c r="A121" s="37" t="s">
        <v>73</v>
      </c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38"/>
      <c r="P121" s="38"/>
      <c r="Q121" s="38"/>
      <c r="R121" s="38"/>
      <c r="S121" s="0"/>
      <c r="T121" s="0"/>
    </row>
    <row r="122" customFormat="false" ht="18" hidden="false" customHeight="false" outlineLevel="0" collapsed="false">
      <c r="A122" s="40" t="s">
        <v>23</v>
      </c>
      <c r="B122" s="79" t="n">
        <f aca="false">IF(B21&lt;&gt;0,((B192+B193)/B21)/B$1,0)</f>
        <v>0.265932146420172</v>
      </c>
      <c r="C122" s="79" t="n">
        <f aca="false">IF(C21&lt;&gt;0,((C192+C193)/C21)/C$1,0)</f>
        <v>0.261871074880178</v>
      </c>
      <c r="D122" s="79" t="n">
        <f aca="false">IF(D21&lt;&gt;0,((D192+D193)/D21)/D$1,0)</f>
        <v>0.259526470189487</v>
      </c>
      <c r="E122" s="79" t="n">
        <f aca="false">IF(E21&lt;&gt;0,((E192+E193)/E21)/E$1,0)</f>
        <v>0.276084511583728</v>
      </c>
      <c r="F122" s="79" t="n">
        <f aca="false">IF(F21&lt;&gt;0,((F192+F193)/F21)/F$1,0)</f>
        <v>0.272491452481071</v>
      </c>
      <c r="G122" s="79" t="n">
        <f aca="false">IF(G21&lt;&gt;0,((G192+G193)/G21)/G$1,0)</f>
        <v>0.27106474686484</v>
      </c>
      <c r="H122" s="79" t="n">
        <f aca="false">IF(H21&lt;&gt;0,((H192+H193)/H21)/H$1,0)</f>
        <v>0.26874078703457</v>
      </c>
      <c r="I122" s="79" t="n">
        <f aca="false">IF(I21&lt;&gt;0,((I192+I193)/I21)/I$1,0)</f>
        <v>0.275267032062815</v>
      </c>
      <c r="J122" s="79" t="n">
        <f aca="false">IF(J21&lt;&gt;0,((J192+J193)/J21)/J$1,0)</f>
        <v>0.275017322380746</v>
      </c>
      <c r="K122" s="79" t="n">
        <f aca="false">IF(K21&lt;&gt;0,((K192+K193)/K21)/K$1,0)</f>
        <v>0.274061838416803</v>
      </c>
      <c r="L122" s="79" t="n">
        <f aca="false">IF(L21&lt;&gt;0,((L192+L193)/L21)/L$1,0)</f>
        <v>0.256176028631956</v>
      </c>
      <c r="M122" s="79" t="n">
        <f aca="false">IF(M21&lt;&gt;0,((M192+M193)/M21)/M$1,0)</f>
        <v>0.275138111376093</v>
      </c>
      <c r="N122" s="80" t="n">
        <f aca="false">IF(N21&lt;&gt;0,((N192+N193)/N21)/N$1,0)</f>
        <v>0.269227172572548</v>
      </c>
      <c r="O122" s="81" t="e">
        <f aca="false">IF(#REF!=0,0,#REF!/#REF!)</f>
        <v>#REF!</v>
      </c>
      <c r="P122" s="81" t="e">
        <f aca="false">IF(#REF!=0,0,#REF!/#REF!)</f>
        <v>#REF!</v>
      </c>
      <c r="Q122" s="81" t="e">
        <f aca="false">IF(#REF!=0,0,#REF!/#REF!)</f>
        <v>#REF!</v>
      </c>
      <c r="R122" s="81" t="e">
        <f aca="false">IF(#REF!=0,0,#REF!/#REF!)</f>
        <v>#REF!</v>
      </c>
      <c r="S122" s="0"/>
      <c r="T122" s="0"/>
      <c r="V122" s="16"/>
      <c r="W122" s="16"/>
      <c r="X122" s="16"/>
      <c r="Y122" s="16"/>
      <c r="Z122" s="16"/>
      <c r="AA122" s="16"/>
      <c r="AB122" s="16"/>
    </row>
    <row r="123" customFormat="false" ht="12.75" hidden="false" customHeight="false" outlineLevel="0" collapsed="false">
      <c r="A123" s="40" t="s">
        <v>24</v>
      </c>
      <c r="B123" s="79" t="n">
        <f aca="false">IF(B22&lt;&gt;0,((B194/B22)/B$1),0)</f>
        <v>0.0274364882218087</v>
      </c>
      <c r="C123" s="79" t="n">
        <f aca="false">IF(C22&lt;&gt;0,((C194/C22)/C$1),0)</f>
        <v>0.0277619012282638</v>
      </c>
      <c r="D123" s="79" t="n">
        <f aca="false">IF(D22&lt;&gt;0,((D194/D22)/D$1),0)</f>
        <v>0.0272403810332838</v>
      </c>
      <c r="E123" s="79" t="n">
        <f aca="false">IF(E22&lt;&gt;0,((E194/E22)/E$1),0)</f>
        <v>0.0283885132692737</v>
      </c>
      <c r="F123" s="79" t="n">
        <f aca="false">IF(F22&lt;&gt;0,((F194/F22)/F$1),0)</f>
        <v>0.0275615808940636</v>
      </c>
      <c r="G123" s="79" t="n">
        <f aca="false">IF(G22&lt;&gt;0,((G194/G22)/G$1),0)</f>
        <v>0.0268876297912464</v>
      </c>
      <c r="H123" s="79" t="n">
        <f aca="false">IF(H22&lt;&gt;0,((H194/H22)/H$1),0)</f>
        <v>0.0269187377541842</v>
      </c>
      <c r="I123" s="79" t="n">
        <f aca="false">IF(I22&lt;&gt;0,((I194/I22)/I$1),0)</f>
        <v>0.0274081469382256</v>
      </c>
      <c r="J123" s="79" t="n">
        <f aca="false">IF(J22&lt;&gt;0,((J194/J22)/J$1),0)</f>
        <v>0.0260160711798301</v>
      </c>
      <c r="K123" s="79" t="n">
        <f aca="false">IF(K22&lt;&gt;0,((K194/K22)/K$1),0)</f>
        <v>0.0267596938916858</v>
      </c>
      <c r="L123" s="79" t="n">
        <f aca="false">IF(L22&lt;&gt;0,((L194/L22)/L$1),0)</f>
        <v>0.0186497575823867</v>
      </c>
      <c r="M123" s="79" t="n">
        <f aca="false">IF(M22&lt;&gt;0,((M194/M22)/M$1),0)</f>
        <v>0.0268527637024153</v>
      </c>
      <c r="N123" s="80" t="n">
        <f aca="false">IF(N22&lt;&gt;0,((N194/N22)/N$1),0)</f>
        <v>0.0262304805568839</v>
      </c>
      <c r="O123" s="81" t="e">
        <f aca="false">IF(#REF!=0,0,#REF!/#REF!)</f>
        <v>#REF!</v>
      </c>
      <c r="P123" s="81" t="e">
        <f aca="false">IF(#REF!=0,0,#REF!/#REF!)</f>
        <v>#REF!</v>
      </c>
      <c r="Q123" s="81" t="e">
        <f aca="false">IF(#REF!=0,0,#REF!/#REF!)</f>
        <v>#REF!</v>
      </c>
      <c r="R123" s="81" t="e">
        <f aca="false">IF(#REF!=0,0,#REF!/#REF!)</f>
        <v>#REF!</v>
      </c>
      <c r="S123" s="0"/>
      <c r="T123" s="0"/>
    </row>
    <row r="124" customFormat="false" ht="18" hidden="false" customHeight="false" outlineLevel="0" collapsed="false">
      <c r="A124" s="40" t="s">
        <v>25</v>
      </c>
      <c r="B124" s="79" t="n">
        <f aca="false">IF(B23&lt;&gt;0,((B195/B23)/B$1),0)</f>
        <v>0.0326801835536976</v>
      </c>
      <c r="C124" s="79" t="n">
        <f aca="false">IF(C23&lt;&gt;0,((C195/C23)/C$1),0)</f>
        <v>0.0327007251315995</v>
      </c>
      <c r="D124" s="79" t="n">
        <f aca="false">IF(D23&lt;&gt;0,((D195/D23)/D$1),0)</f>
        <v>0.0326910586707079</v>
      </c>
      <c r="E124" s="79" t="n">
        <f aca="false">IF(E23&lt;&gt;0,((E195/E23)/E$1),0)</f>
        <v>0.0326955019600027</v>
      </c>
      <c r="F124" s="79" t="n">
        <f aca="false">IF(F23&lt;&gt;0,((F195/F23)/F$1),0)</f>
        <v>0.0326977734160921</v>
      </c>
      <c r="G124" s="79" t="n">
        <f aca="false">IF(G23&lt;&gt;0,((G195/G23)/G$1),0)</f>
        <v>0.0326981754779252</v>
      </c>
      <c r="H124" s="79" t="n">
        <f aca="false">IF(H23&lt;&gt;0,((H195/H23)/H$1),0)</f>
        <v>0.0326958111509518</v>
      </c>
      <c r="I124" s="79" t="n">
        <f aca="false">IF(I23&lt;&gt;0,((I195/I23)/I$1),0)</f>
        <v>0.0323438846303041</v>
      </c>
      <c r="J124" s="79" t="n">
        <f aca="false">IF(J23&lt;&gt;0,((J195/J23)/J$1),0)</f>
        <v>0.0322785928937599</v>
      </c>
      <c r="K124" s="79" t="n">
        <f aca="false">IF(K23&lt;&gt;0,((K195/K23)/K$1),0)</f>
        <v>0.028787932438653</v>
      </c>
      <c r="L124" s="79" t="n">
        <f aca="false">IF(L23&lt;&gt;0,((L195/L23)/L$1),0)</f>
        <v>0.0810429880197322</v>
      </c>
      <c r="M124" s="79" t="n">
        <f aca="false">IF(M23&lt;&gt;0,((M195/M23)/M$1),0)</f>
        <v>0.0332014221883174</v>
      </c>
      <c r="N124" s="80" t="n">
        <f aca="false">IF(N23&lt;&gt;0,((N195/N23)/N$1),0)</f>
        <v>0.0488935585327124</v>
      </c>
      <c r="O124" s="81" t="e">
        <f aca="false">IF(#REF!=0,0,#REF!/#REF!)</f>
        <v>#REF!</v>
      </c>
      <c r="P124" s="81" t="e">
        <f aca="false">IF(#REF!=0,0,#REF!/#REF!)</f>
        <v>#REF!</v>
      </c>
      <c r="Q124" s="81" t="e">
        <f aca="false">IF(#REF!=0,0,#REF!/#REF!)</f>
        <v>#REF!</v>
      </c>
      <c r="R124" s="81" t="e">
        <f aca="false">IF(#REF!=0,0,#REF!/#REF!)</f>
        <v>#REF!</v>
      </c>
      <c r="S124" s="0"/>
      <c r="T124" s="0"/>
      <c r="V124" s="16"/>
      <c r="W124" s="16"/>
      <c r="X124" s="16"/>
      <c r="Y124" s="16"/>
      <c r="Z124" s="16"/>
      <c r="AA124" s="16"/>
      <c r="AB124" s="16"/>
    </row>
    <row r="125" customFormat="false" ht="12.75" hidden="false" customHeight="false" outlineLevel="0" collapsed="false">
      <c r="A125" s="40" t="s">
        <v>29</v>
      </c>
      <c r="B125" s="79" t="n">
        <f aca="false">IF(B24&lt;&gt;0,((B197/B24)/B$1),0)</f>
        <v>0.193162062970833</v>
      </c>
      <c r="C125" s="79" t="n">
        <f aca="false">IF(C24&lt;&gt;0,((C197/C24)/C$1),0)</f>
        <v>0.362448731581346</v>
      </c>
      <c r="D125" s="79" t="n">
        <f aca="false">IF(D24&lt;&gt;0,((D197/D24)/D$1),0)</f>
        <v>0.109378887138237</v>
      </c>
      <c r="E125" s="79" t="n">
        <f aca="false">IF(E24&lt;&gt;0,((E197/E24)/E$1),0)</f>
        <v>0.137570621468927</v>
      </c>
      <c r="F125" s="79" t="n">
        <f aca="false">IF(F24&lt;&gt;0,((F197/F24)/F$1),0)</f>
        <v>0.1000762001524</v>
      </c>
      <c r="G125" s="79" t="n">
        <f aca="false">IF(G24&lt;&gt;0,((G197/G24)/G$1),0)</f>
        <v>0.0245816372682044</v>
      </c>
      <c r="H125" s="79" t="n">
        <f aca="false">IF(H24&lt;&gt;0,((H197/H24)/H$1),0)</f>
        <v>0.367162015222907</v>
      </c>
      <c r="I125" s="79" t="n">
        <f aca="false">IF(I24&lt;&gt;0,((I197/I24)/I$1),0)</f>
        <v>0.371565965671161</v>
      </c>
      <c r="J125" s="79" t="n">
        <f aca="false">IF(J24&lt;&gt;0,((J197/J24)/J$1),0)</f>
        <v>0.668731563421829</v>
      </c>
      <c r="K125" s="79" t="n">
        <f aca="false">IF(K24&lt;&gt;0,((K197/K24)/K$1),0)</f>
        <v>0</v>
      </c>
      <c r="L125" s="79" t="n">
        <f aca="false">IF(L24&lt;&gt;0,((L197/L24)/L$1),0)</f>
        <v>0</v>
      </c>
      <c r="M125" s="79" t="n">
        <f aca="false">IF(M24&lt;&gt;0,((M197/M24)/M$1),0)</f>
        <v>0</v>
      </c>
      <c r="N125" s="80" t="n">
        <f aca="false">IF(N24&lt;&gt;0,((N197/N24)/N$1),0)</f>
        <v>0.208826746943697</v>
      </c>
      <c r="O125" s="81" t="e">
        <f aca="false">IF(#REF!=0,0,#REF!/#REF!)</f>
        <v>#REF!</v>
      </c>
      <c r="P125" s="81" t="e">
        <f aca="false">IF(#REF!=0,0,#REF!/#REF!)</f>
        <v>#REF!</v>
      </c>
      <c r="Q125" s="81" t="e">
        <f aca="false">IF(#REF!=0,0,#REF!/#REF!)</f>
        <v>#REF!</v>
      </c>
      <c r="R125" s="81" t="e">
        <f aca="false">IF(#REF!=0,0,#REF!/#REF!)</f>
        <v>#REF!</v>
      </c>
      <c r="S125" s="0"/>
      <c r="T125" s="0"/>
    </row>
    <row r="126" customFormat="false" ht="18" hidden="false" customHeight="false" outlineLevel="0" collapsed="false">
      <c r="A126" s="40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39"/>
      <c r="P126" s="39"/>
      <c r="Q126" s="39"/>
      <c r="R126" s="39"/>
      <c r="S126" s="0"/>
      <c r="T126" s="0"/>
      <c r="V126" s="16"/>
      <c r="W126" s="16"/>
      <c r="X126" s="16"/>
      <c r="Y126" s="16"/>
      <c r="Z126" s="16"/>
      <c r="AA126" s="16"/>
      <c r="AB126" s="16"/>
    </row>
    <row r="127" customFormat="false" ht="12.75" hidden="false" customHeight="false" outlineLevel="0" collapsed="false">
      <c r="A127" s="37" t="s">
        <v>74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38"/>
      <c r="P127" s="38"/>
      <c r="Q127" s="38"/>
      <c r="R127" s="38"/>
      <c r="S127" s="0"/>
      <c r="T127" s="0"/>
    </row>
    <row r="128" customFormat="false" ht="18" hidden="false" customHeight="false" outlineLevel="0" collapsed="false">
      <c r="A128" s="40" t="s">
        <v>23</v>
      </c>
      <c r="B128" s="79" t="n">
        <f aca="false">IF(B28&lt;&gt;0,((B201/B28)/B$1),0)</f>
        <v>0.156827956989247</v>
      </c>
      <c r="C128" s="79" t="n">
        <f aca="false">IF(C28&lt;&gt;0,((C201/C28)/C$1),0)</f>
        <v>0.1564</v>
      </c>
      <c r="D128" s="79" t="n">
        <f aca="false">IF(D28&lt;&gt;0,((D201/D28)/D$1),0)</f>
        <v>0.156417741935484</v>
      </c>
      <c r="E128" s="79" t="n">
        <f aca="false">IF(E28&lt;&gt;0,((E201/E28)/E$1),0)</f>
        <v>0.159106666666667</v>
      </c>
      <c r="F128" s="79" t="n">
        <f aca="false">IF(F28&lt;&gt;0,((F201/F28)/F$1),0)</f>
        <v>0.156549462365591</v>
      </c>
      <c r="G128" s="79" t="n">
        <f aca="false">IF(G28&lt;&gt;0,((G201/G28)/G$1),0)</f>
        <v>0.156549462365591</v>
      </c>
      <c r="H128" s="79" t="n">
        <f aca="false">IF(H28&lt;&gt;0,((H201/H28)/H$1),0)</f>
        <v>0.156253225806452</v>
      </c>
      <c r="I128" s="79" t="n">
        <f aca="false">IF(I28&lt;&gt;0,((I201/I28)/I$1),0)</f>
        <v>0.157372043010753</v>
      </c>
      <c r="J128" s="79" t="n">
        <f aca="false">IF(J28&lt;&gt;0,((J201/J28)/J$1),0)</f>
        <v>0.158655555555556</v>
      </c>
      <c r="K128" s="79" t="n">
        <f aca="false">IF(K28&lt;&gt;0,((K201/K28)/K$1),0)</f>
        <v>0.157372043010753</v>
      </c>
      <c r="L128" s="79" t="n">
        <f aca="false">IF(L28&lt;&gt;0,((L201/L28)/L$1),0)</f>
        <v>0.134785</v>
      </c>
      <c r="M128" s="79" t="n">
        <f aca="false">IF(M28&lt;&gt;0,((M201/M28)/M$1),0)</f>
        <v>0.156497311827957</v>
      </c>
      <c r="N128" s="80" t="n">
        <f aca="false">IF(N28&lt;&gt;0,((N201/N28)/N$1),0)</f>
        <v>0.155254620589437</v>
      </c>
      <c r="O128" s="81"/>
      <c r="P128" s="81"/>
      <c r="Q128" s="81"/>
      <c r="R128" s="81"/>
      <c r="S128" s="0"/>
      <c r="T128" s="0"/>
      <c r="V128" s="16"/>
      <c r="W128" s="16"/>
      <c r="X128" s="16"/>
      <c r="Y128" s="16"/>
      <c r="Z128" s="16"/>
      <c r="AA128" s="16"/>
      <c r="AB128" s="16"/>
    </row>
    <row r="129" customFormat="false" ht="12.75" hidden="false" customHeight="false" outlineLevel="0" collapsed="false">
      <c r="A129" s="40" t="s">
        <v>24</v>
      </c>
      <c r="B129" s="79" t="n">
        <f aca="false">IF(B29&lt;&gt;0,((B202/B29)/B$1),0)</f>
        <v>0.0185489237496127</v>
      </c>
      <c r="C129" s="79" t="n">
        <f aca="false">IF(C29&lt;&gt;0,((C202/C29)/C$1),0)</f>
        <v>0.0186</v>
      </c>
      <c r="D129" s="79" t="n">
        <f aca="false">IF(D29&lt;&gt;0,((D202/D29)/D$1),0)</f>
        <v>0.0186000104403739</v>
      </c>
      <c r="E129" s="79" t="n">
        <f aca="false">IF(E29&lt;&gt;0,((E202/E29)/E$1),0)</f>
        <v>0.018599646303087</v>
      </c>
      <c r="F129" s="79" t="n">
        <f aca="false">IF(F29&lt;&gt;0,((F202/F29)/F$1),0)</f>
        <v>0.0185994153029336</v>
      </c>
      <c r="G129" s="79" t="n">
        <f aca="false">IF(G29&lt;&gt;0,((G202/G29)/G$1),0)</f>
        <v>0.0185993951416214</v>
      </c>
      <c r="H129" s="79" t="n">
        <f aca="false">IF(H29&lt;&gt;0,((H202/H29)/H$1),0)</f>
        <v>0.0185996096365053</v>
      </c>
      <c r="I129" s="79" t="n">
        <f aca="false">IF(I29&lt;&gt;0,((I202/I29)/I$1),0)</f>
        <v>0.0185998832508014</v>
      </c>
      <c r="J129" s="79" t="n">
        <f aca="false">IF(J29&lt;&gt;0,((J202/J29)/J$1),0)</f>
        <v>0.0185997256099489</v>
      </c>
      <c r="K129" s="79" t="n">
        <f aca="false">IF(K29&lt;&gt;0,((K202/K29)/K$1),0)</f>
        <v>0.0185998832508014</v>
      </c>
      <c r="L129" s="79" t="n">
        <f aca="false">IF(L29&lt;&gt;0,((L202/L29)/L$1),0)</f>
        <v>0.0179</v>
      </c>
      <c r="M129" s="79" t="n">
        <f aca="false">IF(M29&lt;&gt;0,((M202/M29)/M$1),0)</f>
        <v>0.0185994878574216</v>
      </c>
      <c r="N129" s="80" t="n">
        <f aca="false">IF(N29&lt;&gt;0,((N202/N29)/N$1),0)</f>
        <v>0.0185511713704395</v>
      </c>
      <c r="O129" s="81" t="e">
        <f aca="false">#REF!</f>
        <v>#REF!</v>
      </c>
      <c r="P129" s="81" t="e">
        <f aca="false">#REF!</f>
        <v>#REF!</v>
      </c>
      <c r="Q129" s="81" t="e">
        <f aca="false">#REF!</f>
        <v>#REF!</v>
      </c>
      <c r="R129" s="81" t="e">
        <f aca="false">#REF!</f>
        <v>#REF!</v>
      </c>
      <c r="S129" s="0"/>
      <c r="T129" s="0"/>
    </row>
    <row r="130" customFormat="false" ht="18" hidden="false" customHeight="false" outlineLevel="0" collapsed="false">
      <c r="A130" s="40" t="s">
        <v>25</v>
      </c>
      <c r="B130" s="79" t="n">
        <f aca="false">IF(B30&lt;&gt;0,((B203/B30)/B$1),0)</f>
        <v>0</v>
      </c>
      <c r="C130" s="79" t="n">
        <f aca="false">IF(C30&lt;&gt;0,((C203/C30)/C$1),0)</f>
        <v>0</v>
      </c>
      <c r="D130" s="79" t="n">
        <f aca="false">IF(D30&lt;&gt;0,((D203/D30)/D$1),0)</f>
        <v>0</v>
      </c>
      <c r="E130" s="79" t="n">
        <f aca="false">IF(E30&lt;&gt;0,((E203/E30)/E$1),0)</f>
        <v>0</v>
      </c>
      <c r="F130" s="79" t="n">
        <f aca="false">IF(F30&lt;&gt;0,((F203/F30)/F$1),0)</f>
        <v>0</v>
      </c>
      <c r="G130" s="79" t="n">
        <f aca="false">IF(G30&lt;&gt;0,((G203/G30)/G$1),0)</f>
        <v>0</v>
      </c>
      <c r="H130" s="79" t="n">
        <f aca="false">IF(H30&lt;&gt;0,((H203/H30)/H$1),0)</f>
        <v>0</v>
      </c>
      <c r="I130" s="79" t="n">
        <f aca="false">IF(I30&lt;&gt;0,((I203/I30)/I$1),0)</f>
        <v>0</v>
      </c>
      <c r="J130" s="79" t="n">
        <f aca="false">IF(J30&lt;&gt;0,((J203/J30)/J$1),0)</f>
        <v>0</v>
      </c>
      <c r="K130" s="79" t="n">
        <f aca="false">IF(K30&lt;&gt;0,((K203/K30)/K$1),0)</f>
        <v>0</v>
      </c>
      <c r="L130" s="79" t="n">
        <f aca="false">IF(L30&lt;&gt;0,((L203/L30)/L$1),0)</f>
        <v>0</v>
      </c>
      <c r="M130" s="79" t="n">
        <f aca="false">IF(M30&lt;&gt;0,((M203/M30)/M$1),0)</f>
        <v>0</v>
      </c>
      <c r="N130" s="80" t="n">
        <f aca="false">IF(N30&lt;&gt;0,((N203/N30)/N$1),0)</f>
        <v>0</v>
      </c>
      <c r="O130" s="81" t="e">
        <f aca="false">#REF!</f>
        <v>#REF!</v>
      </c>
      <c r="P130" s="81" t="e">
        <f aca="false">#REF!</f>
        <v>#REF!</v>
      </c>
      <c r="Q130" s="81" t="e">
        <f aca="false">#REF!</f>
        <v>#REF!</v>
      </c>
      <c r="R130" s="81" t="e">
        <f aca="false">#REF!</f>
        <v>#REF!</v>
      </c>
      <c r="S130" s="0"/>
      <c r="T130" s="0"/>
      <c r="V130" s="16"/>
      <c r="W130" s="16"/>
      <c r="X130" s="16"/>
      <c r="Y130" s="16"/>
      <c r="Z130" s="16"/>
      <c r="AA130" s="16"/>
      <c r="AB130" s="16"/>
    </row>
    <row r="131" customFormat="false" ht="12.75" hidden="false" customHeight="false" outlineLevel="0" collapsed="false">
      <c r="A131" s="40" t="s">
        <v>29</v>
      </c>
      <c r="B131" s="79" t="n">
        <f aca="false">IF(B31&lt;&gt;0,((B204/B31)/B$1),0)</f>
        <v>0</v>
      </c>
      <c r="C131" s="79" t="n">
        <f aca="false">IF(C31&lt;&gt;0,((C204/C31)/C$1),0)</f>
        <v>0</v>
      </c>
      <c r="D131" s="79" t="n">
        <f aca="false">IF(D31&lt;&gt;0,((D204/D31)/D$1),0)</f>
        <v>0</v>
      </c>
      <c r="E131" s="79" t="n">
        <f aca="false">IF(E31&lt;&gt;0,((E204/E31)/E$1),0)</f>
        <v>0</v>
      </c>
      <c r="F131" s="79" t="n">
        <f aca="false">IF(F31&lt;&gt;0,((F204/F31)/F$1),0)</f>
        <v>0</v>
      </c>
      <c r="G131" s="79" t="n">
        <f aca="false">IF(G31&lt;&gt;0,((G204/G31)/G$1),0)</f>
        <v>0</v>
      </c>
      <c r="H131" s="79" t="n">
        <f aca="false">IF(H31&lt;&gt;0,((H204/H31)/H$1),0)</f>
        <v>0</v>
      </c>
      <c r="I131" s="79" t="n">
        <f aca="false">IF(I31&lt;&gt;0,((I204/I31)/I$1),0)</f>
        <v>0</v>
      </c>
      <c r="J131" s="79" t="n">
        <f aca="false">IF(J31&lt;&gt;0,((J204/J31)/J$1),0)</f>
        <v>0</v>
      </c>
      <c r="K131" s="79" t="n">
        <f aca="false">IF(K31&lt;&gt;0,((K204/K31)/K$1),0)</f>
        <v>0</v>
      </c>
      <c r="L131" s="79" t="n">
        <f aca="false">IF(L31&lt;&gt;0,((L204/L31)/L$1),0)</f>
        <v>0</v>
      </c>
      <c r="M131" s="79" t="n">
        <f aca="false">IF(M31&lt;&gt;0,((M204/M31)/M$1),0)</f>
        <v>0</v>
      </c>
      <c r="N131" s="80" t="n">
        <f aca="false">IF(N31&lt;&gt;0,((N204/N31)/N$1),0)</f>
        <v>0</v>
      </c>
      <c r="O131" s="81" t="e">
        <f aca="false">#REF!</f>
        <v>#REF!</v>
      </c>
      <c r="P131" s="81" t="e">
        <f aca="false">#REF!</f>
        <v>#REF!</v>
      </c>
      <c r="Q131" s="81" t="e">
        <f aca="false">#REF!</f>
        <v>#REF!</v>
      </c>
      <c r="R131" s="81" t="e">
        <f aca="false">#REF!</f>
        <v>#REF!</v>
      </c>
      <c r="S131" s="0"/>
      <c r="T131" s="0"/>
    </row>
    <row r="132" customFormat="false" ht="18" hidden="false" customHeight="false" outlineLevel="0" collapsed="false">
      <c r="A132" s="40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39"/>
      <c r="P132" s="39"/>
      <c r="Q132" s="39"/>
      <c r="R132" s="39"/>
      <c r="S132" s="0"/>
      <c r="T132" s="0"/>
      <c r="V132" s="16"/>
      <c r="W132" s="16"/>
      <c r="X132" s="16"/>
      <c r="Y132" s="16"/>
      <c r="Z132" s="16"/>
      <c r="AA132" s="16"/>
      <c r="AB132" s="16"/>
    </row>
    <row r="133" customFormat="false" ht="12.75" hidden="false" customHeight="false" outlineLevel="0" collapsed="false">
      <c r="A133" s="37" t="s">
        <v>34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38"/>
      <c r="P133" s="38"/>
      <c r="Q133" s="38"/>
      <c r="R133" s="38"/>
      <c r="S133" s="0"/>
      <c r="T133" s="0"/>
    </row>
    <row r="134" customFormat="false" ht="18" hidden="false" customHeight="false" outlineLevel="0" collapsed="false">
      <c r="A134" s="40" t="s">
        <v>23</v>
      </c>
      <c r="B134" s="79" t="n">
        <f aca="false">IF(B35&lt;&gt;0,((B208/B35)/B$1),0)</f>
        <v>0.135408050730631</v>
      </c>
      <c r="C134" s="79" t="n">
        <f aca="false">IF(C35&lt;&gt;0,((C208/C35)/C$1),0)</f>
        <v>0.134091143530799</v>
      </c>
      <c r="D134" s="79" t="n">
        <f aca="false">IF(D35&lt;&gt;0,((D208/D35)/D$1),0)</f>
        <v>0.123650438072481</v>
      </c>
      <c r="E134" s="79" t="n">
        <f aca="false">IF(E35&lt;&gt;0,((E208/E35)/E$1),0)</f>
        <v>0.138520844789852</v>
      </c>
      <c r="F134" s="79" t="n">
        <f aca="false">IF(F35&lt;&gt;0,((F208/F35)/F$1),0)</f>
        <v>0.166521499990985</v>
      </c>
      <c r="G134" s="79" t="n">
        <f aca="false">IF(G35&lt;&gt;0,((G208/G35)/G$1),0)</f>
        <v>0.171233231896931</v>
      </c>
      <c r="H134" s="79" t="n">
        <f aca="false">IF(H35&lt;&gt;0,((H208/H35)/H$1),0)</f>
        <v>0.169295980040762</v>
      </c>
      <c r="I134" s="79" t="n">
        <f aca="false">IF(I35&lt;&gt;0,((I208/I35)/I$1),0)</f>
        <v>0.168003197694849</v>
      </c>
      <c r="J134" s="79" t="n">
        <f aca="false">IF(J35&lt;&gt;0,((J208/J35)/J$1),0)</f>
        <v>0.169552106027596</v>
      </c>
      <c r="K134" s="79" t="n">
        <f aca="false">IF(K35&lt;&gt;0,((K208/K35)/K$1),0)</f>
        <v>0.168835652540586</v>
      </c>
      <c r="L134" s="79" t="n">
        <f aca="false">IF(L35&lt;&gt;0,((L208/L35)/L$1),0)</f>
        <v>0.160110844939647</v>
      </c>
      <c r="M134" s="79" t="n">
        <f aca="false">IF(M35&lt;&gt;0,((M208/M35)/M$1),0)</f>
        <v>0.209666588909624</v>
      </c>
      <c r="N134" s="80" t="n">
        <f aca="false">IF(N35&lt;&gt;0,((N208/N35)/N$1),0)</f>
        <v>0.163973601667313</v>
      </c>
      <c r="O134" s="81" t="e">
        <f aca="false">IF(#REF!=0,0,#REF!/#REF!)</f>
        <v>#REF!</v>
      </c>
      <c r="P134" s="81" t="e">
        <f aca="false">IF(#REF!=0,0,#REF!/#REF!)</f>
        <v>#REF!</v>
      </c>
      <c r="Q134" s="81" t="e">
        <f aca="false">IF(#REF!=0,0,#REF!/#REF!)</f>
        <v>#REF!</v>
      </c>
      <c r="R134" s="81" t="e">
        <f aca="false">IF(#REF!=0,0,#REF!/#REF!)</f>
        <v>#REF!</v>
      </c>
      <c r="S134" s="0"/>
      <c r="T134" s="0"/>
      <c r="V134" s="16"/>
      <c r="W134" s="16"/>
      <c r="X134" s="16"/>
      <c r="Y134" s="16"/>
      <c r="Z134" s="16"/>
      <c r="AA134" s="16"/>
      <c r="AB134" s="16"/>
    </row>
    <row r="135" customFormat="false" ht="12.75" hidden="false" customHeight="false" outlineLevel="0" collapsed="false">
      <c r="A135" s="40" t="s">
        <v>24</v>
      </c>
      <c r="B135" s="79" t="n">
        <f aca="false">IF(B36&lt;&gt;0,((B209/B36)/B$1),0)</f>
        <v>0.0185926793549605</v>
      </c>
      <c r="C135" s="79" t="n">
        <f aca="false">IF(C36&lt;&gt;0,((C209/C36)/C$1),0)</f>
        <v>0.0185998810939358</v>
      </c>
      <c r="D135" s="79" t="n">
        <f aca="false">IF(D36&lt;&gt;0,((D209/D36)/D$1),0)</f>
        <v>0.0185999109319427</v>
      </c>
      <c r="E135" s="79" t="n">
        <f aca="false">IF(E36&lt;&gt;0,((E209/E36)/E$1),0)</f>
        <v>0.0185998791303004</v>
      </c>
      <c r="F135" s="79" t="n">
        <f aca="false">IF(F36&lt;&gt;0,((F209/F36)/F$1),0)</f>
        <v>0.0185999444256305</v>
      </c>
      <c r="G135" s="79" t="n">
        <f aca="false">IF(G36&lt;&gt;0,((G209/G36)/G$1),0)</f>
        <v>0.0186000273838933</v>
      </c>
      <c r="H135" s="79" t="n">
        <f aca="false">IF(H36&lt;&gt;0,((H209/H36)/H$1),0)</f>
        <v>0.0186000110167884</v>
      </c>
      <c r="I135" s="79" t="n">
        <f aca="false">IF(I36&lt;&gt;0,((I209/I36)/I$1),0)</f>
        <v>0.0185999340360333</v>
      </c>
      <c r="J135" s="79" t="n">
        <f aca="false">IF(J36&lt;&gt;0,((J209/J36)/J$1),0)</f>
        <v>0.0185998764046771</v>
      </c>
      <c r="K135" s="79" t="n">
        <f aca="false">IF(K36&lt;&gt;0,((K209/K36)/K$1),0)</f>
        <v>0.0185999158635607</v>
      </c>
      <c r="L135" s="79" t="n">
        <f aca="false">IF(L36&lt;&gt;0,((L209/L36)/L$1),0)</f>
        <v>0.0186797202058398</v>
      </c>
      <c r="M135" s="79" t="n">
        <f aca="false">IF(M36&lt;&gt;0,((M209/M36)/M$1),0)</f>
        <v>0.0185999107424921</v>
      </c>
      <c r="N135" s="80" t="n">
        <f aca="false">IF(N36&lt;&gt;0,((N209/N36)/N$1),0)</f>
        <v>0.018635819629197</v>
      </c>
      <c r="O135" s="81" t="e">
        <f aca="false">IF(#REF!=0,0,#REF!/#REF!)</f>
        <v>#REF!</v>
      </c>
      <c r="P135" s="81" t="e">
        <f aca="false">IF(#REF!=0,0,#REF!/#REF!)</f>
        <v>#REF!</v>
      </c>
      <c r="Q135" s="81" t="e">
        <f aca="false">IF(#REF!=0,0,#REF!/#REF!)</f>
        <v>#REF!</v>
      </c>
      <c r="R135" s="81" t="e">
        <f aca="false">IF(#REF!=0,0,#REF!/#REF!)</f>
        <v>#REF!</v>
      </c>
      <c r="S135" s="0"/>
      <c r="T135" s="0"/>
    </row>
    <row r="136" customFormat="false" ht="18" hidden="false" customHeight="false" outlineLevel="0" collapsed="false">
      <c r="A136" s="40" t="s">
        <v>25</v>
      </c>
      <c r="B136" s="79" t="n">
        <f aca="false">IF(B37&lt;&gt;0,((B210/B37)/B$1),0)</f>
        <v>0</v>
      </c>
      <c r="C136" s="79" t="n">
        <f aca="false">IF(C37&lt;&gt;0,((C210/C37)/C$1),0)</f>
        <v>0</v>
      </c>
      <c r="D136" s="79" t="n">
        <f aca="false">IF(D37&lt;&gt;0,((D210/D37)/D$1),0)</f>
        <v>0</v>
      </c>
      <c r="E136" s="79" t="n">
        <f aca="false">IF(E37&lt;&gt;0,((E210/E37)/E$1),0)</f>
        <v>0</v>
      </c>
      <c r="F136" s="79" t="n">
        <f aca="false">IF(F37&lt;&gt;0,((F210/F37)/F$1),0)</f>
        <v>0</v>
      </c>
      <c r="G136" s="79" t="n">
        <f aca="false">IF(G37&lt;&gt;0,((G210/G37)/G$1),0)</f>
        <v>0</v>
      </c>
      <c r="H136" s="79" t="n">
        <f aca="false">IF(H37&lt;&gt;0,((H210/H37)/H$1),0)</f>
        <v>0</v>
      </c>
      <c r="I136" s="79" t="n">
        <f aca="false">IF(I37&lt;&gt;0,((I210/I37)/I$1),0)</f>
        <v>0</v>
      </c>
      <c r="J136" s="79" t="n">
        <f aca="false">IF(J37&lt;&gt;0,((J210/J37)/J$1),0)</f>
        <v>0</v>
      </c>
      <c r="K136" s="79" t="n">
        <f aca="false">IF(K37&lt;&gt;0,((K210/K37)/K$1),0)</f>
        <v>0</v>
      </c>
      <c r="L136" s="79" t="n">
        <f aca="false">IF(L37&lt;&gt;0,((L210/L37)/L$1),0)</f>
        <v>0</v>
      </c>
      <c r="M136" s="79" t="n">
        <f aca="false">IF(M37&lt;&gt;0,((M210/M37)/M$1),0)</f>
        <v>0</v>
      </c>
      <c r="N136" s="80" t="n">
        <f aca="false">IF(N37&lt;&gt;0,((N210/N37)/N$1),0)</f>
        <v>0</v>
      </c>
      <c r="O136" s="81" t="e">
        <f aca="false">IF(#REF!=0,0,#REF!/#REF!)</f>
        <v>#REF!</v>
      </c>
      <c r="P136" s="81" t="e">
        <f aca="false">IF(#REF!=0,0,#REF!/#REF!)</f>
        <v>#REF!</v>
      </c>
      <c r="Q136" s="81" t="e">
        <f aca="false">IF(#REF!=0,0,#REF!/#REF!)</f>
        <v>#REF!</v>
      </c>
      <c r="R136" s="81" t="e">
        <f aca="false">IF(#REF!=0,0,#REF!/#REF!)</f>
        <v>#REF!</v>
      </c>
      <c r="S136" s="0"/>
      <c r="T136" s="0"/>
      <c r="V136" s="16"/>
      <c r="W136" s="16"/>
      <c r="X136" s="16"/>
      <c r="Y136" s="16"/>
      <c r="Z136" s="16"/>
      <c r="AA136" s="16"/>
      <c r="AB136" s="16"/>
    </row>
    <row r="137" customFormat="false" ht="12.75" hidden="false" customHeight="false" outlineLevel="0" collapsed="false">
      <c r="A137" s="40" t="s">
        <v>29</v>
      </c>
      <c r="B137" s="79" t="n">
        <f aca="false">IF(B39&lt;&gt;0,((B212/B39)/B$1),0)</f>
        <v>0</v>
      </c>
      <c r="C137" s="79" t="n">
        <f aca="false">IF(C39&lt;&gt;0,((C212/C39)/C$1),0)</f>
        <v>0</v>
      </c>
      <c r="D137" s="79" t="n">
        <f aca="false">IF(D39&lt;&gt;0,((D212/D39)/D$1),0)</f>
        <v>0</v>
      </c>
      <c r="E137" s="79" t="n">
        <f aca="false">IF(E39&lt;&gt;0,((E212/E39)/E$1),0)</f>
        <v>0</v>
      </c>
      <c r="F137" s="79" t="n">
        <f aca="false">IF(F39&lt;&gt;0,((F212/F39)/F$1),0)</f>
        <v>0.391899463699672</v>
      </c>
      <c r="G137" s="79" t="n">
        <f aca="false">IF(G39&lt;&gt;0,((G212/G39)/G$1),0)</f>
        <v>0.0384502328946773</v>
      </c>
      <c r="H137" s="79" t="n">
        <f aca="false">IF(H39&lt;&gt;0,((H212/H39)/H$1),0)</f>
        <v>0</v>
      </c>
      <c r="I137" s="79" t="n">
        <f aca="false">IF(I39&lt;&gt;0,((I212/I39)/I$1),0)</f>
        <v>0</v>
      </c>
      <c r="J137" s="79" t="n">
        <f aca="false">IF(J39&lt;&gt;0,((J212/J39)/J$1),0)</f>
        <v>0</v>
      </c>
      <c r="K137" s="79" t="n">
        <f aca="false">IF(K39&lt;&gt;0,((K212/K39)/K$1),0)</f>
        <v>0</v>
      </c>
      <c r="L137" s="79" t="n">
        <f aca="false">IF(L39&lt;&gt;0,((L212/L39)/L$1),0)</f>
        <v>0.291375991375991</v>
      </c>
      <c r="M137" s="79" t="n">
        <f aca="false">IF(M39&lt;&gt;0,((M212/M39)/M$1),0)</f>
        <v>0</v>
      </c>
      <c r="N137" s="80" t="n">
        <f aca="false">IF(N39&lt;&gt;0,((N212/N39)/N$1),0)</f>
        <v>0.00121280693933575</v>
      </c>
      <c r="O137" s="81" t="e">
        <f aca="false">IF(#REF!=0,0,#REF!/#REF!)</f>
        <v>#REF!</v>
      </c>
      <c r="P137" s="81" t="e">
        <f aca="false">IF(#REF!=0,0,#REF!/#REF!)</f>
        <v>#REF!</v>
      </c>
      <c r="Q137" s="81" t="e">
        <f aca="false">IF(#REF!=0,0,#REF!/#REF!)</f>
        <v>#REF!</v>
      </c>
      <c r="R137" s="81" t="e">
        <f aca="false">IF(#REF!=0,0,#REF!/#REF!)</f>
        <v>#REF!</v>
      </c>
      <c r="S137" s="0"/>
      <c r="T137" s="0"/>
    </row>
    <row r="138" customFormat="false" ht="18" hidden="false" customHeight="false" outlineLevel="0" collapsed="false">
      <c r="A138" s="40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39"/>
      <c r="P138" s="39"/>
      <c r="Q138" s="39"/>
      <c r="R138" s="39"/>
      <c r="S138" s="0"/>
      <c r="T138" s="0"/>
      <c r="V138" s="16"/>
      <c r="W138" s="16"/>
      <c r="X138" s="16"/>
      <c r="Y138" s="16"/>
      <c r="Z138" s="16"/>
      <c r="AA138" s="16"/>
      <c r="AB138" s="16"/>
    </row>
    <row r="139" customFormat="false" ht="12.75" hidden="false" customHeight="false" outlineLevel="0" collapsed="false">
      <c r="A139" s="37" t="s">
        <v>75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38"/>
      <c r="P139" s="38"/>
      <c r="Q139" s="38"/>
      <c r="R139" s="38"/>
      <c r="S139" s="0"/>
      <c r="T139" s="0"/>
    </row>
    <row r="140" customFormat="false" ht="18" hidden="false" customHeight="false" outlineLevel="0" collapsed="false">
      <c r="A140" s="40" t="s">
        <v>23</v>
      </c>
      <c r="B140" s="79" t="n">
        <f aca="false">IF(B46&lt;&gt;0,((B220/B46)/B$1),0)</f>
        <v>0.03</v>
      </c>
      <c r="C140" s="79" t="n">
        <f aca="false">IF(C46&lt;&gt;0,((C220/C46)/C$1),0)</f>
        <v>0.0493371647509579</v>
      </c>
      <c r="D140" s="79" t="n">
        <f aca="false">IF(D46&lt;&gt;0,((D220/D46)/D$1),0)</f>
        <v>0</v>
      </c>
      <c r="E140" s="79" t="n">
        <f aca="false">IF(E46&lt;&gt;0,((E220/E46)/E$1),0)</f>
        <v>0.008</v>
      </c>
      <c r="F140" s="79" t="n">
        <f aca="false">IF(F46&lt;&gt;0,((F220/F46)/F$1),0)</f>
        <v>0.00750003947389197</v>
      </c>
      <c r="G140" s="79" t="n">
        <f aca="false">IF(G46&lt;&gt;0,((G220/G46)/G$1),0)</f>
        <v>0.0083</v>
      </c>
      <c r="H140" s="79" t="n">
        <f aca="false">IF(H46&lt;&gt;0,((H220/H46)/H$1),0)</f>
        <v>0.0078</v>
      </c>
      <c r="I140" s="79" t="n">
        <f aca="false">IF(I46&lt;&gt;0,((I220/I46)/I$1),0)</f>
        <v>0.00657016129032258</v>
      </c>
      <c r="J140" s="79" t="n">
        <f aca="false">IF(J46&lt;&gt;0,((J220/J46)/J$1),0)</f>
        <v>0.00846083333333333</v>
      </c>
      <c r="K140" s="79" t="n">
        <f aca="false">IF(K46&lt;&gt;0,((K220/K46)/K$1),0)</f>
        <v>0.00887741935483871</v>
      </c>
      <c r="L140" s="79" t="n">
        <f aca="false">IF(L46&lt;&gt;0,((L220/L46)/L$1),0)</f>
        <v>0</v>
      </c>
      <c r="M140" s="79" t="n">
        <f aca="false">IF(M46&lt;&gt;0,((M220/M46)/M$1),0)</f>
        <v>0.0081</v>
      </c>
      <c r="N140" s="80" t="n">
        <f aca="false">IF(N46&lt;&gt;0,((N220/N46)/N$1),0)</f>
        <v>0.0124198435554522</v>
      </c>
      <c r="O140" s="81" t="e">
        <f aca="false">IF(#REF!=0,0,#REF!/#REF!)</f>
        <v>#REF!</v>
      </c>
      <c r="P140" s="81" t="e">
        <f aca="false">IF(#REF!=0,0,#REF!/#REF!)</f>
        <v>#REF!</v>
      </c>
      <c r="Q140" s="81" t="e">
        <f aca="false">IF(#REF!=0,0,#REF!/#REF!)</f>
        <v>#REF!</v>
      </c>
      <c r="R140" s="81" t="e">
        <f aca="false">IF(#REF!=0,0,#REF!/#REF!)</f>
        <v>#REF!</v>
      </c>
      <c r="S140" s="0"/>
      <c r="T140" s="0"/>
      <c r="V140" s="16"/>
      <c r="W140" s="16"/>
      <c r="X140" s="16"/>
      <c r="Y140" s="16"/>
      <c r="Z140" s="16"/>
      <c r="AA140" s="16"/>
      <c r="AB140" s="16"/>
    </row>
    <row r="141" customFormat="false" ht="12.75" hidden="false" customHeight="false" outlineLevel="0" collapsed="false">
      <c r="A141" s="40" t="s">
        <v>24</v>
      </c>
      <c r="B141" s="79" t="n">
        <f aca="false">IF(B47&lt;&gt;0,((B221/B47)/B$1),0)</f>
        <v>0</v>
      </c>
      <c r="C141" s="79" t="n">
        <f aca="false">IF(C47&lt;&gt;0,((C221/C47)/C$1),0)</f>
        <v>0</v>
      </c>
      <c r="D141" s="79" t="n">
        <f aca="false">IF(D47&lt;&gt;0,((D221/D47)/D$1),0)</f>
        <v>0.0138188801986504</v>
      </c>
      <c r="E141" s="79" t="n">
        <f aca="false">IF(E47&lt;&gt;0,((E221/E47)/E$1),0)</f>
        <v>0.0102873350598101</v>
      </c>
      <c r="F141" s="79" t="n">
        <f aca="false">IF(F47&lt;&gt;0,((F221/F47)/F$1),0)</f>
        <v>0.0122499192641954</v>
      </c>
      <c r="G141" s="79" t="n">
        <f aca="false">IF(G47&lt;&gt;0,((G221/G47)/G$1),0)</f>
        <v>0.00929943587067273</v>
      </c>
      <c r="H141" s="79" t="n">
        <f aca="false">IF(H47&lt;&gt;0,((H221/H47)/H$1),0)</f>
        <v>0.0105863001216084</v>
      </c>
      <c r="I141" s="79" t="n">
        <f aca="false">IF(I47&lt;&gt;0,((I221/I47)/I$1),0)</f>
        <v>0.00844205763125923</v>
      </c>
      <c r="J141" s="79" t="n">
        <f aca="false">IF(J47&lt;&gt;0,((J221/J47)/J$1),0)</f>
        <v>0.0123016118075712</v>
      </c>
      <c r="K141" s="79" t="n">
        <f aca="false">IF(K47&lt;&gt;0,((K221/K47)/K$1),0)</f>
        <v>0.010712228439763</v>
      </c>
      <c r="L141" s="79" t="n">
        <f aca="false">IF(L47&lt;&gt;0,((L221/L47)/L$1),0)</f>
        <v>0</v>
      </c>
      <c r="M141" s="79" t="n">
        <f aca="false">IF(M47&lt;&gt;0,((M221/M47)/M$1),0)</f>
        <v>0.0092964241278232</v>
      </c>
      <c r="N141" s="80" t="n">
        <f aca="false">IF(N47&lt;&gt;0,((N221/N47)/N$1),0)</f>
        <v>0.0113710508789979</v>
      </c>
      <c r="O141" s="81" t="e">
        <f aca="false">IF(#REF!=0,0,#REF!/#REF!)</f>
        <v>#REF!</v>
      </c>
      <c r="P141" s="81" t="e">
        <f aca="false">IF(#REF!=0,0,#REF!/#REF!)</f>
        <v>#REF!</v>
      </c>
      <c r="Q141" s="81" t="e">
        <f aca="false">IF(#REF!=0,0,#REF!/#REF!)</f>
        <v>#REF!</v>
      </c>
      <c r="R141" s="81" t="e">
        <f aca="false">IF(#REF!=0,0,#REF!/#REF!)</f>
        <v>#REF!</v>
      </c>
      <c r="S141" s="0"/>
      <c r="T141" s="0"/>
    </row>
    <row r="142" customFormat="false" ht="18" hidden="false" customHeight="false" outlineLevel="0" collapsed="false">
      <c r="A142" s="40" t="s">
        <v>25</v>
      </c>
      <c r="B142" s="79" t="n">
        <f aca="false">IF(B48&lt;&gt;0,((B222/B48)/B$1),0)</f>
        <v>0</v>
      </c>
      <c r="C142" s="79" t="n">
        <f aca="false">IF(C48&lt;&gt;0,((C222/C48)/C$1),0)</f>
        <v>0</v>
      </c>
      <c r="D142" s="79" t="n">
        <f aca="false">IF(D48&lt;&gt;0,((D222/D48)/D$1),0)</f>
        <v>0</v>
      </c>
      <c r="E142" s="79" t="n">
        <f aca="false">IF(E48&lt;&gt;0,((E222/E48)/E$1),0)</f>
        <v>0</v>
      </c>
      <c r="F142" s="79" t="n">
        <f aca="false">IF(F48&lt;&gt;0,((F222/F48)/F$1),0)</f>
        <v>0</v>
      </c>
      <c r="G142" s="79" t="n">
        <f aca="false">IF(G48&lt;&gt;0,((G222/G48)/G$1),0)</f>
        <v>0</v>
      </c>
      <c r="H142" s="79" t="n">
        <f aca="false">IF(H48&lt;&gt;0,((H222/H48)/H$1),0)</f>
        <v>0</v>
      </c>
      <c r="I142" s="79" t="n">
        <f aca="false">IF(I48&lt;&gt;0,((I222/I48)/I$1),0)</f>
        <v>0</v>
      </c>
      <c r="J142" s="79" t="n">
        <f aca="false">IF(J48&lt;&gt;0,((J222/J48)/J$1),0)</f>
        <v>0</v>
      </c>
      <c r="K142" s="79" t="n">
        <f aca="false">IF(K48&lt;&gt;0,((K222/K48)/K$1),0)</f>
        <v>0</v>
      </c>
      <c r="L142" s="79" t="n">
        <f aca="false">IF(L48&lt;&gt;0,((L222/L48)/L$1),0)</f>
        <v>0</v>
      </c>
      <c r="M142" s="79" t="n">
        <f aca="false">IF(M48&lt;&gt;0,((M222/M48)/M$1),0)</f>
        <v>0</v>
      </c>
      <c r="N142" s="80" t="n">
        <f aca="false">IF(N48&lt;&gt;0,((N222/N48)/N$1),0)</f>
        <v>0</v>
      </c>
      <c r="O142" s="81"/>
      <c r="P142" s="81"/>
      <c r="Q142" s="81"/>
      <c r="R142" s="81"/>
      <c r="S142" s="0"/>
      <c r="T142" s="0"/>
      <c r="V142" s="16"/>
      <c r="W142" s="16"/>
      <c r="X142" s="16"/>
      <c r="Y142" s="16"/>
      <c r="Z142" s="16"/>
      <c r="AA142" s="16"/>
      <c r="AB142" s="16"/>
    </row>
    <row r="143" customFormat="false" ht="12.75" hidden="false" customHeight="false" outlineLevel="0" collapsed="false">
      <c r="A143" s="40" t="s">
        <v>29</v>
      </c>
      <c r="B143" s="79" t="n">
        <f aca="false">IF(B49&lt;&gt;0,((B223/B49)/B$1),0)</f>
        <v>0.0511501396905884</v>
      </c>
      <c r="C143" s="79" t="n">
        <f aca="false">IF(C49&lt;&gt;0,((C223/C49)/C$1),0)</f>
        <v>0</v>
      </c>
      <c r="D143" s="79" t="n">
        <f aca="false">IF(D49&lt;&gt;0,((D223/D49)/D$1),0)</f>
        <v>0</v>
      </c>
      <c r="E143" s="79" t="n">
        <f aca="false">IF(E49&lt;&gt;0,((E223/E49)/E$1),0)</f>
        <v>0.049968671679198</v>
      </c>
      <c r="F143" s="79" t="n">
        <f aca="false">IF(F49&lt;&gt;0,((F223/F49)/F$1),0)</f>
        <v>0.0314946522189591</v>
      </c>
      <c r="G143" s="79" t="n">
        <f aca="false">IF(G49&lt;&gt;0,((G223/G49)/G$1),0)</f>
        <v>0.0499872676343265</v>
      </c>
      <c r="H143" s="79" t="n">
        <f aca="false">IF(H49&lt;&gt;0,((H223/H49)/H$1),0)</f>
        <v>0.0299949245758693</v>
      </c>
      <c r="I143" s="79" t="n">
        <f aca="false">IF(I49&lt;&gt;0,((I223/I49)/I$1),0)</f>
        <v>0.145824978939155</v>
      </c>
      <c r="J143" s="79" t="n">
        <f aca="false">IF(J49&lt;&gt;0,((J223/J49)/J$1),0)</f>
        <v>0</v>
      </c>
      <c r="K143" s="79" t="n">
        <f aca="false">IF(K49&lt;&gt;0,((K223/K49)/K$1),0)</f>
        <v>0</v>
      </c>
      <c r="L143" s="79" t="n">
        <f aca="false">IF(L49&lt;&gt;0,((L223/L49)/L$1),0)</f>
        <v>0</v>
      </c>
      <c r="M143" s="79" t="n">
        <f aca="false">IF(M49&lt;&gt;0,((M223/M49)/M$1),0)</f>
        <v>0.113389528286594</v>
      </c>
      <c r="N143" s="80" t="n">
        <f aca="false">IF(N49&lt;&gt;0,((N223/N49)/N$1),0)</f>
        <v>0.0796892527502804</v>
      </c>
      <c r="O143" s="81" t="e">
        <f aca="false">IF(#REF!=0,0,(#REF!+#REF!)/#REF!)</f>
        <v>#REF!</v>
      </c>
      <c r="P143" s="81" t="e">
        <f aca="false">IF(#REF!=0,0,(#REF!+#REF!)/#REF!)</f>
        <v>#REF!</v>
      </c>
      <c r="Q143" s="81" t="e">
        <f aca="false">IF(#REF!=0,0,(#REF!+#REF!)/#REF!)</f>
        <v>#REF!</v>
      </c>
      <c r="R143" s="81" t="e">
        <f aca="false">IF(#REF!=0,0,(#REF!+#REF!)/#REF!)</f>
        <v>#REF!</v>
      </c>
      <c r="S143" s="0"/>
      <c r="T143" s="0"/>
    </row>
    <row r="144" customFormat="false" ht="18" hidden="false" customHeight="false" outlineLevel="0" collapsed="false">
      <c r="A144" s="40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39"/>
      <c r="P144" s="39"/>
      <c r="Q144" s="39"/>
      <c r="R144" s="39"/>
      <c r="S144" s="0"/>
      <c r="T144" s="0"/>
      <c r="V144" s="16"/>
      <c r="W144" s="16"/>
      <c r="X144" s="16"/>
      <c r="Y144" s="16"/>
      <c r="Z144" s="16"/>
      <c r="AA144" s="16"/>
      <c r="AB144" s="16"/>
    </row>
    <row r="145" customFormat="false" ht="12.75" hidden="false" customHeight="false" outlineLevel="0" collapsed="false">
      <c r="A145" s="37" t="s">
        <v>76</v>
      </c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38"/>
      <c r="P145" s="38"/>
      <c r="Q145" s="38"/>
      <c r="R145" s="38"/>
      <c r="S145" s="0"/>
      <c r="T145" s="0"/>
    </row>
    <row r="146" customFormat="false" ht="18" hidden="false" customHeight="false" outlineLevel="0" collapsed="false">
      <c r="A146" s="40" t="s">
        <v>23</v>
      </c>
      <c r="B146" s="79" t="n">
        <f aca="false">IF(B53&lt;&gt;0,((B227/B53)/B$1),0)</f>
        <v>0.0532230454038378</v>
      </c>
      <c r="C146" s="79" t="n">
        <f aca="false">IF(C53&lt;&gt;0,((C227/C53)/C$1),0)</f>
        <v>0.0547075813781513</v>
      </c>
      <c r="D146" s="79" t="n">
        <f aca="false">IF(D53&lt;&gt;0,((D227/D53)/D$1),0)</f>
        <v>0.0485849395167484</v>
      </c>
      <c r="E146" s="79" t="n">
        <f aca="false">IF(E53&lt;&gt;0,((E227/E53)/E$1),0)</f>
        <v>0.0230348144258871</v>
      </c>
      <c r="F146" s="79" t="n">
        <f aca="false">IF(F53&lt;&gt;0,((F227/F53)/F$1),0)</f>
        <v>0.0216023641657937</v>
      </c>
      <c r="G146" s="79" t="n">
        <f aca="false">IF(G53&lt;&gt;0,((G227/G53)/G$1),0)</f>
        <v>0.0262147265844183</v>
      </c>
      <c r="H146" s="79" t="n">
        <f aca="false">IF(H53&lt;&gt;0,((H227/H53)/H$1),0)</f>
        <v>0.0212528507833808</v>
      </c>
      <c r="I146" s="79" t="n">
        <f aca="false">IF(I53&lt;&gt;0,((I227/I53)/I$1),0)</f>
        <v>0.0178604627591014</v>
      </c>
      <c r="J146" s="79" t="n">
        <f aca="false">IF(J53&lt;&gt;0,((J227/J53)/J$1),0)</f>
        <v>0.0282112225962024</v>
      </c>
      <c r="K146" s="79" t="n">
        <f aca="false">IF(K53&lt;&gt;0,((K227/K53)/K$1),0)</f>
        <v>0.0243684312410222</v>
      </c>
      <c r="L146" s="79" t="n">
        <f aca="false">IF(L53&lt;&gt;0,((L227/L53)/L$1),0)</f>
        <v>0.0171652446468046</v>
      </c>
      <c r="M146" s="79" t="n">
        <f aca="false">IF(M53&lt;&gt;0,((M227/M53)/M$1),0)</f>
        <v>0.0297970575837256</v>
      </c>
      <c r="N146" s="80" t="n">
        <f aca="false">IF(N53&lt;&gt;0,((N227/N53)/N$1),0)</f>
        <v>0.0272313871202886</v>
      </c>
      <c r="O146" s="81" t="e">
        <f aca="false">IF(#REF!=0,0,#REF!/#REF!)</f>
        <v>#REF!</v>
      </c>
      <c r="P146" s="81" t="e">
        <f aca="false">IF(#REF!=0,0,#REF!/#REF!)</f>
        <v>#REF!</v>
      </c>
      <c r="Q146" s="81" t="e">
        <f aca="false">IF(#REF!=0,0,#REF!/#REF!)</f>
        <v>#REF!</v>
      </c>
      <c r="R146" s="81" t="e">
        <f aca="false">IF(#REF!=0,0,#REF!/#REF!)</f>
        <v>#REF!</v>
      </c>
      <c r="S146" s="0"/>
      <c r="T146" s="0"/>
      <c r="V146" s="16"/>
      <c r="W146" s="16"/>
      <c r="X146" s="16"/>
      <c r="Y146" s="16"/>
      <c r="Z146" s="16"/>
      <c r="AA146" s="16"/>
      <c r="AB146" s="16"/>
    </row>
    <row r="147" customFormat="false" ht="12.75" hidden="false" customHeight="false" outlineLevel="0" collapsed="false">
      <c r="A147" s="40" t="s">
        <v>54</v>
      </c>
      <c r="B147" s="79" t="n">
        <f aca="false">IF(B54&lt;&gt;0,((B228/B54)/B$1),0)</f>
        <v>0.00993829909903959</v>
      </c>
      <c r="C147" s="79" t="n">
        <f aca="false">IF(C54&lt;&gt;0,((C228/C54)/C$1),0)</f>
        <v>0.0094416302124154</v>
      </c>
      <c r="D147" s="79" t="n">
        <f aca="false">IF(D54&lt;&gt;0,((D228/D54)/D$1),0)</f>
        <v>0.00938157447331602</v>
      </c>
      <c r="E147" s="79" t="n">
        <f aca="false">IF(E54&lt;&gt;0,((E228/E54)/E$1),0)</f>
        <v>0.0093237623555472</v>
      </c>
      <c r="F147" s="79" t="n">
        <f aca="false">IF(F54&lt;&gt;0,((F228/F54)/F$1),0)</f>
        <v>0.00932695138715055</v>
      </c>
      <c r="G147" s="79" t="n">
        <f aca="false">IF(G54&lt;&gt;0,((G228/G54)/G$1),0)</f>
        <v>0.00940937445761483</v>
      </c>
      <c r="H147" s="79" t="n">
        <f aca="false">IF(H54&lt;&gt;0,((H228/H54)/H$1),0)</f>
        <v>0.0102807496585226</v>
      </c>
      <c r="I147" s="79" t="n">
        <f aca="false">IF(I54&lt;&gt;0,((I228/I54)/I$1),0)</f>
        <v>0.0099994588982833</v>
      </c>
      <c r="J147" s="79" t="n">
        <f aca="false">IF(J54&lt;&gt;0,((J228/J54)/J$1),0)</f>
        <v>0.0112139913111284</v>
      </c>
      <c r="K147" s="79" t="n">
        <f aca="false">IF(K54&lt;&gt;0,((K228/K54)/K$1),0)</f>
        <v>0.00953560617679506</v>
      </c>
      <c r="L147" s="79" t="n">
        <f aca="false">IF(L54&lt;&gt;0,((L228/L54)/L$1),0)</f>
        <v>0.00981399594020601</v>
      </c>
      <c r="M147" s="79" t="n">
        <f aca="false">IF(M54&lt;&gt;0,((M228/M54)/M$1),0)</f>
        <v>0.00929133520630599</v>
      </c>
      <c r="N147" s="80" t="n">
        <f aca="false">IF(N54&lt;&gt;0,((N228/N54)/N$1),0)</f>
        <v>0.00972520429550185</v>
      </c>
      <c r="O147" s="81" t="e">
        <f aca="false">IF(#REF!=0,0,#REF!/#REF!)</f>
        <v>#REF!</v>
      </c>
      <c r="P147" s="81" t="e">
        <f aca="false">IF(#REF!=0,0,#REF!/#REF!)</f>
        <v>#REF!</v>
      </c>
      <c r="Q147" s="81" t="e">
        <f aca="false">IF(#REF!=0,0,#REF!/#REF!)</f>
        <v>#REF!</v>
      </c>
      <c r="R147" s="81" t="e">
        <f aca="false">IF(#REF!=0,0,#REF!/#REF!)</f>
        <v>#REF!</v>
      </c>
      <c r="S147" s="0"/>
      <c r="T147" s="0"/>
    </row>
    <row r="148" customFormat="false" ht="18" hidden="false" customHeight="false" outlineLevel="0" collapsed="false">
      <c r="A148" s="40" t="s">
        <v>63</v>
      </c>
      <c r="B148" s="79" t="n">
        <f aca="false">IF(B55&lt;&gt;0,((B229/B55)/B$1),0)</f>
        <v>0</v>
      </c>
      <c r="C148" s="79" t="n">
        <f aca="false">IF(C55&lt;&gt;0,((C229/C55)/C$1),0)</f>
        <v>0</v>
      </c>
      <c r="D148" s="79" t="n">
        <f aca="false">IF(D55&lt;&gt;0,((D229/D55)/D$1),0)</f>
        <v>0</v>
      </c>
      <c r="E148" s="79" t="n">
        <f aca="false">IF(E55&lt;&gt;0,((E229/E55)/E$1),0)</f>
        <v>0</v>
      </c>
      <c r="F148" s="79" t="n">
        <f aca="false">IF(F55&lt;&gt;0,((F229/F55)/F$1),0)</f>
        <v>0</v>
      </c>
      <c r="G148" s="79" t="n">
        <f aca="false">IF(G55&lt;&gt;0,((G229/G55)/G$1),0)</f>
        <v>0</v>
      </c>
      <c r="H148" s="79" t="n">
        <f aca="false">IF(H55&lt;&gt;0,((H229/H55)/H$1),0)</f>
        <v>0</v>
      </c>
      <c r="I148" s="79" t="n">
        <f aca="false">IF(I55&lt;&gt;0,((I229/I55)/I$1),0)</f>
        <v>0</v>
      </c>
      <c r="J148" s="79" t="n">
        <f aca="false">IF(J55&lt;&gt;0,((J229/J55)/J$1),0)</f>
        <v>0</v>
      </c>
      <c r="K148" s="79" t="n">
        <f aca="false">IF(K55&lt;&gt;0,((K229/K55)/K$1),0)</f>
        <v>0</v>
      </c>
      <c r="L148" s="79" t="n">
        <f aca="false">IF(L55&lt;&gt;0,((L229/L55)/L$1),0)</f>
        <v>0.346278317152104</v>
      </c>
      <c r="M148" s="79" t="n">
        <f aca="false">IF(M55&lt;&gt;0,((M229/M55)/M$1),0)</f>
        <v>0</v>
      </c>
      <c r="N148" s="80" t="n">
        <f aca="false">IF(N55&lt;&gt;0,((N229/N55)/N$1),0)</f>
        <v>0.340601623428299</v>
      </c>
      <c r="O148" s="81" t="e">
        <f aca="false">IF(#REF!=0,0,#REF!/#REF!)</f>
        <v>#REF!</v>
      </c>
      <c r="P148" s="81" t="e">
        <f aca="false">IF(#REF!=0,0,#REF!/#REF!)</f>
        <v>#REF!</v>
      </c>
      <c r="Q148" s="81" t="e">
        <f aca="false">IF(#REF!=0,0,#REF!/#REF!)</f>
        <v>#REF!</v>
      </c>
      <c r="R148" s="81" t="e">
        <f aca="false">IF(#REF!=0,0,#REF!/#REF!)</f>
        <v>#REF!</v>
      </c>
      <c r="S148" s="0"/>
      <c r="T148" s="0"/>
      <c r="V148" s="16"/>
      <c r="W148" s="16"/>
      <c r="X148" s="16"/>
      <c r="Y148" s="16"/>
      <c r="Z148" s="16"/>
      <c r="AA148" s="16"/>
      <c r="AB148" s="16"/>
    </row>
    <row r="149" customFormat="false" ht="12.75" hidden="false" customHeight="false" outlineLevel="0" collapsed="false">
      <c r="A149" s="40" t="s">
        <v>55</v>
      </c>
      <c r="B149" s="79" t="n">
        <f aca="false">IF(B57&lt;&gt;0,((B231/B57)/B$1),0)</f>
        <v>0.0528502289748998</v>
      </c>
      <c r="C149" s="79" t="n">
        <f aca="false">IF(C57&lt;&gt;0,((C231/C57)/C$1),0)</f>
        <v>0.0375370407560288</v>
      </c>
      <c r="D149" s="79" t="n">
        <f aca="false">IF(D57&lt;&gt;0,((D231/D57)/D$1),0)</f>
        <v>0.0499494356925101</v>
      </c>
      <c r="E149" s="79" t="n">
        <f aca="false">IF(E57&lt;&gt;0,((E231/E57)/E$1),0)</f>
        <v>0.0384490798916534</v>
      </c>
      <c r="F149" s="79" t="n">
        <f aca="false">IF(F57&lt;&gt;0,((F231/F57)/F$1),0)</f>
        <v>0.044033296585662</v>
      </c>
      <c r="G149" s="79" t="n">
        <f aca="false">IF(G57&lt;&gt;0,((G231/G57)/G$1),0)</f>
        <v>0.0396950292275283</v>
      </c>
      <c r="H149" s="79" t="n">
        <f aca="false">IF(H57&lt;&gt;0,((H231/H57)/H$1),0)</f>
        <v>0.0415058820284378</v>
      </c>
      <c r="I149" s="79" t="n">
        <f aca="false">IF(I57&lt;&gt;0,((I231/I57)/I$1),0)</f>
        <v>0.0359147143800778</v>
      </c>
      <c r="J149" s="79" t="n">
        <f aca="false">IF(J57&lt;&gt;0,((J231/J57)/J$1),0)</f>
        <v>0.0523276121650105</v>
      </c>
      <c r="K149" s="79" t="n">
        <f aca="false">IF(K57&lt;&gt;0,((K231/K57)/K$1),0)</f>
        <v>0.0390860386438656</v>
      </c>
      <c r="L149" s="79" t="n">
        <f aca="false">IF(L57&lt;&gt;0,((L231/L57)/L$1),0)</f>
        <v>0.04</v>
      </c>
      <c r="M149" s="79" t="n">
        <f aca="false">IF(M57&lt;&gt;0,((M231/M57)/M$1),0)</f>
        <v>0.0398612842071079</v>
      </c>
      <c r="N149" s="80" t="n">
        <f aca="false">IF(N57&lt;&gt;0,((N231/N57)/N$1),0)</f>
        <v>0.0423235306331135</v>
      </c>
      <c r="O149" s="81" t="e">
        <f aca="false">IF(#REF!=0,0,#REF!/#REF!)</f>
        <v>#REF!</v>
      </c>
      <c r="P149" s="81" t="e">
        <f aca="false">IF(#REF!=0,0,#REF!/#REF!)</f>
        <v>#REF!</v>
      </c>
      <c r="Q149" s="81" t="e">
        <f aca="false">IF(#REF!=0,0,#REF!/#REF!)</f>
        <v>#REF!</v>
      </c>
      <c r="R149" s="81" t="e">
        <f aca="false">IF(#REF!=0,0,#REF!/#REF!)</f>
        <v>#REF!</v>
      </c>
      <c r="S149" s="0"/>
      <c r="T149" s="0"/>
    </row>
    <row r="150" customFormat="false" ht="18" hidden="false" customHeight="false" outlineLevel="0" collapsed="false">
      <c r="A150" s="40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39"/>
      <c r="P150" s="39"/>
      <c r="Q150" s="39"/>
      <c r="R150" s="39"/>
      <c r="S150" s="0"/>
      <c r="T150" s="0"/>
      <c r="V150" s="16"/>
      <c r="W150" s="16"/>
      <c r="X150" s="16"/>
      <c r="Y150" s="16"/>
      <c r="Z150" s="16"/>
      <c r="AA150" s="16"/>
      <c r="AB150" s="16"/>
    </row>
    <row r="151" customFormat="false" ht="12.75" hidden="false" customHeight="false" outlineLevel="0" collapsed="false">
      <c r="A151" s="37" t="s">
        <v>77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38"/>
      <c r="P151" s="38"/>
      <c r="Q151" s="38"/>
      <c r="R151" s="38"/>
      <c r="S151" s="0"/>
      <c r="T151" s="0"/>
    </row>
    <row r="152" customFormat="false" ht="18" hidden="false" customHeight="false" outlineLevel="0" collapsed="false">
      <c r="A152" s="40" t="s">
        <v>23</v>
      </c>
      <c r="B152" s="79" t="n">
        <f aca="false">IF(B61&lt;&gt;0,((B235/B61)/B$1),0)</f>
        <v>0.207389516129032</v>
      </c>
      <c r="C152" s="79" t="n">
        <f aca="false">IF(C61&lt;&gt;0,((C235/C61)/C$1),0)</f>
        <v>0.207679310344828</v>
      </c>
      <c r="D152" s="79" t="n">
        <f aca="false">IF(D61&lt;&gt;0,((D235/D61)/D$1),0)</f>
        <v>0.204</v>
      </c>
      <c r="E152" s="79" t="n">
        <f aca="false">IF(E61&lt;&gt;0,((E235/E61)/E$1),0)</f>
        <v>0.208</v>
      </c>
      <c r="F152" s="79" t="n">
        <f aca="false">IF(F61&lt;&gt;0,((F235/F61)/F$1),0)</f>
        <v>0.207679838709677</v>
      </c>
      <c r="G152" s="79" t="n">
        <f aca="false">IF(G61&lt;&gt;0,((G235/G61)/G$1),0)</f>
        <v>0.20784</v>
      </c>
      <c r="H152" s="79" t="n">
        <f aca="false">IF(H61&lt;&gt;0,((H235/H61)/H$1),0)</f>
        <v>0.20615</v>
      </c>
      <c r="I152" s="79" t="n">
        <f aca="false">IF(I61&lt;&gt;0,((I235/I61)/I$1),0)</f>
        <v>0.207596774193548</v>
      </c>
      <c r="J152" s="79" t="n">
        <f aca="false">IF(J61&lt;&gt;0,((J235/J61)/J$1),0)</f>
        <v>0.207465833333333</v>
      </c>
      <c r="K152" s="79" t="n">
        <f aca="false">IF(K61&lt;&gt;0,((K235/K61)/K$1),0)</f>
        <v>0.207342741935484</v>
      </c>
      <c r="L152" s="79" t="n">
        <f aca="false">IF(L61&lt;&gt;0,((L235/L61)/L$1),0)</f>
        <v>0.2116</v>
      </c>
      <c r="M152" s="79" t="n">
        <f aca="false">IF(M61&lt;&gt;0,((M235/M61)/M$1),0)</f>
        <v>0.207363709677419</v>
      </c>
      <c r="N152" s="80" t="n">
        <f aca="false">IF(N61&lt;&gt;0,((N235/N61)/N$1),0)</f>
        <v>0.207494740437158</v>
      </c>
      <c r="O152" s="81"/>
      <c r="P152" s="81"/>
      <c r="Q152" s="81"/>
      <c r="R152" s="81"/>
      <c r="S152" s="0"/>
      <c r="T152" s="0"/>
      <c r="V152" s="16"/>
      <c r="W152" s="16"/>
      <c r="X152" s="16"/>
      <c r="Y152" s="16"/>
      <c r="Z152" s="16"/>
      <c r="AA152" s="16"/>
      <c r="AB152" s="16"/>
    </row>
    <row r="153" customFormat="false" ht="12.75" hidden="false" customHeight="false" outlineLevel="0" collapsed="false">
      <c r="A153" s="40" t="s">
        <v>54</v>
      </c>
      <c r="B153" s="79" t="n">
        <f aca="false">IF(B62&lt;&gt;0,((B236/B62)/B$1),0)</f>
        <v>0.0170456283135532</v>
      </c>
      <c r="C153" s="79" t="n">
        <f aca="false">IF(C62&lt;&gt;0,((C236/C62)/C$1),0)</f>
        <v>0.0110534678193069</v>
      </c>
      <c r="D153" s="79" t="n">
        <f aca="false">IF(D62&lt;&gt;0,((D236/D62)/D$1),0)</f>
        <v>0.0173689101287668</v>
      </c>
      <c r="E153" s="79" t="n">
        <f aca="false">IF(E62&lt;&gt;0,((E236/E62)/E$1),0)</f>
        <v>0.0122833577770418</v>
      </c>
      <c r="F153" s="79" t="n">
        <f aca="false">IF(F62&lt;&gt;0,((F236/F62)/F$1),0)</f>
        <v>0.0108722156083707</v>
      </c>
      <c r="G153" s="79" t="n">
        <f aca="false">IF(G62&lt;&gt;0,((G236/G62)/G$1),0)</f>
        <v>0.0108572616381795</v>
      </c>
      <c r="H153" s="79" t="n">
        <f aca="false">IF(H62&lt;&gt;0,((H236/H62)/H$1),0)</f>
        <v>0.0112364446932922</v>
      </c>
      <c r="I153" s="79" t="n">
        <f aca="false">IF(I62&lt;&gt;0,((I236/I62)/I$1),0)</f>
        <v>0.0103998540759247</v>
      </c>
      <c r="J153" s="79" t="n">
        <f aca="false">IF(J62&lt;&gt;0,((J236/J62)/J$1),0)</f>
        <v>0.0103997932104084</v>
      </c>
      <c r="K153" s="79" t="n">
        <f aca="false">IF(K62&lt;&gt;0,((K236/K62)/K$1),0)</f>
        <v>0.0103995607059786</v>
      </c>
      <c r="L153" s="79" t="n">
        <f aca="false">IF(L62&lt;&gt;0,((L236/L62)/L$1),0)</f>
        <v>0.0103</v>
      </c>
      <c r="M153" s="79" t="n">
        <f aca="false">IF(M62&lt;&gt;0,((M236/M62)/M$1),0)</f>
        <v>0.0119823583515254</v>
      </c>
      <c r="N153" s="80" t="n">
        <f aca="false">IF(N62&lt;&gt;0,((N236/N62)/N$1),0)</f>
        <v>0.0118315322522985</v>
      </c>
      <c r="O153" s="81"/>
      <c r="P153" s="81"/>
      <c r="Q153" s="81"/>
      <c r="R153" s="81"/>
      <c r="S153" s="0"/>
      <c r="T153" s="0"/>
    </row>
    <row r="154" customFormat="false" ht="18" hidden="false" customHeight="false" outlineLevel="0" collapsed="false">
      <c r="A154" s="40" t="s">
        <v>63</v>
      </c>
      <c r="B154" s="79" t="n">
        <f aca="false">IF(B63&lt;&gt;0,((B237/B63)/B$1),0)</f>
        <v>0</v>
      </c>
      <c r="C154" s="79" t="n">
        <f aca="false">IF(C63&lt;&gt;0,((C237/C63)/C$1),0)</f>
        <v>0</v>
      </c>
      <c r="D154" s="79" t="n">
        <f aca="false">IF(D63&lt;&gt;0,((D237/D63)/D$1),0)</f>
        <v>0</v>
      </c>
      <c r="E154" s="79" t="n">
        <f aca="false">IF(E63&lt;&gt;0,((E237/E63)/E$1),0)</f>
        <v>0</v>
      </c>
      <c r="F154" s="79" t="n">
        <f aca="false">IF(F63&lt;&gt;0,((F237/F63)/F$1),0)</f>
        <v>0</v>
      </c>
      <c r="G154" s="79" t="n">
        <f aca="false">IF(G63&lt;&gt;0,((G237/G63)/G$1),0)</f>
        <v>0</v>
      </c>
      <c r="H154" s="79" t="n">
        <f aca="false">IF(H63&lt;&gt;0,((H237/H63)/H$1),0)</f>
        <v>0</v>
      </c>
      <c r="I154" s="79" t="n">
        <f aca="false">IF(I63&lt;&gt;0,((I237/I63)/I$1),0)</f>
        <v>0</v>
      </c>
      <c r="J154" s="79" t="n">
        <f aca="false">IF(J63&lt;&gt;0,((J237/J63)/J$1),0)</f>
        <v>0</v>
      </c>
      <c r="K154" s="79" t="n">
        <f aca="false">IF(K63&lt;&gt;0,((K237/K63)/K$1),0)</f>
        <v>0</v>
      </c>
      <c r="L154" s="79" t="n">
        <f aca="false">IF(L63&lt;&gt;0,((L237/L63)/L$1),0)</f>
        <v>0</v>
      </c>
      <c r="M154" s="79" t="n">
        <f aca="false">IF(M63&lt;&gt;0,((M237/M63)/M$1),0)</f>
        <v>0</v>
      </c>
      <c r="N154" s="80" t="n">
        <f aca="false">IF(N63&lt;&gt;0,((N237/N63)/N$1),0)</f>
        <v>0</v>
      </c>
      <c r="O154" s="81"/>
      <c r="P154" s="81"/>
      <c r="Q154" s="81"/>
      <c r="R154" s="81"/>
      <c r="S154" s="0"/>
      <c r="T154" s="0"/>
      <c r="V154" s="16"/>
      <c r="W154" s="16"/>
      <c r="X154" s="16"/>
      <c r="Y154" s="16"/>
      <c r="Z154" s="16"/>
      <c r="AA154" s="16"/>
      <c r="AB154" s="16"/>
    </row>
    <row r="155" customFormat="false" ht="12.75" hidden="false" customHeight="false" outlineLevel="0" collapsed="false">
      <c r="A155" s="40" t="s">
        <v>55</v>
      </c>
      <c r="B155" s="79" t="n">
        <f aca="false">IF(B64&lt;&gt;0,((B238/B64)/B$1),0)</f>
        <v>0.221645423879451</v>
      </c>
      <c r="C155" s="79" t="n">
        <f aca="false">IF(C64&lt;&gt;0,((C238/C64)/C$1),0)</f>
        <v>0</v>
      </c>
      <c r="D155" s="79" t="n">
        <f aca="false">IF(D64&lt;&gt;0,((D238/D64)/D$1),0)</f>
        <v>0</v>
      </c>
      <c r="E155" s="79" t="n">
        <f aca="false">IF(E64&lt;&gt;0,((E238/E64)/E$1),0)</f>
        <v>0</v>
      </c>
      <c r="F155" s="79" t="n">
        <f aca="false">IF(F64&lt;&gt;0,((F238/F64)/F$1),0)</f>
        <v>0.802092414995641</v>
      </c>
      <c r="G155" s="79" t="n">
        <f aca="false">IF(G64&lt;&gt;0,((G238/G64)/G$1),0)</f>
        <v>0</v>
      </c>
      <c r="H155" s="79" t="n">
        <f aca="false">IF(H64&lt;&gt;0,((H238/H64)/H$1),0)</f>
        <v>0</v>
      </c>
      <c r="I155" s="79" t="n">
        <f aca="false">IF(I64&lt;&gt;0,((I238/I64)/I$1),0)</f>
        <v>0</v>
      </c>
      <c r="J155" s="79" t="n">
        <f aca="false">IF(J64&lt;&gt;0,((J238/J64)/J$1),0)</f>
        <v>0.221604384653712</v>
      </c>
      <c r="K155" s="79" t="n">
        <f aca="false">IF(K64&lt;&gt;0,((K238/K64)/K$1),0)</f>
        <v>0.221625913595837</v>
      </c>
      <c r="L155" s="79" t="n">
        <f aca="false">IF(L64&lt;&gt;0,((L238/L64)/L$1),0)</f>
        <v>0</v>
      </c>
      <c r="M155" s="79" t="n">
        <f aca="false">IF(M64&lt;&gt;0,((M238/M64)/M$1),0)</f>
        <v>0.221601779755284</v>
      </c>
      <c r="N155" s="80" t="n">
        <f aca="false">IF(N64&lt;&gt;0,((N238/N64)/N$1),0)</f>
        <v>0.208660505222851</v>
      </c>
      <c r="O155" s="81"/>
      <c r="P155" s="81"/>
      <c r="Q155" s="81"/>
      <c r="R155" s="81"/>
      <c r="S155" s="0"/>
      <c r="T155" s="0"/>
    </row>
    <row r="156" customFormat="false" ht="18" hidden="false" customHeight="false" outlineLevel="0" collapsed="false">
      <c r="A156" s="40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39"/>
      <c r="P156" s="39"/>
      <c r="Q156" s="39"/>
      <c r="R156" s="39"/>
      <c r="S156" s="0"/>
      <c r="T156" s="0"/>
      <c r="V156" s="16"/>
      <c r="W156" s="16"/>
      <c r="X156" s="16"/>
      <c r="Y156" s="16"/>
      <c r="Z156" s="16"/>
      <c r="AA156" s="16"/>
      <c r="AB156" s="16"/>
    </row>
    <row r="157" customFormat="false" ht="12.75" hidden="false" customHeight="false" outlineLevel="0" collapsed="false">
      <c r="A157" s="37" t="s">
        <v>47</v>
      </c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38"/>
      <c r="P157" s="38"/>
      <c r="Q157" s="38"/>
      <c r="R157" s="38"/>
      <c r="S157" s="0"/>
      <c r="T157" s="0"/>
    </row>
    <row r="158" customFormat="false" ht="18" hidden="false" customHeight="false" outlineLevel="0" collapsed="false">
      <c r="A158" s="40" t="s">
        <v>23</v>
      </c>
      <c r="B158" s="79" t="n">
        <f aca="false">IF(B68&lt;&gt;0,((B242/B68)/B$1),0)</f>
        <v>0.136751673767498</v>
      </c>
      <c r="C158" s="79" t="n">
        <f aca="false">IF(C68&lt;&gt;0,((C242/C68)/C$1),0)</f>
        <v>0.172819128171763</v>
      </c>
      <c r="D158" s="79" t="n">
        <f aca="false">IF(D68&lt;&gt;0,((D242/D68)/D$1),0)</f>
        <v>0.148226426799007</v>
      </c>
      <c r="E158" s="79" t="n">
        <f aca="false">IF(E68&lt;&gt;0,((E242/E68)/E$1),0)</f>
        <v>0.146822666666667</v>
      </c>
      <c r="F158" s="79" t="n">
        <f aca="false">IF(F68&lt;&gt;0,((F242/F68)/F$1),0)</f>
        <v>0.148150738597625</v>
      </c>
      <c r="G158" s="79" t="n">
        <f aca="false">IF(G68&lt;&gt;0,((G242/G68)/G$1),0)</f>
        <v>0.145833666666667</v>
      </c>
      <c r="H158" s="79" t="n">
        <f aca="false">IF(H68&lt;&gt;0,((H242/H68)/H$1),0)</f>
        <v>0.145738387096774</v>
      </c>
      <c r="I158" s="79" t="n">
        <f aca="false">IF(I68&lt;&gt;0,((I242/I68)/I$1),0)</f>
        <v>0.145798064516129</v>
      </c>
      <c r="J158" s="79" t="n">
        <f aca="false">IF(J68&lt;&gt;0,((J242/J68)/J$1),0)</f>
        <v>0.146196666666667</v>
      </c>
      <c r="K158" s="79" t="n">
        <f aca="false">IF(K68&lt;&gt;0,((K242/K68)/K$1),0)</f>
        <v>0.14644</v>
      </c>
      <c r="L158" s="79" t="n">
        <f aca="false">IF(L68&lt;&gt;0,((L242/L68)/L$1),0)</f>
        <v>0.147234782608696</v>
      </c>
      <c r="M158" s="79" t="n">
        <f aca="false">IF(M68&lt;&gt;0,((M242/M68)/M$1),0)</f>
        <v>0.150768387096774</v>
      </c>
      <c r="N158" s="80" t="n">
        <f aca="false">IF(N68&lt;&gt;0,((N242/N68)/N$1),0)</f>
        <v>0.148568669695652</v>
      </c>
      <c r="O158" s="81" t="e">
        <f aca="false">IF(#REF!=0,0,#REF!/#REF!)</f>
        <v>#REF!</v>
      </c>
      <c r="P158" s="81" t="e">
        <f aca="false">IF(#REF!=0,0,#REF!/#REF!)</f>
        <v>#REF!</v>
      </c>
      <c r="Q158" s="81" t="e">
        <f aca="false">IF(#REF!=0,0,#REF!/#REF!)</f>
        <v>#REF!</v>
      </c>
      <c r="R158" s="81" t="e">
        <f aca="false">IF(#REF!=0,0,#REF!/#REF!)</f>
        <v>#REF!</v>
      </c>
      <c r="S158" s="0"/>
      <c r="T158" s="0"/>
      <c r="V158" s="16"/>
      <c r="W158" s="16"/>
      <c r="X158" s="16"/>
      <c r="Y158" s="16"/>
      <c r="Z158" s="16"/>
      <c r="AA158" s="16"/>
      <c r="AB158" s="16"/>
    </row>
    <row r="159" customFormat="false" ht="12.75" hidden="false" customHeight="false" outlineLevel="0" collapsed="false">
      <c r="A159" s="40" t="s">
        <v>24</v>
      </c>
      <c r="B159" s="79" t="n">
        <f aca="false">IF(B69&lt;&gt;0,((B243/B69)/B$1),0)</f>
        <v>0.0108084745894307</v>
      </c>
      <c r="C159" s="79" t="n">
        <f aca="false">IF(C69&lt;&gt;0,((C243/C69)/C$1),0)</f>
        <v>0.0113006704267696</v>
      </c>
      <c r="D159" s="79" t="n">
        <f aca="false">IF(D69&lt;&gt;0,((D243/D69)/D$1),0)</f>
        <v>0.0112468859789205</v>
      </c>
      <c r="E159" s="79" t="n">
        <f aca="false">IF(E69&lt;&gt;0,((E243/E69)/E$1),0)</f>
        <v>0.0117608078379701</v>
      </c>
      <c r="F159" s="79" t="n">
        <f aca="false">IF(F69&lt;&gt;0,((F243/F69)/F$1),0)</f>
        <v>0.0116960966136967</v>
      </c>
      <c r="G159" s="79" t="n">
        <f aca="false">IF(G69&lt;&gt;0,((G243/G69)/G$1),0)</f>
        <v>0.01171591604528</v>
      </c>
      <c r="H159" s="79" t="n">
        <f aca="false">IF(H69&lt;&gt;0,((H243/H69)/H$1),0)</f>
        <v>0.0117791831097846</v>
      </c>
      <c r="I159" s="79" t="n">
        <f aca="false">IF(I69&lt;&gt;0,((I243/I69)/I$1),0)</f>
        <v>0.0116285864738189</v>
      </c>
      <c r="J159" s="79" t="n">
        <f aca="false">IF(J69&lt;&gt;0,((J243/J69)/J$1),0)</f>
        <v>0.0115446885233837</v>
      </c>
      <c r="K159" s="79" t="n">
        <f aca="false">IF(K69&lt;&gt;0,((K243/K69)/K$1),0)</f>
        <v>0.0134118213656788</v>
      </c>
      <c r="L159" s="79" t="n">
        <f aca="false">IF(L69&lt;&gt;0,((L243/L69)/L$1),0)</f>
        <v>0.0201568570911013</v>
      </c>
      <c r="M159" s="79" t="n">
        <f aca="false">IF(M69&lt;&gt;0,((M243/M69)/M$1),0)</f>
        <v>0.0112921416369188</v>
      </c>
      <c r="N159" s="80" t="n">
        <f aca="false">IF(N69&lt;&gt;0,((N243/N69)/N$1),0)</f>
        <v>0.0122219593765192</v>
      </c>
      <c r="O159" s="81" t="e">
        <f aca="false">IF(#REF!=0,0,#REF!/#REF!)</f>
        <v>#REF!</v>
      </c>
      <c r="P159" s="81" t="e">
        <f aca="false">IF(#REF!=0,0,#REF!/#REF!)</f>
        <v>#REF!</v>
      </c>
      <c r="Q159" s="81" t="e">
        <f aca="false">IF(#REF!=0,0,#REF!/#REF!)</f>
        <v>#REF!</v>
      </c>
      <c r="R159" s="81" t="e">
        <f aca="false">IF(#REF!=0,0,#REF!/#REF!)</f>
        <v>#REF!</v>
      </c>
      <c r="S159" s="0"/>
      <c r="T159" s="0"/>
    </row>
    <row r="160" customFormat="false" ht="18" hidden="false" customHeight="false" outlineLevel="0" collapsed="false">
      <c r="A160" s="40" t="s">
        <v>25</v>
      </c>
      <c r="B160" s="79" t="n">
        <f aca="false">IF(B70&lt;&gt;0,((B244/B70)/B$1),0)</f>
        <v>0</v>
      </c>
      <c r="C160" s="79" t="n">
        <f aca="false">IF(C70&lt;&gt;0,((C244/C70)/C$1),0)</f>
        <v>0</v>
      </c>
      <c r="D160" s="79" t="n">
        <f aca="false">IF(D70&lt;&gt;0,((D244/D70)/D$1),0)</f>
        <v>0</v>
      </c>
      <c r="E160" s="79" t="n">
        <f aca="false">IF(E70&lt;&gt;0,((E244/E70)/E$1),0)</f>
        <v>0</v>
      </c>
      <c r="F160" s="79" t="n">
        <f aca="false">IF(F70&lt;&gt;0,((F244/F70)/F$1),0)</f>
        <v>0</v>
      </c>
      <c r="G160" s="79" t="n">
        <f aca="false">IF(G70&lt;&gt;0,((G244/G70)/G$1),0)</f>
        <v>0</v>
      </c>
      <c r="H160" s="79" t="n">
        <f aca="false">IF(H70&lt;&gt;0,((H244/H70)/H$1),0)</f>
        <v>0</v>
      </c>
      <c r="I160" s="79" t="n">
        <f aca="false">IF(I70&lt;&gt;0,((I244/I70)/I$1),0)</f>
        <v>0</v>
      </c>
      <c r="J160" s="79" t="n">
        <f aca="false">IF(J70&lt;&gt;0,((J244/J70)/J$1),0)</f>
        <v>0</v>
      </c>
      <c r="K160" s="79" t="n">
        <f aca="false">IF(K70&lt;&gt;0,((K244/K70)/K$1),0)</f>
        <v>0</v>
      </c>
      <c r="L160" s="79" t="n">
        <f aca="false">IF(L70&lt;&gt;0,((L244/L70)/L$1),0)</f>
        <v>0</v>
      </c>
      <c r="M160" s="79" t="n">
        <f aca="false">IF(M70&lt;&gt;0,((M244/M70)/M$1),0)</f>
        <v>0</v>
      </c>
      <c r="N160" s="80" t="n">
        <f aca="false">IF(N70&lt;&gt;0,((N244/N70)/N$1),0)</f>
        <v>0</v>
      </c>
      <c r="O160" s="81" t="e">
        <f aca="false">IF(#REF!=0,0,#REF!/#REF!)</f>
        <v>#REF!</v>
      </c>
      <c r="P160" s="81" t="e">
        <f aca="false">IF(#REF!=0,0,#REF!/#REF!)</f>
        <v>#REF!</v>
      </c>
      <c r="Q160" s="81" t="e">
        <f aca="false">IF(#REF!=0,0,#REF!/#REF!)</f>
        <v>#REF!</v>
      </c>
      <c r="R160" s="81" t="e">
        <f aca="false">IF(#REF!=0,0,#REF!/#REF!)</f>
        <v>#REF!</v>
      </c>
      <c r="S160" s="0"/>
      <c r="T160" s="0"/>
      <c r="V160" s="16"/>
      <c r="W160" s="16"/>
      <c r="X160" s="16"/>
      <c r="Y160" s="16"/>
      <c r="Z160" s="16"/>
      <c r="AA160" s="16"/>
      <c r="AB160" s="16"/>
    </row>
    <row r="161" customFormat="false" ht="12.75" hidden="false" customHeight="false" outlineLevel="0" collapsed="false">
      <c r="A161" s="40" t="s">
        <v>29</v>
      </c>
      <c r="B161" s="79" t="n">
        <f aca="false">IF(B71&lt;&gt;0,((B245/B71)/B$1),0)</f>
        <v>0.230414746543779</v>
      </c>
      <c r="C161" s="79" t="n">
        <f aca="false">IF(C71&lt;&gt;0,((C245/C71)/C$1),0)</f>
        <v>0.0500115455665025</v>
      </c>
      <c r="D161" s="79" t="n">
        <f aca="false">IF(D71&lt;&gt;0,((D245/D71)/D$1),0)</f>
        <v>0.0499866175552185</v>
      </c>
      <c r="E161" s="79" t="n">
        <f aca="false">IF(E71&lt;&gt;0,((E245/E71)/E$1),0)</f>
        <v>0.0499958540630182</v>
      </c>
      <c r="F161" s="79" t="n">
        <f aca="false">IF(F71&lt;&gt;0,((F245/F71)/F$1),0)</f>
        <v>0.0477080999519901</v>
      </c>
      <c r="G161" s="79" t="n">
        <f aca="false">IF(G71&lt;&gt;0,((G245/G71)/G$1),0)</f>
        <v>0.0533161403338037</v>
      </c>
      <c r="H161" s="79" t="n">
        <f aca="false">IF(H71&lt;&gt;0,((H245/H71)/H$1),0)</f>
        <v>0.126447910255833</v>
      </c>
      <c r="I161" s="79" t="n">
        <f aca="false">IF(I71&lt;&gt;0,((I245/I71)/I$1),0)</f>
        <v>0.115897699524483</v>
      </c>
      <c r="J161" s="79" t="n">
        <f aca="false">IF(J71&lt;&gt;0,((J245/J71)/J$1),0)</f>
        <v>0.187825955696441</v>
      </c>
      <c r="K161" s="79" t="n">
        <f aca="false">IF(K71&lt;&gt;0,((K245/K71)/K$1),0)</f>
        <v>0.180693196699281</v>
      </c>
      <c r="L161" s="79" t="n">
        <f aca="false">IF(L71&lt;&gt;0,((L245/L71)/L$1),0)</f>
        <v>0</v>
      </c>
      <c r="M161" s="79" t="n">
        <f aca="false">IF(M71&lt;&gt;0,((M245/M71)/M$1),0)</f>
        <v>0.214379193452628</v>
      </c>
      <c r="N161" s="80" t="n">
        <f aca="false">IF(N71&lt;&gt;0,((N245/N71)/N$1),0)</f>
        <v>0.109332056680561</v>
      </c>
      <c r="O161" s="81" t="e">
        <f aca="false">(#REF!+#REF!)/#REF!</f>
        <v>#REF!</v>
      </c>
      <c r="P161" s="81" t="e">
        <f aca="false">(#REF!+#REF!)/#REF!</f>
        <v>#REF!</v>
      </c>
      <c r="Q161" s="81" t="e">
        <f aca="false">(#REF!+#REF!)/#REF!</f>
        <v>#REF!</v>
      </c>
      <c r="R161" s="81" t="e">
        <f aca="false">(#REF!+#REF!)/#REF!</f>
        <v>#REF!</v>
      </c>
      <c r="S161" s="0"/>
      <c r="T161" s="0"/>
    </row>
    <row r="162" customFormat="false" ht="18" hidden="false" customHeight="false" outlineLevel="0" collapsed="false">
      <c r="A162" s="40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39"/>
      <c r="P162" s="39"/>
      <c r="Q162" s="39"/>
      <c r="R162" s="39"/>
      <c r="S162" s="0"/>
      <c r="T162" s="0"/>
      <c r="V162" s="16"/>
      <c r="W162" s="16"/>
      <c r="X162" s="16"/>
      <c r="Y162" s="16"/>
      <c r="Z162" s="16"/>
      <c r="AA162" s="16"/>
      <c r="AB162" s="16"/>
    </row>
    <row r="163" customFormat="false" ht="12.75" hidden="false" customHeight="false" outlineLevel="0" collapsed="false">
      <c r="A163" s="37" t="s">
        <v>52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38"/>
      <c r="P163" s="38"/>
      <c r="Q163" s="38"/>
      <c r="R163" s="38"/>
      <c r="S163" s="0"/>
      <c r="T163" s="0"/>
    </row>
    <row r="164" customFormat="false" ht="18" hidden="false" customHeight="false" outlineLevel="0" collapsed="false">
      <c r="A164" s="40" t="s">
        <v>23</v>
      </c>
      <c r="B164" s="79" t="n">
        <f aca="false">IF(B78&lt;&gt;0,((B253/B78)/B$1),0)</f>
        <v>0.0527565409267626</v>
      </c>
      <c r="C164" s="79" t="n">
        <f aca="false">IF(C78&lt;&gt;0,((C253/C78)/C$1),0)</f>
        <v>0.0393955157054635</v>
      </c>
      <c r="D164" s="79" t="n">
        <f aca="false">IF(D78&lt;&gt;0,((D253/D78)/D$1),0)</f>
        <v>0.0400224403927069</v>
      </c>
      <c r="E164" s="79" t="n">
        <f aca="false">IF(E78&lt;&gt;0,((E253/E78)/E$1),0)</f>
        <v>0.040387784679089</v>
      </c>
      <c r="F164" s="79" t="n">
        <f aca="false">IF(F78&lt;&gt;0,((F253/F78)/F$1),0)</f>
        <v>0.0405114205570026</v>
      </c>
      <c r="G164" s="79" t="n">
        <f aca="false">IF(G78&lt;&gt;0,((G253/G78)/G$1),0)</f>
        <v>0.0412514492753623</v>
      </c>
      <c r="H164" s="79" t="n">
        <f aca="false">IF(H78&lt;&gt;0,((H253/H78)/H$1),0)</f>
        <v>0.0404747545582048</v>
      </c>
      <c r="I164" s="79" t="n">
        <f aca="false">IF(I78&lt;&gt;0,((I253/I78)/I$1),0)</f>
        <v>0.0402743939090363</v>
      </c>
      <c r="J164" s="79" t="n">
        <f aca="false">IF(J78&lt;&gt;0,((J253/J78)/J$1),0)</f>
        <v>0.0405545548654244</v>
      </c>
      <c r="K164" s="79" t="n">
        <f aca="false">IF(K78&lt;&gt;0,((K253/K78)/K$1),0)</f>
        <v>0.0406257263073532</v>
      </c>
      <c r="L164" s="79" t="n">
        <f aca="false">IF(L78&lt;&gt;0,((L253/L78)/L$1),0)</f>
        <v>0.0350547945205479</v>
      </c>
      <c r="M164" s="79" t="n">
        <f aca="false">IF(M78&lt;&gt;0,((M253/M78)/M$1),0)</f>
        <v>0.0392801041875376</v>
      </c>
      <c r="N164" s="80" t="n">
        <f aca="false">IF(N78&lt;&gt;0,((N253/N78)/N$1),0)</f>
        <v>0.0407781998510064</v>
      </c>
      <c r="O164" s="81" t="e">
        <f aca="false">(#REF!+#REF!)/(#REF!+#REF!)</f>
        <v>#REF!</v>
      </c>
      <c r="P164" s="81" t="e">
        <f aca="false">(#REF!+#REF!)/(#REF!+#REF!)</f>
        <v>#REF!</v>
      </c>
      <c r="Q164" s="81" t="e">
        <f aca="false">(#REF!+#REF!)/(#REF!+#REF!)</f>
        <v>#REF!</v>
      </c>
      <c r="R164" s="81" t="e">
        <f aca="false">(#REF!+#REF!)/(#REF!+#REF!)</f>
        <v>#REF!</v>
      </c>
      <c r="S164" s="0"/>
      <c r="T164" s="0"/>
      <c r="V164" s="16"/>
      <c r="W164" s="16"/>
      <c r="X164" s="16"/>
      <c r="Y164" s="16"/>
      <c r="Z164" s="16"/>
      <c r="AA164" s="16"/>
      <c r="AB164" s="16"/>
    </row>
    <row r="165" customFormat="false" ht="12.75" hidden="false" customHeight="false" outlineLevel="0" collapsed="false">
      <c r="A165" s="40" t="s">
        <v>24</v>
      </c>
      <c r="B165" s="79" t="n">
        <f aca="false">IF(B79&lt;&gt;0,((B254/B79)/B$1),0)</f>
        <v>0.00109997522756754</v>
      </c>
      <c r="C165" s="79" t="n">
        <f aca="false">IF(C79&lt;&gt;0,((C254/C79)/C$1),0)</f>
        <v>0.00111841690043253</v>
      </c>
      <c r="D165" s="79" t="n">
        <f aca="false">IF(D79&lt;&gt;0,((D254/D79)/D$1),0)</f>
        <v>0.00110239161296732</v>
      </c>
      <c r="E165" s="79" t="n">
        <f aca="false">IF(E79&lt;&gt;0,((E254/E79)/E$1),0)</f>
        <v>0.00109994468968828</v>
      </c>
      <c r="F165" s="79" t="n">
        <f aca="false">IF(F79&lt;&gt;0,((F254/F79)/F$1),0)</f>
        <v>0.00109992169087188</v>
      </c>
      <c r="G165" s="79" t="n">
        <f aca="false">IF(G79&lt;&gt;0,((G254/G79)/G$1),0)</f>
        <v>0.00109990618216362</v>
      </c>
      <c r="H165" s="79" t="n">
        <f aca="false">IF(H79&lt;&gt;0,((H254/H79)/H$1),0)</f>
        <v>0.00109995973732282</v>
      </c>
      <c r="I165" s="79" t="n">
        <f aca="false">IF(I79&lt;&gt;0,((I254/I79)/I$1),0)</f>
        <v>0.00109998278661764</v>
      </c>
      <c r="J165" s="79" t="n">
        <f aca="false">IF(J79&lt;&gt;0,((J254/J79)/J$1),0)</f>
        <v>0.00109991747061669</v>
      </c>
      <c r="K165" s="79" t="n">
        <f aca="false">IF(K79&lt;&gt;0,((K254/K79)/K$1),0)</f>
        <v>0.00109998689973853</v>
      </c>
      <c r="L165" s="79" t="n">
        <f aca="false">IF(L79&lt;&gt;0,((L254/L79)/L$1),0)</f>
        <v>0.0012271669793621</v>
      </c>
      <c r="M165" s="79" t="n">
        <f aca="false">IF(M79&lt;&gt;0,((M254/M79)/M$1),0)</f>
        <v>0.00209959042129829</v>
      </c>
      <c r="N165" s="80" t="n">
        <f aca="false">IF(N79&lt;&gt;0,((N254/N79)/N$1),0)</f>
        <v>0.00118379016397084</v>
      </c>
      <c r="O165" s="81" t="e">
        <f aca="false">#REF!</f>
        <v>#REF!</v>
      </c>
      <c r="P165" s="81" t="e">
        <f aca="false">#REF!</f>
        <v>#REF!</v>
      </c>
      <c r="Q165" s="81" t="e">
        <f aca="false">#REF!</f>
        <v>#REF!</v>
      </c>
      <c r="R165" s="81" t="e">
        <f aca="false">#REF!</f>
        <v>#REF!</v>
      </c>
      <c r="S165" s="0"/>
      <c r="T165" s="0"/>
    </row>
    <row r="166" customFormat="false" ht="18" hidden="false" customHeight="false" outlineLevel="0" collapsed="false">
      <c r="A166" s="40" t="s">
        <v>25</v>
      </c>
      <c r="B166" s="79" t="n">
        <f aca="false">IF(B80&lt;&gt;0,((B255/B80)/B$1),0)</f>
        <v>0.0010989247311828</v>
      </c>
      <c r="C166" s="79" t="n">
        <f aca="false">IF(C80&lt;&gt;0,((C255/C80)/C$1),0)</f>
        <v>0.00109885057471264</v>
      </c>
      <c r="D166" s="79" t="n">
        <f aca="false">IF(D80&lt;&gt;0,((D255/D80)/D$1),0)</f>
        <v>0</v>
      </c>
      <c r="E166" s="79" t="n">
        <f aca="false">IF(E80&lt;&gt;0,((E255/E80)/E$1),0)</f>
        <v>0</v>
      </c>
      <c r="F166" s="79" t="n">
        <f aca="false">IF(F80&lt;&gt;0,((F255/F80)/F$1),0)</f>
        <v>0</v>
      </c>
      <c r="G166" s="79" t="n">
        <f aca="false">IF(G80&lt;&gt;0,((G255/G80)/G$1),0)</f>
        <v>0</v>
      </c>
      <c r="H166" s="79" t="n">
        <f aca="false">IF(H80&lt;&gt;0,((H255/H80)/H$1),0)</f>
        <v>0</v>
      </c>
      <c r="I166" s="79" t="n">
        <f aca="false">IF(I80&lt;&gt;0,((I255/I80)/I$1),0)</f>
        <v>0</v>
      </c>
      <c r="J166" s="79" t="n">
        <f aca="false">IF(J80&lt;&gt;0,((J255/J80)/J$1),0)</f>
        <v>0</v>
      </c>
      <c r="K166" s="79" t="n">
        <f aca="false">IF(K80&lt;&gt;0,((K255/K80)/K$1),0)</f>
        <v>0</v>
      </c>
      <c r="L166" s="79" t="n">
        <f aca="false">IF(L80&lt;&gt;0,((L255/L80)/L$1),0)</f>
        <v>0</v>
      </c>
      <c r="M166" s="79" t="n">
        <f aca="false">IF(M80&lt;&gt;0,((M255/M80)/M$1),0)</f>
        <v>0.0010989247311828</v>
      </c>
      <c r="N166" s="80" t="n">
        <f aca="false">IF(N80&lt;&gt;0,((N255/N80)/N$1),0)</f>
        <v>0.000846477243870094</v>
      </c>
      <c r="O166" s="81"/>
      <c r="P166" s="81"/>
      <c r="Q166" s="81"/>
      <c r="R166" s="81"/>
      <c r="S166" s="0"/>
      <c r="T166" s="0"/>
      <c r="V166" s="16"/>
      <c r="W166" s="16"/>
      <c r="X166" s="16"/>
      <c r="Y166" s="16"/>
      <c r="Z166" s="16"/>
      <c r="AA166" s="16"/>
      <c r="AB166" s="16"/>
    </row>
    <row r="167" customFormat="false" ht="12.75" hidden="false" customHeight="false" outlineLevel="0" collapsed="false">
      <c r="A167" s="40" t="s">
        <v>29</v>
      </c>
      <c r="B167" s="79" t="n">
        <f aca="false">IF(B81&lt;&gt;0,((B256/B81)/B$1),0)</f>
        <v>0.0300222469410456</v>
      </c>
      <c r="C167" s="79" t="n">
        <f aca="false">IF(C81&lt;&gt;0,((C256/C81)/C$1),0)</f>
        <v>0.0300026746769813</v>
      </c>
      <c r="D167" s="79" t="n">
        <f aca="false">IF(D81&lt;&gt;0,((D256/D81)/D$1),0)</f>
        <v>0.0299990644545199</v>
      </c>
      <c r="E167" s="79" t="n">
        <f aca="false">IF(E81&lt;&gt;0,((E256/E81)/E$1),0)</f>
        <v>0.0299973937972374</v>
      </c>
      <c r="F167" s="79" t="n">
        <f aca="false">IF(F81&lt;&gt;0,((F256/F81)/F$1),0)</f>
        <v>0.0299997477353766</v>
      </c>
      <c r="G167" s="79" t="n">
        <f aca="false">IF(G81&lt;&gt;0,((G256/G81)/G$1),0)</f>
        <v>0.0626738942018128</v>
      </c>
      <c r="H167" s="79" t="n">
        <f aca="false">IF(H81&lt;&gt;0,((H256/H81)/H$1),0)</f>
        <v>0.0162776543192402</v>
      </c>
      <c r="I167" s="79" t="n">
        <f aca="false">IF(I81&lt;&gt;0,((I256/I81)/I$1),0)</f>
        <v>0.0462236205029725</v>
      </c>
      <c r="J167" s="79" t="n">
        <f aca="false">IF(J81&lt;&gt;0,((J256/J81)/J$1),0)</f>
        <v>0.0288179571932432</v>
      </c>
      <c r="K167" s="79" t="n">
        <f aca="false">IF(K81&lt;&gt;0,((K256/K81)/K$1),0)</f>
        <v>0.035198267162232</v>
      </c>
      <c r="L167" s="79" t="n">
        <f aca="false">IF(L81&lt;&gt;0,((L256/L81)/L$1),0)</f>
        <v>0</v>
      </c>
      <c r="M167" s="79" t="n">
        <f aca="false">IF(M81&lt;&gt;0,((M256/M81)/M$1),0)</f>
        <v>0.0310721818040388</v>
      </c>
      <c r="N167" s="80" t="n">
        <f aca="false">IF(N81&lt;&gt;0,((N256/N81)/N$1),0)</f>
        <v>0.0361494295433755</v>
      </c>
      <c r="O167" s="81" t="e">
        <f aca="false">#REF!</f>
        <v>#REF!</v>
      </c>
      <c r="P167" s="81" t="e">
        <f aca="false">#REF!</f>
        <v>#REF!</v>
      </c>
      <c r="Q167" s="81" t="e">
        <f aca="false">#REF!</f>
        <v>#REF!</v>
      </c>
      <c r="R167" s="81" t="e">
        <f aca="false">#REF!</f>
        <v>#REF!</v>
      </c>
      <c r="S167" s="0"/>
      <c r="T167" s="0"/>
    </row>
    <row r="168" customFormat="false" ht="18" hidden="false" customHeight="false" outlineLevel="0" collapsed="false">
      <c r="A168" s="40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39"/>
      <c r="P168" s="39"/>
      <c r="Q168" s="39"/>
      <c r="R168" s="39"/>
      <c r="S168" s="0"/>
      <c r="T168" s="0"/>
      <c r="V168" s="16"/>
      <c r="W168" s="16"/>
      <c r="X168" s="16"/>
      <c r="Y168" s="16"/>
      <c r="Z168" s="16"/>
      <c r="AA168" s="16"/>
      <c r="AB168" s="16"/>
    </row>
    <row r="169" customFormat="false" ht="12.75" hidden="false" customHeight="false" outlineLevel="0" collapsed="false">
      <c r="A169" s="37" t="s">
        <v>57</v>
      </c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38"/>
      <c r="P169" s="38"/>
      <c r="Q169" s="38"/>
      <c r="R169" s="38"/>
      <c r="S169" s="0"/>
      <c r="T169" s="0"/>
    </row>
    <row r="170" customFormat="false" ht="18" hidden="false" customHeight="false" outlineLevel="0" collapsed="false">
      <c r="A170" s="40" t="s">
        <v>23</v>
      </c>
      <c r="B170" s="79" t="n">
        <f aca="false">IF(B85&lt;&gt;0,((B260/B85)/B$1),0)</f>
        <v>0.0591934319319902</v>
      </c>
      <c r="C170" s="79" t="n">
        <f aca="false">IF(C85&lt;&gt;0,((C260/C85)/C$1),0)</f>
        <v>0.0381735599274088</v>
      </c>
      <c r="D170" s="79" t="n">
        <f aca="false">IF(D85&lt;&gt;0,((D260/D85)/D$1),0)</f>
        <v>0.0410882143544194</v>
      </c>
      <c r="E170" s="79" t="n">
        <f aca="false">IF(E85&lt;&gt;0,((E260/E85)/E$1),0)</f>
        <v>0.0419254493201218</v>
      </c>
      <c r="F170" s="79" t="n">
        <f aca="false">IF(F85&lt;&gt;0,((F260/F85)/F$1),0)</f>
        <v>0.0372492194911402</v>
      </c>
      <c r="G170" s="79" t="n">
        <f aca="false">IF(G85&lt;&gt;0,((G260/G85)/G$1),0)</f>
        <v>0.0413743237235749</v>
      </c>
      <c r="H170" s="79" t="n">
        <f aca="false">IF(H85&lt;&gt;0,((H260/H85)/H$1),0)</f>
        <v>0.0399028052225099</v>
      </c>
      <c r="I170" s="79" t="n">
        <f aca="false">IF(I85&lt;&gt;0,((I260/I85)/I$1),0)</f>
        <v>0.0400692622738983</v>
      </c>
      <c r="J170" s="79" t="n">
        <f aca="false">IF(J85&lt;&gt;0,((J260/J85)/J$1),0)</f>
        <v>0.0390400924256785</v>
      </c>
      <c r="K170" s="79" t="n">
        <f aca="false">IF(K85&lt;&gt;0,((K260/K85)/K$1),0)</f>
        <v>0.0374513944757308</v>
      </c>
      <c r="L170" s="79" t="n">
        <f aca="false">IF(L85&lt;&gt;0,((L260/L85)/L$1),0)</f>
        <v>0.0547780979827089</v>
      </c>
      <c r="M170" s="79" t="n">
        <f aca="false">IF(M85&lt;&gt;0,((M260/M85)/M$1),0)</f>
        <v>0.0365763433480671</v>
      </c>
      <c r="N170" s="80" t="n">
        <f aca="false">IF(N85&lt;&gt;0,((N260/N85)/N$1),0)</f>
        <v>0.0413957220509073</v>
      </c>
      <c r="O170" s="81" t="e">
        <f aca="false">IF(#REF!=0,0,#REF!/#REF!)</f>
        <v>#REF!</v>
      </c>
      <c r="P170" s="81" t="e">
        <f aca="false">IF(#REF!=0,0,#REF!/#REF!)</f>
        <v>#REF!</v>
      </c>
      <c r="Q170" s="81" t="e">
        <f aca="false">IF(#REF!=0,0,#REF!/#REF!)</f>
        <v>#REF!</v>
      </c>
      <c r="R170" s="81" t="e">
        <f aca="false">IF(#REF!=0,0,#REF!/#REF!)</f>
        <v>#REF!</v>
      </c>
      <c r="S170" s="0"/>
      <c r="T170" s="0"/>
      <c r="V170" s="16"/>
      <c r="W170" s="16"/>
      <c r="X170" s="16"/>
      <c r="Y170" s="16"/>
      <c r="Z170" s="16"/>
      <c r="AA170" s="16"/>
      <c r="AB170" s="16"/>
    </row>
    <row r="171" customFormat="false" ht="12.75" hidden="false" customHeight="false" outlineLevel="0" collapsed="false">
      <c r="A171" s="40" t="s">
        <v>24</v>
      </c>
      <c r="B171" s="79" t="n">
        <f aca="false">IF(B86&lt;&gt;0,((B261/B86)/B$1),0)</f>
        <v>0.00330246122923523</v>
      </c>
      <c r="C171" s="79" t="n">
        <f aca="false">IF(C86&lt;&gt;0,((C261/C86)/C$1),0)</f>
        <v>0.00330003638460915</v>
      </c>
      <c r="D171" s="79" t="n">
        <f aca="false">IF(D86&lt;&gt;0,((D261/D86)/D$1),0)</f>
        <v>0.00271284575742281</v>
      </c>
      <c r="E171" s="79" t="n">
        <f aca="false">IF(E86&lt;&gt;0,((E261/E86)/E$1),0)</f>
        <v>0.00287374626659375</v>
      </c>
      <c r="F171" s="79" t="n">
        <f aca="false">IF(F86&lt;&gt;0,((F261/F86)/F$1),0)</f>
        <v>0.00329987304899911</v>
      </c>
      <c r="G171" s="79" t="n">
        <f aca="false">IF(G86&lt;&gt;0,((G261/G86)/G$1),0)</f>
        <v>0.00329985023123639</v>
      </c>
      <c r="H171" s="79" t="n">
        <f aca="false">IF(H86&lt;&gt;0,((H261/H86)/H$1),0)</f>
        <v>0.00329984331733069</v>
      </c>
      <c r="I171" s="79" t="n">
        <f aca="false">IF(I86&lt;&gt;0,((I261/I86)/I$1),0)</f>
        <v>0.00329979948235479</v>
      </c>
      <c r="J171" s="79" t="n">
        <f aca="false">IF(J86&lt;&gt;0,((J261/J86)/J$1),0)</f>
        <v>0.00330452710144993</v>
      </c>
      <c r="K171" s="79" t="n">
        <f aca="false">IF(K86&lt;&gt;0,((K261/K86)/K$1),0)</f>
        <v>0.00329999378400636</v>
      </c>
      <c r="L171" s="79" t="n">
        <f aca="false">IF(L86&lt;&gt;0,((L261/L86)/L$1),0)</f>
        <v>0.00202539548536966</v>
      </c>
      <c r="M171" s="79" t="n">
        <f aca="false">IF(M86&lt;&gt;0,((M261/M86)/M$1),0)</f>
        <v>0.00332028684314234</v>
      </c>
      <c r="N171" s="80" t="n">
        <f aca="false">IF(N86&lt;&gt;0,((N261/N86)/N$1),0)</f>
        <v>0.00314976273316849</v>
      </c>
      <c r="O171" s="81" t="e">
        <f aca="false">IF(#REF!=0,0,#REF!/#REF!)</f>
        <v>#REF!</v>
      </c>
      <c r="P171" s="81" t="e">
        <f aca="false">IF(#REF!=0,0,#REF!/#REF!)</f>
        <v>#REF!</v>
      </c>
      <c r="Q171" s="81" t="e">
        <f aca="false">IF(#REF!=0,0,#REF!/#REF!)</f>
        <v>#REF!</v>
      </c>
      <c r="R171" s="81" t="e">
        <f aca="false">IF(#REF!=0,0,#REF!/#REF!)</f>
        <v>#REF!</v>
      </c>
      <c r="S171" s="0"/>
      <c r="T171" s="0"/>
    </row>
    <row r="172" customFormat="false" ht="18" hidden="false" customHeight="false" outlineLevel="0" collapsed="false">
      <c r="A172" s="40" t="s">
        <v>25</v>
      </c>
      <c r="B172" s="79" t="n">
        <f aca="false">IF(B87&lt;&gt;0,((B262/B87)/B$1),0)</f>
        <v>0</v>
      </c>
      <c r="C172" s="79" t="n">
        <f aca="false">IF(C87&lt;&gt;0,((C262/C87)/C$1),0)</f>
        <v>0</v>
      </c>
      <c r="D172" s="79" t="n">
        <f aca="false">IF(D87&lt;&gt;0,((D262/D87)/D$1),0)</f>
        <v>0</v>
      </c>
      <c r="E172" s="79" t="n">
        <f aca="false">IF(E87&lt;&gt;0,((E262/E87)/E$1),0)</f>
        <v>0</v>
      </c>
      <c r="F172" s="79" t="n">
        <f aca="false">IF(F87&lt;&gt;0,((F262/F87)/F$1),0)</f>
        <v>0</v>
      </c>
      <c r="G172" s="79" t="n">
        <f aca="false">IF(G87&lt;&gt;0,((G262/G87)/G$1),0)</f>
        <v>0</v>
      </c>
      <c r="H172" s="79" t="n">
        <f aca="false">IF(H87&lt;&gt;0,((H262/H87)/H$1),0)</f>
        <v>0</v>
      </c>
      <c r="I172" s="79" t="n">
        <f aca="false">IF(I87&lt;&gt;0,((I262/I87)/I$1),0)</f>
        <v>0</v>
      </c>
      <c r="J172" s="79" t="n">
        <f aca="false">IF(J87&lt;&gt;0,((J262/J87)/J$1),0)</f>
        <v>0</v>
      </c>
      <c r="K172" s="79" t="n">
        <f aca="false">IF(K87&lt;&gt;0,((K262/K87)/K$1),0)</f>
        <v>0</v>
      </c>
      <c r="L172" s="79" t="n">
        <f aca="false">IF(L87&lt;&gt;0,((L262/L87)/L$1),0)</f>
        <v>-0.00630571863448576</v>
      </c>
      <c r="M172" s="79" t="n">
        <f aca="false">IF(M87&lt;&gt;0,((M262/M87)/M$1),0)</f>
        <v>0</v>
      </c>
      <c r="N172" s="80" t="n">
        <f aca="false">IF(N87&lt;&gt;0,((N262/N87)/N$1),0)</f>
        <v>-0.00620234619785484</v>
      </c>
      <c r="O172" s="81"/>
      <c r="P172" s="81"/>
      <c r="Q172" s="81"/>
      <c r="R172" s="81"/>
      <c r="S172" s="0"/>
      <c r="T172" s="0"/>
      <c r="V172" s="16"/>
      <c r="W172" s="16"/>
      <c r="X172" s="16"/>
      <c r="Y172" s="16"/>
      <c r="Z172" s="16"/>
      <c r="AA172" s="16"/>
      <c r="AB172" s="16"/>
    </row>
    <row r="173" customFormat="false" ht="12.75" hidden="false" customHeight="false" outlineLevel="0" collapsed="false">
      <c r="A173" s="40" t="s">
        <v>29</v>
      </c>
      <c r="B173" s="79" t="n">
        <f aca="false">IF(B88&lt;&gt;0,((B263/B88)/B$1),0)</f>
        <v>0.0177478648638368</v>
      </c>
      <c r="C173" s="79" t="n">
        <f aca="false">IF(C88&lt;&gt;0,((C263/C88)/C$1),0)</f>
        <v>0.0153920500246491</v>
      </c>
      <c r="D173" s="79" t="n">
        <f aca="false">IF(D88&lt;&gt;0,((D263/D88)/D$1),0)</f>
        <v>0.0247906296842</v>
      </c>
      <c r="E173" s="79" t="n">
        <f aca="false">IF(E88&lt;&gt;0,((E263/E88)/E$1),0)</f>
        <v>0.0198369735768531</v>
      </c>
      <c r="F173" s="79" t="n">
        <f aca="false">IF(F88&lt;&gt;0,((F263/F88)/F$1),0)</f>
        <v>0.0151403132975495</v>
      </c>
      <c r="G173" s="79" t="n">
        <f aca="false">IF(G88&lt;&gt;0,((G263/G88)/G$1),0)</f>
        <v>0.0190502569368444</v>
      </c>
      <c r="H173" s="79" t="n">
        <f aca="false">IF(H88&lt;&gt;0,((H263/H88)/H$1),0)</f>
        <v>0.0229257073084034</v>
      </c>
      <c r="I173" s="79" t="n">
        <f aca="false">IF(I88&lt;&gt;0,((I263/I88)/I$1),0)</f>
        <v>0.0237855169338179</v>
      </c>
      <c r="J173" s="79" t="n">
        <f aca="false">IF(J88&lt;&gt;0,((J263/J88)/J$1),0)</f>
        <v>0.0384198632518252</v>
      </c>
      <c r="K173" s="79" t="n">
        <f aca="false">IF(K88&lt;&gt;0,((K263/K88)/K$1),0)</f>
        <v>0.034759391352047</v>
      </c>
      <c r="L173" s="79" t="n">
        <f aca="false">IF(L88&lt;&gt;0,((L263/L88)/L$1),0)</f>
        <v>0.103809523809524</v>
      </c>
      <c r="M173" s="79" t="n">
        <f aca="false">IF(M88&lt;&gt;0,((M263/M88)/M$1),0)</f>
        <v>0.0362052331816824</v>
      </c>
      <c r="N173" s="80" t="n">
        <f aca="false">IF(N88&lt;&gt;0,((N263/N88)/N$1),0)</f>
        <v>0.0274896257594953</v>
      </c>
      <c r="O173" s="81" t="e">
        <f aca="false">IF(#REF!=0,0,#REF!/#REF!)</f>
        <v>#REF!</v>
      </c>
      <c r="P173" s="81" t="e">
        <f aca="false">IF(#REF!=0,0,#REF!/#REF!)</f>
        <v>#REF!</v>
      </c>
      <c r="Q173" s="81" t="e">
        <f aca="false">IF(#REF!=0,0,#REF!/#REF!)</f>
        <v>#REF!</v>
      </c>
      <c r="R173" s="81" t="e">
        <f aca="false">IF(#REF!=0,0,#REF!/#REF!)</f>
        <v>#REF!</v>
      </c>
      <c r="S173" s="0"/>
      <c r="T173" s="0"/>
    </row>
    <row r="174" customFormat="false" ht="18" hidden="false" customHeight="false" outlineLevel="0" collapsed="false">
      <c r="A174" s="4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39"/>
      <c r="P174" s="39"/>
      <c r="Q174" s="39"/>
      <c r="R174" s="39"/>
      <c r="S174" s="0"/>
      <c r="T174" s="0"/>
      <c r="V174" s="16"/>
      <c r="W174" s="16"/>
      <c r="X174" s="16"/>
      <c r="Y174" s="16"/>
      <c r="Z174" s="16"/>
      <c r="AA174" s="16"/>
      <c r="AB174" s="16"/>
    </row>
    <row r="175" customFormat="false" ht="12.75" hidden="false" customHeight="false" outlineLevel="0" collapsed="false">
      <c r="A175" s="37" t="s">
        <v>78</v>
      </c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38"/>
      <c r="P175" s="38"/>
      <c r="Q175" s="38"/>
      <c r="R175" s="38"/>
      <c r="S175" s="0"/>
      <c r="T175" s="0"/>
    </row>
    <row r="176" customFormat="false" ht="18" hidden="false" customHeight="false" outlineLevel="0" collapsed="false">
      <c r="A176" s="40" t="s">
        <v>23</v>
      </c>
      <c r="B176" s="79" t="n">
        <f aca="false">IF(B95&lt;&gt;0,((B242/B95)/B$1),0)</f>
        <v>0.0467602497398543</v>
      </c>
      <c r="C176" s="79" t="n">
        <f aca="false">IF(C95&lt;&gt;0,((C242/C95)/C$1),0)</f>
        <v>0.0590929922135706</v>
      </c>
      <c r="D176" s="79" t="n">
        <f aca="false">IF(D95&lt;&gt;0,((D242/D95)/D$1),0)</f>
        <v>0.0317846358496841</v>
      </c>
      <c r="E176" s="79" t="n">
        <f aca="false">IF(E95&lt;&gt;0,((E242/E95)/E$1),0)</f>
        <v>0.0315747670250896</v>
      </c>
      <c r="F176" s="79" t="n">
        <f aca="false">IF(F95&lt;&gt;0,((F242/F95)/F$1),0)</f>
        <v>0.0355603191120361</v>
      </c>
      <c r="G176" s="79" t="n">
        <f aca="false">IF(G95&lt;&gt;0,((G242/G95)/G$1),0)</f>
        <v>0.0313620788530466</v>
      </c>
      <c r="H176" s="79" t="n">
        <f aca="false">IF(H95&lt;&gt;0,((H242/H95)/H$1),0)</f>
        <v>0.0313415886229622</v>
      </c>
      <c r="I176" s="79" t="n">
        <f aca="false">IF(I95&lt;&gt;0,((I242/I95)/I$1),0)</f>
        <v>0.0313544224765869</v>
      </c>
      <c r="J176" s="79" t="n">
        <f aca="false">IF(J95&lt;&gt;0,((J242/J95)/J$1),0)</f>
        <v>0.0314401433691756</v>
      </c>
      <c r="K176" s="79" t="n">
        <f aca="false">IF(K95&lt;&gt;0,((K242/K95)/K$1),0)</f>
        <v>0.0314924731182796</v>
      </c>
      <c r="L176" s="79" t="n">
        <f aca="false">IF(L95&lt;&gt;0,((L242/L95)/L$1),0)</f>
        <v>0.0361023454157783</v>
      </c>
      <c r="M176" s="79" t="n">
        <f aca="false">IF(M95&lt;&gt;0,((M242/M95)/M$1),0)</f>
        <v>0.0324233090530697</v>
      </c>
      <c r="N176" s="80" t="n">
        <f aca="false">IF(N95&lt;&gt;0,((N242/N95)/N$1),0)</f>
        <v>0.0357533260785621</v>
      </c>
      <c r="O176" s="81" t="e">
        <f aca="false">IF(#REF!=0,0,#REF!/#REF!)</f>
        <v>#REF!</v>
      </c>
      <c r="P176" s="81" t="e">
        <f aca="false">IF(#REF!=0,0,#REF!/#REF!)</f>
        <v>#REF!</v>
      </c>
      <c r="Q176" s="81" t="e">
        <f aca="false">IF(#REF!=0,0,#REF!/#REF!)</f>
        <v>#REF!</v>
      </c>
      <c r="R176" s="81" t="e">
        <f aca="false">IF(#REF!=0,0,#REF!/#REF!)</f>
        <v>#REF!</v>
      </c>
      <c r="S176" s="0"/>
      <c r="T176" s="0"/>
      <c r="V176" s="16"/>
      <c r="W176" s="16"/>
      <c r="X176" s="16"/>
      <c r="Y176" s="16"/>
      <c r="Z176" s="16"/>
      <c r="AA176" s="16"/>
      <c r="AB176" s="16"/>
    </row>
    <row r="177" customFormat="false" ht="12.75" hidden="false" customHeight="false" outlineLevel="0" collapsed="false">
      <c r="A177" s="40" t="s">
        <v>54</v>
      </c>
      <c r="B177" s="79" t="n">
        <f aca="false">IF(B96&lt;&gt;0,((B243/B96)/B$1),0)</f>
        <v>0.00291290915438682</v>
      </c>
      <c r="C177" s="79" t="n">
        <f aca="false">IF(C96&lt;&gt;0,((C243/C96)/C$1),0)</f>
        <v>0.00389436611983848</v>
      </c>
      <c r="D177" s="79" t="n">
        <f aca="false">IF(D96&lt;&gt;0,((D243/D96)/D$1),0)</f>
        <v>0.00241634418666249</v>
      </c>
      <c r="E177" s="79" t="n">
        <f aca="false">IF(E96&lt;&gt;0,((E243/E96)/E$1),0)</f>
        <v>0.00287500518001982</v>
      </c>
      <c r="F177" s="79" t="n">
        <f aca="false">IF(F96&lt;&gt;0,((F243/F96)/F$1),0)</f>
        <v>0.00330855875136448</v>
      </c>
      <c r="G177" s="79" t="n">
        <f aca="false">IF(G96&lt;&gt;0,((G243/G96)/G$1),0)</f>
        <v>0.00407792176882891</v>
      </c>
      <c r="H177" s="79" t="n">
        <f aca="false">IF(H96&lt;&gt;0,((H243/H96)/H$1),0)</f>
        <v>0.00418912140304669</v>
      </c>
      <c r="I177" s="79" t="n">
        <f aca="false">IF(I96&lt;&gt;0,((I243/I96)/I$1),0)</f>
        <v>0.00407890727425361</v>
      </c>
      <c r="J177" s="79" t="n">
        <f aca="false">IF(J96&lt;&gt;0,((J243/J96)/J$1),0)</f>
        <v>0.0038475074896102</v>
      </c>
      <c r="K177" s="79" t="n">
        <f aca="false">IF(K96&lt;&gt;0,((K243/K96)/K$1),0)</f>
        <v>0.00441961926846148</v>
      </c>
      <c r="L177" s="79" t="n">
        <f aca="false">IF(L96&lt;&gt;0,((L243/L96)/L$1),0)</f>
        <v>0.0039544894110821</v>
      </c>
      <c r="M177" s="79" t="n">
        <f aca="false">IF(M96&lt;&gt;0,((M243/M96)/M$1),0)</f>
        <v>0.00203324369640465</v>
      </c>
      <c r="N177" s="80" t="n">
        <f aca="false">IF(N96&lt;&gt;0,((N243/N96)/N$1),0)</f>
        <v>0.00338746543196659</v>
      </c>
      <c r="O177" s="81" t="e">
        <f aca="false">IF(#REF!=0,0,#REF!/#REF!)</f>
        <v>#REF!</v>
      </c>
      <c r="P177" s="81" t="e">
        <f aca="false">IF(#REF!=0,0,#REF!/#REF!)</f>
        <v>#REF!</v>
      </c>
      <c r="Q177" s="81" t="e">
        <f aca="false">IF(#REF!=0,0,#REF!/#REF!)</f>
        <v>#REF!</v>
      </c>
      <c r="R177" s="81" t="e">
        <f aca="false">IF(#REF!=0,0,#REF!/#REF!)</f>
        <v>#REF!</v>
      </c>
      <c r="S177" s="0"/>
      <c r="T177" s="0"/>
    </row>
    <row r="178" customFormat="false" ht="18" hidden="false" customHeight="false" outlineLevel="0" collapsed="false">
      <c r="A178" s="40" t="s">
        <v>63</v>
      </c>
      <c r="B178" s="79" t="n">
        <f aca="false">IF(B97&lt;&gt;0,((B244/B97)/B$1),0)</f>
        <v>0.000263811549263763</v>
      </c>
      <c r="C178" s="79" t="n">
        <f aca="false">IF(C97&lt;&gt;0,((C244/C97)/C$1),0)</f>
        <v>0</v>
      </c>
      <c r="D178" s="79" t="n">
        <f aca="false">IF(D97&lt;&gt;0,((D244/D97)/D$1),0)</f>
        <v>0</v>
      </c>
      <c r="E178" s="79" t="n">
        <f aca="false">IF(E97&lt;&gt;0,((E244/E97)/E$1),0)</f>
        <v>0</v>
      </c>
      <c r="F178" s="79" t="n">
        <f aca="false">IF(F97&lt;&gt;0,((F244/F97)/F$1),0)</f>
        <v>0</v>
      </c>
      <c r="G178" s="79" t="n">
        <f aca="false">IF(G97&lt;&gt;0,((G244/G97)/G$1),0)</f>
        <v>0</v>
      </c>
      <c r="H178" s="79" t="n">
        <f aca="false">IF(H97&lt;&gt;0,((H244/H97)/H$1),0)</f>
        <v>0</v>
      </c>
      <c r="I178" s="79" t="n">
        <f aca="false">IF(I97&lt;&gt;0,((I244/I97)/I$1),0)</f>
        <v>0</v>
      </c>
      <c r="J178" s="79" t="n">
        <f aca="false">IF(J97&lt;&gt;0,((J244/J97)/J$1),0)</f>
        <v>0</v>
      </c>
      <c r="K178" s="79" t="n">
        <f aca="false">IF(K97&lt;&gt;0,((K244/K97)/K$1),0)</f>
        <v>0</v>
      </c>
      <c r="L178" s="79" t="n">
        <f aca="false">IF(L97&lt;&gt;0,((L244/L97)/L$1),0)</f>
        <v>-0</v>
      </c>
      <c r="M178" s="79" t="n">
        <f aca="false">IF(M97&lt;&gt;0,((M244/M97)/M$1),0)</f>
        <v>0</v>
      </c>
      <c r="N178" s="80" t="n">
        <f aca="false">IF(N97&lt;&gt;0,((N244/N97)/N$1),0)</f>
        <v>1.24114994451821E-005</v>
      </c>
      <c r="O178" s="81" t="e">
        <f aca="false">IF(#REF!=0,0,#REF!/#REF!)</f>
        <v>#REF!</v>
      </c>
      <c r="P178" s="81" t="e">
        <f aca="false">IF(#REF!=0,0,#REF!/#REF!)</f>
        <v>#REF!</v>
      </c>
      <c r="Q178" s="81" t="e">
        <f aca="false">IF(#REF!=0,0,#REF!/#REF!)</f>
        <v>#REF!</v>
      </c>
      <c r="R178" s="81" t="e">
        <f aca="false">IF(#REF!=0,0,#REF!/#REF!)</f>
        <v>#REF!</v>
      </c>
      <c r="S178" s="0"/>
      <c r="T178" s="0"/>
      <c r="V178" s="16"/>
      <c r="W178" s="16"/>
      <c r="X178" s="16"/>
      <c r="Y178" s="16"/>
      <c r="Z178" s="16"/>
      <c r="AA178" s="16"/>
      <c r="AB178" s="16"/>
    </row>
    <row r="179" customFormat="false" ht="12.75" hidden="false" customHeight="false" outlineLevel="0" collapsed="false">
      <c r="A179" s="40" t="s">
        <v>55</v>
      </c>
      <c r="B179" s="79" t="n">
        <f aca="false">IF(B98&lt;&gt;0,((B245/B98)/B$1),0)</f>
        <v>0</v>
      </c>
      <c r="C179" s="79" t="n">
        <f aca="false">IF(C98&lt;&gt;0,((C245/C98)/C$1),0)</f>
        <v>0</v>
      </c>
      <c r="D179" s="79" t="n">
        <f aca="false">IF(D98&lt;&gt;0,((D245/D98)/D$1),0)</f>
        <v>0</v>
      </c>
      <c r="E179" s="79" t="n">
        <f aca="false">IF(E98&lt;&gt;0,((E245/E98)/E$1),0)</f>
        <v>0</v>
      </c>
      <c r="F179" s="79" t="n">
        <f aca="false">IF(F98&lt;&gt;0,((F245/F98)/F$1),0)</f>
        <v>0</v>
      </c>
      <c r="G179" s="79" t="n">
        <f aca="false">IF(G98&lt;&gt;0,((G245/G98)/G$1),0)</f>
        <v>0.347510307643514</v>
      </c>
      <c r="H179" s="79" t="n">
        <f aca="false">IF(H98&lt;&gt;0,((H245/H98)/H$1),0)</f>
        <v>2.04185266729957</v>
      </c>
      <c r="I179" s="79" t="n">
        <f aca="false">IF(I98&lt;&gt;0,((I245/I98)/I$1),0)</f>
        <v>0</v>
      </c>
      <c r="J179" s="79" t="n">
        <f aca="false">IF(J98&lt;&gt;0,((J245/J98)/J$1),0)</f>
        <v>-0.321088962002451</v>
      </c>
      <c r="K179" s="79" t="n">
        <f aca="false">IF(K98&lt;&gt;0,((K245/K98)/K$1),0)</f>
        <v>0</v>
      </c>
      <c r="L179" s="79" t="n">
        <f aca="false">IF(L98&lt;&gt;0,((L245/L98)/L$1),0)</f>
        <v>0</v>
      </c>
      <c r="M179" s="79" t="n">
        <f aca="false">IF(M98&lt;&gt;0,((M245/M98)/M$1),0)</f>
        <v>0</v>
      </c>
      <c r="N179" s="80" t="n">
        <f aca="false">IF(N98&lt;&gt;0,((N245/N98)/N$1),0)</f>
        <v>-28.0202067853914</v>
      </c>
      <c r="O179" s="81" t="e">
        <f aca="false">IF(#REF!=0,0,#REF!/#REF!)</f>
        <v>#REF!</v>
      </c>
      <c r="P179" s="81" t="e">
        <f aca="false">IF(#REF!=0,0,#REF!/#REF!)</f>
        <v>#REF!</v>
      </c>
      <c r="Q179" s="81" t="e">
        <f aca="false">IF(#REF!=0,0,#REF!/#REF!)</f>
        <v>#REF!</v>
      </c>
      <c r="R179" s="81" t="e">
        <f aca="false">IF(#REF!=0,0,#REF!/#REF!)</f>
        <v>#REF!</v>
      </c>
      <c r="S179" s="0"/>
      <c r="T179" s="0"/>
    </row>
    <row r="180" customFormat="false" ht="18" hidden="false" customHeight="false" outlineLevel="0" collapsed="false">
      <c r="A180" s="28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2"/>
      <c r="O180" s="81"/>
      <c r="P180" s="81"/>
      <c r="Q180" s="81"/>
      <c r="R180" s="81"/>
      <c r="S180" s="0"/>
      <c r="T180" s="0"/>
      <c r="V180" s="16"/>
      <c r="W180" s="16"/>
      <c r="X180" s="16"/>
      <c r="Y180" s="16"/>
      <c r="Z180" s="16"/>
      <c r="AA180" s="16"/>
      <c r="AB180" s="16"/>
    </row>
    <row r="181" customFormat="false" ht="15.75" hidden="false" customHeight="false" outlineLevel="0" collapsed="false">
      <c r="A181" s="33" t="s">
        <v>79</v>
      </c>
      <c r="B181" s="28"/>
      <c r="C181" s="28"/>
      <c r="D181" s="28"/>
      <c r="E181" s="28"/>
      <c r="F181" s="83"/>
      <c r="G181" s="83"/>
      <c r="H181" s="28"/>
      <c r="I181" s="28"/>
      <c r="J181" s="28"/>
      <c r="K181" s="28"/>
      <c r="L181" s="28"/>
      <c r="M181" s="28"/>
      <c r="N181" s="4"/>
      <c r="O181" s="84"/>
      <c r="P181" s="85"/>
      <c r="Q181" s="85"/>
      <c r="R181" s="84"/>
      <c r="S181" s="0"/>
      <c r="T181" s="0"/>
    </row>
    <row r="182" customFormat="false" ht="18" hidden="false" customHeight="false" outlineLevel="0" collapsed="false">
      <c r="A182" s="36" t="s">
        <v>21</v>
      </c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4"/>
      <c r="O182" s="34"/>
      <c r="P182" s="34"/>
      <c r="Q182" s="34"/>
      <c r="R182" s="34"/>
      <c r="S182" s="0"/>
      <c r="T182" s="0"/>
      <c r="V182" s="16"/>
      <c r="W182" s="16"/>
      <c r="X182" s="16"/>
      <c r="Y182" s="16"/>
      <c r="Z182" s="16"/>
      <c r="AA182" s="16"/>
      <c r="AB182" s="16"/>
    </row>
    <row r="183" customFormat="false" ht="12.75" hidden="false" customHeight="false" outlineLevel="0" collapsed="false">
      <c r="A183" s="37" t="s">
        <v>80</v>
      </c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4"/>
      <c r="O183" s="38"/>
      <c r="P183" s="38"/>
      <c r="Q183" s="38"/>
      <c r="R183" s="38"/>
      <c r="S183" s="0"/>
      <c r="T183" s="0"/>
    </row>
    <row r="184" customFormat="false" ht="18" hidden="false" customHeight="false" outlineLevel="0" collapsed="false">
      <c r="A184" s="40" t="s">
        <v>23</v>
      </c>
      <c r="B184" s="41" t="n">
        <v>2121.4</v>
      </c>
      <c r="C184" s="41" t="n">
        <v>2002.6</v>
      </c>
      <c r="D184" s="41" t="n">
        <f aca="false">2480.206-D185</f>
        <v>2126.606</v>
      </c>
      <c r="E184" s="86" t="n">
        <f aca="false">2393.804-E185</f>
        <v>2051.804</v>
      </c>
      <c r="F184" s="41" t="n">
        <f aca="false">2461.338-F185</f>
        <v>2107.738</v>
      </c>
      <c r="G184" s="41" t="n">
        <f aca="false">2365.42-G185</f>
        <v>2023.42</v>
      </c>
      <c r="H184" s="41" t="n">
        <f aca="false">2452.348-H185+26.766</f>
        <v>2125.512</v>
      </c>
      <c r="I184" s="41" t="n">
        <f aca="false">2451.914-I185</f>
        <v>2098.312</v>
      </c>
      <c r="J184" s="41" t="n">
        <f aca="false">2373.03-J185</f>
        <v>2030.835</v>
      </c>
      <c r="K184" s="41" t="n">
        <f aca="false">2459.292-K185</f>
        <v>2105.69</v>
      </c>
      <c r="L184" s="41" t="n">
        <f aca="false">2067.99-1.2+100</f>
        <v>2166.79</v>
      </c>
      <c r="M184" s="41" t="n">
        <f aca="false">2514.89-M185</f>
        <v>2161.288</v>
      </c>
      <c r="N184" s="4" t="n">
        <f aca="false">SUM(B184:M184)</f>
        <v>25121.995</v>
      </c>
      <c r="O184" s="87" t="e">
        <f aca="false"/>
        <v>#REF!</v>
      </c>
      <c r="P184" s="85" t="e">
        <f aca="false"/>
        <v>#REF!</v>
      </c>
      <c r="Q184" s="85" t="n">
        <v>25203.918</v>
      </c>
      <c r="R184" s="87" t="e">
        <f aca="false"/>
        <v>#REF!</v>
      </c>
      <c r="S184" s="0"/>
      <c r="T184" s="0"/>
      <c r="V184" s="16"/>
      <c r="W184" s="16"/>
      <c r="X184" s="16"/>
      <c r="Y184" s="16"/>
      <c r="Z184" s="16"/>
      <c r="AA184" s="16"/>
      <c r="AB184" s="16"/>
    </row>
    <row r="185" customFormat="false" ht="12.75" hidden="false" customHeight="false" outlineLevel="0" collapsed="false">
      <c r="A185" s="40" t="s">
        <v>81</v>
      </c>
      <c r="B185" s="41" t="n">
        <v>353.6</v>
      </c>
      <c r="C185" s="41" t="n">
        <v>318</v>
      </c>
      <c r="D185" s="41" t="n">
        <v>353.6</v>
      </c>
      <c r="E185" s="86" t="n">
        <v>342</v>
      </c>
      <c r="F185" s="41" t="n">
        <v>353.6</v>
      </c>
      <c r="G185" s="41" t="n">
        <v>342</v>
      </c>
      <c r="H185" s="41" t="n">
        <v>353.602</v>
      </c>
      <c r="I185" s="41" t="n">
        <v>353.602</v>
      </c>
      <c r="J185" s="41" t="n">
        <v>342.195</v>
      </c>
      <c r="K185" s="41" t="n">
        <v>353.602</v>
      </c>
      <c r="L185" s="41" t="n">
        <v>342.195</v>
      </c>
      <c r="M185" s="41" t="n">
        <v>353.602</v>
      </c>
      <c r="N185" s="4" t="n">
        <f aca="false">SUM(B185:M185)</f>
        <v>4161.598</v>
      </c>
      <c r="O185" s="87" t="e">
        <f aca="false"/>
        <v>#REF!</v>
      </c>
      <c r="P185" s="85" t="e">
        <f aca="false"/>
        <v>#REF!</v>
      </c>
      <c r="Q185" s="85" t="n">
        <v>4161.598</v>
      </c>
      <c r="R185" s="87" t="e">
        <f aca="false"/>
        <v>#REF!</v>
      </c>
      <c r="S185" s="0"/>
      <c r="T185" s="0"/>
    </row>
    <row r="186" customFormat="false" ht="18" hidden="false" customHeight="false" outlineLevel="0" collapsed="false">
      <c r="A186" s="40" t="s">
        <v>54</v>
      </c>
      <c r="B186" s="41" t="n">
        <f aca="false">302.8+33.9</f>
        <v>336.7</v>
      </c>
      <c r="C186" s="41" t="n">
        <v>304.2</v>
      </c>
      <c r="D186" s="41" t="n">
        <v>342.779</v>
      </c>
      <c r="E186" s="86" t="n">
        <f aca="false">240.351+0.137</f>
        <v>240.488</v>
      </c>
      <c r="F186" s="41" t="n">
        <v>260.408</v>
      </c>
      <c r="G186" s="41" t="n">
        <v>178.455</v>
      </c>
      <c r="H186" s="41" t="n">
        <f aca="false">194.871+1.061</f>
        <v>195.932</v>
      </c>
      <c r="I186" s="41" t="n">
        <v>195.493</v>
      </c>
      <c r="J186" s="41" t="n">
        <v>189.763</v>
      </c>
      <c r="K186" s="41" t="n">
        <v>196.871</v>
      </c>
      <c r="L186" s="41" t="n">
        <v>197.5536</v>
      </c>
      <c r="M186" s="41" t="n">
        <v>328.608</v>
      </c>
      <c r="N186" s="4" t="n">
        <f aca="false">SUM(B186:M186)</f>
        <v>2967.2506</v>
      </c>
      <c r="O186" s="87" t="e">
        <f aca="false"/>
        <v>#REF!</v>
      </c>
      <c r="P186" s="85" t="e">
        <f aca="false"/>
        <v>#REF!</v>
      </c>
      <c r="Q186" s="85" t="n">
        <v>2410.15392</v>
      </c>
      <c r="R186" s="87" t="e">
        <f aca="false"/>
        <v>#REF!</v>
      </c>
      <c r="S186" s="0"/>
      <c r="T186" s="0"/>
      <c r="V186" s="16"/>
      <c r="W186" s="16"/>
      <c r="X186" s="16"/>
      <c r="Y186" s="16"/>
      <c r="Z186" s="16"/>
      <c r="AA186" s="16"/>
      <c r="AB186" s="16"/>
    </row>
    <row r="187" customFormat="false" ht="12.75" hidden="false" customHeight="false" outlineLevel="0" collapsed="false">
      <c r="A187" s="46" t="s">
        <v>63</v>
      </c>
      <c r="B187" s="41" t="n">
        <v>0</v>
      </c>
      <c r="C187" s="41" t="n">
        <v>8.914</v>
      </c>
      <c r="D187" s="41" t="n">
        <v>9.383</v>
      </c>
      <c r="E187" s="86" t="n">
        <v>6.116</v>
      </c>
      <c r="F187" s="86" t="n">
        <v>49.997</v>
      </c>
      <c r="G187" s="86" t="n">
        <v>107.751</v>
      </c>
      <c r="H187" s="86" t="n">
        <f aca="false">115.026</f>
        <v>115.026</v>
      </c>
      <c r="I187" s="86" t="n">
        <v>116.082</v>
      </c>
      <c r="J187" s="86" t="n">
        <v>106.769</v>
      </c>
      <c r="K187" s="86" t="n">
        <v>117.525</v>
      </c>
      <c r="L187" s="86" t="n">
        <f aca="false">109/8</f>
        <v>13.625</v>
      </c>
      <c r="M187" s="86" t="n">
        <v>11.997</v>
      </c>
      <c r="N187" s="4" t="n">
        <f aca="false">SUM(B187:M187)</f>
        <v>663.185</v>
      </c>
      <c r="O187" s="87" t="e">
        <f aca="false"/>
        <v>#REF!</v>
      </c>
      <c r="P187" s="85" t="e">
        <f aca="false"/>
        <v>#REF!</v>
      </c>
      <c r="Q187" s="85" t="n">
        <v>0</v>
      </c>
      <c r="R187" s="87" t="e">
        <f aca="false"/>
        <v>#REF!</v>
      </c>
      <c r="S187" s="0"/>
      <c r="T187" s="0"/>
    </row>
    <row r="188" customFormat="false" ht="18" hidden="false" customHeight="false" outlineLevel="0" collapsed="false">
      <c r="A188" s="40" t="s">
        <v>55</v>
      </c>
      <c r="B188" s="43" t="n">
        <v>0</v>
      </c>
      <c r="C188" s="43" t="n">
        <v>0</v>
      </c>
      <c r="D188" s="43" t="n">
        <f aca="false">0.28+0.265</f>
        <v>0.545</v>
      </c>
      <c r="E188" s="88" t="n">
        <v>0</v>
      </c>
      <c r="F188" s="43" t="n">
        <v>0</v>
      </c>
      <c r="G188" s="43" t="n">
        <f aca="false">0.417+10.937</f>
        <v>11.354</v>
      </c>
      <c r="H188" s="43" t="n">
        <v>6.288</v>
      </c>
      <c r="I188" s="43" t="n">
        <v>8.866</v>
      </c>
      <c r="J188" s="43" t="n">
        <f aca="false">0.781+75.239</f>
        <v>76.02</v>
      </c>
      <c r="K188" s="43" t="n">
        <v>11.889</v>
      </c>
      <c r="L188" s="43" t="n">
        <v>0</v>
      </c>
      <c r="M188" s="43" t="n">
        <f aca="false">2.056+59.466</f>
        <v>61.522</v>
      </c>
      <c r="N188" s="44" t="n">
        <f aca="false">SUM(B188:M188)</f>
        <v>176.484</v>
      </c>
      <c r="O188" s="45" t="e">
        <f aca="false"/>
        <v>#REF!</v>
      </c>
      <c r="P188" s="45" t="e">
        <f aca="false"/>
        <v>#REF!</v>
      </c>
      <c r="Q188" s="45" t="n">
        <v>0</v>
      </c>
      <c r="R188" s="45" t="e">
        <f aca="false"/>
        <v>#REF!</v>
      </c>
      <c r="S188" s="0"/>
      <c r="T188" s="0"/>
      <c r="V188" s="16"/>
      <c r="W188" s="16"/>
      <c r="X188" s="16"/>
      <c r="Y188" s="16"/>
      <c r="Z188" s="16"/>
      <c r="AA188" s="16"/>
      <c r="AB188" s="16"/>
    </row>
    <row r="189" customFormat="false" ht="12.75" hidden="false" customHeight="false" outlineLevel="0" collapsed="false">
      <c r="A189" s="37" t="s">
        <v>27</v>
      </c>
      <c r="B189" s="89" t="n">
        <f aca="false">SUM(B184:B188)</f>
        <v>2811.7</v>
      </c>
      <c r="C189" s="89" t="n">
        <f aca="false">SUM(C184:C188)</f>
        <v>2633.714</v>
      </c>
      <c r="D189" s="89" t="n">
        <f aca="false">SUM(D184:D188)</f>
        <v>2832.913</v>
      </c>
      <c r="E189" s="90" t="n">
        <f aca="false">SUM(E184:E188)</f>
        <v>2640.408</v>
      </c>
      <c r="F189" s="89" t="n">
        <f aca="false">SUM(F184:F188)</f>
        <v>2771.743</v>
      </c>
      <c r="G189" s="89" t="n">
        <f aca="false">SUM(G184:G188)</f>
        <v>2662.98</v>
      </c>
      <c r="H189" s="89" t="n">
        <f aca="false">SUM(H184:H188)</f>
        <v>2796.36</v>
      </c>
      <c r="I189" s="89" t="n">
        <f aca="false">SUM(I184:I188)</f>
        <v>2772.355</v>
      </c>
      <c r="J189" s="89" t="n">
        <f aca="false">SUM(J184:J188)</f>
        <v>2745.582</v>
      </c>
      <c r="K189" s="89" t="n">
        <f aca="false">SUM(K184:K188)</f>
        <v>2785.577</v>
      </c>
      <c r="L189" s="89" t="n">
        <f aca="false">SUM(L184:L188)</f>
        <v>2720.1636</v>
      </c>
      <c r="M189" s="89" t="n">
        <f aca="false">SUM(M184:M188)</f>
        <v>2917.017</v>
      </c>
      <c r="N189" s="89" t="n">
        <f aca="false">SUM(N184:N188)</f>
        <v>33090.5126</v>
      </c>
      <c r="O189" s="91"/>
      <c r="P189" s="92"/>
      <c r="Q189" s="92"/>
      <c r="R189" s="93"/>
      <c r="S189" s="0"/>
      <c r="T189" s="0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4"/>
      <c r="AV189" s="94"/>
      <c r="AW189" s="94"/>
      <c r="AX189" s="94"/>
      <c r="AY189" s="94"/>
      <c r="AZ189" s="94"/>
      <c r="BA189" s="94"/>
      <c r="BB189" s="94"/>
      <c r="BC189" s="94"/>
      <c r="BD189" s="94"/>
      <c r="BE189" s="94"/>
      <c r="BF189" s="94"/>
      <c r="BG189" s="94"/>
      <c r="BH189" s="94"/>
      <c r="BI189" s="94"/>
      <c r="BJ189" s="94"/>
      <c r="BK189" s="94"/>
      <c r="BL189" s="94"/>
      <c r="BM189" s="94"/>
      <c r="BN189" s="94"/>
      <c r="BO189" s="94"/>
      <c r="BP189" s="94"/>
      <c r="BQ189" s="94"/>
      <c r="BR189" s="94"/>
      <c r="BS189" s="94"/>
      <c r="BT189" s="94"/>
      <c r="BU189" s="94"/>
      <c r="BV189" s="94"/>
      <c r="BW189" s="94"/>
      <c r="BX189" s="94"/>
      <c r="BY189" s="94"/>
      <c r="BZ189" s="94"/>
      <c r="CA189" s="94"/>
      <c r="CB189" s="94"/>
      <c r="CC189" s="94"/>
      <c r="CD189" s="94"/>
      <c r="CE189" s="94"/>
      <c r="CF189" s="94"/>
      <c r="CG189" s="94"/>
      <c r="CH189" s="94"/>
      <c r="CI189" s="94"/>
      <c r="CJ189" s="94"/>
      <c r="CK189" s="94"/>
      <c r="CL189" s="94"/>
      <c r="CM189" s="94"/>
      <c r="CN189" s="94"/>
      <c r="CO189" s="94"/>
      <c r="CP189" s="94"/>
      <c r="CQ189" s="94"/>
      <c r="CR189" s="94"/>
      <c r="CS189" s="94"/>
      <c r="CT189" s="94"/>
      <c r="CU189" s="94"/>
      <c r="CV189" s="94"/>
      <c r="CW189" s="94"/>
      <c r="CX189" s="94"/>
      <c r="CY189" s="94"/>
      <c r="CZ189" s="94"/>
      <c r="DA189" s="94"/>
      <c r="DB189" s="94"/>
      <c r="DC189" s="94"/>
      <c r="DD189" s="94"/>
      <c r="DE189" s="94"/>
      <c r="DF189" s="94"/>
      <c r="DG189" s="94"/>
      <c r="DH189" s="94"/>
      <c r="DI189" s="94"/>
      <c r="DJ189" s="94"/>
      <c r="DK189" s="94"/>
      <c r="DL189" s="94"/>
      <c r="DM189" s="94"/>
      <c r="DN189" s="94"/>
      <c r="DO189" s="94"/>
      <c r="DP189" s="94"/>
      <c r="DQ189" s="94"/>
      <c r="DR189" s="94"/>
      <c r="DS189" s="94"/>
      <c r="DT189" s="94"/>
      <c r="DU189" s="94"/>
      <c r="DV189" s="94"/>
      <c r="DW189" s="94"/>
      <c r="DX189" s="94"/>
      <c r="DY189" s="94"/>
      <c r="DZ189" s="94"/>
      <c r="EA189" s="94"/>
      <c r="EB189" s="94"/>
      <c r="EC189" s="94"/>
      <c r="ED189" s="94"/>
      <c r="EE189" s="94"/>
      <c r="EF189" s="94"/>
      <c r="EG189" s="94"/>
      <c r="EH189" s="94"/>
      <c r="EI189" s="94"/>
      <c r="EJ189" s="94"/>
      <c r="EK189" s="94"/>
      <c r="EL189" s="94"/>
      <c r="EM189" s="94"/>
      <c r="EN189" s="94"/>
      <c r="EO189" s="94"/>
      <c r="EP189" s="94"/>
      <c r="EQ189" s="94"/>
      <c r="ER189" s="94"/>
      <c r="ES189" s="94"/>
      <c r="ET189" s="94"/>
      <c r="EU189" s="94"/>
      <c r="EV189" s="94"/>
      <c r="EW189" s="94"/>
      <c r="EX189" s="94"/>
      <c r="EY189" s="94"/>
      <c r="EZ189" s="94"/>
      <c r="FA189" s="94"/>
      <c r="FB189" s="94"/>
      <c r="FC189" s="94"/>
      <c r="FD189" s="94"/>
      <c r="FE189" s="94"/>
      <c r="FF189" s="94"/>
      <c r="FG189" s="94"/>
      <c r="FH189" s="94"/>
      <c r="FI189" s="94"/>
      <c r="FJ189" s="94"/>
      <c r="FK189" s="94"/>
      <c r="FL189" s="94"/>
      <c r="FM189" s="94"/>
      <c r="FN189" s="94"/>
      <c r="FO189" s="94"/>
      <c r="FP189" s="94"/>
      <c r="FQ189" s="94"/>
      <c r="FR189" s="94"/>
      <c r="FS189" s="94"/>
      <c r="FT189" s="94"/>
      <c r="FU189" s="94"/>
      <c r="FV189" s="94"/>
      <c r="FW189" s="94"/>
      <c r="FX189" s="94"/>
      <c r="FY189" s="94"/>
      <c r="FZ189" s="94"/>
      <c r="GA189" s="94"/>
      <c r="GB189" s="94"/>
      <c r="GC189" s="94"/>
      <c r="GD189" s="94"/>
      <c r="GE189" s="94"/>
      <c r="GF189" s="94"/>
      <c r="GG189" s="94"/>
      <c r="GH189" s="94"/>
      <c r="GI189" s="94"/>
      <c r="GJ189" s="94"/>
      <c r="GK189" s="94"/>
      <c r="GL189" s="94"/>
      <c r="GM189" s="94"/>
      <c r="GN189" s="94"/>
      <c r="GO189" s="94"/>
      <c r="GP189" s="94"/>
      <c r="GQ189" s="94"/>
      <c r="GR189" s="94"/>
      <c r="GS189" s="94"/>
      <c r="GT189" s="94"/>
      <c r="GU189" s="94"/>
      <c r="GV189" s="94"/>
      <c r="GW189" s="94"/>
      <c r="GX189" s="94"/>
      <c r="GY189" s="94"/>
      <c r="GZ189" s="94"/>
      <c r="HA189" s="94"/>
      <c r="HB189" s="94"/>
      <c r="HC189" s="94"/>
      <c r="HD189" s="94"/>
      <c r="HE189" s="94"/>
      <c r="HF189" s="94"/>
      <c r="HG189" s="94"/>
      <c r="HH189" s="94"/>
      <c r="HI189" s="94"/>
      <c r="HJ189" s="94"/>
      <c r="HK189" s="94"/>
      <c r="HL189" s="94"/>
      <c r="HM189" s="94"/>
      <c r="HN189" s="94"/>
      <c r="HO189" s="94"/>
      <c r="HP189" s="94"/>
      <c r="HQ189" s="94"/>
      <c r="HR189" s="94"/>
      <c r="HS189" s="94"/>
      <c r="HT189" s="94"/>
      <c r="HU189" s="94"/>
      <c r="HV189" s="94"/>
      <c r="HW189" s="94"/>
      <c r="HX189" s="94"/>
      <c r="HY189" s="94"/>
      <c r="HZ189" s="94"/>
      <c r="IA189" s="94"/>
      <c r="IB189" s="94"/>
      <c r="IC189" s="94"/>
      <c r="ID189" s="94"/>
      <c r="IE189" s="94"/>
      <c r="IF189" s="94"/>
      <c r="IG189" s="94"/>
      <c r="IH189" s="94"/>
      <c r="II189" s="94"/>
      <c r="IJ189" s="94"/>
      <c r="IK189" s="94"/>
      <c r="IL189" s="94"/>
      <c r="IM189" s="94"/>
      <c r="IN189" s="94"/>
      <c r="IO189" s="94"/>
      <c r="IP189" s="94"/>
      <c r="IQ189" s="94"/>
      <c r="IR189" s="94"/>
      <c r="IS189" s="94"/>
      <c r="IT189" s="94"/>
      <c r="IU189" s="94"/>
      <c r="IV189" s="94"/>
      <c r="IW189" s="94"/>
    </row>
    <row r="190" customFormat="false" ht="18" hidden="false" customHeight="false" outlineLevel="0" collapsed="false">
      <c r="A190" s="40"/>
      <c r="B190" s="53"/>
      <c r="C190" s="53"/>
      <c r="D190" s="53"/>
      <c r="E190" s="95"/>
      <c r="F190" s="53"/>
      <c r="G190" s="53"/>
      <c r="H190" s="53"/>
      <c r="I190" s="53"/>
      <c r="J190" s="53"/>
      <c r="K190" s="53"/>
      <c r="L190" s="53"/>
      <c r="M190" s="53"/>
      <c r="N190" s="53"/>
      <c r="O190" s="34"/>
      <c r="P190" s="85"/>
      <c r="Q190" s="85"/>
      <c r="R190" s="87"/>
      <c r="S190" s="0"/>
      <c r="T190" s="0"/>
      <c r="V190" s="16"/>
      <c r="W190" s="16"/>
      <c r="X190" s="16"/>
      <c r="Y190" s="16"/>
      <c r="Z190" s="16"/>
      <c r="AA190" s="16"/>
      <c r="AB190" s="16"/>
    </row>
    <row r="191" customFormat="false" ht="12.75" hidden="false" customHeight="false" outlineLevel="0" collapsed="false">
      <c r="A191" s="37" t="s">
        <v>73</v>
      </c>
      <c r="B191" s="53"/>
      <c r="C191" s="53"/>
      <c r="D191" s="53"/>
      <c r="E191" s="95"/>
      <c r="F191" s="53"/>
      <c r="G191" s="53"/>
      <c r="H191" s="53"/>
      <c r="I191" s="53"/>
      <c r="J191" s="53"/>
      <c r="K191" s="53"/>
      <c r="L191" s="53"/>
      <c r="M191" s="53"/>
      <c r="N191" s="53"/>
      <c r="O191" s="34"/>
      <c r="P191" s="34"/>
      <c r="Q191" s="34"/>
      <c r="R191" s="87"/>
      <c r="S191" s="0"/>
      <c r="T191" s="0"/>
    </row>
    <row r="192" customFormat="false" ht="18" hidden="false" customHeight="false" outlineLevel="0" collapsed="false">
      <c r="A192" s="40" t="s">
        <v>23</v>
      </c>
      <c r="B192" s="41" t="n">
        <v>3916</v>
      </c>
      <c r="C192" s="41" t="n">
        <v>3566.2</v>
      </c>
      <c r="D192" s="41" t="n">
        <f aca="false">4498.541-D193</f>
        <v>3847.841</v>
      </c>
      <c r="E192" s="86" t="n">
        <f aca="false">4263.99-E193</f>
        <v>3633.99</v>
      </c>
      <c r="F192" s="41" t="n">
        <f aca="false">4524.432-F193</f>
        <v>3873.732</v>
      </c>
      <c r="G192" s="41" t="n">
        <f aca="false">4377.018-G193</f>
        <v>3747.018</v>
      </c>
      <c r="H192" s="41" t="n">
        <f aca="false">4785.131-H193</f>
        <v>4134.391</v>
      </c>
      <c r="I192" s="41" t="n">
        <f aca="false">4934.368-I193</f>
        <v>4283.628</v>
      </c>
      <c r="J192" s="41" t="n">
        <f aca="false">4770.863-J193</f>
        <v>4141.115</v>
      </c>
      <c r="K192" s="41" t="n">
        <f aca="false">4912.764-K193</f>
        <v>4262.024</v>
      </c>
      <c r="L192" s="41" t="n">
        <f aca="false">4213.8825-37.8+52.67</f>
        <v>4228.7525</v>
      </c>
      <c r="M192" s="41" t="n">
        <f aca="false">4932.057-M193</f>
        <v>4281.317</v>
      </c>
      <c r="N192" s="4" t="n">
        <f aca="false">SUM(B192:M192)</f>
        <v>47916.0085</v>
      </c>
      <c r="O192" s="87" t="e">
        <f aca="false"/>
        <v>#REF!</v>
      </c>
      <c r="P192" s="85" t="e">
        <f aca="false"/>
        <v>#REF!</v>
      </c>
      <c r="Q192" s="85" t="n">
        <v>50683.795665</v>
      </c>
      <c r="R192" s="87" t="e">
        <f aca="false"/>
        <v>#REF!</v>
      </c>
      <c r="S192" s="0"/>
      <c r="T192" s="0"/>
      <c r="V192" s="16"/>
      <c r="W192" s="16"/>
      <c r="X192" s="16"/>
      <c r="Y192" s="16"/>
      <c r="Z192" s="16"/>
      <c r="AA192" s="16"/>
      <c r="AB192" s="16"/>
    </row>
    <row r="193" customFormat="false" ht="12.75" hidden="false" customHeight="false" outlineLevel="0" collapsed="false">
      <c r="A193" s="40" t="s">
        <v>81</v>
      </c>
      <c r="B193" s="41" t="n">
        <v>650.69</v>
      </c>
      <c r="C193" s="41" t="n">
        <v>589</v>
      </c>
      <c r="D193" s="41" t="n">
        <v>650.7</v>
      </c>
      <c r="E193" s="41" t="n">
        <v>630</v>
      </c>
      <c r="F193" s="41" t="n">
        <v>650.7</v>
      </c>
      <c r="G193" s="41" t="n">
        <v>630</v>
      </c>
      <c r="H193" s="41" t="n">
        <v>650.74</v>
      </c>
      <c r="I193" s="41" t="n">
        <v>650.74</v>
      </c>
      <c r="J193" s="41" t="n">
        <v>629.748</v>
      </c>
      <c r="K193" s="41" t="n">
        <v>650.74</v>
      </c>
      <c r="L193" s="41" t="n">
        <f aca="false">629.748+8.78</f>
        <v>638.528</v>
      </c>
      <c r="M193" s="41" t="n">
        <f aca="false">650.74</f>
        <v>650.74</v>
      </c>
      <c r="N193" s="4" t="n">
        <f aca="false">SUM(B193:M193)</f>
        <v>7672.326</v>
      </c>
      <c r="O193" s="87" t="e">
        <f aca="false"/>
        <v>#REF!</v>
      </c>
      <c r="P193" s="85" t="e">
        <f aca="false"/>
        <v>#REF!</v>
      </c>
      <c r="Q193" s="85" t="n">
        <v>7663.546</v>
      </c>
      <c r="R193" s="87" t="e">
        <f aca="false"/>
        <v>#REF!</v>
      </c>
      <c r="S193" s="0"/>
      <c r="T193" s="0"/>
    </row>
    <row r="194" customFormat="false" ht="18" hidden="false" customHeight="false" outlineLevel="0" collapsed="false">
      <c r="A194" s="40" t="s">
        <v>54</v>
      </c>
      <c r="B194" s="41" t="n">
        <v>237.8</v>
      </c>
      <c r="C194" s="41" t="n">
        <v>217.362</v>
      </c>
      <c r="D194" s="41" t="n">
        <v>213.952</v>
      </c>
      <c r="E194" s="41" t="n">
        <v>180.631</v>
      </c>
      <c r="F194" s="41" t="n">
        <v>153.586</v>
      </c>
      <c r="G194" s="41" t="n">
        <v>284.302</v>
      </c>
      <c r="H194" s="41" t="n">
        <v>289.544</v>
      </c>
      <c r="I194" s="41" t="n">
        <v>320.596</v>
      </c>
      <c r="J194" s="41" t="n">
        <v>298.831</v>
      </c>
      <c r="K194" s="41" t="n">
        <v>320.681</v>
      </c>
      <c r="L194" s="41" t="n">
        <f aca="false">334.30060125-57.706-50.25</f>
        <v>226.34460125</v>
      </c>
      <c r="M194" s="41" t="n">
        <v>331.679</v>
      </c>
      <c r="N194" s="4" t="n">
        <f aca="false">SUM(B194:M194)</f>
        <v>3075.30860125</v>
      </c>
      <c r="O194" s="87" t="e">
        <f aca="false"/>
        <v>#REF!</v>
      </c>
      <c r="P194" s="85" t="e">
        <f aca="false"/>
        <v>#REF!</v>
      </c>
      <c r="Q194" s="85" t="n">
        <v>3944.79460125</v>
      </c>
      <c r="R194" s="87" t="e">
        <f aca="false"/>
        <v>#REF!</v>
      </c>
      <c r="S194" s="0"/>
      <c r="T194" s="0"/>
      <c r="V194" s="16"/>
      <c r="W194" s="16"/>
      <c r="X194" s="16"/>
      <c r="Y194" s="16"/>
      <c r="Z194" s="16"/>
      <c r="AA194" s="16"/>
      <c r="AB194" s="16"/>
    </row>
    <row r="195" customFormat="false" ht="12.75" hidden="false" customHeight="false" outlineLevel="0" collapsed="false">
      <c r="A195" s="40" t="s">
        <v>63</v>
      </c>
      <c r="B195" s="41" t="n">
        <v>7.2</v>
      </c>
      <c r="C195" s="41" t="n">
        <v>3.982</v>
      </c>
      <c r="D195" s="41" t="n">
        <v>3.322</v>
      </c>
      <c r="E195" s="41" t="n">
        <v>4.921</v>
      </c>
      <c r="F195" s="41" t="n">
        <v>5.131</v>
      </c>
      <c r="G195" s="41" t="n">
        <v>5.251</v>
      </c>
      <c r="H195" s="41" t="n">
        <v>5.079</v>
      </c>
      <c r="I195" s="41" t="n">
        <v>9.422</v>
      </c>
      <c r="J195" s="41" t="n">
        <v>16.434</v>
      </c>
      <c r="K195" s="41" t="n">
        <v>13.821</v>
      </c>
      <c r="L195" s="41" t="n">
        <v>115</v>
      </c>
      <c r="M195" s="41" t="n">
        <v>9.749</v>
      </c>
      <c r="N195" s="4" t="n">
        <f aca="false">SUM(B195:M195)</f>
        <v>199.312</v>
      </c>
      <c r="O195" s="87" t="e">
        <f aca="false"/>
        <v>#REF!</v>
      </c>
      <c r="P195" s="85" t="e">
        <f aca="false"/>
        <v>#REF!</v>
      </c>
      <c r="Q195" s="85" t="n">
        <v>0</v>
      </c>
      <c r="R195" s="87" t="e">
        <f aca="false"/>
        <v>#REF!</v>
      </c>
      <c r="S195" s="0"/>
      <c r="T195" s="0"/>
    </row>
    <row r="196" customFormat="false" ht="18" hidden="false" customHeight="false" outlineLevel="0" collapsed="false">
      <c r="A196" s="40" t="s">
        <v>82</v>
      </c>
      <c r="B196" s="41"/>
      <c r="C196" s="41" t="n">
        <v>0</v>
      </c>
      <c r="D196" s="41" t="n">
        <v>13.038</v>
      </c>
      <c r="E196" s="41"/>
      <c r="F196" s="41"/>
      <c r="G196" s="41"/>
      <c r="H196" s="41"/>
      <c r="I196" s="41"/>
      <c r="J196" s="41"/>
      <c r="K196" s="41"/>
      <c r="L196" s="41"/>
      <c r="M196" s="41"/>
      <c r="N196" s="4"/>
      <c r="O196" s="87"/>
      <c r="P196" s="85"/>
      <c r="Q196" s="85"/>
      <c r="R196" s="87"/>
      <c r="S196" s="0"/>
      <c r="T196" s="0"/>
      <c r="V196" s="16"/>
      <c r="W196" s="16"/>
      <c r="X196" s="16"/>
      <c r="Y196" s="16"/>
      <c r="Z196" s="16"/>
      <c r="AA196" s="16"/>
      <c r="AB196" s="16"/>
    </row>
    <row r="197" customFormat="false" ht="12.75" hidden="false" customHeight="false" outlineLevel="0" collapsed="false">
      <c r="A197" s="40" t="s">
        <v>55</v>
      </c>
      <c r="B197" s="43" t="n">
        <v>1</v>
      </c>
      <c r="C197" s="43" t="n">
        <v>2.386</v>
      </c>
      <c r="D197" s="43" t="n">
        <v>1.319</v>
      </c>
      <c r="E197" s="43" t="n">
        <v>0.487</v>
      </c>
      <c r="F197" s="43" t="n">
        <v>0.394</v>
      </c>
      <c r="G197" s="43" t="n">
        <v>1.087</v>
      </c>
      <c r="H197" s="43" t="n">
        <v>1.013</v>
      </c>
      <c r="I197" s="43" t="n">
        <v>16.149</v>
      </c>
      <c r="J197" s="43" t="n">
        <v>2.267</v>
      </c>
      <c r="K197" s="43" t="n">
        <f aca="false">72.85-9.3-63.5</f>
        <v>0.0499999999999972</v>
      </c>
      <c r="L197" s="43" t="n">
        <f aca="false">70.5-70.5</f>
        <v>0</v>
      </c>
      <c r="M197" s="43" t="n">
        <f aca="false">72.85-72.85</f>
        <v>0</v>
      </c>
      <c r="N197" s="44" t="n">
        <f aca="false">SUM(B197:M197)</f>
        <v>26.152</v>
      </c>
      <c r="O197" s="45" t="e">
        <f aca="false"/>
        <v>#REF!</v>
      </c>
      <c r="P197" s="45" t="e">
        <f aca="false"/>
        <v>#REF!</v>
      </c>
      <c r="Q197" s="45" t="n">
        <v>988.2</v>
      </c>
      <c r="R197" s="45" t="e">
        <f aca="false"/>
        <v>#REF!</v>
      </c>
      <c r="S197" s="0"/>
      <c r="T197" s="0"/>
    </row>
    <row r="198" customFormat="false" ht="18" hidden="false" customHeight="false" outlineLevel="0" collapsed="false">
      <c r="A198" s="37" t="s">
        <v>30</v>
      </c>
      <c r="B198" s="89" t="n">
        <f aca="false">SUM(B192:B197)</f>
        <v>4812.69</v>
      </c>
      <c r="C198" s="89" t="n">
        <f aca="false">SUM(C192:C197)</f>
        <v>4378.93</v>
      </c>
      <c r="D198" s="89" t="n">
        <f aca="false">SUM(D192:D197)</f>
        <v>4730.172</v>
      </c>
      <c r="E198" s="89" t="n">
        <f aca="false">SUM(E192:E197)</f>
        <v>4450.029</v>
      </c>
      <c r="F198" s="89" t="n">
        <f aca="false">SUM(F192:F197)</f>
        <v>4683.543</v>
      </c>
      <c r="G198" s="89" t="n">
        <f aca="false">SUM(G192:G197)</f>
        <v>4667.658</v>
      </c>
      <c r="H198" s="89" t="n">
        <f aca="false">SUM(H192:H197)</f>
        <v>5080.767</v>
      </c>
      <c r="I198" s="89" t="n">
        <f aca="false">SUM(I192:I197)</f>
        <v>5280.535</v>
      </c>
      <c r="J198" s="89" t="n">
        <f aca="false">SUM(J192:J197)</f>
        <v>5088.395</v>
      </c>
      <c r="K198" s="89" t="n">
        <f aca="false">SUM(K192:K197)</f>
        <v>5247.316</v>
      </c>
      <c r="L198" s="89" t="n">
        <f aca="false">SUM(L192:L197)</f>
        <v>5208.62510125</v>
      </c>
      <c r="M198" s="89" t="n">
        <f aca="false">SUM(M192:M197)</f>
        <v>5273.485</v>
      </c>
      <c r="N198" s="89" t="n">
        <f aca="false">SUM(N192:N197)</f>
        <v>58889.10710125</v>
      </c>
      <c r="O198" s="91"/>
      <c r="P198" s="92"/>
      <c r="Q198" s="92"/>
      <c r="R198" s="93"/>
      <c r="S198" s="0"/>
      <c r="T198" s="0"/>
      <c r="V198" s="16"/>
      <c r="W198" s="16"/>
      <c r="X198" s="16"/>
      <c r="Y198" s="16"/>
      <c r="Z198" s="16"/>
      <c r="AA198" s="16"/>
      <c r="AB198" s="16"/>
    </row>
    <row r="199" customFormat="false" ht="12.75" hidden="false" customHeight="false" outlineLevel="0" collapsed="false">
      <c r="A199" s="40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34"/>
      <c r="P199" s="85"/>
      <c r="Q199" s="85"/>
      <c r="R199" s="87"/>
      <c r="S199" s="0"/>
      <c r="T199" s="0"/>
    </row>
    <row r="200" customFormat="false" ht="18" hidden="false" customHeight="false" outlineLevel="0" collapsed="false">
      <c r="A200" s="37" t="s">
        <v>31</v>
      </c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87"/>
      <c r="P200" s="85"/>
      <c r="Q200" s="85"/>
      <c r="R200" s="87"/>
      <c r="S200" s="0"/>
      <c r="T200" s="0"/>
      <c r="V200" s="16"/>
      <c r="W200" s="16"/>
      <c r="X200" s="16"/>
      <c r="Y200" s="16"/>
      <c r="Z200" s="16"/>
      <c r="AA200" s="16"/>
      <c r="AB200" s="16"/>
    </row>
    <row r="201" customFormat="false" ht="12.75" hidden="false" customHeight="false" outlineLevel="0" collapsed="false">
      <c r="A201" s="40" t="s">
        <v>23</v>
      </c>
      <c r="B201" s="41" t="n">
        <v>291.7</v>
      </c>
      <c r="C201" s="41" t="n">
        <v>272.136</v>
      </c>
      <c r="D201" s="41" t="n">
        <v>290.937</v>
      </c>
      <c r="E201" s="41" t="n">
        <v>286.392</v>
      </c>
      <c r="F201" s="41" t="n">
        <v>291.182</v>
      </c>
      <c r="G201" s="41" t="n">
        <v>291.182</v>
      </c>
      <c r="H201" s="41" t="n">
        <v>290.631</v>
      </c>
      <c r="I201" s="41" t="n">
        <v>292.712</v>
      </c>
      <c r="J201" s="41" t="n">
        <v>285.58</v>
      </c>
      <c r="K201" s="41" t="n">
        <v>292.712</v>
      </c>
      <c r="L201" s="41" t="n">
        <v>242.613</v>
      </c>
      <c r="M201" s="41" t="n">
        <v>291.085</v>
      </c>
      <c r="N201" s="4" t="n">
        <f aca="false">SUM(B201:M201)</f>
        <v>3418.862</v>
      </c>
      <c r="O201" s="87"/>
      <c r="P201" s="85"/>
      <c r="Q201" s="85"/>
      <c r="R201" s="87" t="e">
        <f aca="false"/>
        <v>#REF!</v>
      </c>
      <c r="S201" s="0"/>
      <c r="T201" s="0"/>
    </row>
    <row r="202" customFormat="false" ht="18" hidden="false" customHeight="false" outlineLevel="0" collapsed="false">
      <c r="A202" s="40" t="s">
        <v>54</v>
      </c>
      <c r="B202" s="41" t="n">
        <v>33.7</v>
      </c>
      <c r="C202" s="41" t="n">
        <v>32.364</v>
      </c>
      <c r="D202" s="41" t="n">
        <v>34.562</v>
      </c>
      <c r="E202" s="41" t="n">
        <v>28.607</v>
      </c>
      <c r="F202" s="41" t="n">
        <v>34.317</v>
      </c>
      <c r="G202" s="41" t="n">
        <v>34.317</v>
      </c>
      <c r="H202" s="41" t="n">
        <v>34.868</v>
      </c>
      <c r="I202" s="41" t="n">
        <v>32.787</v>
      </c>
      <c r="J202" s="41" t="n">
        <v>29.419</v>
      </c>
      <c r="K202" s="41" t="n">
        <v>32.787</v>
      </c>
      <c r="L202" s="41" t="n">
        <v>27.387</v>
      </c>
      <c r="M202" s="41" t="n">
        <v>34.414</v>
      </c>
      <c r="N202" s="4" t="n">
        <f aca="false">SUM(B202:M202)</f>
        <v>389.529</v>
      </c>
      <c r="O202" s="87"/>
      <c r="P202" s="85"/>
      <c r="Q202" s="85"/>
      <c r="R202" s="87"/>
      <c r="S202" s="0"/>
      <c r="T202" s="0"/>
      <c r="V202" s="16"/>
      <c r="W202" s="16"/>
      <c r="X202" s="16"/>
      <c r="Y202" s="16"/>
      <c r="Z202" s="16"/>
      <c r="AA202" s="16"/>
      <c r="AB202" s="16"/>
    </row>
    <row r="203" customFormat="false" ht="12.75" hidden="false" customHeight="false" outlineLevel="0" collapsed="false">
      <c r="A203" s="46" t="s">
        <v>32</v>
      </c>
      <c r="B203" s="96"/>
      <c r="C203" s="41" t="n">
        <v>0</v>
      </c>
      <c r="D203" s="41" t="n">
        <v>0</v>
      </c>
      <c r="E203" s="41" t="n">
        <v>0</v>
      </c>
      <c r="F203" s="41" t="n">
        <v>0</v>
      </c>
      <c r="G203" s="41" t="n">
        <v>0</v>
      </c>
      <c r="H203" s="41" t="n">
        <v>0</v>
      </c>
      <c r="I203" s="41" t="n">
        <v>0</v>
      </c>
      <c r="J203" s="41" t="n">
        <v>0</v>
      </c>
      <c r="K203" s="41" t="n">
        <v>0</v>
      </c>
      <c r="L203" s="41" t="n">
        <f aca="false">33.7-33.7</f>
        <v>0</v>
      </c>
      <c r="M203" s="41" t="n">
        <f aca="false">34.6-34.6</f>
        <v>0</v>
      </c>
      <c r="N203" s="4" t="n">
        <f aca="false">SUM(B203:M203)</f>
        <v>0</v>
      </c>
      <c r="O203" s="87" t="e">
        <f aca="false"/>
        <v>#REF!</v>
      </c>
      <c r="P203" s="85" t="e">
        <f aca="false"/>
        <v>#REF!</v>
      </c>
      <c r="Q203" s="85" t="e">
        <f aca="false"/>
        <v>#REF!</v>
      </c>
      <c r="R203" s="87" t="e">
        <f aca="false"/>
        <v>#REF!</v>
      </c>
      <c r="S203" s="0"/>
      <c r="T203" s="0"/>
    </row>
    <row r="204" customFormat="false" ht="18" hidden="false" customHeight="false" outlineLevel="0" collapsed="false">
      <c r="A204" s="40" t="s">
        <v>55</v>
      </c>
      <c r="B204" s="43" t="n">
        <v>0</v>
      </c>
      <c r="C204" s="43" t="n">
        <v>0</v>
      </c>
      <c r="D204" s="43" t="n">
        <v>0</v>
      </c>
      <c r="E204" s="43" t="n">
        <v>0</v>
      </c>
      <c r="F204" s="43" t="n">
        <v>0</v>
      </c>
      <c r="G204" s="43" t="n">
        <v>0</v>
      </c>
      <c r="H204" s="43" t="n">
        <v>0</v>
      </c>
      <c r="I204" s="43" t="n">
        <v>0</v>
      </c>
      <c r="J204" s="43" t="n">
        <v>0</v>
      </c>
      <c r="K204" s="43" t="n">
        <v>0</v>
      </c>
      <c r="L204" s="43" t="n">
        <v>0</v>
      </c>
      <c r="M204" s="43" t="n">
        <v>0</v>
      </c>
      <c r="N204" s="44" t="n">
        <f aca="false">SUM(B204:M204)</f>
        <v>0</v>
      </c>
      <c r="O204" s="45" t="e">
        <f aca="false"/>
        <v>#REF!</v>
      </c>
      <c r="P204" s="45" t="e">
        <f aca="false"/>
        <v>#REF!</v>
      </c>
      <c r="Q204" s="45" t="e">
        <f aca="false"/>
        <v>#REF!</v>
      </c>
      <c r="R204" s="45" t="e">
        <f aca="false"/>
        <v>#REF!</v>
      </c>
      <c r="S204" s="0"/>
      <c r="T204" s="0"/>
      <c r="V204" s="16"/>
      <c r="W204" s="16"/>
      <c r="X204" s="16"/>
      <c r="Y204" s="16"/>
      <c r="Z204" s="16"/>
      <c r="AA204" s="16"/>
      <c r="AB204" s="16"/>
    </row>
    <row r="205" customFormat="false" ht="12.75" hidden="false" customHeight="false" outlineLevel="0" collapsed="false">
      <c r="A205" s="37" t="s">
        <v>33</v>
      </c>
      <c r="B205" s="89" t="n">
        <f aca="false">SUM(B201:B204)</f>
        <v>325.4</v>
      </c>
      <c r="C205" s="89" t="n">
        <f aca="false">SUM(C201:C204)</f>
        <v>304.5</v>
      </c>
      <c r="D205" s="89" t="n">
        <f aca="false">SUM(D201:D204)</f>
        <v>325.499</v>
      </c>
      <c r="E205" s="89" t="n">
        <f aca="false">SUM(E201:E204)</f>
        <v>314.999</v>
      </c>
      <c r="F205" s="89" t="n">
        <f aca="false">SUM(F201:F204)</f>
        <v>325.499</v>
      </c>
      <c r="G205" s="89" t="n">
        <f aca="false">SUM(G201:G204)</f>
        <v>325.499</v>
      </c>
      <c r="H205" s="89" t="n">
        <f aca="false">SUM(H201:H204)</f>
        <v>325.499</v>
      </c>
      <c r="I205" s="89" t="n">
        <f aca="false">SUM(I201:I204)</f>
        <v>325.499</v>
      </c>
      <c r="J205" s="89" t="n">
        <f aca="false">SUM(J201:J204)</f>
        <v>314.999</v>
      </c>
      <c r="K205" s="89" t="n">
        <f aca="false">SUM(K201:K204)</f>
        <v>325.499</v>
      </c>
      <c r="L205" s="89" t="n">
        <f aca="false">SUM(L201:L204)</f>
        <v>270</v>
      </c>
      <c r="M205" s="89" t="n">
        <f aca="false">SUM(M201:M204)</f>
        <v>325.499</v>
      </c>
      <c r="N205" s="89" t="n">
        <f aca="false">SUM(N201:N204)</f>
        <v>3808.391</v>
      </c>
      <c r="O205" s="91"/>
      <c r="P205" s="92"/>
      <c r="Q205" s="92"/>
      <c r="R205" s="93"/>
      <c r="S205" s="0"/>
      <c r="T205" s="0"/>
    </row>
    <row r="206" customFormat="false" ht="18" hidden="false" customHeight="false" outlineLevel="0" collapsed="false">
      <c r="A206" s="40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34"/>
      <c r="P206" s="85"/>
      <c r="Q206" s="87"/>
      <c r="R206" s="87"/>
      <c r="S206" s="0"/>
      <c r="T206" s="0"/>
      <c r="V206" s="16"/>
      <c r="W206" s="16"/>
      <c r="X206" s="16"/>
      <c r="Y206" s="16"/>
      <c r="Z206" s="16"/>
      <c r="AA206" s="16"/>
      <c r="AB206" s="16"/>
    </row>
    <row r="207" customFormat="false" ht="12.75" hidden="false" customHeight="false" outlineLevel="0" collapsed="false">
      <c r="A207" s="37" t="s">
        <v>83</v>
      </c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87" t="e">
        <f aca="false">CHOOSE(#REF!,SUM(B207,B207),SUM(B207:C207),SUM(B207:D207),SUM(B207:E207),SUM(B207:F207),SUM(B207:G207),SUM(B207:H207),SUM(B207:I207),SUM(B207:J207),SUM(B207:K207),SUM(B207:L207),SUM(B207:M207))</f>
        <v>#REF!</v>
      </c>
      <c r="P207" s="85" t="e">
        <f aca="false">N207-O207</f>
        <v>#REF!</v>
      </c>
      <c r="Q207" s="85" t="n">
        <f aca="false">N207</f>
        <v>0</v>
      </c>
      <c r="R207" s="87"/>
      <c r="S207" s="0"/>
      <c r="T207" s="0"/>
    </row>
    <row r="208" customFormat="false" ht="18" hidden="false" customHeight="false" outlineLevel="0" collapsed="false">
      <c r="A208" s="40" t="s">
        <v>23</v>
      </c>
      <c r="B208" s="41" t="n">
        <v>392.9</v>
      </c>
      <c r="C208" s="41" t="n">
        <v>363.977</v>
      </c>
      <c r="D208" s="41" t="n">
        <v>496.778</v>
      </c>
      <c r="E208" s="41" t="n">
        <v>627.221</v>
      </c>
      <c r="F208" s="41" t="n">
        <v>932.788</v>
      </c>
      <c r="G208" s="41" t="n">
        <v>977.401</v>
      </c>
      <c r="H208" s="41" t="n">
        <v>963.565</v>
      </c>
      <c r="I208" s="41" t="n">
        <v>956.207</v>
      </c>
      <c r="J208" s="41" t="n">
        <v>933.893</v>
      </c>
      <c r="K208" s="41" t="n">
        <v>960.945</v>
      </c>
      <c r="L208" s="41" t="n">
        <f aca="false">584.65752+5.1+100</f>
        <v>689.75752</v>
      </c>
      <c r="M208" s="41" t="n">
        <v>1258.335</v>
      </c>
      <c r="N208" s="4" t="n">
        <f aca="false">SUM(B208:M208)</f>
        <v>9553.76752</v>
      </c>
      <c r="O208" s="87" t="e">
        <f aca="false"/>
        <v>#REF!</v>
      </c>
      <c r="P208" s="85" t="e">
        <f aca="false"/>
        <v>#REF!</v>
      </c>
      <c r="Q208" s="85" t="n">
        <v>6645.780744</v>
      </c>
      <c r="R208" s="87" t="e">
        <f aca="false"/>
        <v>#REF!</v>
      </c>
      <c r="S208" s="0"/>
      <c r="T208" s="0"/>
      <c r="V208" s="16"/>
      <c r="W208" s="16"/>
      <c r="X208" s="16"/>
      <c r="Y208" s="16"/>
      <c r="Z208" s="16"/>
      <c r="AA208" s="16"/>
      <c r="AB208" s="16"/>
    </row>
    <row r="209" customFormat="false" ht="12.75" hidden="false" customHeight="false" outlineLevel="0" collapsed="false">
      <c r="A209" s="40" t="s">
        <v>54</v>
      </c>
      <c r="B209" s="41" t="n">
        <v>39.7</v>
      </c>
      <c r="C209" s="41" t="n">
        <v>37.542</v>
      </c>
      <c r="D209" s="41" t="n">
        <v>64.862</v>
      </c>
      <c r="E209" s="41" t="n">
        <v>66.17</v>
      </c>
      <c r="F209" s="41" t="n">
        <v>102.213</v>
      </c>
      <c r="G209" s="41" t="n">
        <v>96.451</v>
      </c>
      <c r="H209" s="41" t="n">
        <v>94.209</v>
      </c>
      <c r="I209" s="41" t="n">
        <v>101.566</v>
      </c>
      <c r="J209" s="41" t="n">
        <v>91.498</v>
      </c>
      <c r="K209" s="41" t="n">
        <v>96.828</v>
      </c>
      <c r="L209" s="41" t="n">
        <f aca="false">66.73248+2.4+33+25.17</f>
        <v>127.30248</v>
      </c>
      <c r="M209" s="41" t="n">
        <v>103.859</v>
      </c>
      <c r="N209" s="4" t="n">
        <f aca="false">SUM(B209:M209)</f>
        <v>1022.20048</v>
      </c>
      <c r="O209" s="87" t="e">
        <f aca="false"/>
        <v>#REF!</v>
      </c>
      <c r="P209" s="85" t="e">
        <f aca="false"/>
        <v>#REF!</v>
      </c>
      <c r="Q209" s="85" t="n">
        <v>752.477256</v>
      </c>
      <c r="R209" s="87" t="e">
        <f aca="false"/>
        <v>#REF!</v>
      </c>
      <c r="S209" s="0"/>
      <c r="T209" s="0"/>
    </row>
    <row r="210" customFormat="false" ht="18" hidden="false" customHeight="false" outlineLevel="0" collapsed="false">
      <c r="A210" s="40" t="s">
        <v>63</v>
      </c>
      <c r="B210" s="41" t="n">
        <v>0</v>
      </c>
      <c r="C210" s="41" t="n">
        <v>0</v>
      </c>
      <c r="D210" s="41" t="n">
        <v>0</v>
      </c>
      <c r="E210" s="41" t="n">
        <v>0</v>
      </c>
      <c r="F210" s="86" t="n">
        <f aca="false">0</f>
        <v>0</v>
      </c>
      <c r="G210" s="41" t="n">
        <v>0</v>
      </c>
      <c r="H210" s="41" t="n">
        <v>0</v>
      </c>
      <c r="I210" s="41" t="n">
        <v>0</v>
      </c>
      <c r="J210" s="41" t="n">
        <v>0</v>
      </c>
      <c r="K210" s="86" t="n">
        <f aca="false">0</f>
        <v>0</v>
      </c>
      <c r="L210" s="41" t="n">
        <v>0</v>
      </c>
      <c r="M210" s="41" t="n">
        <v>0</v>
      </c>
      <c r="N210" s="4" t="n">
        <f aca="false">SUM(B210:M210)</f>
        <v>0</v>
      </c>
      <c r="O210" s="87"/>
      <c r="P210" s="85"/>
      <c r="Q210" s="85"/>
      <c r="R210" s="87"/>
      <c r="S210" s="0"/>
      <c r="T210" s="0"/>
      <c r="V210" s="16"/>
      <c r="W210" s="16"/>
      <c r="X210" s="16"/>
      <c r="Y210" s="16"/>
      <c r="Z210" s="16"/>
      <c r="AA210" s="16"/>
      <c r="AB210" s="16"/>
    </row>
    <row r="211" customFormat="false" ht="12.75" hidden="false" customHeight="false" outlineLevel="0" collapsed="false">
      <c r="A211" s="40" t="s">
        <v>35</v>
      </c>
      <c r="B211" s="41" t="n">
        <v>8</v>
      </c>
      <c r="C211" s="41" t="n">
        <v>7.551</v>
      </c>
      <c r="D211" s="41" t="n">
        <v>7.992</v>
      </c>
      <c r="E211" s="41" t="n">
        <v>4.576</v>
      </c>
      <c r="F211" s="41"/>
      <c r="G211" s="41"/>
      <c r="H211" s="41"/>
      <c r="I211" s="41"/>
      <c r="J211" s="41"/>
      <c r="K211" s="41"/>
      <c r="L211" s="41"/>
      <c r="M211" s="41" t="n">
        <v>5.58</v>
      </c>
      <c r="N211" s="4" t="n">
        <f aca="false">SUM(B211:M211)</f>
        <v>33.699</v>
      </c>
      <c r="O211" s="87"/>
      <c r="P211" s="85"/>
      <c r="Q211" s="85"/>
      <c r="R211" s="87"/>
      <c r="S211" s="0"/>
      <c r="T211" s="0"/>
    </row>
    <row r="212" customFormat="false" ht="18" hidden="false" customHeight="false" outlineLevel="0" collapsed="false">
      <c r="A212" s="40" t="s">
        <v>55</v>
      </c>
      <c r="B212" s="43" t="n">
        <v>0</v>
      </c>
      <c r="C212" s="43" t="n">
        <v>1.936</v>
      </c>
      <c r="D212" s="43" t="n">
        <v>0</v>
      </c>
      <c r="E212" s="43" t="n">
        <v>0</v>
      </c>
      <c r="F212" s="43" t="n">
        <v>9.792</v>
      </c>
      <c r="G212" s="43" t="n">
        <f aca="false">-51.015</f>
        <v>-51.015</v>
      </c>
      <c r="H212" s="43" t="n">
        <v>0</v>
      </c>
      <c r="I212" s="43" t="n">
        <v>0</v>
      </c>
      <c r="J212" s="43" t="n">
        <v>0</v>
      </c>
      <c r="K212" s="43" t="n">
        <v>0</v>
      </c>
      <c r="L212" s="43" t="n">
        <v>37.841</v>
      </c>
      <c r="M212" s="43" t="n">
        <v>0</v>
      </c>
      <c r="N212" s="44" t="n">
        <f aca="false">SUM(B212:M212)</f>
        <v>-1.446</v>
      </c>
      <c r="O212" s="87" t="e">
        <f aca="false"/>
        <v>#REF!</v>
      </c>
      <c r="P212" s="85" t="e">
        <f aca="false"/>
        <v>#REF!</v>
      </c>
      <c r="Q212" s="85" t="n">
        <v>0</v>
      </c>
      <c r="R212" s="87" t="e">
        <f aca="false"/>
        <v>#REF!</v>
      </c>
      <c r="S212" s="0"/>
      <c r="T212" s="0"/>
      <c r="V212" s="16"/>
      <c r="W212" s="16"/>
      <c r="X212" s="16"/>
      <c r="Y212" s="16"/>
      <c r="Z212" s="16"/>
      <c r="AA212" s="16"/>
      <c r="AB212" s="16"/>
    </row>
    <row r="213" customFormat="false" ht="12.75" hidden="false" customHeight="false" outlineLevel="0" collapsed="false">
      <c r="A213" s="37" t="s">
        <v>36</v>
      </c>
      <c r="B213" s="97" t="n">
        <f aca="false">SUM(B208:B212)</f>
        <v>440.6</v>
      </c>
      <c r="C213" s="97" t="n">
        <f aca="false">SUM(C208:C212)</f>
        <v>411.006</v>
      </c>
      <c r="D213" s="97" t="n">
        <f aca="false">SUM(D208:D212)</f>
        <v>569.632</v>
      </c>
      <c r="E213" s="97" t="n">
        <f aca="false">SUM(E208:E212)</f>
        <v>697.967</v>
      </c>
      <c r="F213" s="97" t="n">
        <f aca="false">SUM(F208:F212)</f>
        <v>1044.793</v>
      </c>
      <c r="G213" s="97" t="n">
        <f aca="false">SUM(G208:G212)</f>
        <v>1022.837</v>
      </c>
      <c r="H213" s="97" t="n">
        <f aca="false">SUM(H208:H212)</f>
        <v>1057.774</v>
      </c>
      <c r="I213" s="97" t="n">
        <f aca="false">SUM(I208:I212)</f>
        <v>1057.773</v>
      </c>
      <c r="J213" s="97" t="n">
        <f aca="false">SUM(J208:J212)</f>
        <v>1025.391</v>
      </c>
      <c r="K213" s="97" t="n">
        <f aca="false">SUM(K208:K212)</f>
        <v>1057.773</v>
      </c>
      <c r="L213" s="97" t="n">
        <f aca="false">SUM(L208:L212)</f>
        <v>854.901</v>
      </c>
      <c r="M213" s="97" t="n">
        <f aca="false">SUM(M208:M212)</f>
        <v>1367.774</v>
      </c>
      <c r="N213" s="55" t="n">
        <f aca="false">SUM(N208:N212)</f>
        <v>10608.221</v>
      </c>
      <c r="O213" s="87"/>
      <c r="P213" s="85"/>
      <c r="Q213" s="85"/>
      <c r="R213" s="87"/>
      <c r="S213" s="0"/>
      <c r="T213" s="0"/>
    </row>
    <row r="214" customFormat="false" ht="18" hidden="false" customHeight="false" outlineLevel="0" collapsed="false">
      <c r="A214" s="47" t="s">
        <v>84</v>
      </c>
      <c r="B214" s="89" t="n">
        <f aca="false">+B184+B192+B201+B208+B185+B193</f>
        <v>7726.29</v>
      </c>
      <c r="C214" s="89" t="n">
        <f aca="false">+C184+C192+C201+C208+C185+C193</f>
        <v>7111.913</v>
      </c>
      <c r="D214" s="89" t="n">
        <f aca="false">+D184+D192+D201+D208+D185+D193</f>
        <v>7766.462</v>
      </c>
      <c r="E214" s="89" t="n">
        <f aca="false">+E184+E192+E201+E208+E185+E193</f>
        <v>7571.407</v>
      </c>
      <c r="F214" s="89" t="n">
        <f aca="false">+F184+F192+F201+F208+F185+F193</f>
        <v>8209.74</v>
      </c>
      <c r="G214" s="89" t="n">
        <f aca="false">+G184+G192+G201+G208+G185+G193</f>
        <v>8011.021</v>
      </c>
      <c r="H214" s="89" t="n">
        <f aca="false">+H184+H192+H201+H208+H185+H193</f>
        <v>8518.441</v>
      </c>
      <c r="I214" s="89" t="n">
        <f aca="false">+I184+I192+I201+I208+I185+I193</f>
        <v>8635.201</v>
      </c>
      <c r="J214" s="89" t="n">
        <f aca="false">+J184+J192+J201+J208+J185+J193</f>
        <v>8363.366</v>
      </c>
      <c r="K214" s="89" t="n">
        <f aca="false">+K184+K192+K201+K208+K185+K193</f>
        <v>8625.713</v>
      </c>
      <c r="L214" s="89" t="n">
        <f aca="false">+L184+L192+L201+L208+L185+L193</f>
        <v>8308.63602</v>
      </c>
      <c r="M214" s="89" t="n">
        <f aca="false">+M184+M192+M201+M208+M185+M193</f>
        <v>8996.367</v>
      </c>
      <c r="N214" s="55" t="n">
        <f aca="false">SUM(B214:M214)</f>
        <v>97844.55702</v>
      </c>
      <c r="O214" s="98" t="e">
        <f aca="false">O184+O185+O192+O193+O201+O208+#REF!+#REF!</f>
        <v>#REF!</v>
      </c>
      <c r="P214" s="98" t="e">
        <f aca="false">P184+P185+P192+P193+P201+P208+#REF!+#REF!</f>
        <v>#REF!</v>
      </c>
      <c r="Q214" s="98" t="e">
        <f aca="false">Q184+Q185+Q192+Q193+Q201+Q208+#REF!+#REF!</f>
        <v>#REF!</v>
      </c>
      <c r="R214" s="98" t="e">
        <f aca="false">R184+R185+#REF!+R192+R193+#REF!+R201+R208+#REF!+#REF!+#REF!</f>
        <v>#REF!</v>
      </c>
      <c r="S214" s="0"/>
      <c r="T214" s="0"/>
      <c r="V214" s="16"/>
      <c r="W214" s="16"/>
      <c r="X214" s="16"/>
      <c r="Y214" s="16"/>
      <c r="Z214" s="16"/>
      <c r="AA214" s="16"/>
      <c r="AB214" s="16"/>
    </row>
    <row r="215" customFormat="false" ht="12.75" hidden="false" customHeight="false" outlineLevel="0" collapsed="false">
      <c r="A215" s="47" t="s">
        <v>85</v>
      </c>
      <c r="B215" s="99" t="n">
        <f aca="false">B186+B188+B194+B195+B197+B202+B204+B209+B210+B211+B212</f>
        <v>664.1</v>
      </c>
      <c r="C215" s="99" t="n">
        <f aca="false">C186+C187+C188+C194+C195+C196+C197+C202+C203+C204+C209+C210+C211+C212</f>
        <v>616.237</v>
      </c>
      <c r="D215" s="99" t="n">
        <f aca="false">+D189+D198+D205+D213-D214</f>
        <v>691.754</v>
      </c>
      <c r="E215" s="99" t="n">
        <f aca="false">+E189+E198+E205+E213-E214</f>
        <v>531.996</v>
      </c>
      <c r="F215" s="99" t="n">
        <f aca="false">+F189+F198+F205+F213-F214</f>
        <v>615.838</v>
      </c>
      <c r="G215" s="99" t="n">
        <f aca="false">+G189+G198+G205+G213-G214</f>
        <v>667.953</v>
      </c>
      <c r="H215" s="99" t="n">
        <f aca="false">+H189+H198+H205+H213-H214</f>
        <v>741.958999999999</v>
      </c>
      <c r="I215" s="99" t="n">
        <f aca="false">+I189+I198+I205+I213-I214</f>
        <v>800.960999999999</v>
      </c>
      <c r="J215" s="99" t="n">
        <f aca="false">+J189+J198+J205+J213-J214</f>
        <v>811.001</v>
      </c>
      <c r="K215" s="99" t="n">
        <f aca="false">+K189+K198+K205+K213-K214</f>
        <v>790.452000000001</v>
      </c>
      <c r="L215" s="99" t="n">
        <f aca="false">+L189+L198+L205+L213-L214</f>
        <v>745.05368125</v>
      </c>
      <c r="M215" s="99" t="n">
        <f aca="false">+M189+M198+M205+M213-M214</f>
        <v>887.407999999999</v>
      </c>
      <c r="N215" s="55" t="n">
        <f aca="false">SUM(B215:M215)</f>
        <v>8564.71268125</v>
      </c>
      <c r="O215" s="98"/>
      <c r="P215" s="98"/>
      <c r="Q215" s="98"/>
      <c r="R215" s="98" t="e">
        <f aca="false">R216-R214</f>
        <v>#REF!</v>
      </c>
      <c r="S215" s="0"/>
      <c r="T215" s="0"/>
    </row>
    <row r="216" customFormat="false" ht="18" hidden="false" customHeight="false" outlineLevel="0" collapsed="false">
      <c r="A216" s="47" t="s">
        <v>86</v>
      </c>
      <c r="B216" s="99" t="n">
        <f aca="false">SUM(B214:B215)</f>
        <v>8390.39</v>
      </c>
      <c r="C216" s="99" t="n">
        <f aca="false">SUM(C214:C215)</f>
        <v>7728.15</v>
      </c>
      <c r="D216" s="99" t="n">
        <f aca="false">SUM(D214:D215)</f>
        <v>8458.216</v>
      </c>
      <c r="E216" s="99" t="n">
        <f aca="false">SUM(E214:E215)</f>
        <v>8103.403</v>
      </c>
      <c r="F216" s="99" t="n">
        <f aca="false">SUM(F214:F215)</f>
        <v>8825.578</v>
      </c>
      <c r="G216" s="99" t="n">
        <f aca="false">SUM(G214:G215)</f>
        <v>8678.974</v>
      </c>
      <c r="H216" s="99" t="n">
        <f aca="false">SUM(H214:H215)</f>
        <v>9260.4</v>
      </c>
      <c r="I216" s="99" t="n">
        <f aca="false">SUM(I214:I215)</f>
        <v>9436.162</v>
      </c>
      <c r="J216" s="99" t="n">
        <f aca="false">SUM(J214:J215)</f>
        <v>9174.367</v>
      </c>
      <c r="K216" s="99" t="n">
        <f aca="false">SUM(K214:K215)</f>
        <v>9416.165</v>
      </c>
      <c r="L216" s="99" t="n">
        <f aca="false">SUM(L214:L215)</f>
        <v>9053.68970125</v>
      </c>
      <c r="M216" s="99" t="n">
        <f aca="false">SUM(M214:M215)</f>
        <v>9883.775</v>
      </c>
      <c r="N216" s="55" t="n">
        <f aca="false">SUM(N214:N215)</f>
        <v>106409.26970125</v>
      </c>
      <c r="O216" s="98" t="e">
        <f aca="false">SUM(O184:O212)</f>
        <v>#REF!</v>
      </c>
      <c r="P216" s="98" t="e">
        <f aca="false">SUM(P184:P212)</f>
        <v>#REF!</v>
      </c>
      <c r="Q216" s="98" t="e">
        <f aca="false">SUM(Q184:Q212)</f>
        <v>#REF!</v>
      </c>
      <c r="R216" s="98" t="e">
        <f aca="false">SUM(R184:R212)</f>
        <v>#REF!</v>
      </c>
      <c r="S216" s="0"/>
      <c r="T216" s="0"/>
      <c r="V216" s="16"/>
      <c r="W216" s="16"/>
      <c r="X216" s="16"/>
      <c r="Y216" s="16"/>
      <c r="Z216" s="16"/>
      <c r="AA216" s="16"/>
      <c r="AB216" s="16"/>
    </row>
    <row r="217" customFormat="false" ht="12.75" hidden="false" customHeight="false" outlineLevel="0" collapsed="false">
      <c r="A217" s="51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1"/>
      <c r="O217" s="102"/>
      <c r="P217" s="102"/>
      <c r="Q217" s="102"/>
      <c r="R217" s="102"/>
      <c r="S217" s="0"/>
      <c r="T217" s="0"/>
    </row>
    <row r="218" customFormat="false" ht="18" hidden="false" customHeight="false" outlineLevel="0" collapsed="false">
      <c r="A218" s="36" t="s">
        <v>39</v>
      </c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0"/>
      <c r="O218" s="102"/>
      <c r="P218" s="102"/>
      <c r="Q218" s="102"/>
      <c r="R218" s="102"/>
      <c r="S218" s="0"/>
      <c r="T218" s="0"/>
      <c r="V218" s="16"/>
      <c r="W218" s="16"/>
      <c r="X218" s="16"/>
      <c r="Y218" s="16"/>
      <c r="Z218" s="16"/>
      <c r="AA218" s="16"/>
      <c r="AB218" s="16"/>
    </row>
    <row r="219" customFormat="false" ht="12.75" hidden="false" customHeight="false" outlineLevel="0" collapsed="false">
      <c r="A219" s="37" t="s">
        <v>40</v>
      </c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4"/>
      <c r="O219" s="38"/>
      <c r="P219" s="38"/>
      <c r="Q219" s="38"/>
      <c r="R219" s="38"/>
      <c r="S219" s="0"/>
      <c r="T219" s="0"/>
    </row>
    <row r="220" customFormat="false" ht="18" hidden="false" customHeight="false" outlineLevel="0" collapsed="false">
      <c r="A220" s="40" t="s">
        <v>23</v>
      </c>
      <c r="B220" s="41" t="n">
        <v>41.85</v>
      </c>
      <c r="C220" s="41" t="n">
        <f aca="false">39.15+25.235</f>
        <v>64.385</v>
      </c>
      <c r="D220" s="41" t="n">
        <v>0</v>
      </c>
      <c r="E220" s="41" t="n">
        <v>1.92</v>
      </c>
      <c r="F220" s="41" t="n">
        <v>11.4</v>
      </c>
      <c r="G220" s="41" t="n">
        <v>19.92</v>
      </c>
      <c r="H220" s="41" t="n">
        <v>19.344</v>
      </c>
      <c r="I220" s="41" t="n">
        <f aca="false">18.6-2.306</f>
        <v>16.294</v>
      </c>
      <c r="J220" s="41" t="n">
        <f aca="false">18+2.306</f>
        <v>20.306</v>
      </c>
      <c r="K220" s="41" t="n">
        <v>22.016</v>
      </c>
      <c r="L220" s="41" t="n">
        <v>0</v>
      </c>
      <c r="M220" s="41" t="n">
        <f aca="false">20.088</f>
        <v>20.088</v>
      </c>
      <c r="N220" s="4" t="n">
        <f aca="false">SUM(B220:M220)</f>
        <v>237.523</v>
      </c>
      <c r="O220" s="87" t="e">
        <f aca="false"/>
        <v>#REF!</v>
      </c>
      <c r="P220" s="85" t="e">
        <f aca="false"/>
        <v>#REF!</v>
      </c>
      <c r="Q220" s="85" t="n">
        <v>81</v>
      </c>
      <c r="R220" s="87" t="e">
        <f aca="false"/>
        <v>#REF!</v>
      </c>
      <c r="S220" s="0"/>
      <c r="T220" s="0"/>
      <c r="V220" s="16"/>
      <c r="W220" s="16"/>
      <c r="X220" s="16"/>
      <c r="Y220" s="16"/>
      <c r="Z220" s="16"/>
      <c r="AA220" s="16"/>
      <c r="AB220" s="16"/>
    </row>
    <row r="221" customFormat="false" ht="12.75" hidden="false" customHeight="false" outlineLevel="0" collapsed="false">
      <c r="A221" s="40" t="s">
        <v>54</v>
      </c>
      <c r="B221" s="41" t="n">
        <v>0</v>
      </c>
      <c r="C221" s="41" t="n">
        <v>4.237</v>
      </c>
      <c r="D221" s="41" t="n">
        <v>4.274</v>
      </c>
      <c r="E221" s="41" t="n">
        <v>8.342</v>
      </c>
      <c r="F221" s="41" t="n">
        <f aca="false">4.142+10.386</f>
        <v>14.528</v>
      </c>
      <c r="G221" s="41" t="n">
        <f aca="false">7.484</f>
        <v>7.484</v>
      </c>
      <c r="H221" s="41" t="n">
        <v>9.48</v>
      </c>
      <c r="I221" s="41" t="n">
        <f aca="false">7.72</f>
        <v>7.72</v>
      </c>
      <c r="J221" s="41" t="n">
        <v>5.976</v>
      </c>
      <c r="K221" s="41" t="n">
        <v>5.207</v>
      </c>
      <c r="L221" s="41" t="n">
        <v>0</v>
      </c>
      <c r="M221" s="41" t="n">
        <v>2.645</v>
      </c>
      <c r="N221" s="4" t="n">
        <f aca="false">SUM(B221:M221)</f>
        <v>69.893</v>
      </c>
      <c r="O221" s="87" t="e">
        <f aca="false"/>
        <v>#REF!</v>
      </c>
      <c r="P221" s="85" t="e">
        <f aca="false"/>
        <v>#REF!</v>
      </c>
      <c r="Q221" s="85" t="e">
        <f aca="false"/>
        <v>#REF!</v>
      </c>
      <c r="R221" s="87" t="e">
        <f aca="false"/>
        <v>#REF!</v>
      </c>
      <c r="S221" s="0"/>
      <c r="T221" s="0"/>
    </row>
    <row r="222" customFormat="false" ht="18" hidden="false" customHeight="false" outlineLevel="0" collapsed="false">
      <c r="A222" s="40" t="s">
        <v>63</v>
      </c>
      <c r="B222" s="41" t="n">
        <v>0</v>
      </c>
      <c r="C222" s="41" t="n">
        <v>0</v>
      </c>
      <c r="D222" s="41" t="n">
        <v>0</v>
      </c>
      <c r="E222" s="41" t="n">
        <v>0</v>
      </c>
      <c r="F222" s="41" t="n">
        <v>0</v>
      </c>
      <c r="G222" s="41" t="n">
        <v>0</v>
      </c>
      <c r="H222" s="41" t="n">
        <v>0</v>
      </c>
      <c r="I222" s="41" t="n">
        <v>0</v>
      </c>
      <c r="J222" s="41" t="n">
        <v>0</v>
      </c>
      <c r="K222" s="41" t="n">
        <v>0</v>
      </c>
      <c r="L222" s="41" t="n">
        <v>0</v>
      </c>
      <c r="M222" s="41" t="n">
        <v>0</v>
      </c>
      <c r="N222" s="4" t="n">
        <f aca="false">SUM(B222:M222)</f>
        <v>0</v>
      </c>
      <c r="O222" s="87" t="e">
        <f aca="false"/>
        <v>#REF!</v>
      </c>
      <c r="P222" s="85" t="e">
        <f aca="false"/>
        <v>#REF!</v>
      </c>
      <c r="Q222" s="85" t="e">
        <f aca="false"/>
        <v>#REF!</v>
      </c>
      <c r="R222" s="87" t="e">
        <f aca="false"/>
        <v>#REF!</v>
      </c>
      <c r="S222" s="0"/>
      <c r="T222" s="0"/>
      <c r="V222" s="16"/>
      <c r="W222" s="16"/>
      <c r="X222" s="16"/>
      <c r="Y222" s="16"/>
      <c r="Z222" s="16"/>
      <c r="AA222" s="16"/>
      <c r="AB222" s="16"/>
    </row>
    <row r="223" customFormat="false" ht="12.75" hidden="false" customHeight="false" outlineLevel="0" collapsed="false">
      <c r="A223" s="40" t="s">
        <v>55</v>
      </c>
      <c r="B223" s="43" t="n">
        <v>4.156</v>
      </c>
      <c r="C223" s="43" t="n">
        <v>0</v>
      </c>
      <c r="D223" s="43" t="n">
        <v>0</v>
      </c>
      <c r="E223" s="43" t="n">
        <v>1.595</v>
      </c>
      <c r="F223" s="43" t="n">
        <v>4.043</v>
      </c>
      <c r="G223" s="43" t="n">
        <f aca="false">1.963</f>
        <v>1.963</v>
      </c>
      <c r="H223" s="43" t="n">
        <v>3.605</v>
      </c>
      <c r="I223" s="43" t="n">
        <v>93.82</v>
      </c>
      <c r="J223" s="43" t="n">
        <v>0</v>
      </c>
      <c r="K223" s="43" t="n">
        <v>0</v>
      </c>
      <c r="L223" s="43" t="n">
        <v>0</v>
      </c>
      <c r="M223" s="43" t="n">
        <v>4.197</v>
      </c>
      <c r="N223" s="44" t="n">
        <f aca="false">SUM(B223:M223)</f>
        <v>113.379</v>
      </c>
      <c r="O223" s="45" t="e">
        <f aca="false"/>
        <v>#REF!</v>
      </c>
      <c r="P223" s="45" t="e">
        <f aca="false"/>
        <v>#REF!</v>
      </c>
      <c r="Q223" s="45" t="e">
        <f aca="false"/>
        <v>#REF!</v>
      </c>
      <c r="R223" s="45" t="e">
        <f aca="false"/>
        <v>#REF!</v>
      </c>
      <c r="S223" s="0"/>
      <c r="T223" s="0"/>
    </row>
    <row r="224" customFormat="false" ht="18" hidden="false" customHeight="false" outlineLevel="0" collapsed="false">
      <c r="A224" s="37" t="s">
        <v>41</v>
      </c>
      <c r="B224" s="89" t="n">
        <f aca="false">SUM(B220:B223)</f>
        <v>46.006</v>
      </c>
      <c r="C224" s="89" t="n">
        <f aca="false">SUM(C220:C223)</f>
        <v>68.622</v>
      </c>
      <c r="D224" s="89" t="n">
        <f aca="false">SUM(D220:D223)</f>
        <v>4.274</v>
      </c>
      <c r="E224" s="89" t="n">
        <f aca="false">SUM(E220:E223)</f>
        <v>11.857</v>
      </c>
      <c r="F224" s="89" t="n">
        <f aca="false">SUM(F220:F223)</f>
        <v>29.971</v>
      </c>
      <c r="G224" s="89" t="n">
        <f aca="false">SUM(G220:G223)</f>
        <v>29.367</v>
      </c>
      <c r="H224" s="89" t="n">
        <f aca="false">SUM(H220:H223)</f>
        <v>32.429</v>
      </c>
      <c r="I224" s="89" t="n">
        <f aca="false">SUM(I220:I223)</f>
        <v>117.834</v>
      </c>
      <c r="J224" s="89" t="n">
        <f aca="false">SUM(J220:J223)</f>
        <v>26.282</v>
      </c>
      <c r="K224" s="89" t="n">
        <f aca="false">SUM(K220:K223)</f>
        <v>27.223</v>
      </c>
      <c r="L224" s="89" t="n">
        <f aca="false">SUM(L220:L223)</f>
        <v>0</v>
      </c>
      <c r="M224" s="89" t="n">
        <f aca="false">SUM(M220:M223)</f>
        <v>26.93</v>
      </c>
      <c r="N224" s="89" t="n">
        <f aca="false">SUM(N220:N223)</f>
        <v>420.795</v>
      </c>
      <c r="O224" s="91"/>
      <c r="P224" s="92"/>
      <c r="Q224" s="92"/>
      <c r="R224" s="93"/>
      <c r="S224" s="0"/>
      <c r="T224" s="0"/>
      <c r="V224" s="16"/>
      <c r="W224" s="16"/>
      <c r="X224" s="16"/>
      <c r="Y224" s="16"/>
      <c r="Z224" s="16"/>
      <c r="AA224" s="16"/>
      <c r="AB224" s="16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4"/>
      <c r="AV224" s="94"/>
      <c r="AW224" s="94"/>
      <c r="AX224" s="94"/>
      <c r="AY224" s="94"/>
      <c r="AZ224" s="94"/>
      <c r="BA224" s="94"/>
      <c r="BB224" s="94"/>
      <c r="BC224" s="94"/>
      <c r="BD224" s="94"/>
      <c r="BE224" s="94"/>
      <c r="BF224" s="94"/>
      <c r="BG224" s="94"/>
      <c r="BH224" s="94"/>
      <c r="BI224" s="94"/>
      <c r="BJ224" s="94"/>
      <c r="BK224" s="94"/>
      <c r="BL224" s="94"/>
      <c r="BM224" s="94"/>
      <c r="BN224" s="94"/>
      <c r="BO224" s="94"/>
      <c r="BP224" s="94"/>
      <c r="BQ224" s="94"/>
      <c r="BR224" s="94"/>
      <c r="BS224" s="94"/>
      <c r="BT224" s="94"/>
      <c r="BU224" s="94"/>
      <c r="BV224" s="94"/>
      <c r="BW224" s="94"/>
      <c r="BX224" s="94"/>
      <c r="BY224" s="94"/>
      <c r="BZ224" s="94"/>
      <c r="CA224" s="94"/>
      <c r="CB224" s="94"/>
      <c r="CC224" s="94"/>
      <c r="CD224" s="94"/>
      <c r="CE224" s="94"/>
      <c r="CF224" s="94"/>
      <c r="CG224" s="94"/>
      <c r="CH224" s="94"/>
      <c r="CI224" s="94"/>
      <c r="CJ224" s="94"/>
      <c r="CK224" s="94"/>
      <c r="CL224" s="94"/>
      <c r="CM224" s="94"/>
      <c r="CN224" s="94"/>
      <c r="CO224" s="94"/>
      <c r="CP224" s="94"/>
      <c r="CQ224" s="94"/>
      <c r="CR224" s="94"/>
      <c r="CS224" s="94"/>
      <c r="CT224" s="94"/>
      <c r="CU224" s="94"/>
      <c r="CV224" s="94"/>
      <c r="CW224" s="94"/>
      <c r="CX224" s="94"/>
      <c r="CY224" s="94"/>
      <c r="CZ224" s="94"/>
      <c r="DA224" s="94"/>
      <c r="DB224" s="94"/>
      <c r="DC224" s="94"/>
      <c r="DD224" s="94"/>
      <c r="DE224" s="94"/>
      <c r="DF224" s="94"/>
      <c r="DG224" s="94"/>
      <c r="DH224" s="94"/>
      <c r="DI224" s="94"/>
      <c r="DJ224" s="94"/>
      <c r="DK224" s="94"/>
      <c r="DL224" s="94"/>
      <c r="DM224" s="94"/>
      <c r="DN224" s="94"/>
      <c r="DO224" s="94"/>
      <c r="DP224" s="94"/>
      <c r="DQ224" s="94"/>
      <c r="DR224" s="94"/>
      <c r="DS224" s="94"/>
      <c r="DT224" s="94"/>
      <c r="DU224" s="94"/>
      <c r="DV224" s="94"/>
      <c r="DW224" s="94"/>
      <c r="DX224" s="94"/>
      <c r="DY224" s="94"/>
      <c r="DZ224" s="94"/>
      <c r="EA224" s="94"/>
      <c r="EB224" s="94"/>
      <c r="EC224" s="94"/>
      <c r="ED224" s="94"/>
      <c r="EE224" s="94"/>
      <c r="EF224" s="94"/>
      <c r="EG224" s="94"/>
      <c r="EH224" s="94"/>
      <c r="EI224" s="94"/>
      <c r="EJ224" s="94"/>
      <c r="EK224" s="94"/>
      <c r="EL224" s="94"/>
      <c r="EM224" s="94"/>
      <c r="EN224" s="94"/>
      <c r="EO224" s="94"/>
      <c r="EP224" s="94"/>
      <c r="EQ224" s="94"/>
      <c r="ER224" s="94"/>
      <c r="ES224" s="94"/>
      <c r="ET224" s="94"/>
      <c r="EU224" s="94"/>
      <c r="EV224" s="94"/>
      <c r="EW224" s="94"/>
      <c r="EX224" s="94"/>
      <c r="EY224" s="94"/>
      <c r="EZ224" s="94"/>
      <c r="FA224" s="94"/>
      <c r="FB224" s="94"/>
      <c r="FC224" s="94"/>
      <c r="FD224" s="94"/>
      <c r="FE224" s="94"/>
      <c r="FF224" s="94"/>
      <c r="FG224" s="94"/>
      <c r="FH224" s="94"/>
      <c r="FI224" s="94"/>
      <c r="FJ224" s="94"/>
      <c r="FK224" s="94"/>
      <c r="FL224" s="94"/>
      <c r="FM224" s="94"/>
      <c r="FN224" s="94"/>
      <c r="FO224" s="94"/>
      <c r="FP224" s="94"/>
      <c r="FQ224" s="94"/>
      <c r="FR224" s="94"/>
      <c r="FS224" s="94"/>
      <c r="FT224" s="94"/>
      <c r="FU224" s="94"/>
      <c r="FV224" s="94"/>
      <c r="FW224" s="94"/>
      <c r="FX224" s="94"/>
      <c r="FY224" s="94"/>
      <c r="FZ224" s="94"/>
      <c r="GA224" s="94"/>
      <c r="GB224" s="94"/>
      <c r="GC224" s="94"/>
      <c r="GD224" s="94"/>
      <c r="GE224" s="94"/>
      <c r="GF224" s="94"/>
      <c r="GG224" s="94"/>
      <c r="GH224" s="94"/>
      <c r="GI224" s="94"/>
      <c r="GJ224" s="94"/>
      <c r="GK224" s="94"/>
      <c r="GL224" s="94"/>
      <c r="GM224" s="94"/>
      <c r="GN224" s="94"/>
      <c r="GO224" s="94"/>
      <c r="GP224" s="94"/>
      <c r="GQ224" s="94"/>
      <c r="GR224" s="94"/>
      <c r="GS224" s="94"/>
      <c r="GT224" s="94"/>
      <c r="GU224" s="94"/>
      <c r="GV224" s="94"/>
      <c r="GW224" s="94"/>
      <c r="GX224" s="94"/>
      <c r="GY224" s="94"/>
      <c r="GZ224" s="94"/>
      <c r="HA224" s="94"/>
      <c r="HB224" s="94"/>
      <c r="HC224" s="94"/>
      <c r="HD224" s="94"/>
      <c r="HE224" s="94"/>
      <c r="HF224" s="94"/>
      <c r="HG224" s="94"/>
      <c r="HH224" s="94"/>
      <c r="HI224" s="94"/>
      <c r="HJ224" s="94"/>
      <c r="HK224" s="94"/>
      <c r="HL224" s="94"/>
      <c r="HM224" s="94"/>
      <c r="HN224" s="94"/>
      <c r="HO224" s="94"/>
      <c r="HP224" s="94"/>
      <c r="HQ224" s="94"/>
      <c r="HR224" s="94"/>
      <c r="HS224" s="94"/>
      <c r="HT224" s="94"/>
      <c r="HU224" s="94"/>
      <c r="HV224" s="94"/>
      <c r="HW224" s="94"/>
      <c r="HX224" s="94"/>
      <c r="HY224" s="94"/>
      <c r="HZ224" s="94"/>
      <c r="IA224" s="94"/>
      <c r="IB224" s="94"/>
      <c r="IC224" s="94"/>
      <c r="ID224" s="94"/>
      <c r="IE224" s="94"/>
      <c r="IF224" s="94"/>
      <c r="IG224" s="94"/>
      <c r="IH224" s="94"/>
      <c r="II224" s="94"/>
      <c r="IJ224" s="94"/>
      <c r="IK224" s="94"/>
      <c r="IL224" s="94"/>
      <c r="IM224" s="94"/>
      <c r="IN224" s="94"/>
      <c r="IO224" s="94"/>
      <c r="IP224" s="94"/>
      <c r="IQ224" s="94"/>
      <c r="IR224" s="94"/>
      <c r="IS224" s="94"/>
      <c r="IT224" s="94"/>
      <c r="IU224" s="94"/>
      <c r="IV224" s="94"/>
      <c r="IW224" s="94"/>
    </row>
    <row r="225" customFormat="false" ht="12.75" hidden="false" customHeight="false" outlineLevel="0" collapsed="false">
      <c r="A225" s="40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0"/>
      <c r="O225" s="102"/>
      <c r="P225" s="102"/>
      <c r="Q225" s="102"/>
      <c r="R225" s="102"/>
      <c r="S225" s="0"/>
      <c r="T225" s="0"/>
    </row>
    <row r="226" customFormat="false" ht="18" hidden="false" customHeight="false" outlineLevel="0" collapsed="false">
      <c r="A226" s="37" t="s">
        <v>42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4"/>
      <c r="O226" s="38" t="e">
        <f aca="false">CHOOSE(#REF!,SUM(B226,B226),SUM(B226:C226),SUM(B226:D226),SUM(B226:E226),SUM(B226:F226),SUM(B226:G226),SUM(B226:H226),SUM(B226:I226),SUM(B226:J226),SUM(B226:K226),SUM(B226:L226),SUM(B226:M226))</f>
        <v>#REF!</v>
      </c>
      <c r="P226" s="38" t="e">
        <f aca="false">N226-O226</f>
        <v>#REF!</v>
      </c>
      <c r="Q226" s="38" t="n">
        <f aca="false">N226</f>
        <v>0</v>
      </c>
      <c r="R226" s="38"/>
      <c r="S226" s="0"/>
      <c r="T226" s="0"/>
      <c r="V226" s="16"/>
      <c r="W226" s="16"/>
      <c r="X226" s="16"/>
      <c r="Y226" s="16"/>
      <c r="Z226" s="16"/>
      <c r="AA226" s="16"/>
      <c r="AB226" s="16"/>
    </row>
    <row r="227" customFormat="false" ht="12.75" hidden="false" customHeight="false" outlineLevel="0" collapsed="false">
      <c r="A227" s="40" t="s">
        <v>23</v>
      </c>
      <c r="B227" s="41" t="n">
        <v>400.949</v>
      </c>
      <c r="C227" s="41" t="n">
        <v>374.782</v>
      </c>
      <c r="D227" s="41" t="n">
        <v>343.189</v>
      </c>
      <c r="E227" s="86" t="n">
        <v>393.527</v>
      </c>
      <c r="F227" s="41" t="n">
        <v>338.925</v>
      </c>
      <c r="G227" s="41" t="n">
        <v>369.085</v>
      </c>
      <c r="H227" s="41" t="n">
        <v>296.051</v>
      </c>
      <c r="I227" s="41" t="n">
        <v>263.611</v>
      </c>
      <c r="J227" s="41" t="n">
        <v>424.448</v>
      </c>
      <c r="K227" s="41" t="n">
        <v>383.189</v>
      </c>
      <c r="L227" s="41" t="n">
        <f aca="false">327.2907-32.06+90-30+12-107.1</f>
        <v>260.1307</v>
      </c>
      <c r="M227" s="41" t="n">
        <v>481.522</v>
      </c>
      <c r="N227" s="4" t="n">
        <f aca="false">SUM(B227:M227)</f>
        <v>4329.4087</v>
      </c>
      <c r="O227" s="87" t="e">
        <f aca="false"/>
        <v>#REF!</v>
      </c>
      <c r="P227" s="85" t="e">
        <f aca="false"/>
        <v>#REF!</v>
      </c>
      <c r="Q227" s="85" t="n">
        <v>3534.68404</v>
      </c>
      <c r="R227" s="87" t="e">
        <f aca="false"/>
        <v>#REF!</v>
      </c>
      <c r="S227" s="0"/>
      <c r="T227" s="0"/>
    </row>
    <row r="228" customFormat="false" ht="18" hidden="false" customHeight="false" outlineLevel="0" collapsed="false">
      <c r="A228" s="40" t="s">
        <v>54</v>
      </c>
      <c r="B228" s="41" t="n">
        <v>61.383</v>
      </c>
      <c r="C228" s="41" t="n">
        <v>56.559</v>
      </c>
      <c r="D228" s="41" t="n">
        <v>63.955</v>
      </c>
      <c r="E228" s="41" t="n">
        <v>89.234</v>
      </c>
      <c r="F228" s="41" t="n">
        <v>96.429</v>
      </c>
      <c r="G228" s="41" t="n">
        <v>46.081</v>
      </c>
      <c r="H228" s="41" t="n">
        <v>64.067</v>
      </c>
      <c r="I228" s="41" t="n">
        <v>59.505</v>
      </c>
      <c r="J228" s="41" t="n">
        <v>75.501</v>
      </c>
      <c r="K228" s="41" t="n">
        <v>48.931</v>
      </c>
      <c r="L228" s="41" t="n">
        <f aca="false">55.740789-5.44+27.9-11.82</f>
        <v>66.380789</v>
      </c>
      <c r="M228" s="41" t="n">
        <v>45.07</v>
      </c>
      <c r="N228" s="4" t="n">
        <f aca="false">SUM(B228:M228)</f>
        <v>773.095789</v>
      </c>
      <c r="O228" s="87" t="e">
        <f aca="false"/>
        <v>#REF!</v>
      </c>
      <c r="P228" s="85" t="e">
        <f aca="false"/>
        <v>#REF!</v>
      </c>
      <c r="Q228" s="85" t="n">
        <v>607.9539258</v>
      </c>
      <c r="R228" s="87" t="e">
        <f aca="false"/>
        <v>#REF!</v>
      </c>
      <c r="S228" s="0"/>
      <c r="T228" s="0"/>
      <c r="V228" s="16"/>
      <c r="W228" s="16"/>
      <c r="X228" s="16"/>
      <c r="Y228" s="16"/>
      <c r="Z228" s="16"/>
      <c r="AA228" s="16"/>
      <c r="AB228" s="16"/>
    </row>
    <row r="229" customFormat="false" ht="12.75" hidden="false" customHeight="false" outlineLevel="0" collapsed="false">
      <c r="A229" s="40" t="s">
        <v>63</v>
      </c>
      <c r="B229" s="41" t="n">
        <v>0</v>
      </c>
      <c r="C229" s="41" t="n">
        <v>0</v>
      </c>
      <c r="D229" s="41" t="n">
        <v>0</v>
      </c>
      <c r="E229" s="41" t="n">
        <v>0</v>
      </c>
      <c r="F229" s="41" t="n">
        <v>0</v>
      </c>
      <c r="G229" s="41" t="n">
        <v>0</v>
      </c>
      <c r="H229" s="41" t="n">
        <f aca="false">0</f>
        <v>0</v>
      </c>
      <c r="I229" s="41" t="n">
        <v>0</v>
      </c>
      <c r="J229" s="41" t="n">
        <v>0</v>
      </c>
      <c r="K229" s="41" t="n">
        <v>0</v>
      </c>
      <c r="L229" s="41" t="n">
        <v>107</v>
      </c>
      <c r="M229" s="41" t="n">
        <f aca="false">0</f>
        <v>0</v>
      </c>
      <c r="N229" s="4" t="n">
        <f aca="false">SUM(B229:M229)</f>
        <v>107</v>
      </c>
      <c r="O229" s="87" t="e">
        <f aca="false"/>
        <v>#REF!</v>
      </c>
      <c r="P229" s="85" t="e">
        <f aca="false"/>
        <v>#REF!</v>
      </c>
      <c r="Q229" s="85" t="n">
        <v>0</v>
      </c>
      <c r="R229" s="87" t="e">
        <f aca="false"/>
        <v>#REF!</v>
      </c>
      <c r="S229" s="0"/>
      <c r="T229" s="0"/>
    </row>
    <row r="230" customFormat="false" ht="18" hidden="false" customHeight="false" outlineLevel="0" collapsed="false">
      <c r="A230" s="40" t="s">
        <v>43</v>
      </c>
      <c r="B230" s="41" t="n">
        <v>35.672</v>
      </c>
      <c r="C230" s="41" t="n">
        <v>5.695</v>
      </c>
      <c r="D230" s="41" t="n">
        <f aca="false">5.996</f>
        <v>5.996</v>
      </c>
      <c r="E230" s="41" t="n">
        <v>12.734</v>
      </c>
      <c r="F230" s="41" t="n">
        <v>21.586</v>
      </c>
      <c r="G230" s="41" t="n">
        <v>5.209</v>
      </c>
      <c r="H230" s="41" t="n">
        <v>10.676</v>
      </c>
      <c r="I230" s="41" t="n">
        <v>12.986</v>
      </c>
      <c r="J230" s="41" t="n">
        <v>0.6</v>
      </c>
      <c r="K230" s="41" t="n">
        <v>14.533</v>
      </c>
      <c r="L230" s="41"/>
      <c r="M230" s="41" t="n">
        <v>293.006</v>
      </c>
      <c r="N230" s="4" t="n">
        <f aca="false">SUM(B230:M230)</f>
        <v>418.693</v>
      </c>
      <c r="O230" s="87"/>
      <c r="P230" s="85"/>
      <c r="Q230" s="85"/>
      <c r="R230" s="87"/>
      <c r="S230" s="0"/>
      <c r="T230" s="0"/>
      <c r="V230" s="16"/>
      <c r="W230" s="16"/>
      <c r="X230" s="16"/>
      <c r="Y230" s="16"/>
      <c r="Z230" s="16"/>
      <c r="AA230" s="16"/>
      <c r="AB230" s="16"/>
    </row>
    <row r="231" customFormat="false" ht="12.75" hidden="false" customHeight="false" outlineLevel="0" collapsed="false">
      <c r="A231" s="40" t="s">
        <v>55</v>
      </c>
      <c r="B231" s="43" t="n">
        <v>57.68</v>
      </c>
      <c r="C231" s="43" t="n">
        <v>25.981</v>
      </c>
      <c r="D231" s="43" t="n">
        <v>40.699</v>
      </c>
      <c r="E231" s="43" t="n">
        <v>27.538</v>
      </c>
      <c r="F231" s="43" t="n">
        <v>27.56</v>
      </c>
      <c r="G231" s="43" t="n">
        <f aca="false">28.453</f>
        <v>28.453</v>
      </c>
      <c r="H231" s="43" t="n">
        <v>60.191</v>
      </c>
      <c r="I231" s="43" t="n">
        <v>40.996</v>
      </c>
      <c r="J231" s="43" t="n">
        <v>17.378</v>
      </c>
      <c r="K231" s="43" t="n">
        <v>22.806</v>
      </c>
      <c r="L231" s="43" t="n">
        <v>42</v>
      </c>
      <c r="M231" s="43" t="n">
        <v>37.805</v>
      </c>
      <c r="N231" s="44" t="n">
        <f aca="false">SUM(B231:M231)</f>
        <v>429.087</v>
      </c>
      <c r="O231" s="87" t="e">
        <f aca="false"/>
        <v>#REF!</v>
      </c>
      <c r="P231" s="87" t="e">
        <f aca="false"/>
        <v>#REF!</v>
      </c>
      <c r="Q231" s="87" t="e">
        <f aca="false"/>
        <v>#REF!</v>
      </c>
      <c r="R231" s="87" t="e">
        <f aca="false"/>
        <v>#REF!</v>
      </c>
      <c r="S231" s="0"/>
      <c r="T231" s="0"/>
    </row>
    <row r="232" customFormat="false" ht="18" hidden="false" customHeight="false" outlineLevel="0" collapsed="false">
      <c r="A232" s="37" t="s">
        <v>44</v>
      </c>
      <c r="B232" s="89" t="n">
        <f aca="false">SUM(B227:B231)</f>
        <v>555.684</v>
      </c>
      <c r="C232" s="89" t="n">
        <f aca="false">SUM(C227:C231)</f>
        <v>463.017</v>
      </c>
      <c r="D232" s="89" t="n">
        <f aca="false">SUM(D227:D231)</f>
        <v>453.839</v>
      </c>
      <c r="E232" s="89" t="n">
        <f aca="false">SUM(E227:E231)</f>
        <v>523.033</v>
      </c>
      <c r="F232" s="89" t="n">
        <f aca="false">SUM(F227:F231)</f>
        <v>484.5</v>
      </c>
      <c r="G232" s="89" t="n">
        <f aca="false">SUM(G227:G231)</f>
        <v>448.828</v>
      </c>
      <c r="H232" s="89" t="n">
        <f aca="false">SUM(H227:H231)</f>
        <v>430.985</v>
      </c>
      <c r="I232" s="89" t="n">
        <f aca="false">SUM(I227:I231)</f>
        <v>377.098</v>
      </c>
      <c r="J232" s="89" t="n">
        <f aca="false">SUM(J227:J231)</f>
        <v>517.927</v>
      </c>
      <c r="K232" s="89" t="n">
        <f aca="false">SUM(K227:K231)</f>
        <v>469.459</v>
      </c>
      <c r="L232" s="89" t="n">
        <f aca="false">SUM(L227:L231)</f>
        <v>475.511489</v>
      </c>
      <c r="M232" s="89" t="n">
        <f aca="false">SUM(M227:M231)</f>
        <v>857.403</v>
      </c>
      <c r="N232" s="89" t="n">
        <f aca="false">SUM(N227:N231)</f>
        <v>6057.284489</v>
      </c>
      <c r="O232" s="87"/>
      <c r="P232" s="85"/>
      <c r="Q232" s="85"/>
      <c r="R232" s="87"/>
      <c r="S232" s="0"/>
      <c r="T232" s="0"/>
      <c r="V232" s="16"/>
      <c r="W232" s="16"/>
      <c r="X232" s="16"/>
      <c r="Y232" s="16"/>
      <c r="Z232" s="16"/>
      <c r="AA232" s="16"/>
      <c r="AB232" s="16"/>
    </row>
    <row r="233" customFormat="false" ht="12.75" hidden="false" customHeight="false" outlineLevel="0" collapsed="false">
      <c r="A233" s="37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0"/>
      <c r="O233" s="87"/>
      <c r="P233" s="85"/>
      <c r="Q233" s="85"/>
      <c r="R233" s="87"/>
      <c r="S233" s="0"/>
      <c r="T233" s="0"/>
    </row>
    <row r="234" customFormat="false" ht="18" hidden="false" customHeight="false" outlineLevel="0" collapsed="false">
      <c r="A234" s="37" t="s">
        <v>45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4"/>
      <c r="O234" s="87"/>
      <c r="P234" s="85"/>
      <c r="Q234" s="85"/>
      <c r="R234" s="87"/>
      <c r="S234" s="0"/>
      <c r="T234" s="0"/>
      <c r="V234" s="16"/>
      <c r="W234" s="16"/>
      <c r="X234" s="16"/>
      <c r="Y234" s="16"/>
      <c r="Z234" s="16"/>
      <c r="AA234" s="16"/>
      <c r="AB234" s="16"/>
    </row>
    <row r="235" customFormat="false" ht="12.75" hidden="false" customHeight="false" outlineLevel="0" collapsed="false">
      <c r="A235" s="40" t="s">
        <v>23</v>
      </c>
      <c r="B235" s="41" t="n">
        <v>257.163</v>
      </c>
      <c r="C235" s="41" t="n">
        <v>240.908</v>
      </c>
      <c r="D235" s="41" t="n">
        <v>252.96</v>
      </c>
      <c r="E235" s="41" t="n">
        <v>249.6</v>
      </c>
      <c r="F235" s="41" t="n">
        <v>257.523</v>
      </c>
      <c r="G235" s="41" t="n">
        <v>249.408</v>
      </c>
      <c r="H235" s="41" t="n">
        <v>255.626</v>
      </c>
      <c r="I235" s="41" t="n">
        <v>257.42</v>
      </c>
      <c r="J235" s="41" t="n">
        <v>248.959</v>
      </c>
      <c r="K235" s="41" t="n">
        <v>257.105</v>
      </c>
      <c r="L235" s="41" t="n">
        <v>253.92</v>
      </c>
      <c r="M235" s="41" t="n">
        <v>257.131</v>
      </c>
      <c r="N235" s="4" t="n">
        <f aca="false">SUM(B235:M235)</f>
        <v>3037.723</v>
      </c>
      <c r="O235" s="87" t="e">
        <f aca="false"/>
        <v>#REF!</v>
      </c>
      <c r="P235" s="87" t="e">
        <f aca="false"/>
        <v>#REF!</v>
      </c>
      <c r="Q235" s="87" t="e">
        <f aca="false"/>
        <v>#REF!</v>
      </c>
      <c r="R235" s="87" t="e">
        <f aca="false"/>
        <v>#REF!</v>
      </c>
      <c r="S235" s="0"/>
      <c r="T235" s="0"/>
    </row>
    <row r="236" customFormat="false" ht="18" hidden="false" customHeight="false" outlineLevel="0" collapsed="false">
      <c r="A236" s="40" t="s">
        <v>54</v>
      </c>
      <c r="B236" s="41" t="n">
        <v>9.475</v>
      </c>
      <c r="C236" s="41" t="n">
        <v>8.71</v>
      </c>
      <c r="D236" s="41" t="n">
        <v>13.084</v>
      </c>
      <c r="E236" s="41" t="n">
        <v>7.789</v>
      </c>
      <c r="F236" s="41" t="n">
        <v>9.096</v>
      </c>
      <c r="G236" s="41" t="n">
        <v>11.491</v>
      </c>
      <c r="H236" s="41" t="n">
        <v>8.509</v>
      </c>
      <c r="I236" s="41" t="n">
        <v>7.526</v>
      </c>
      <c r="J236" s="41" t="n">
        <v>7.242</v>
      </c>
      <c r="K236" s="41" t="n">
        <v>8.03</v>
      </c>
      <c r="L236" s="41" t="n">
        <v>9.0228</v>
      </c>
      <c r="M236" s="41" t="n">
        <v>10.813</v>
      </c>
      <c r="N236" s="4" t="n">
        <f aca="false">SUM(B236:M236)</f>
        <v>110.7878</v>
      </c>
      <c r="O236" s="87" t="e">
        <f aca="false"/>
        <v>#REF!</v>
      </c>
      <c r="P236" s="87" t="e">
        <f aca="false"/>
        <v>#REF!</v>
      </c>
      <c r="Q236" s="87" t="e">
        <f aca="false"/>
        <v>#REF!</v>
      </c>
      <c r="R236" s="87" t="e">
        <f aca="false"/>
        <v>#REF!</v>
      </c>
      <c r="S236" s="0"/>
      <c r="T236" s="0"/>
      <c r="V236" s="16"/>
      <c r="W236" s="16"/>
      <c r="X236" s="16"/>
      <c r="Y236" s="16"/>
      <c r="Z236" s="16"/>
      <c r="AA236" s="16"/>
      <c r="AB236" s="16"/>
    </row>
    <row r="237" customFormat="false" ht="12.75" hidden="false" customHeight="false" outlineLevel="0" collapsed="false">
      <c r="A237" s="40" t="s">
        <v>63</v>
      </c>
      <c r="B237" s="41" t="n">
        <v>0</v>
      </c>
      <c r="C237" s="41" t="n">
        <v>0</v>
      </c>
      <c r="D237" s="41" t="n">
        <v>0</v>
      </c>
      <c r="E237" s="41" t="n">
        <v>0</v>
      </c>
      <c r="F237" s="41" t="n">
        <v>0</v>
      </c>
      <c r="G237" s="41" t="n">
        <v>0</v>
      </c>
      <c r="H237" s="41" t="n">
        <v>0</v>
      </c>
      <c r="I237" s="41" t="n">
        <v>0</v>
      </c>
      <c r="J237" s="41" t="n">
        <v>0</v>
      </c>
      <c r="K237" s="41" t="n">
        <v>0</v>
      </c>
      <c r="L237" s="41" t="n">
        <v>0</v>
      </c>
      <c r="M237" s="41" t="n">
        <v>0</v>
      </c>
      <c r="N237" s="4" t="n">
        <f aca="false">SUM(B237:M237)</f>
        <v>0</v>
      </c>
      <c r="O237" s="87" t="e">
        <f aca="false"/>
        <v>#REF!</v>
      </c>
      <c r="P237" s="87" t="e">
        <f aca="false"/>
        <v>#REF!</v>
      </c>
      <c r="Q237" s="87" t="e">
        <f aca="false"/>
        <v>#REF!</v>
      </c>
      <c r="R237" s="87" t="e">
        <f aca="false"/>
        <v>#REF!</v>
      </c>
      <c r="S237" s="0"/>
      <c r="T237" s="0"/>
    </row>
    <row r="238" customFormat="false" ht="18" hidden="false" customHeight="false" outlineLevel="0" collapsed="false">
      <c r="A238" s="40" t="s">
        <v>55</v>
      </c>
      <c r="B238" s="43" t="n">
        <v>10.973</v>
      </c>
      <c r="C238" s="43" t="n">
        <v>-5.617</v>
      </c>
      <c r="D238" s="43" t="n">
        <v>0</v>
      </c>
      <c r="E238" s="43" t="n">
        <v>0</v>
      </c>
      <c r="F238" s="43" t="n">
        <v>0.92</v>
      </c>
      <c r="G238" s="43" t="n">
        <v>0</v>
      </c>
      <c r="H238" s="43" t="n">
        <v>0</v>
      </c>
      <c r="I238" s="43" t="n">
        <v>0</v>
      </c>
      <c r="J238" s="43" t="n">
        <v>22.238</v>
      </c>
      <c r="K238" s="43" t="n">
        <v>23.167</v>
      </c>
      <c r="L238" s="43" t="n">
        <v>0</v>
      </c>
      <c r="M238" s="43" t="n">
        <v>19.922</v>
      </c>
      <c r="N238" s="44" t="n">
        <f aca="false">SUM(B238:M238)</f>
        <v>71.603</v>
      </c>
      <c r="O238" s="87" t="e">
        <f aca="false"/>
        <v>#REF!</v>
      </c>
      <c r="P238" s="87" t="e">
        <f aca="false"/>
        <v>#REF!</v>
      </c>
      <c r="Q238" s="87" t="e">
        <f aca="false"/>
        <v>#REF!</v>
      </c>
      <c r="R238" s="87" t="e">
        <f aca="false"/>
        <v>#REF!</v>
      </c>
      <c r="S238" s="0"/>
      <c r="T238" s="0"/>
      <c r="V238" s="16"/>
      <c r="W238" s="16"/>
      <c r="X238" s="16"/>
      <c r="Y238" s="16"/>
      <c r="Z238" s="16"/>
      <c r="AA238" s="16"/>
      <c r="AB238" s="16"/>
    </row>
    <row r="239" customFormat="false" ht="12.75" hidden="false" customHeight="false" outlineLevel="0" collapsed="false">
      <c r="A239" s="37" t="s">
        <v>46</v>
      </c>
      <c r="B239" s="89" t="n">
        <f aca="false">SUM(B235:B238)</f>
        <v>277.611</v>
      </c>
      <c r="C239" s="89" t="n">
        <f aca="false">SUM(C235:C238)</f>
        <v>244.001</v>
      </c>
      <c r="D239" s="89" t="n">
        <f aca="false">SUM(D235:D238)</f>
        <v>266.044</v>
      </c>
      <c r="E239" s="89" t="n">
        <f aca="false">SUM(E235:E238)</f>
        <v>257.389</v>
      </c>
      <c r="F239" s="89" t="n">
        <f aca="false">SUM(F235:F238)</f>
        <v>267.539</v>
      </c>
      <c r="G239" s="89" t="n">
        <f aca="false">SUM(G235:G238)</f>
        <v>260.899</v>
      </c>
      <c r="H239" s="89" t="n">
        <f aca="false">SUM(H235:H238)</f>
        <v>264.135</v>
      </c>
      <c r="I239" s="89" t="n">
        <f aca="false">SUM(I235:I238)</f>
        <v>264.946</v>
      </c>
      <c r="J239" s="89" t="n">
        <f aca="false">SUM(J235:J238)</f>
        <v>278.439</v>
      </c>
      <c r="K239" s="89" t="n">
        <f aca="false">SUM(K235:K238)</f>
        <v>288.302</v>
      </c>
      <c r="L239" s="89" t="n">
        <f aca="false">SUM(L235:L238)</f>
        <v>262.9428</v>
      </c>
      <c r="M239" s="89" t="n">
        <f aca="false">SUM(M235:M238)</f>
        <v>287.866</v>
      </c>
      <c r="N239" s="89" t="n">
        <f aca="false">SUM(N235:N238)</f>
        <v>3220.1138</v>
      </c>
      <c r="O239" s="87"/>
      <c r="P239" s="87"/>
      <c r="Q239" s="87"/>
      <c r="R239" s="87"/>
      <c r="S239" s="0"/>
      <c r="T239" s="0"/>
    </row>
    <row r="240" customFormat="false" ht="18" hidden="false" customHeight="false" outlineLevel="0" collapsed="false">
      <c r="A240" s="40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0"/>
      <c r="O240" s="87"/>
      <c r="P240" s="87"/>
      <c r="Q240" s="87"/>
      <c r="R240" s="87"/>
      <c r="S240" s="0"/>
      <c r="T240" s="0"/>
      <c r="V240" s="16"/>
      <c r="W240" s="16"/>
      <c r="X240" s="16"/>
      <c r="Y240" s="16"/>
      <c r="Z240" s="16"/>
      <c r="AA240" s="16"/>
      <c r="AB240" s="16"/>
    </row>
    <row r="241" customFormat="false" ht="12.75" hidden="false" customHeight="false" outlineLevel="0" collapsed="false">
      <c r="A241" s="37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4"/>
      <c r="O241" s="87" t="e">
        <f aca="false">CHOOSE(#REF!,SUM(B241,B241),SUM(B241:C241),SUM(B241:D241),SUM(B241:E241),SUM(B241:F241),SUM(B241:G241),SUM(B241:H241),SUM(B241:I241),SUM(B241:J241),SUM(B241:K241),SUM(B241:L241),SUM(B241:M241))</f>
        <v>#REF!</v>
      </c>
      <c r="P241" s="85" t="e">
        <f aca="false">N241-O241</f>
        <v>#REF!</v>
      </c>
      <c r="Q241" s="85" t="n">
        <f aca="false">N241</f>
        <v>0</v>
      </c>
      <c r="R241" s="87"/>
      <c r="S241" s="0"/>
      <c r="T241" s="0"/>
    </row>
    <row r="242" customFormat="false" ht="18" hidden="false" customHeight="false" outlineLevel="0" collapsed="false">
      <c r="A242" s="40" t="s">
        <v>23</v>
      </c>
      <c r="B242" s="41" t="n">
        <v>674.049</v>
      </c>
      <c r="C242" s="41" t="n">
        <v>796.869</v>
      </c>
      <c r="D242" s="41" t="n">
        <v>477.882</v>
      </c>
      <c r="E242" s="41" t="n">
        <v>440.468</v>
      </c>
      <c r="F242" s="41" t="n">
        <v>512.602</v>
      </c>
      <c r="G242" s="41" t="n">
        <v>437.501</v>
      </c>
      <c r="H242" s="41" t="n">
        <v>451.789</v>
      </c>
      <c r="I242" s="41" t="n">
        <v>451.974</v>
      </c>
      <c r="J242" s="41" t="n">
        <v>438.59</v>
      </c>
      <c r="K242" s="41" t="n">
        <v>453.964</v>
      </c>
      <c r="L242" s="41" t="n">
        <v>507.96</v>
      </c>
      <c r="M242" s="41" t="n">
        <v>467.382</v>
      </c>
      <c r="N242" s="4" t="n">
        <f aca="false">SUM(B242:M242)</f>
        <v>6111.03</v>
      </c>
      <c r="O242" s="87" t="e">
        <f aca="false"/>
        <v>#REF!</v>
      </c>
      <c r="P242" s="85" t="e">
        <f aca="false"/>
        <v>#REF!</v>
      </c>
      <c r="Q242" s="85" t="n">
        <v>6580.1344</v>
      </c>
      <c r="R242" s="87" t="e">
        <f aca="false"/>
        <v>#REF!</v>
      </c>
      <c r="S242" s="0"/>
      <c r="T242" s="0"/>
      <c r="V242" s="16"/>
      <c r="W242" s="16"/>
      <c r="X242" s="16"/>
      <c r="Y242" s="16"/>
      <c r="Z242" s="16"/>
      <c r="AA242" s="16"/>
      <c r="AB242" s="16"/>
    </row>
    <row r="243" customFormat="false" ht="12.75" hidden="false" customHeight="false" outlineLevel="0" collapsed="false">
      <c r="A243" s="40" t="s">
        <v>54</v>
      </c>
      <c r="B243" s="41" t="n">
        <v>37.587</v>
      </c>
      <c r="C243" s="41" t="n">
        <v>51.06</v>
      </c>
      <c r="D243" s="41" t="n">
        <v>35.214</v>
      </c>
      <c r="E243" s="41" t="n">
        <v>30.526</v>
      </c>
      <c r="F243" s="41" t="n">
        <v>38.842</v>
      </c>
      <c r="G243" s="41" t="n">
        <v>34.268</v>
      </c>
      <c r="H243" s="41" t="n">
        <v>36.403</v>
      </c>
      <c r="I243" s="41" t="n">
        <v>35.62</v>
      </c>
      <c r="J243" s="41" t="n">
        <v>31.375</v>
      </c>
      <c r="K243" s="41" t="n">
        <v>37.372</v>
      </c>
      <c r="L243" s="41" t="n">
        <f aca="false">58.6845-4.16</f>
        <v>54.5245</v>
      </c>
      <c r="M243" s="41" t="n">
        <v>28.245</v>
      </c>
      <c r="N243" s="4" t="n">
        <f aca="false">SUM(B243:M243)</f>
        <v>451.0365</v>
      </c>
      <c r="O243" s="87" t="e">
        <f aca="false"/>
        <v>#REF!</v>
      </c>
      <c r="P243" s="87" t="e">
        <f aca="false"/>
        <v>#REF!</v>
      </c>
      <c r="Q243" s="87" t="e">
        <f aca="false"/>
        <v>#REF!</v>
      </c>
      <c r="R243" s="87" t="e">
        <f aca="false"/>
        <v>#REF!</v>
      </c>
      <c r="S243" s="0"/>
      <c r="T243" s="0"/>
    </row>
    <row r="244" customFormat="false" ht="18" hidden="false" customHeight="false" outlineLevel="0" collapsed="false">
      <c r="A244" s="40" t="s">
        <v>63</v>
      </c>
      <c r="B244" s="41" t="n">
        <v>0.39</v>
      </c>
      <c r="C244" s="41" t="n">
        <v>0</v>
      </c>
      <c r="D244" s="41" t="n">
        <v>0</v>
      </c>
      <c r="E244" s="41" t="n">
        <v>0</v>
      </c>
      <c r="F244" s="41" t="n">
        <v>0</v>
      </c>
      <c r="G244" s="41" t="n">
        <v>0</v>
      </c>
      <c r="H244" s="41" t="n">
        <v>0</v>
      </c>
      <c r="I244" s="41" t="n">
        <v>0</v>
      </c>
      <c r="J244" s="41" t="n">
        <v>0</v>
      </c>
      <c r="K244" s="86" t="n">
        <f aca="false">0</f>
        <v>0</v>
      </c>
      <c r="L244" s="41" t="n">
        <v>0</v>
      </c>
      <c r="M244" s="41" t="n">
        <v>0</v>
      </c>
      <c r="N244" s="4" t="n">
        <f aca="false">SUM(B244:M244)</f>
        <v>0.39</v>
      </c>
      <c r="O244" s="87" t="e">
        <f aca="false"/>
        <v>#REF!</v>
      </c>
      <c r="P244" s="85" t="e">
        <f aca="false"/>
        <v>#REF!</v>
      </c>
      <c r="Q244" s="85" t="n">
        <v>0</v>
      </c>
      <c r="R244" s="87" t="e">
        <f aca="false"/>
        <v>#REF!</v>
      </c>
      <c r="S244" s="0"/>
      <c r="T244" s="0"/>
      <c r="V244" s="16"/>
      <c r="W244" s="16"/>
      <c r="X244" s="16"/>
      <c r="Y244" s="16"/>
      <c r="Z244" s="16"/>
      <c r="AA244" s="16"/>
      <c r="AB244" s="16"/>
    </row>
    <row r="245" customFormat="false" ht="12.75" hidden="false" customHeight="false" outlineLevel="0" collapsed="false">
      <c r="A245" s="40" t="s">
        <v>55</v>
      </c>
      <c r="B245" s="43" t="n">
        <v>1.8</v>
      </c>
      <c r="C245" s="43" t="n">
        <v>2.599</v>
      </c>
      <c r="D245" s="43" t="n">
        <v>3.922</v>
      </c>
      <c r="E245" s="43" t="n">
        <v>12.059</v>
      </c>
      <c r="F245" s="43" t="n">
        <v>10.434</v>
      </c>
      <c r="G245" s="43" t="n">
        <v>32.871</v>
      </c>
      <c r="H245" s="43" t="n">
        <v>101.086</v>
      </c>
      <c r="I245" s="43" t="n">
        <v>76.653</v>
      </c>
      <c r="J245" s="43" t="n">
        <v>49.772</v>
      </c>
      <c r="K245" s="43" t="n">
        <v>31.598</v>
      </c>
      <c r="L245" s="43" t="n">
        <v>0</v>
      </c>
      <c r="M245" s="43" t="n">
        <v>33.581</v>
      </c>
      <c r="N245" s="44" t="n">
        <f aca="false">SUM(B245:M245)</f>
        <v>356.375</v>
      </c>
      <c r="O245" s="87" t="e">
        <f aca="false"/>
        <v>#REF!</v>
      </c>
      <c r="P245" s="85" t="e">
        <f aca="false"/>
        <v>#REF!</v>
      </c>
      <c r="Q245" s="85" t="n">
        <v>0</v>
      </c>
      <c r="R245" s="87" t="e">
        <f aca="false"/>
        <v>#REF!</v>
      </c>
      <c r="S245" s="0"/>
      <c r="T245" s="0"/>
    </row>
    <row r="246" customFormat="false" ht="18" hidden="false" customHeight="false" outlineLevel="0" collapsed="false">
      <c r="A246" s="37" t="s">
        <v>48</v>
      </c>
      <c r="B246" s="97" t="n">
        <f aca="false">SUM(B242:B245)</f>
        <v>713.826</v>
      </c>
      <c r="C246" s="97" t="n">
        <f aca="false">SUM(C242:C245)</f>
        <v>850.528</v>
      </c>
      <c r="D246" s="97" t="n">
        <f aca="false">SUM(D242:D245)</f>
        <v>517.018</v>
      </c>
      <c r="E246" s="97" t="n">
        <f aca="false">SUM(E242:E245)</f>
        <v>483.053</v>
      </c>
      <c r="F246" s="97" t="n">
        <f aca="false">SUM(F242:F245)</f>
        <v>561.878</v>
      </c>
      <c r="G246" s="97" t="n">
        <f aca="false">SUM(G242:G245)</f>
        <v>504.64</v>
      </c>
      <c r="H246" s="97" t="n">
        <f aca="false">SUM(H242:H245)</f>
        <v>589.278</v>
      </c>
      <c r="I246" s="97" t="n">
        <f aca="false">SUM(I242:I245)</f>
        <v>564.247</v>
      </c>
      <c r="J246" s="97" t="n">
        <f aca="false">SUM(J242:J245)</f>
        <v>519.737</v>
      </c>
      <c r="K246" s="97" t="n">
        <f aca="false">SUM(K242:K245)</f>
        <v>522.934</v>
      </c>
      <c r="L246" s="97" t="n">
        <f aca="false">SUM(L242:L245)</f>
        <v>562.4845</v>
      </c>
      <c r="M246" s="97" t="n">
        <f aca="false">SUM(M242:M245)</f>
        <v>529.208</v>
      </c>
      <c r="N246" s="55" t="n">
        <f aca="false">SUM(N242:N245)</f>
        <v>6918.8315</v>
      </c>
      <c r="O246" s="87"/>
      <c r="P246" s="85"/>
      <c r="Q246" s="85"/>
      <c r="R246" s="87"/>
      <c r="S246" s="0"/>
      <c r="T246" s="0"/>
      <c r="V246" s="16"/>
      <c r="W246" s="16"/>
      <c r="X246" s="16"/>
      <c r="Y246" s="16"/>
      <c r="Z246" s="16"/>
      <c r="AA246" s="16"/>
      <c r="AB246" s="16"/>
    </row>
    <row r="247" customFormat="false" ht="12.75" hidden="false" customHeight="false" outlineLevel="0" collapsed="false">
      <c r="A247" s="47" t="s">
        <v>87</v>
      </c>
      <c r="B247" s="89" t="n">
        <f aca="false">+B220+B227+B235+B242</f>
        <v>1374.011</v>
      </c>
      <c r="C247" s="89" t="n">
        <f aca="false">+C220+C227+C235+C242</f>
        <v>1476.944</v>
      </c>
      <c r="D247" s="89" t="n">
        <f aca="false">+D220+D227+D235+D242</f>
        <v>1074.031</v>
      </c>
      <c r="E247" s="89" t="n">
        <f aca="false">+E220+E227+E235+E242</f>
        <v>1085.515</v>
      </c>
      <c r="F247" s="89" t="n">
        <f aca="false">+F220+F227+F235+F242</f>
        <v>1120.45</v>
      </c>
      <c r="G247" s="89" t="n">
        <f aca="false">+G220+G227+G235+G242</f>
        <v>1075.914</v>
      </c>
      <c r="H247" s="89" t="n">
        <f aca="false">+H220+H227+H235+H242</f>
        <v>1022.81</v>
      </c>
      <c r="I247" s="89" t="n">
        <f aca="false">+I220+I227+I235+I242</f>
        <v>989.299</v>
      </c>
      <c r="J247" s="89" t="n">
        <f aca="false">+J220+J227+J235+J242</f>
        <v>1132.303</v>
      </c>
      <c r="K247" s="89" t="n">
        <f aca="false">+K220+K227+K235+K242</f>
        <v>1116.274</v>
      </c>
      <c r="L247" s="89" t="n">
        <f aca="false">+L220+L227+L235+L242</f>
        <v>1022.0107</v>
      </c>
      <c r="M247" s="89" t="n">
        <f aca="false">+M220+M227+M235+M242</f>
        <v>1226.123</v>
      </c>
      <c r="N247" s="55" t="n">
        <f aca="false">+N220+N227+N235+N242</f>
        <v>13715.6847</v>
      </c>
      <c r="O247" s="98" t="e">
        <f aca="false">O242+#REF!+#REF!+O235+#REF!+O220+O221+O227+#REF!</f>
        <v>#REF!</v>
      </c>
      <c r="P247" s="98" t="e">
        <f aca="false">P242+#REF!+#REF!+P235+#REF!+P220+P221+P227+#REF!</f>
        <v>#REF!</v>
      </c>
      <c r="Q247" s="98" t="e">
        <f aca="false">Q242+#REF!+#REF!+Q235+#REF!+Q220+Q221+Q227+#REF!</f>
        <v>#REF!</v>
      </c>
      <c r="R247" s="98" t="e">
        <f aca="false">R242+#REF!+R235+#REF!+R220+#REF!+R227+#REF!</f>
        <v>#REF!</v>
      </c>
      <c r="S247" s="0"/>
      <c r="T247" s="0"/>
    </row>
    <row r="248" customFormat="false" ht="18" hidden="false" customHeight="false" outlineLevel="0" collapsed="false">
      <c r="A248" s="47" t="s">
        <v>88</v>
      </c>
      <c r="B248" s="99" t="n">
        <f aca="false">B221+B222+B223+B228+B229+B230+B231+B236+B237+B238+B243+B244+B245</f>
        <v>219.116</v>
      </c>
      <c r="C248" s="99" t="n">
        <f aca="false">+C224+C232+C239+C246-C247</f>
        <v>149.224</v>
      </c>
      <c r="D248" s="99" t="n">
        <f aca="false">+D224+D232+D239+D246-D247</f>
        <v>167.144</v>
      </c>
      <c r="E248" s="99" t="n">
        <f aca="false">+E224+E232+E239+E246-E247</f>
        <v>189.817</v>
      </c>
      <c r="F248" s="99" t="n">
        <f aca="false">+F224+F232+F239+F246-F247</f>
        <v>223.438</v>
      </c>
      <c r="G248" s="99" t="n">
        <f aca="false">+G224+G232+G239+G246-G247</f>
        <v>167.82</v>
      </c>
      <c r="H248" s="99" t="n">
        <f aca="false">+H224+H232+H239+H246-H247</f>
        <v>294.017</v>
      </c>
      <c r="I248" s="99" t="n">
        <f aca="false">+I224+I232+I239+I246-I247</f>
        <v>334.826</v>
      </c>
      <c r="J248" s="99" t="n">
        <f aca="false">+J224+J232+J239+J246-J247</f>
        <v>210.082</v>
      </c>
      <c r="K248" s="99" t="n">
        <f aca="false">+K224+K232+K239+K246-K247</f>
        <v>191.644</v>
      </c>
      <c r="L248" s="99" t="n">
        <f aca="false">+L224+L232+L239+L246-L247</f>
        <v>278.928089</v>
      </c>
      <c r="M248" s="99" t="n">
        <f aca="false">+M224+M232+M239+M246-M247</f>
        <v>475.284</v>
      </c>
      <c r="N248" s="55" t="n">
        <f aca="false">SUM(B248:M248)</f>
        <v>2901.340089</v>
      </c>
      <c r="O248" s="98" t="e">
        <f aca="false">O249-O247</f>
        <v>#REF!</v>
      </c>
      <c r="P248" s="98" t="e">
        <f aca="false">P249-P247</f>
        <v>#REF!</v>
      </c>
      <c r="Q248" s="98" t="e">
        <f aca="false">Q249-Q247</f>
        <v>#REF!</v>
      </c>
      <c r="R248" s="98" t="e">
        <f aca="false">R249-R247</f>
        <v>#REF!</v>
      </c>
      <c r="S248" s="0"/>
      <c r="T248" s="0"/>
      <c r="V248" s="16"/>
      <c r="W248" s="16"/>
      <c r="X248" s="16"/>
      <c r="Y248" s="16"/>
      <c r="Z248" s="16"/>
      <c r="AA248" s="16"/>
      <c r="AB248" s="16"/>
    </row>
    <row r="249" customFormat="false" ht="12.75" hidden="false" customHeight="false" outlineLevel="0" collapsed="false">
      <c r="A249" s="47" t="s">
        <v>89</v>
      </c>
      <c r="B249" s="99" t="n">
        <f aca="false">SUM(B247:B248)</f>
        <v>1593.127</v>
      </c>
      <c r="C249" s="99" t="n">
        <f aca="false">SUM(C247:C248)</f>
        <v>1626.168</v>
      </c>
      <c r="D249" s="99" t="n">
        <f aca="false">SUM(D247:D248)</f>
        <v>1241.175</v>
      </c>
      <c r="E249" s="99" t="n">
        <f aca="false">SUM(E247:E248)</f>
        <v>1275.332</v>
      </c>
      <c r="F249" s="99" t="n">
        <f aca="false">SUM(F247:F248)</f>
        <v>1343.888</v>
      </c>
      <c r="G249" s="99" t="n">
        <f aca="false">SUM(G247:G248)</f>
        <v>1243.734</v>
      </c>
      <c r="H249" s="99" t="n">
        <f aca="false">SUM(H247:H248)</f>
        <v>1316.827</v>
      </c>
      <c r="I249" s="99" t="n">
        <f aca="false">SUM(I247:I248)</f>
        <v>1324.125</v>
      </c>
      <c r="J249" s="99" t="n">
        <f aca="false">SUM(J247:J248)</f>
        <v>1342.385</v>
      </c>
      <c r="K249" s="99" t="n">
        <f aca="false">SUM(K247:K248)</f>
        <v>1307.918</v>
      </c>
      <c r="L249" s="99" t="n">
        <f aca="false">SUM(L247:L248)</f>
        <v>1300.938789</v>
      </c>
      <c r="M249" s="99" t="n">
        <f aca="false">SUM(M247:M248)</f>
        <v>1701.407</v>
      </c>
      <c r="N249" s="55" t="n">
        <f aca="false">SUM(N247:N248)</f>
        <v>16617.024789</v>
      </c>
      <c r="O249" s="98" t="e">
        <f aca="false">SUM(O220:O245)</f>
        <v>#REF!</v>
      </c>
      <c r="P249" s="98" t="e">
        <f aca="false">SUM(P220:P245)</f>
        <v>#REF!</v>
      </c>
      <c r="Q249" s="98" t="e">
        <f aca="false">SUM(Q220:Q245)</f>
        <v>#REF!</v>
      </c>
      <c r="R249" s="98" t="e">
        <f aca="false">SUM(R220:R245)</f>
        <v>#REF!</v>
      </c>
      <c r="S249" s="0"/>
      <c r="T249" s="0"/>
    </row>
    <row r="250" customFormat="false" ht="18" hidden="false" customHeight="false" outlineLevel="0" collapsed="false">
      <c r="A250" s="51"/>
      <c r="B250" s="100"/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1"/>
      <c r="O250" s="102"/>
      <c r="P250" s="102"/>
      <c r="Q250" s="102"/>
      <c r="R250" s="102"/>
      <c r="S250" s="0"/>
      <c r="T250" s="0"/>
      <c r="V250" s="16"/>
      <c r="W250" s="16"/>
      <c r="X250" s="16"/>
      <c r="Y250" s="16"/>
      <c r="Z250" s="16"/>
      <c r="AA250" s="16"/>
      <c r="AB250" s="16"/>
    </row>
    <row r="251" customFormat="false" ht="15.75" hidden="false" customHeight="false" outlineLevel="0" collapsed="false">
      <c r="A251" s="36" t="s">
        <v>51</v>
      </c>
      <c r="B251" s="100"/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2"/>
      <c r="P251" s="102"/>
      <c r="Q251" s="102"/>
      <c r="R251" s="102"/>
      <c r="S251" s="0"/>
      <c r="T251" s="0"/>
    </row>
    <row r="252" customFormat="false" ht="18" hidden="false" customHeight="false" outlineLevel="0" collapsed="false">
      <c r="A252" s="37" t="s">
        <v>52</v>
      </c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1"/>
      <c r="O252" s="87"/>
      <c r="P252" s="85"/>
      <c r="Q252" s="85"/>
      <c r="R252" s="87"/>
      <c r="S252" s="0"/>
      <c r="T252" s="0"/>
      <c r="V252" s="16"/>
      <c r="W252" s="16"/>
      <c r="X252" s="16"/>
      <c r="Y252" s="16"/>
      <c r="Z252" s="16"/>
      <c r="AA252" s="16"/>
      <c r="AB252" s="16"/>
    </row>
    <row r="253" customFormat="false" ht="12.75" hidden="false" customHeight="false" outlineLevel="0" collapsed="false">
      <c r="A253" s="40" t="s">
        <v>23</v>
      </c>
      <c r="B253" s="86" t="n">
        <v>502.084</v>
      </c>
      <c r="C253" s="86" t="n">
        <v>380.639</v>
      </c>
      <c r="D253" s="86" t="n">
        <v>399.504</v>
      </c>
      <c r="E253" s="41" t="n">
        <v>390.146</v>
      </c>
      <c r="F253" s="41" t="n">
        <v>404.385</v>
      </c>
      <c r="G253" s="41" t="n">
        <v>398.489</v>
      </c>
      <c r="H253" s="41" t="n">
        <v>404.019</v>
      </c>
      <c r="I253" s="41" t="n">
        <v>402.019</v>
      </c>
      <c r="J253" s="41" t="n">
        <v>391.757</v>
      </c>
      <c r="K253" s="41" t="n">
        <v>405.526</v>
      </c>
      <c r="L253" s="41" t="n">
        <f aca="false">383.85</f>
        <v>383.85</v>
      </c>
      <c r="M253" s="41" t="n">
        <v>392.094</v>
      </c>
      <c r="N253" s="4" t="n">
        <f aca="false">SUM(B253:M253)</f>
        <v>4854.512</v>
      </c>
      <c r="O253" s="87" t="e">
        <f aca="false"/>
        <v>#REF!</v>
      </c>
      <c r="P253" s="87" t="e">
        <f aca="false"/>
        <v>#REF!</v>
      </c>
      <c r="Q253" s="87" t="e">
        <f aca="false"/>
        <v>#REF!</v>
      </c>
      <c r="R253" s="87" t="e">
        <f aca="false"/>
        <v>#REF!</v>
      </c>
      <c r="S253" s="0"/>
      <c r="T253" s="0"/>
    </row>
    <row r="254" customFormat="false" ht="18" hidden="false" customHeight="false" outlineLevel="0" collapsed="false">
      <c r="A254" s="40" t="s">
        <v>54</v>
      </c>
      <c r="B254" s="41" t="n">
        <v>7.775</v>
      </c>
      <c r="C254" s="41" t="n">
        <v>6.663</v>
      </c>
      <c r="D254" s="41" t="n">
        <v>7.568</v>
      </c>
      <c r="E254" s="41" t="n">
        <v>8.432</v>
      </c>
      <c r="F254" s="41" t="n">
        <v>8.141</v>
      </c>
      <c r="G254" s="41" t="n">
        <v>8.406</v>
      </c>
      <c r="H254" s="41" t="n">
        <v>8.745</v>
      </c>
      <c r="I254" s="41" t="n">
        <v>9.464</v>
      </c>
      <c r="J254" s="41" t="n">
        <v>6.957</v>
      </c>
      <c r="K254" s="41" t="n">
        <v>9.102</v>
      </c>
      <c r="L254" s="41" t="n">
        <v>9.8112</v>
      </c>
      <c r="M254" s="41" t="n">
        <v>12.976</v>
      </c>
      <c r="N254" s="4" t="n">
        <f aca="false">SUM(B254:M254)</f>
        <v>104.0402</v>
      </c>
      <c r="O254" s="87" t="e">
        <f aca="false"/>
        <v>#REF!</v>
      </c>
      <c r="P254" s="87" t="e">
        <f aca="false"/>
        <v>#REF!</v>
      </c>
      <c r="Q254" s="87" t="e">
        <f aca="false"/>
        <v>#REF!</v>
      </c>
      <c r="R254" s="87" t="e">
        <f aca="false"/>
        <v>#REF!</v>
      </c>
      <c r="S254" s="0"/>
      <c r="T254" s="0"/>
      <c r="V254" s="16"/>
      <c r="W254" s="16"/>
      <c r="X254" s="16"/>
      <c r="Y254" s="16"/>
      <c r="Z254" s="16"/>
      <c r="AA254" s="16"/>
      <c r="AB254" s="16"/>
    </row>
    <row r="255" customFormat="false" ht="12.75" hidden="false" customHeight="false" outlineLevel="0" collapsed="false">
      <c r="A255" s="40" t="s">
        <v>63</v>
      </c>
      <c r="B255" s="41" t="n">
        <v>0.511</v>
      </c>
      <c r="C255" s="41" t="n">
        <v>0.478</v>
      </c>
      <c r="D255" s="41" t="n">
        <v>0</v>
      </c>
      <c r="E255" s="41" t="n">
        <v>0</v>
      </c>
      <c r="F255" s="41" t="n">
        <v>0</v>
      </c>
      <c r="G255" s="41" t="n">
        <v>0</v>
      </c>
      <c r="H255" s="41" t="n">
        <v>0</v>
      </c>
      <c r="I255" s="41" t="n">
        <v>0</v>
      </c>
      <c r="J255" s="41" t="n">
        <v>0</v>
      </c>
      <c r="K255" s="41" t="n">
        <v>0</v>
      </c>
      <c r="L255" s="41" t="n">
        <v>0</v>
      </c>
      <c r="M255" s="41" t="n">
        <v>0.511</v>
      </c>
      <c r="N255" s="4" t="n">
        <f aca="false">SUM(B255:M255)</f>
        <v>1.5</v>
      </c>
      <c r="O255" s="87"/>
      <c r="P255" s="87"/>
      <c r="Q255" s="87"/>
      <c r="R255" s="87"/>
      <c r="S255" s="0"/>
      <c r="T255" s="0"/>
    </row>
    <row r="256" customFormat="false" ht="18" hidden="false" customHeight="false" outlineLevel="0" collapsed="false">
      <c r="A256" s="40" t="s">
        <v>55</v>
      </c>
      <c r="B256" s="43" t="n">
        <v>8.097</v>
      </c>
      <c r="C256" s="43" t="n">
        <v>5.833</v>
      </c>
      <c r="D256" s="43" t="n">
        <v>13.147</v>
      </c>
      <c r="E256" s="43" t="n">
        <v>11.51</v>
      </c>
      <c r="F256" s="43" t="n">
        <v>27.352</v>
      </c>
      <c r="G256" s="43" t="n">
        <v>42.664</v>
      </c>
      <c r="H256" s="43" t="n">
        <v>10.35</v>
      </c>
      <c r="I256" s="43" t="n">
        <v>101.817</v>
      </c>
      <c r="J256" s="43" t="n">
        <v>44.203</v>
      </c>
      <c r="K256" s="43" t="n">
        <v>44.33</v>
      </c>
      <c r="L256" s="43" t="n">
        <v>0</v>
      </c>
      <c r="M256" s="43" t="n">
        <v>21.171</v>
      </c>
      <c r="N256" s="44" t="n">
        <f aca="false">SUM(B256:M256)</f>
        <v>330.474</v>
      </c>
      <c r="O256" s="87" t="e">
        <f aca="false"/>
        <v>#REF!</v>
      </c>
      <c r="P256" s="87" t="e">
        <f aca="false"/>
        <v>#REF!</v>
      </c>
      <c r="Q256" s="87" t="e">
        <f aca="false"/>
        <v>#REF!</v>
      </c>
      <c r="R256" s="87" t="e">
        <f aca="false"/>
        <v>#REF!</v>
      </c>
      <c r="S256" s="0"/>
      <c r="T256" s="0"/>
      <c r="V256" s="16"/>
      <c r="W256" s="16"/>
      <c r="X256" s="16"/>
      <c r="Y256" s="16"/>
      <c r="Z256" s="16"/>
      <c r="AA256" s="16"/>
      <c r="AB256" s="16"/>
    </row>
    <row r="257" customFormat="false" ht="12.75" hidden="false" customHeight="false" outlineLevel="0" collapsed="false">
      <c r="A257" s="37" t="s">
        <v>56</v>
      </c>
      <c r="B257" s="89" t="n">
        <f aca="false">SUM(B253:B256)</f>
        <v>518.467</v>
      </c>
      <c r="C257" s="89" t="n">
        <f aca="false">SUM(C253:C256)</f>
        <v>393.613</v>
      </c>
      <c r="D257" s="89" t="n">
        <f aca="false">SUM(D253:D256)</f>
        <v>420.219</v>
      </c>
      <c r="E257" s="89" t="n">
        <f aca="false">SUM(E253:E256)</f>
        <v>410.088</v>
      </c>
      <c r="F257" s="89" t="n">
        <f aca="false">SUM(F253:F256)</f>
        <v>439.878</v>
      </c>
      <c r="G257" s="89" t="n">
        <f aca="false">SUM(G253:G256)</f>
        <v>449.559</v>
      </c>
      <c r="H257" s="89" t="n">
        <f aca="false">SUM(H253:H256)</f>
        <v>423.114</v>
      </c>
      <c r="I257" s="89" t="n">
        <f aca="false">SUM(I253:I256)</f>
        <v>513.3</v>
      </c>
      <c r="J257" s="89" t="n">
        <f aca="false">SUM(J253:J256)</f>
        <v>442.917</v>
      </c>
      <c r="K257" s="89" t="n">
        <f aca="false">SUM(K253:K256)</f>
        <v>458.958</v>
      </c>
      <c r="L257" s="89" t="n">
        <f aca="false">SUM(L253:L256)</f>
        <v>393.6612</v>
      </c>
      <c r="M257" s="89" t="n">
        <f aca="false">SUM(M253:M256)</f>
        <v>426.752</v>
      </c>
      <c r="N257" s="89" t="n">
        <f aca="false">SUM(N253:N256)</f>
        <v>5290.5262</v>
      </c>
      <c r="O257" s="87"/>
      <c r="P257" s="87"/>
      <c r="Q257" s="87"/>
      <c r="R257" s="87"/>
      <c r="S257" s="0"/>
      <c r="T257" s="0"/>
    </row>
    <row r="258" customFormat="false" ht="18" hidden="false" customHeight="false" outlineLevel="0" collapsed="false">
      <c r="A258" s="40"/>
      <c r="B258" s="100"/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2"/>
      <c r="P258" s="102"/>
      <c r="Q258" s="102"/>
      <c r="R258" s="102"/>
      <c r="S258" s="0"/>
      <c r="T258" s="0"/>
      <c r="V258" s="16"/>
      <c r="W258" s="16"/>
      <c r="X258" s="16"/>
      <c r="Y258" s="16"/>
      <c r="Z258" s="16"/>
      <c r="AA258" s="16"/>
      <c r="AB258" s="16"/>
    </row>
    <row r="259" customFormat="false" ht="12.75" hidden="false" customHeight="false" outlineLevel="0" collapsed="false">
      <c r="A259" s="37" t="s">
        <v>57</v>
      </c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1"/>
      <c r="O259" s="87"/>
      <c r="P259" s="85"/>
      <c r="Q259" s="85"/>
      <c r="R259" s="87"/>
      <c r="S259" s="0"/>
      <c r="T259" s="0"/>
    </row>
    <row r="260" customFormat="false" ht="18" hidden="false" customHeight="false" outlineLevel="0" collapsed="false">
      <c r="A260" s="40" t="s">
        <v>23</v>
      </c>
      <c r="B260" s="41" t="n">
        <v>254.147</v>
      </c>
      <c r="C260" s="41" t="n">
        <v>236.242</v>
      </c>
      <c r="D260" s="41" t="n">
        <v>249.894</v>
      </c>
      <c r="E260" s="41" t="n">
        <v>244.352</v>
      </c>
      <c r="F260" s="41" t="n">
        <v>276.073</v>
      </c>
      <c r="G260" s="41" t="n">
        <v>235.465</v>
      </c>
      <c r="H260" s="41" t="n">
        <v>259.103</v>
      </c>
      <c r="I260" s="41" t="n">
        <v>262.021</v>
      </c>
      <c r="J260" s="41" t="n">
        <v>252.085</v>
      </c>
      <c r="K260" s="41" t="n">
        <v>277.078</v>
      </c>
      <c r="L260" s="41" t="n">
        <f aca="false">259.2+25.92</f>
        <v>285.12</v>
      </c>
      <c r="M260" s="41" t="n">
        <v>264.344</v>
      </c>
      <c r="N260" s="4" t="n">
        <f aca="false">SUM(B260:M260)</f>
        <v>3095.924</v>
      </c>
      <c r="O260" s="87" t="e">
        <f aca="false"/>
        <v>#REF!</v>
      </c>
      <c r="P260" s="85" t="e">
        <f aca="false"/>
        <v>#REF!</v>
      </c>
      <c r="Q260" s="85" t="n">
        <v>2979.24</v>
      </c>
      <c r="R260" s="87" t="e">
        <f aca="false"/>
        <v>#REF!</v>
      </c>
      <c r="S260" s="0"/>
      <c r="T260" s="0"/>
      <c r="V260" s="16"/>
      <c r="W260" s="16"/>
      <c r="X260" s="16"/>
      <c r="Y260" s="16"/>
      <c r="Z260" s="16"/>
      <c r="AA260" s="16"/>
      <c r="AB260" s="16"/>
    </row>
    <row r="261" customFormat="false" ht="12.75" hidden="false" customHeight="false" outlineLevel="0" collapsed="false">
      <c r="A261" s="40" t="s">
        <v>54</v>
      </c>
      <c r="B261" s="41" t="n">
        <v>16.759</v>
      </c>
      <c r="C261" s="41" t="n">
        <v>24.924</v>
      </c>
      <c r="D261" s="41" t="n">
        <v>18.618</v>
      </c>
      <c r="E261" s="41" t="n">
        <v>14.346</v>
      </c>
      <c r="F261" s="41" t="n">
        <v>23.212</v>
      </c>
      <c r="G261" s="41" t="n">
        <v>18.045</v>
      </c>
      <c r="H261" s="41" t="n">
        <v>17.632</v>
      </c>
      <c r="I261" s="41" t="n">
        <v>16.175</v>
      </c>
      <c r="J261" s="41" t="n">
        <v>21.991</v>
      </c>
      <c r="K261" s="41" t="n">
        <v>17.944</v>
      </c>
      <c r="L261" s="41" t="n">
        <f aca="false">6.83937+1.08-0.578</f>
        <v>7.34137</v>
      </c>
      <c r="M261" s="41" t="n">
        <v>27.601</v>
      </c>
      <c r="N261" s="4" t="n">
        <f aca="false">SUM(B261:M261)</f>
        <v>224.58837</v>
      </c>
      <c r="O261" s="87" t="e">
        <f aca="false"/>
        <v>#REF!</v>
      </c>
      <c r="P261" s="85" t="e">
        <f aca="false"/>
        <v>#REF!</v>
      </c>
      <c r="Q261" s="85" t="n">
        <v>71.417214</v>
      </c>
      <c r="R261" s="87" t="e">
        <f aca="false"/>
        <v>#REF!</v>
      </c>
      <c r="S261" s="0"/>
      <c r="T261" s="0"/>
    </row>
    <row r="262" customFormat="false" ht="18" hidden="false" customHeight="false" outlineLevel="0" collapsed="false">
      <c r="A262" s="40" t="s">
        <v>63</v>
      </c>
      <c r="B262" s="41" t="n">
        <v>0</v>
      </c>
      <c r="C262" s="86" t="n">
        <v>0</v>
      </c>
      <c r="D262" s="86" t="n">
        <f aca="false">0</f>
        <v>0</v>
      </c>
      <c r="E262" s="41" t="n">
        <v>0</v>
      </c>
      <c r="F262" s="86" t="n">
        <f aca="false">0</f>
        <v>0</v>
      </c>
      <c r="G262" s="41" t="n">
        <v>0</v>
      </c>
      <c r="H262" s="41" t="n">
        <v>0</v>
      </c>
      <c r="I262" s="41" t="n">
        <v>0</v>
      </c>
      <c r="J262" s="41" t="n">
        <f aca="false">0</f>
        <v>0</v>
      </c>
      <c r="K262" s="86" t="n">
        <f aca="false">0</f>
        <v>0</v>
      </c>
      <c r="L262" s="86" t="n">
        <f aca="false">-29</f>
        <v>-29</v>
      </c>
      <c r="M262" s="41" t="n">
        <v>0</v>
      </c>
      <c r="N262" s="4" t="n">
        <f aca="false">SUM(B262:M262)</f>
        <v>-29</v>
      </c>
      <c r="O262" s="87"/>
      <c r="P262" s="85"/>
      <c r="Q262" s="85"/>
      <c r="R262" s="87"/>
      <c r="S262" s="0"/>
      <c r="T262" s="0"/>
      <c r="V262" s="16"/>
      <c r="W262" s="16"/>
      <c r="X262" s="16"/>
      <c r="Y262" s="16"/>
      <c r="Z262" s="16"/>
      <c r="AA262" s="16"/>
      <c r="AB262" s="16"/>
    </row>
    <row r="263" customFormat="false" ht="12.75" hidden="false" customHeight="false" outlineLevel="0" collapsed="false">
      <c r="A263" s="40" t="s">
        <v>55</v>
      </c>
      <c r="B263" s="43" t="n">
        <v>71.388</v>
      </c>
      <c r="C263" s="43" t="n">
        <v>23.729</v>
      </c>
      <c r="D263" s="43" t="n">
        <v>42.703</v>
      </c>
      <c r="E263" s="43" t="n">
        <v>50.57</v>
      </c>
      <c r="F263" s="43" t="n">
        <v>54.637</v>
      </c>
      <c r="G263" s="43" t="n">
        <v>84.598</v>
      </c>
      <c r="H263" s="43" t="n">
        <v>96.357</v>
      </c>
      <c r="I263" s="43" t="n">
        <v>92.803</v>
      </c>
      <c r="J263" s="43" t="n">
        <v>119.349</v>
      </c>
      <c r="K263" s="43" t="n">
        <v>140.548</v>
      </c>
      <c r="L263" s="43" t="n">
        <f aca="false">41.7+100</f>
        <v>141.7</v>
      </c>
      <c r="M263" s="43" t="n">
        <v>110.895</v>
      </c>
      <c r="N263" s="44" t="n">
        <f aca="false">SUM(B263:M263)</f>
        <v>1029.277</v>
      </c>
      <c r="O263" s="87" t="e">
        <f aca="false"/>
        <v>#REF!</v>
      </c>
      <c r="P263" s="85" t="e">
        <f aca="false"/>
        <v>#REF!</v>
      </c>
      <c r="Q263" s="85" t="n">
        <v>0</v>
      </c>
      <c r="R263" s="87" t="e">
        <f aca="false"/>
        <v>#REF!</v>
      </c>
      <c r="S263" s="0"/>
      <c r="T263" s="0"/>
    </row>
    <row r="264" customFormat="false" ht="18" hidden="false" customHeight="false" outlineLevel="0" collapsed="false">
      <c r="A264" s="37" t="s">
        <v>90</v>
      </c>
      <c r="B264" s="105" t="n">
        <f aca="false">SUM(B260:B263)</f>
        <v>342.294</v>
      </c>
      <c r="C264" s="105" t="n">
        <f aca="false">SUM(C260:C263)</f>
        <v>284.895</v>
      </c>
      <c r="D264" s="105" t="n">
        <f aca="false">SUM(D260:D263)</f>
        <v>311.215</v>
      </c>
      <c r="E264" s="105" t="n">
        <f aca="false">SUM(E260:E263)</f>
        <v>309.268</v>
      </c>
      <c r="F264" s="105" t="n">
        <f aca="false">SUM(F260:F263)</f>
        <v>353.922</v>
      </c>
      <c r="G264" s="105" t="n">
        <f aca="false">SUM(G260:G263)</f>
        <v>338.108</v>
      </c>
      <c r="H264" s="105" t="n">
        <f aca="false">SUM(H260:H263)</f>
        <v>373.092</v>
      </c>
      <c r="I264" s="105" t="n">
        <f aca="false">SUM(I260:I263)</f>
        <v>370.999</v>
      </c>
      <c r="J264" s="105" t="n">
        <f aca="false">SUM(J260:J263)</f>
        <v>393.425</v>
      </c>
      <c r="K264" s="105" t="n">
        <f aca="false">SUM(K260:K263)</f>
        <v>435.57</v>
      </c>
      <c r="L264" s="105" t="n">
        <f aca="false">SUM(L260:L263)</f>
        <v>405.16137</v>
      </c>
      <c r="M264" s="105" t="n">
        <f aca="false">SUM(M260:M263)</f>
        <v>402.84</v>
      </c>
      <c r="N264" s="55" t="n">
        <f aca="false">SUM(N260:N263)</f>
        <v>4320.78937</v>
      </c>
      <c r="O264" s="102"/>
      <c r="P264" s="102"/>
      <c r="Q264" s="102"/>
      <c r="R264" s="102"/>
      <c r="S264" s="0"/>
      <c r="T264" s="0"/>
      <c r="V264" s="16"/>
      <c r="W264" s="16"/>
      <c r="X264" s="16"/>
      <c r="Y264" s="16"/>
      <c r="Z264" s="16"/>
      <c r="AA264" s="16"/>
      <c r="AB264" s="16"/>
    </row>
    <row r="265" customFormat="false" ht="12.75" hidden="false" customHeight="false" outlineLevel="0" collapsed="false">
      <c r="A265" s="47" t="s">
        <v>91</v>
      </c>
      <c r="B265" s="105" t="n">
        <f aca="false">+B253+B260</f>
        <v>756.231</v>
      </c>
      <c r="C265" s="105" t="n">
        <f aca="false">+C253+C260</f>
        <v>616.881</v>
      </c>
      <c r="D265" s="105" t="n">
        <f aca="false">+D253+D260</f>
        <v>649.398</v>
      </c>
      <c r="E265" s="105" t="n">
        <f aca="false">+E253+E260</f>
        <v>634.498</v>
      </c>
      <c r="F265" s="105" t="n">
        <f aca="false">+F253+F260</f>
        <v>680.458</v>
      </c>
      <c r="G265" s="105" t="n">
        <f aca="false">+G253+G260</f>
        <v>633.954</v>
      </c>
      <c r="H265" s="105" t="n">
        <f aca="false">+H253+H260</f>
        <v>663.122</v>
      </c>
      <c r="I265" s="105" t="n">
        <f aca="false">+I253+I260</f>
        <v>664.04</v>
      </c>
      <c r="J265" s="105" t="n">
        <f aca="false">+J253+J260</f>
        <v>643.842</v>
      </c>
      <c r="K265" s="105" t="n">
        <f aca="false">+K253+K260</f>
        <v>682.604</v>
      </c>
      <c r="L265" s="105" t="n">
        <f aca="false">+L253+L260</f>
        <v>668.97</v>
      </c>
      <c r="M265" s="105" t="n">
        <f aca="false">+M253+M260</f>
        <v>656.438</v>
      </c>
      <c r="N265" s="55" t="n">
        <f aca="false">+N253+N260</f>
        <v>7950.436</v>
      </c>
      <c r="O265" s="98" t="e">
        <f aca="false">O253+O260+#REF!+#REF!+#REF!</f>
        <v>#REF!</v>
      </c>
      <c r="P265" s="98" t="e">
        <f aca="false">P253+P260+#REF!+#REF!+#REF!</f>
        <v>#REF!</v>
      </c>
      <c r="Q265" s="98" t="e">
        <f aca="false">Q253+Q260+#REF!+#REF!+#REF!</f>
        <v>#REF!</v>
      </c>
      <c r="R265" s="98" t="e">
        <f aca="false">R253+R260+#REF!+#REF!+#REF!</f>
        <v>#REF!</v>
      </c>
      <c r="S265" s="0"/>
      <c r="T265" s="0"/>
    </row>
    <row r="266" customFormat="false" ht="18" hidden="false" customHeight="false" outlineLevel="0" collapsed="false">
      <c r="A266" s="47" t="s">
        <v>92</v>
      </c>
      <c r="B266" s="100" t="n">
        <f aca="false">+B257+B264-B265</f>
        <v>104.53</v>
      </c>
      <c r="C266" s="100" t="n">
        <f aca="false">+C257+C264-C265</f>
        <v>61.6270000000001</v>
      </c>
      <c r="D266" s="100" t="n">
        <f aca="false">+D257+D264-D265</f>
        <v>82.0359999999999</v>
      </c>
      <c r="E266" s="100" t="n">
        <f aca="false">+E257+E264-E265</f>
        <v>84.858</v>
      </c>
      <c r="F266" s="100" t="n">
        <f aca="false">+F257+F264-F265</f>
        <v>113.342</v>
      </c>
      <c r="G266" s="100" t="n">
        <f aca="false">+G257+G264-G265</f>
        <v>153.713</v>
      </c>
      <c r="H266" s="100" t="n">
        <f aca="false">+H257+H264-H265</f>
        <v>133.084</v>
      </c>
      <c r="I266" s="100" t="n">
        <f aca="false">+I257+I264-I265</f>
        <v>220.259</v>
      </c>
      <c r="J266" s="100" t="n">
        <f aca="false">+J257+J264-J265</f>
        <v>192.5</v>
      </c>
      <c r="K266" s="100" t="n">
        <f aca="false">+K257+K264-K265</f>
        <v>211.924</v>
      </c>
      <c r="L266" s="100" t="n">
        <f aca="false">+L257+L264-L265</f>
        <v>129.85257</v>
      </c>
      <c r="M266" s="100" t="n">
        <f aca="false">+M257+M264-M265</f>
        <v>173.154</v>
      </c>
      <c r="N266" s="55" t="n">
        <f aca="false">+N257+N264-N265</f>
        <v>1660.87957</v>
      </c>
      <c r="O266" s="98" t="e">
        <f aca="false">O267-O265</f>
        <v>#REF!</v>
      </c>
      <c r="P266" s="98" t="e">
        <f aca="false">P267-P265</f>
        <v>#REF!</v>
      </c>
      <c r="Q266" s="98" t="e">
        <f aca="false">Q267-Q265</f>
        <v>#REF!</v>
      </c>
      <c r="R266" s="98" t="e">
        <f aca="false">R267-R265</f>
        <v>#REF!</v>
      </c>
      <c r="S266" s="0"/>
      <c r="T266" s="0"/>
      <c r="V266" s="16"/>
      <c r="W266" s="16"/>
      <c r="X266" s="16"/>
      <c r="Y266" s="16"/>
      <c r="Z266" s="16"/>
      <c r="AA266" s="16"/>
      <c r="AB266" s="16"/>
    </row>
    <row r="267" customFormat="false" ht="12.75" hidden="false" customHeight="false" outlineLevel="0" collapsed="false">
      <c r="A267" s="47" t="s">
        <v>93</v>
      </c>
      <c r="B267" s="99" t="n">
        <f aca="false">SUM(B265:B266)</f>
        <v>860.761</v>
      </c>
      <c r="C267" s="99" t="n">
        <f aca="false">SUM(C265:C266)</f>
        <v>678.508</v>
      </c>
      <c r="D267" s="99" t="n">
        <f aca="false">SUM(D265:D266)</f>
        <v>731.434</v>
      </c>
      <c r="E267" s="99" t="n">
        <f aca="false">SUM(E265:E266)</f>
        <v>719.356</v>
      </c>
      <c r="F267" s="99" t="n">
        <f aca="false">SUM(F265:F266)</f>
        <v>793.8</v>
      </c>
      <c r="G267" s="99" t="n">
        <f aca="false">SUM(G265:G266)</f>
        <v>787.667</v>
      </c>
      <c r="H267" s="99" t="n">
        <f aca="false">SUM(H265:H266)</f>
        <v>796.206</v>
      </c>
      <c r="I267" s="99" t="n">
        <f aca="false">SUM(I265:I266)</f>
        <v>884.299</v>
      </c>
      <c r="J267" s="99" t="n">
        <f aca="false">SUM(J265:J266)</f>
        <v>836.342</v>
      </c>
      <c r="K267" s="99" t="n">
        <f aca="false">SUM(K265:K266)</f>
        <v>894.528</v>
      </c>
      <c r="L267" s="99" t="n">
        <f aca="false">SUM(L265:L266)</f>
        <v>798.82257</v>
      </c>
      <c r="M267" s="99" t="n">
        <f aca="false">SUM(M265:M266)</f>
        <v>829.592</v>
      </c>
      <c r="N267" s="55" t="n">
        <f aca="false">SUM(N265:N266)</f>
        <v>9611.31557</v>
      </c>
      <c r="O267" s="106" t="e">
        <f aca="false">SUM(O253:O263)</f>
        <v>#REF!</v>
      </c>
      <c r="P267" s="106" t="e">
        <f aca="false">SUM(P253:P263)</f>
        <v>#REF!</v>
      </c>
      <c r="Q267" s="106" t="e">
        <f aca="false">SUM(Q253:Q263)</f>
        <v>#REF!</v>
      </c>
      <c r="R267" s="106" t="e">
        <f aca="false">SUM(R253:R263)</f>
        <v>#REF!</v>
      </c>
      <c r="S267" s="0"/>
      <c r="T267" s="0"/>
      <c r="AC267" s="94"/>
      <c r="AD267" s="94"/>
      <c r="AE267" s="94"/>
      <c r="AF267" s="94"/>
      <c r="AG267" s="94"/>
      <c r="AH267" s="94"/>
      <c r="AI267" s="94"/>
      <c r="AJ267" s="94"/>
      <c r="AK267" s="94"/>
      <c r="AL267" s="94"/>
      <c r="AM267" s="94"/>
      <c r="AN267" s="94"/>
      <c r="AO267" s="94"/>
      <c r="AP267" s="94"/>
      <c r="AQ267" s="94"/>
      <c r="AR267" s="94"/>
      <c r="AS267" s="94"/>
      <c r="AT267" s="94"/>
      <c r="AU267" s="94"/>
      <c r="AV267" s="94"/>
      <c r="AW267" s="94"/>
      <c r="AX267" s="94"/>
      <c r="AY267" s="94"/>
      <c r="AZ267" s="94"/>
      <c r="BA267" s="94"/>
      <c r="BB267" s="94"/>
      <c r="BC267" s="94"/>
      <c r="BD267" s="94"/>
      <c r="BE267" s="94"/>
      <c r="BF267" s="94"/>
      <c r="BG267" s="94"/>
      <c r="BH267" s="94"/>
      <c r="BI267" s="94"/>
      <c r="BJ267" s="94"/>
      <c r="BK267" s="94"/>
      <c r="BL267" s="94"/>
      <c r="BM267" s="94"/>
      <c r="BN267" s="94"/>
      <c r="BO267" s="94"/>
      <c r="BP267" s="94"/>
      <c r="BQ267" s="94"/>
      <c r="BR267" s="94"/>
      <c r="BS267" s="94"/>
      <c r="BT267" s="94"/>
      <c r="BU267" s="94"/>
      <c r="BV267" s="94"/>
      <c r="BW267" s="94"/>
      <c r="BX267" s="94"/>
      <c r="BY267" s="94"/>
      <c r="BZ267" s="94"/>
      <c r="CA267" s="94"/>
      <c r="CB267" s="94"/>
      <c r="CC267" s="94"/>
      <c r="CD267" s="94"/>
      <c r="CE267" s="94"/>
      <c r="CF267" s="94"/>
      <c r="CG267" s="94"/>
      <c r="CH267" s="94"/>
      <c r="CI267" s="94"/>
      <c r="CJ267" s="94"/>
      <c r="CK267" s="94"/>
      <c r="CL267" s="94"/>
      <c r="CM267" s="94"/>
      <c r="CN267" s="94"/>
      <c r="CO267" s="94"/>
      <c r="CP267" s="94"/>
      <c r="CQ267" s="94"/>
      <c r="CR267" s="94"/>
      <c r="CS267" s="94"/>
      <c r="CT267" s="94"/>
      <c r="CU267" s="94"/>
      <c r="CV267" s="94"/>
      <c r="CW267" s="94"/>
      <c r="CX267" s="94"/>
      <c r="CY267" s="94"/>
      <c r="CZ267" s="94"/>
      <c r="DA267" s="94"/>
      <c r="DB267" s="94"/>
      <c r="DC267" s="94"/>
      <c r="DD267" s="94"/>
      <c r="DE267" s="94"/>
      <c r="DF267" s="94"/>
      <c r="DG267" s="94"/>
      <c r="DH267" s="94"/>
      <c r="DI267" s="94"/>
      <c r="DJ267" s="94"/>
      <c r="DK267" s="94"/>
      <c r="DL267" s="94"/>
      <c r="DM267" s="94"/>
      <c r="DN267" s="94"/>
      <c r="DO267" s="94"/>
      <c r="DP267" s="94"/>
      <c r="DQ267" s="94"/>
      <c r="DR267" s="94"/>
      <c r="DS267" s="94"/>
      <c r="DT267" s="94"/>
      <c r="DU267" s="94"/>
      <c r="DV267" s="94"/>
      <c r="DW267" s="94"/>
      <c r="DX267" s="94"/>
      <c r="DY267" s="94"/>
      <c r="DZ267" s="94"/>
      <c r="EA267" s="94"/>
      <c r="EB267" s="94"/>
      <c r="EC267" s="94"/>
      <c r="ED267" s="94"/>
      <c r="EE267" s="94"/>
      <c r="EF267" s="94"/>
      <c r="EG267" s="94"/>
      <c r="EH267" s="94"/>
      <c r="EI267" s="94"/>
      <c r="EJ267" s="94"/>
      <c r="EK267" s="94"/>
      <c r="EL267" s="94"/>
      <c r="EM267" s="94"/>
      <c r="EN267" s="94"/>
      <c r="EO267" s="94"/>
      <c r="EP267" s="94"/>
      <c r="EQ267" s="94"/>
      <c r="ER267" s="94"/>
      <c r="ES267" s="94"/>
      <c r="ET267" s="94"/>
      <c r="EU267" s="94"/>
      <c r="EV267" s="94"/>
      <c r="EW267" s="94"/>
      <c r="EX267" s="94"/>
      <c r="EY267" s="94"/>
      <c r="EZ267" s="94"/>
      <c r="FA267" s="94"/>
      <c r="FB267" s="94"/>
      <c r="FC267" s="94"/>
      <c r="FD267" s="94"/>
      <c r="FE267" s="94"/>
      <c r="FF267" s="94"/>
      <c r="FG267" s="94"/>
      <c r="FH267" s="94"/>
      <c r="FI267" s="94"/>
      <c r="FJ267" s="94"/>
      <c r="FK267" s="94"/>
      <c r="FL267" s="94"/>
      <c r="FM267" s="94"/>
      <c r="FN267" s="94"/>
      <c r="FO267" s="94"/>
      <c r="FP267" s="94"/>
      <c r="FQ267" s="94"/>
      <c r="FR267" s="94"/>
      <c r="FS267" s="94"/>
      <c r="FT267" s="94"/>
      <c r="FU267" s="94"/>
      <c r="FV267" s="94"/>
      <c r="FW267" s="94"/>
      <c r="FX267" s="94"/>
      <c r="FY267" s="94"/>
      <c r="FZ267" s="94"/>
      <c r="GA267" s="94"/>
      <c r="GB267" s="94"/>
      <c r="GC267" s="94"/>
      <c r="GD267" s="94"/>
      <c r="GE267" s="94"/>
      <c r="GF267" s="94"/>
      <c r="GG267" s="94"/>
      <c r="GH267" s="94"/>
      <c r="GI267" s="94"/>
      <c r="GJ267" s="94"/>
      <c r="GK267" s="94"/>
      <c r="GL267" s="94"/>
      <c r="GM267" s="94"/>
      <c r="GN267" s="94"/>
      <c r="GO267" s="94"/>
      <c r="GP267" s="94"/>
      <c r="GQ267" s="94"/>
      <c r="GR267" s="94"/>
      <c r="GS267" s="94"/>
      <c r="GT267" s="94"/>
      <c r="GU267" s="94"/>
      <c r="GV267" s="94"/>
      <c r="GW267" s="94"/>
      <c r="GX267" s="94"/>
      <c r="GY267" s="94"/>
      <c r="GZ267" s="94"/>
      <c r="HA267" s="94"/>
      <c r="HB267" s="94"/>
      <c r="HC267" s="94"/>
      <c r="HD267" s="94"/>
      <c r="HE267" s="94"/>
      <c r="HF267" s="94"/>
      <c r="HG267" s="94"/>
      <c r="HH267" s="94"/>
      <c r="HI267" s="94"/>
      <c r="HJ267" s="94"/>
      <c r="HK267" s="94"/>
      <c r="HL267" s="94"/>
      <c r="HM267" s="94"/>
      <c r="HN267" s="94"/>
      <c r="HO267" s="94"/>
      <c r="HP267" s="94"/>
      <c r="HQ267" s="94"/>
      <c r="HR267" s="94"/>
      <c r="HS267" s="94"/>
      <c r="HT267" s="94"/>
      <c r="HU267" s="94"/>
      <c r="HV267" s="94"/>
      <c r="HW267" s="94"/>
      <c r="HX267" s="94"/>
      <c r="HY267" s="94"/>
      <c r="HZ267" s="94"/>
      <c r="IA267" s="94"/>
      <c r="IB267" s="94"/>
      <c r="IC267" s="94"/>
      <c r="ID267" s="94"/>
      <c r="IE267" s="94"/>
      <c r="IF267" s="94"/>
      <c r="IG267" s="94"/>
      <c r="IH267" s="94"/>
      <c r="II267" s="94"/>
      <c r="IJ267" s="94"/>
      <c r="IK267" s="94"/>
      <c r="IL267" s="94"/>
      <c r="IM267" s="94"/>
      <c r="IN267" s="94"/>
      <c r="IO267" s="94"/>
      <c r="IP267" s="94"/>
      <c r="IQ267" s="94"/>
      <c r="IR267" s="94"/>
      <c r="IS267" s="94"/>
      <c r="IT267" s="94"/>
      <c r="IU267" s="94"/>
      <c r="IV267" s="94"/>
      <c r="IW267" s="94"/>
    </row>
    <row r="268" customFormat="false" ht="18" hidden="false" customHeight="false" outlineLevel="0" collapsed="false">
      <c r="A268" s="51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1"/>
      <c r="O268" s="107"/>
      <c r="P268" s="107"/>
      <c r="Q268" s="107"/>
      <c r="R268" s="107"/>
      <c r="S268" s="0"/>
      <c r="T268" s="0"/>
      <c r="V268" s="16"/>
      <c r="W268" s="16"/>
      <c r="X268" s="16"/>
      <c r="Y268" s="16"/>
      <c r="Z268" s="16"/>
      <c r="AA268" s="16"/>
      <c r="AB268" s="16"/>
      <c r="AC268" s="94"/>
      <c r="AD268" s="94"/>
      <c r="AE268" s="94"/>
      <c r="AF268" s="94"/>
      <c r="AG268" s="94"/>
      <c r="AH268" s="94"/>
      <c r="AI268" s="94"/>
      <c r="AJ268" s="94"/>
      <c r="AK268" s="94"/>
      <c r="AL268" s="94"/>
      <c r="AM268" s="94"/>
      <c r="AN268" s="94"/>
      <c r="AO268" s="94"/>
      <c r="AP268" s="94"/>
      <c r="AQ268" s="94"/>
      <c r="AR268" s="94"/>
      <c r="AS268" s="94"/>
      <c r="AT268" s="94"/>
      <c r="AU268" s="94"/>
      <c r="AV268" s="94"/>
      <c r="AW268" s="94"/>
      <c r="AX268" s="94"/>
      <c r="AY268" s="94"/>
      <c r="AZ268" s="94"/>
      <c r="BA268" s="94"/>
      <c r="BB268" s="94"/>
      <c r="BC268" s="94"/>
      <c r="BD268" s="94"/>
      <c r="BE268" s="94"/>
      <c r="BF268" s="94"/>
      <c r="BG268" s="94"/>
      <c r="BH268" s="94"/>
      <c r="BI268" s="94"/>
      <c r="BJ268" s="94"/>
      <c r="BK268" s="94"/>
      <c r="BL268" s="94"/>
      <c r="BM268" s="94"/>
      <c r="BN268" s="94"/>
      <c r="BO268" s="94"/>
      <c r="BP268" s="94"/>
      <c r="BQ268" s="94"/>
      <c r="BR268" s="94"/>
      <c r="BS268" s="94"/>
      <c r="BT268" s="94"/>
      <c r="BU268" s="94"/>
      <c r="BV268" s="94"/>
      <c r="BW268" s="94"/>
      <c r="BX268" s="94"/>
      <c r="BY268" s="94"/>
      <c r="BZ268" s="94"/>
      <c r="CA268" s="94"/>
      <c r="CB268" s="94"/>
      <c r="CC268" s="94"/>
      <c r="CD268" s="94"/>
      <c r="CE268" s="94"/>
      <c r="CF268" s="94"/>
      <c r="CG268" s="94"/>
      <c r="CH268" s="94"/>
      <c r="CI268" s="94"/>
      <c r="CJ268" s="94"/>
      <c r="CK268" s="94"/>
      <c r="CL268" s="94"/>
      <c r="CM268" s="94"/>
      <c r="CN268" s="94"/>
      <c r="CO268" s="94"/>
      <c r="CP268" s="94"/>
      <c r="CQ268" s="94"/>
      <c r="CR268" s="94"/>
      <c r="CS268" s="94"/>
      <c r="CT268" s="94"/>
      <c r="CU268" s="94"/>
      <c r="CV268" s="94"/>
      <c r="CW268" s="94"/>
      <c r="CX268" s="94"/>
      <c r="CY268" s="94"/>
      <c r="CZ268" s="94"/>
      <c r="DA268" s="94"/>
      <c r="DB268" s="94"/>
      <c r="DC268" s="94"/>
      <c r="DD268" s="94"/>
      <c r="DE268" s="94"/>
      <c r="DF268" s="94"/>
      <c r="DG268" s="94"/>
      <c r="DH268" s="94"/>
      <c r="DI268" s="94"/>
      <c r="DJ268" s="94"/>
      <c r="DK268" s="94"/>
      <c r="DL268" s="94"/>
      <c r="DM268" s="94"/>
      <c r="DN268" s="94"/>
      <c r="DO268" s="94"/>
      <c r="DP268" s="94"/>
      <c r="DQ268" s="94"/>
      <c r="DR268" s="94"/>
      <c r="DS268" s="94"/>
      <c r="DT268" s="94"/>
      <c r="DU268" s="94"/>
      <c r="DV268" s="94"/>
      <c r="DW268" s="94"/>
      <c r="DX268" s="94"/>
      <c r="DY268" s="94"/>
      <c r="DZ268" s="94"/>
      <c r="EA268" s="94"/>
      <c r="EB268" s="94"/>
      <c r="EC268" s="94"/>
      <c r="ED268" s="94"/>
      <c r="EE268" s="94"/>
      <c r="EF268" s="94"/>
      <c r="EG268" s="94"/>
      <c r="EH268" s="94"/>
      <c r="EI268" s="94"/>
      <c r="EJ268" s="94"/>
      <c r="EK268" s="94"/>
      <c r="EL268" s="94"/>
      <c r="EM268" s="94"/>
      <c r="EN268" s="94"/>
      <c r="EO268" s="94"/>
      <c r="EP268" s="94"/>
      <c r="EQ268" s="94"/>
      <c r="ER268" s="94"/>
      <c r="ES268" s="94"/>
      <c r="ET268" s="94"/>
      <c r="EU268" s="94"/>
      <c r="EV268" s="94"/>
      <c r="EW268" s="94"/>
      <c r="EX268" s="94"/>
      <c r="EY268" s="94"/>
      <c r="EZ268" s="94"/>
      <c r="FA268" s="94"/>
      <c r="FB268" s="94"/>
      <c r="FC268" s="94"/>
      <c r="FD268" s="94"/>
      <c r="FE268" s="94"/>
      <c r="FF268" s="94"/>
      <c r="FG268" s="94"/>
      <c r="FH268" s="94"/>
      <c r="FI268" s="94"/>
      <c r="FJ268" s="94"/>
      <c r="FK268" s="94"/>
      <c r="FL268" s="94"/>
      <c r="FM268" s="94"/>
      <c r="FN268" s="94"/>
      <c r="FO268" s="94"/>
      <c r="FP268" s="94"/>
      <c r="FQ268" s="94"/>
      <c r="FR268" s="94"/>
      <c r="FS268" s="94"/>
      <c r="FT268" s="94"/>
      <c r="FU268" s="94"/>
      <c r="FV268" s="94"/>
      <c r="FW268" s="94"/>
      <c r="FX268" s="94"/>
      <c r="FY268" s="94"/>
      <c r="FZ268" s="94"/>
      <c r="GA268" s="94"/>
      <c r="GB268" s="94"/>
      <c r="GC268" s="94"/>
      <c r="GD268" s="94"/>
      <c r="GE268" s="94"/>
      <c r="GF268" s="94"/>
      <c r="GG268" s="94"/>
      <c r="GH268" s="94"/>
      <c r="GI268" s="94"/>
      <c r="GJ268" s="94"/>
      <c r="GK268" s="94"/>
      <c r="GL268" s="94"/>
      <c r="GM268" s="94"/>
      <c r="GN268" s="94"/>
      <c r="GO268" s="94"/>
      <c r="GP268" s="94"/>
      <c r="GQ268" s="94"/>
      <c r="GR268" s="94"/>
      <c r="GS268" s="94"/>
      <c r="GT268" s="94"/>
      <c r="GU268" s="94"/>
      <c r="GV268" s="94"/>
      <c r="GW268" s="94"/>
      <c r="GX268" s="94"/>
      <c r="GY268" s="94"/>
      <c r="GZ268" s="94"/>
      <c r="HA268" s="94"/>
      <c r="HB268" s="94"/>
      <c r="HC268" s="94"/>
      <c r="HD268" s="94"/>
      <c r="HE268" s="94"/>
      <c r="HF268" s="94"/>
      <c r="HG268" s="94"/>
      <c r="HH268" s="94"/>
      <c r="HI268" s="94"/>
      <c r="HJ268" s="94"/>
      <c r="HK268" s="94"/>
      <c r="HL268" s="94"/>
      <c r="HM268" s="94"/>
      <c r="HN268" s="94"/>
      <c r="HO268" s="94"/>
      <c r="HP268" s="94"/>
      <c r="HQ268" s="94"/>
      <c r="HR268" s="94"/>
      <c r="HS268" s="94"/>
      <c r="HT268" s="94"/>
      <c r="HU268" s="94"/>
      <c r="HV268" s="94"/>
      <c r="HW268" s="94"/>
      <c r="HX268" s="94"/>
      <c r="HY268" s="94"/>
      <c r="HZ268" s="94"/>
      <c r="IA268" s="94"/>
      <c r="IB268" s="94"/>
      <c r="IC268" s="94"/>
      <c r="ID268" s="94"/>
      <c r="IE268" s="94"/>
      <c r="IF268" s="94"/>
      <c r="IG268" s="94"/>
      <c r="IH268" s="94"/>
      <c r="II268" s="94"/>
      <c r="IJ268" s="94"/>
      <c r="IK268" s="94"/>
      <c r="IL268" s="94"/>
      <c r="IM268" s="94"/>
      <c r="IN268" s="94"/>
      <c r="IO268" s="94"/>
      <c r="IP268" s="94"/>
      <c r="IQ268" s="94"/>
      <c r="IR268" s="94"/>
      <c r="IS268" s="94"/>
      <c r="IT268" s="94"/>
      <c r="IU268" s="94"/>
      <c r="IV268" s="94"/>
      <c r="IW268" s="94"/>
    </row>
    <row r="269" customFormat="false" ht="15.75" hidden="false" customHeight="false" outlineLevel="0" collapsed="false">
      <c r="A269" s="36" t="s">
        <v>61</v>
      </c>
      <c r="B269" s="100"/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7"/>
      <c r="P269" s="107"/>
      <c r="Q269" s="107"/>
      <c r="R269" s="107"/>
      <c r="S269" s="0"/>
      <c r="T269" s="0"/>
      <c r="AC269" s="94"/>
      <c r="AD269" s="94"/>
      <c r="AE269" s="94"/>
      <c r="AF269" s="94"/>
      <c r="AG269" s="94"/>
      <c r="AH269" s="94"/>
      <c r="AI269" s="94"/>
      <c r="AJ269" s="94"/>
      <c r="AK269" s="94"/>
      <c r="AL269" s="94"/>
      <c r="AM269" s="94"/>
      <c r="AN269" s="94"/>
      <c r="AO269" s="94"/>
      <c r="AP269" s="94"/>
      <c r="AQ269" s="94"/>
      <c r="AR269" s="94"/>
      <c r="AS269" s="94"/>
      <c r="AT269" s="94"/>
      <c r="AU269" s="94"/>
      <c r="AV269" s="94"/>
      <c r="AW269" s="94"/>
      <c r="AX269" s="94"/>
      <c r="AY269" s="94"/>
      <c r="AZ269" s="94"/>
      <c r="BA269" s="94"/>
      <c r="BB269" s="94"/>
      <c r="BC269" s="94"/>
      <c r="BD269" s="94"/>
      <c r="BE269" s="94"/>
      <c r="BF269" s="94"/>
      <c r="BG269" s="94"/>
      <c r="BH269" s="94"/>
      <c r="BI269" s="94"/>
      <c r="BJ269" s="94"/>
      <c r="BK269" s="94"/>
      <c r="BL269" s="94"/>
      <c r="BM269" s="94"/>
      <c r="BN269" s="94"/>
      <c r="BO269" s="94"/>
      <c r="BP269" s="94"/>
      <c r="BQ269" s="94"/>
      <c r="BR269" s="94"/>
      <c r="BS269" s="94"/>
      <c r="BT269" s="94"/>
      <c r="BU269" s="94"/>
      <c r="BV269" s="94"/>
      <c r="BW269" s="94"/>
      <c r="BX269" s="94"/>
      <c r="BY269" s="94"/>
      <c r="BZ269" s="94"/>
      <c r="CA269" s="94"/>
      <c r="CB269" s="94"/>
      <c r="CC269" s="94"/>
      <c r="CD269" s="94"/>
      <c r="CE269" s="94"/>
      <c r="CF269" s="94"/>
      <c r="CG269" s="94"/>
      <c r="CH269" s="94"/>
      <c r="CI269" s="94"/>
      <c r="CJ269" s="94"/>
      <c r="CK269" s="94"/>
      <c r="CL269" s="94"/>
      <c r="CM269" s="94"/>
      <c r="CN269" s="94"/>
      <c r="CO269" s="94"/>
      <c r="CP269" s="94"/>
      <c r="CQ269" s="94"/>
      <c r="CR269" s="94"/>
      <c r="CS269" s="94"/>
      <c r="CT269" s="94"/>
      <c r="CU269" s="94"/>
      <c r="CV269" s="94"/>
      <c r="CW269" s="94"/>
      <c r="CX269" s="94"/>
      <c r="CY269" s="94"/>
      <c r="CZ269" s="94"/>
      <c r="DA269" s="94"/>
      <c r="DB269" s="94"/>
      <c r="DC269" s="94"/>
      <c r="DD269" s="94"/>
      <c r="DE269" s="94"/>
      <c r="DF269" s="94"/>
      <c r="DG269" s="94"/>
      <c r="DH269" s="94"/>
      <c r="DI269" s="94"/>
      <c r="DJ269" s="94"/>
      <c r="DK269" s="94"/>
      <c r="DL269" s="94"/>
      <c r="DM269" s="94"/>
      <c r="DN269" s="94"/>
      <c r="DO269" s="94"/>
      <c r="DP269" s="94"/>
      <c r="DQ269" s="94"/>
      <c r="DR269" s="94"/>
      <c r="DS269" s="94"/>
      <c r="DT269" s="94"/>
      <c r="DU269" s="94"/>
      <c r="DV269" s="94"/>
      <c r="DW269" s="94"/>
      <c r="DX269" s="94"/>
      <c r="DY269" s="94"/>
      <c r="DZ269" s="94"/>
      <c r="EA269" s="94"/>
      <c r="EB269" s="94"/>
      <c r="EC269" s="94"/>
      <c r="ED269" s="94"/>
      <c r="EE269" s="94"/>
      <c r="EF269" s="94"/>
      <c r="EG269" s="94"/>
      <c r="EH269" s="94"/>
      <c r="EI269" s="94"/>
      <c r="EJ269" s="94"/>
      <c r="EK269" s="94"/>
      <c r="EL269" s="94"/>
      <c r="EM269" s="94"/>
      <c r="EN269" s="94"/>
      <c r="EO269" s="94"/>
      <c r="EP269" s="94"/>
      <c r="EQ269" s="94"/>
      <c r="ER269" s="94"/>
      <c r="ES269" s="94"/>
      <c r="ET269" s="94"/>
      <c r="EU269" s="94"/>
      <c r="EV269" s="94"/>
      <c r="EW269" s="94"/>
      <c r="EX269" s="94"/>
      <c r="EY269" s="94"/>
      <c r="EZ269" s="94"/>
      <c r="FA269" s="94"/>
      <c r="FB269" s="94"/>
      <c r="FC269" s="94"/>
      <c r="FD269" s="94"/>
      <c r="FE269" s="94"/>
      <c r="FF269" s="94"/>
      <c r="FG269" s="94"/>
      <c r="FH269" s="94"/>
      <c r="FI269" s="94"/>
      <c r="FJ269" s="94"/>
      <c r="FK269" s="94"/>
      <c r="FL269" s="94"/>
      <c r="FM269" s="94"/>
      <c r="FN269" s="94"/>
      <c r="FO269" s="94"/>
      <c r="FP269" s="94"/>
      <c r="FQ269" s="94"/>
      <c r="FR269" s="94"/>
      <c r="FS269" s="94"/>
      <c r="FT269" s="94"/>
      <c r="FU269" s="94"/>
      <c r="FV269" s="94"/>
      <c r="FW269" s="94"/>
      <c r="FX269" s="94"/>
      <c r="FY269" s="94"/>
      <c r="FZ269" s="94"/>
      <c r="GA269" s="94"/>
      <c r="GB269" s="94"/>
      <c r="GC269" s="94"/>
      <c r="GD269" s="94"/>
      <c r="GE269" s="94"/>
      <c r="GF269" s="94"/>
      <c r="GG269" s="94"/>
      <c r="GH269" s="94"/>
      <c r="GI269" s="94"/>
      <c r="GJ269" s="94"/>
      <c r="GK269" s="94"/>
      <c r="GL269" s="94"/>
      <c r="GM269" s="94"/>
      <c r="GN269" s="94"/>
      <c r="GO269" s="94"/>
      <c r="GP269" s="94"/>
      <c r="GQ269" s="94"/>
      <c r="GR269" s="94"/>
      <c r="GS269" s="94"/>
      <c r="GT269" s="94"/>
      <c r="GU269" s="94"/>
      <c r="GV269" s="94"/>
      <c r="GW269" s="94"/>
      <c r="GX269" s="94"/>
      <c r="GY269" s="94"/>
      <c r="GZ269" s="94"/>
      <c r="HA269" s="94"/>
      <c r="HB269" s="94"/>
      <c r="HC269" s="94"/>
      <c r="HD269" s="94"/>
      <c r="HE269" s="94"/>
      <c r="HF269" s="94"/>
      <c r="HG269" s="94"/>
      <c r="HH269" s="94"/>
      <c r="HI269" s="94"/>
      <c r="HJ269" s="94"/>
      <c r="HK269" s="94"/>
      <c r="HL269" s="94"/>
      <c r="HM269" s="94"/>
      <c r="HN269" s="94"/>
      <c r="HO269" s="94"/>
      <c r="HP269" s="94"/>
      <c r="HQ269" s="94"/>
      <c r="HR269" s="94"/>
      <c r="HS269" s="94"/>
      <c r="HT269" s="94"/>
      <c r="HU269" s="94"/>
      <c r="HV269" s="94"/>
      <c r="HW269" s="94"/>
      <c r="HX269" s="94"/>
      <c r="HY269" s="94"/>
      <c r="HZ269" s="94"/>
      <c r="IA269" s="94"/>
      <c r="IB269" s="94"/>
      <c r="IC269" s="94"/>
      <c r="ID269" s="94"/>
      <c r="IE269" s="94"/>
      <c r="IF269" s="94"/>
      <c r="IG269" s="94"/>
      <c r="IH269" s="94"/>
      <c r="II269" s="94"/>
      <c r="IJ269" s="94"/>
      <c r="IK269" s="94"/>
      <c r="IL269" s="94"/>
      <c r="IM269" s="94"/>
      <c r="IN269" s="94"/>
      <c r="IO269" s="94"/>
      <c r="IP269" s="94"/>
      <c r="IQ269" s="94"/>
      <c r="IR269" s="94"/>
      <c r="IS269" s="94"/>
      <c r="IT269" s="94"/>
      <c r="IU269" s="94"/>
      <c r="IV269" s="94"/>
      <c r="IW269" s="94"/>
    </row>
    <row r="270" customFormat="false" ht="18" hidden="false" customHeight="false" outlineLevel="0" collapsed="false">
      <c r="A270" s="37" t="s">
        <v>78</v>
      </c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1"/>
      <c r="O270" s="87" t="e">
        <f aca="false">CHOOSE(#REF!,SUM(B270,B270),SUM(B270:C270),SUM(B270:D270),SUM(B270:E270),SUM(B270:F270),SUM(B270:G270),SUM(B270:H270),SUM(B270:I270),SUM(B270:J270),SUM(B270:K270),SUM(B270:L270),SUM(B270:M270))</f>
        <v>#REF!</v>
      </c>
      <c r="P270" s="85" t="e">
        <f aca="false">N270-O270</f>
        <v>#REF!</v>
      </c>
      <c r="Q270" s="85" t="n">
        <f aca="false">N270</f>
        <v>0</v>
      </c>
      <c r="R270" s="87"/>
      <c r="S270" s="0"/>
      <c r="T270" s="0"/>
      <c r="V270" s="16"/>
      <c r="W270" s="16"/>
      <c r="X270" s="16"/>
      <c r="Y270" s="16"/>
      <c r="Z270" s="16"/>
      <c r="AA270" s="16"/>
      <c r="AB270" s="16"/>
    </row>
    <row r="271" customFormat="false" ht="12.75" hidden="false" customHeight="false" outlineLevel="0" collapsed="false">
      <c r="A271" s="40" t="s">
        <v>23</v>
      </c>
      <c r="B271" s="41" t="n">
        <v>1486.2</v>
      </c>
      <c r="C271" s="41" t="n">
        <v>1390.303</v>
      </c>
      <c r="D271" s="41" t="n">
        <v>1504.186</v>
      </c>
      <c r="E271" s="41" t="n">
        <v>1438.245</v>
      </c>
      <c r="F271" s="41" t="n">
        <v>1486.186</v>
      </c>
      <c r="G271" s="41" t="n">
        <v>1438.245</v>
      </c>
      <c r="H271" s="41" t="n">
        <v>1486.186</v>
      </c>
      <c r="I271" s="41" t="n">
        <v>1486.186</v>
      </c>
      <c r="J271" s="41" t="n">
        <v>1438.245</v>
      </c>
      <c r="K271" s="41" t="n">
        <v>1486.186</v>
      </c>
      <c r="L271" s="41" t="n">
        <v>1448.718</v>
      </c>
      <c r="M271" s="41" t="n">
        <v>1477.703</v>
      </c>
      <c r="N271" s="4" t="n">
        <f aca="false">SUM(B271:M271)</f>
        <v>17566.589</v>
      </c>
      <c r="O271" s="87" t="e">
        <f aca="false"/>
        <v>#REF!</v>
      </c>
      <c r="P271" s="85" t="e">
        <f aca="false"/>
        <v>#REF!</v>
      </c>
      <c r="Q271" s="85" t="n">
        <v>17726.7985</v>
      </c>
      <c r="R271" s="87" t="e">
        <f aca="false"/>
        <v>#REF!</v>
      </c>
      <c r="S271" s="0"/>
      <c r="T271" s="0"/>
    </row>
    <row r="272" customFormat="false" ht="18" hidden="false" customHeight="false" outlineLevel="0" collapsed="false">
      <c r="A272" s="40" t="s">
        <v>54</v>
      </c>
      <c r="B272" s="41" t="n">
        <v>14.193</v>
      </c>
      <c r="C272" s="41" t="n">
        <v>14.422</v>
      </c>
      <c r="D272" s="41" t="n">
        <f aca="false">16.029+0.127</f>
        <v>16.156</v>
      </c>
      <c r="E272" s="41" t="n">
        <f aca="false">11.678+0.148</f>
        <v>11.826</v>
      </c>
      <c r="F272" s="41" t="n">
        <f aca="false">12.913+0.087</f>
        <v>13</v>
      </c>
      <c r="G272" s="41" t="n">
        <f aca="false">9.243+0.051</f>
        <v>9.294</v>
      </c>
      <c r="H272" s="41" t="n">
        <v>9.558</v>
      </c>
      <c r="I272" s="41" t="n">
        <v>9.606</v>
      </c>
      <c r="J272" s="41" t="n">
        <v>8.97</v>
      </c>
      <c r="K272" s="41" t="n">
        <v>9.301</v>
      </c>
      <c r="L272" s="41" t="n">
        <f aca="false">38.60808-0.66</f>
        <v>37.94808</v>
      </c>
      <c r="M272" s="41" t="n">
        <v>15.28</v>
      </c>
      <c r="N272" s="4" t="n">
        <f aca="false">SUM(B272:M272)</f>
        <v>169.55408</v>
      </c>
      <c r="O272" s="87" t="e">
        <f aca="false"/>
        <v>#REF!</v>
      </c>
      <c r="P272" s="85" t="e">
        <f aca="false"/>
        <v>#REF!</v>
      </c>
      <c r="Q272" s="85" t="n">
        <v>471.018576</v>
      </c>
      <c r="R272" s="87" t="e">
        <f aca="false"/>
        <v>#REF!</v>
      </c>
      <c r="S272" s="0"/>
      <c r="T272" s="0"/>
      <c r="V272" s="16"/>
      <c r="W272" s="16"/>
      <c r="X272" s="16"/>
      <c r="Y272" s="16"/>
      <c r="Z272" s="16"/>
      <c r="AA272" s="16"/>
      <c r="AB272" s="16"/>
    </row>
    <row r="273" customFormat="false" ht="12.75" hidden="false" customHeight="false" outlineLevel="0" collapsed="false">
      <c r="A273" s="108" t="s">
        <v>94</v>
      </c>
      <c r="B273" s="86" t="n">
        <v>1.626</v>
      </c>
      <c r="C273" s="86" t="n">
        <v>0.72978</v>
      </c>
      <c r="D273" s="86" t="n">
        <v>0.771</v>
      </c>
      <c r="E273" s="86" t="n">
        <v>0.725</v>
      </c>
      <c r="F273" s="41" t="n">
        <v>2.712</v>
      </c>
      <c r="G273" s="41" t="n">
        <v>4.991</v>
      </c>
      <c r="H273" s="41" t="n">
        <v>5.887</v>
      </c>
      <c r="I273" s="41" t="n">
        <v>8.821</v>
      </c>
      <c r="J273" s="41" t="n">
        <v>5.408</v>
      </c>
      <c r="K273" s="41" t="n">
        <v>5.892</v>
      </c>
      <c r="L273" s="41" t="n">
        <v>0</v>
      </c>
      <c r="M273" s="41" t="n">
        <v>0.823</v>
      </c>
      <c r="N273" s="4" t="n">
        <f aca="false">SUM(B273:M273)</f>
        <v>38.38578</v>
      </c>
      <c r="O273" s="87" t="e">
        <f aca="false"/>
        <v>#REF!</v>
      </c>
      <c r="P273" s="85" t="e">
        <f aca="false"/>
        <v>#REF!</v>
      </c>
      <c r="Q273" s="85" t="n">
        <v>0</v>
      </c>
      <c r="R273" s="87" t="e">
        <f aca="false"/>
        <v>#REF!</v>
      </c>
      <c r="S273" s="0"/>
      <c r="T273" s="0"/>
    </row>
    <row r="274" customFormat="false" ht="18" hidden="false" customHeight="false" outlineLevel="0" collapsed="false">
      <c r="A274" s="40" t="s">
        <v>55</v>
      </c>
      <c r="B274" s="43" t="n">
        <v>0</v>
      </c>
      <c r="C274" s="43" t="n">
        <v>0</v>
      </c>
      <c r="D274" s="43" t="n">
        <v>1</v>
      </c>
      <c r="E274" s="43" t="n">
        <v>0</v>
      </c>
      <c r="F274" s="43" t="n">
        <v>0</v>
      </c>
      <c r="G274" s="43" t="n">
        <f aca="false">4.217+2.195</f>
        <v>6.412</v>
      </c>
      <c r="H274" s="43" t="n">
        <v>2.465</v>
      </c>
      <c r="I274" s="43" t="n">
        <v>0</v>
      </c>
      <c r="J274" s="43" t="n">
        <v>213.379</v>
      </c>
      <c r="K274" s="43" t="n">
        <v>0</v>
      </c>
      <c r="L274" s="43" t="n">
        <v>0</v>
      </c>
      <c r="M274" s="43" t="n">
        <v>0</v>
      </c>
      <c r="N274" s="44" t="n">
        <f aca="false">SUM(B274:M274)</f>
        <v>223.256</v>
      </c>
      <c r="O274" s="109" t="e">
        <f aca="false"/>
        <v>#REF!</v>
      </c>
      <c r="P274" s="110" t="e">
        <f aca="false"/>
        <v>#REF!</v>
      </c>
      <c r="Q274" s="110" t="n">
        <v>257.6</v>
      </c>
      <c r="R274" s="109" t="e">
        <f aca="false"/>
        <v>#REF!</v>
      </c>
      <c r="S274" s="0"/>
      <c r="T274" s="0"/>
      <c r="V274" s="16"/>
      <c r="W274" s="16"/>
      <c r="X274" s="16"/>
      <c r="Y274" s="16"/>
      <c r="Z274" s="16"/>
      <c r="AA274" s="16"/>
      <c r="AB274" s="16"/>
    </row>
    <row r="275" customFormat="false" ht="12.75" hidden="false" customHeight="false" outlineLevel="0" collapsed="false">
      <c r="A275" s="47" t="s">
        <v>95</v>
      </c>
      <c r="B275" s="105" t="n">
        <f aca="false">+B271</f>
        <v>1486.2</v>
      </c>
      <c r="C275" s="105" t="n">
        <f aca="false">+C271</f>
        <v>1390.303</v>
      </c>
      <c r="D275" s="105" t="n">
        <f aca="false">+D271</f>
        <v>1504.186</v>
      </c>
      <c r="E275" s="105" t="n">
        <f aca="false">+E271</f>
        <v>1438.245</v>
      </c>
      <c r="F275" s="105" t="n">
        <f aca="false">+F271</f>
        <v>1486.186</v>
      </c>
      <c r="G275" s="105" t="n">
        <f aca="false">+G271</f>
        <v>1438.245</v>
      </c>
      <c r="H275" s="105" t="n">
        <f aca="false">+H271</f>
        <v>1486.186</v>
      </c>
      <c r="I275" s="105" t="n">
        <f aca="false">+I271</f>
        <v>1486.186</v>
      </c>
      <c r="J275" s="105" t="n">
        <f aca="false">J271</f>
        <v>1438.245</v>
      </c>
      <c r="K275" s="105" t="n">
        <f aca="false">+K271</f>
        <v>1486.186</v>
      </c>
      <c r="L275" s="105" t="n">
        <f aca="false">+L271</f>
        <v>1448.718</v>
      </c>
      <c r="M275" s="105" t="n">
        <f aca="false">+M271</f>
        <v>1477.703</v>
      </c>
      <c r="N275" s="55" t="n">
        <f aca="false">+N271</f>
        <v>17566.589</v>
      </c>
      <c r="O275" s="109"/>
      <c r="P275" s="109"/>
      <c r="Q275" s="109"/>
      <c r="R275" s="109"/>
      <c r="S275" s="0"/>
      <c r="T275" s="0"/>
    </row>
    <row r="276" customFormat="false" ht="18" hidden="false" customHeight="false" outlineLevel="0" collapsed="false">
      <c r="A276" s="47" t="s">
        <v>96</v>
      </c>
      <c r="B276" s="105" t="n">
        <f aca="false">SUM(B272:B274)</f>
        <v>15.819</v>
      </c>
      <c r="C276" s="105" t="n">
        <f aca="false">SUM(C272:C274)</f>
        <v>15.15178</v>
      </c>
      <c r="D276" s="105" t="n">
        <f aca="false">SUM(D272:D274)</f>
        <v>17.927</v>
      </c>
      <c r="E276" s="105" t="n">
        <f aca="false">SUM(E272:E274)</f>
        <v>12.551</v>
      </c>
      <c r="F276" s="105" t="n">
        <f aca="false">SUM(F272:F274)</f>
        <v>15.712</v>
      </c>
      <c r="G276" s="105" t="n">
        <f aca="false">SUM(G272:G274)</f>
        <v>20.697</v>
      </c>
      <c r="H276" s="105" t="n">
        <f aca="false">SUM(H272:H274)</f>
        <v>17.91</v>
      </c>
      <c r="I276" s="105" t="n">
        <f aca="false">SUM(I272:I274)</f>
        <v>18.427</v>
      </c>
      <c r="J276" s="105" t="n">
        <f aca="false">SUM(J272:J274)</f>
        <v>227.757</v>
      </c>
      <c r="K276" s="105" t="n">
        <f aca="false">SUM(K272:K274)</f>
        <v>15.193</v>
      </c>
      <c r="L276" s="105" t="n">
        <f aca="false">SUM(L272:L274)</f>
        <v>37.94808</v>
      </c>
      <c r="M276" s="105" t="n">
        <f aca="false">SUM(M272:M274)</f>
        <v>16.103</v>
      </c>
      <c r="N276" s="55" t="n">
        <f aca="false">SUM(N272:N274)</f>
        <v>431.19586</v>
      </c>
      <c r="O276" s="109"/>
      <c r="P276" s="109"/>
      <c r="Q276" s="109"/>
      <c r="R276" s="109"/>
      <c r="S276" s="0"/>
      <c r="T276" s="0"/>
      <c r="V276" s="16"/>
      <c r="W276" s="16"/>
      <c r="X276" s="16"/>
      <c r="Y276" s="16"/>
      <c r="Z276" s="16"/>
      <c r="AA276" s="16"/>
      <c r="AB276" s="16"/>
    </row>
    <row r="277" customFormat="false" ht="12.75" hidden="false" customHeight="false" outlineLevel="0" collapsed="false">
      <c r="A277" s="47" t="s">
        <v>97</v>
      </c>
      <c r="B277" s="105" t="n">
        <f aca="false">SUM(B271:B274)</f>
        <v>1502.019</v>
      </c>
      <c r="C277" s="105" t="n">
        <f aca="false">SUM(C271:C274)</f>
        <v>1405.45478</v>
      </c>
      <c r="D277" s="105" t="n">
        <f aca="false">SUM(D271:D274)</f>
        <v>1522.113</v>
      </c>
      <c r="E277" s="105" t="n">
        <f aca="false">SUM(E271:E274)</f>
        <v>1450.796</v>
      </c>
      <c r="F277" s="105" t="n">
        <f aca="false">SUM(F271:F274)</f>
        <v>1501.898</v>
      </c>
      <c r="G277" s="105" t="n">
        <f aca="false">SUM(G271:G274)</f>
        <v>1458.942</v>
      </c>
      <c r="H277" s="105" t="n">
        <f aca="false">SUM(H271:H274)</f>
        <v>1504.096</v>
      </c>
      <c r="I277" s="105" t="n">
        <f aca="false">SUM(I271:I274)</f>
        <v>1504.613</v>
      </c>
      <c r="J277" s="105" t="n">
        <f aca="false">SUM(J271:J274)</f>
        <v>1666.002</v>
      </c>
      <c r="K277" s="105" t="n">
        <f aca="false">SUM(K271:K274)</f>
        <v>1501.379</v>
      </c>
      <c r="L277" s="105" t="n">
        <f aca="false">SUM(L271:L274)</f>
        <v>1486.66608</v>
      </c>
      <c r="M277" s="105" t="n">
        <f aca="false">SUM(M271:M274)</f>
        <v>1493.806</v>
      </c>
      <c r="N277" s="55" t="n">
        <f aca="false">SUM(N271:N274)</f>
        <v>17997.78486</v>
      </c>
      <c r="O277" s="111" t="e">
        <f aca="false">O216+O249+O267+#REF!</f>
        <v>#REF!</v>
      </c>
      <c r="P277" s="111" t="e">
        <f aca="false">P216+P249+P267+#REF!</f>
        <v>#REF!</v>
      </c>
      <c r="Q277" s="111" t="e">
        <f aca="false">Q216+Q249+Q267+#REF!</f>
        <v>#REF!</v>
      </c>
      <c r="R277" s="111" t="e">
        <f aca="false">R216+R249+R267+#REF!</f>
        <v>#REF!</v>
      </c>
      <c r="S277" s="0"/>
      <c r="T277" s="0"/>
    </row>
    <row r="278" customFormat="false" ht="18" hidden="false" customHeight="false" outlineLevel="0" collapsed="false">
      <c r="A278" s="51"/>
      <c r="B278" s="100"/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7"/>
      <c r="P278" s="107"/>
      <c r="Q278" s="107"/>
      <c r="R278" s="107"/>
      <c r="S278" s="0"/>
      <c r="T278" s="0"/>
      <c r="V278" s="16"/>
      <c r="W278" s="16"/>
      <c r="X278" s="16"/>
      <c r="Y278" s="16"/>
      <c r="Z278" s="16"/>
      <c r="AA278" s="16"/>
      <c r="AB278" s="16"/>
    </row>
    <row r="279" customFormat="false" ht="12.75" hidden="false" customHeight="false" outlineLevel="0" collapsed="false">
      <c r="A279" s="28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1"/>
      <c r="O279" s="87"/>
      <c r="P279" s="87"/>
      <c r="Q279" s="85" t="n">
        <f aca="false">N279-O279</f>
        <v>0</v>
      </c>
      <c r="R279" s="87" t="e">
        <f aca="false">IF(#REF!=1,SUM(B277:D277),IF(#REF!=2,SUM(E277:G277),IF(#REF!=3,SUM(H277:J277),IF(#REF!=4,SUM(K277:M277),"    WRONG  "))))</f>
        <v>#REF!</v>
      </c>
      <c r="S279" s="0"/>
      <c r="T279" s="0"/>
    </row>
    <row r="280" customFormat="false" ht="18" hidden="false" customHeight="false" outlineLevel="0" collapsed="false">
      <c r="A280" s="66" t="s">
        <v>67</v>
      </c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8"/>
      <c r="O280" s="38"/>
      <c r="P280" s="38"/>
      <c r="Q280" s="38"/>
      <c r="R280" s="38"/>
      <c r="S280" s="0"/>
      <c r="T280" s="0"/>
      <c r="V280" s="16"/>
      <c r="W280" s="16"/>
      <c r="X280" s="16"/>
      <c r="Y280" s="16"/>
      <c r="Z280" s="16"/>
      <c r="AA280" s="16"/>
      <c r="AB280" s="16"/>
    </row>
    <row r="281" customFormat="false" ht="12.75" hidden="false" customHeight="false" outlineLevel="0" collapsed="false">
      <c r="A281" s="69" t="s">
        <v>23</v>
      </c>
      <c r="B281" s="70" t="n">
        <f aca="false">+B214+B247+B265+B275</f>
        <v>11342.732</v>
      </c>
      <c r="C281" s="70" t="n">
        <f aca="false">+C214+C247+C265+C275</f>
        <v>10596.041</v>
      </c>
      <c r="D281" s="70" t="n">
        <f aca="false">+D214+D247+D265+D275</f>
        <v>10994.077</v>
      </c>
      <c r="E281" s="70" t="n">
        <f aca="false">+E214+E247+E265+E275</f>
        <v>10729.665</v>
      </c>
      <c r="F281" s="70" t="n">
        <f aca="false">+F214+F247+F265+F275</f>
        <v>11496.834</v>
      </c>
      <c r="G281" s="70" t="n">
        <f aca="false">+G214+G247+G265+G275</f>
        <v>11159.134</v>
      </c>
      <c r="H281" s="70" t="n">
        <f aca="false">+H214+H247+H265+H275</f>
        <v>11690.559</v>
      </c>
      <c r="I281" s="70" t="n">
        <f aca="false">+I214+I247+I265+I275</f>
        <v>11774.726</v>
      </c>
      <c r="J281" s="70" t="n">
        <f aca="false">+J214+J247+J265+J275</f>
        <v>11577.756</v>
      </c>
      <c r="K281" s="70" t="n">
        <f aca="false">+K214+K247+K265+K275</f>
        <v>11910.777</v>
      </c>
      <c r="L281" s="70" t="n">
        <f aca="false">+L214+L247+L265+L275</f>
        <v>11448.33472</v>
      </c>
      <c r="M281" s="70" t="n">
        <f aca="false">+M214+M247+M265+M275</f>
        <v>12356.631</v>
      </c>
      <c r="N281" s="71" t="n">
        <f aca="false">SUM(B281:M281)</f>
        <v>137077.26672</v>
      </c>
      <c r="O281" s="42" t="e">
        <f aca="false">#REF!/O$1</f>
        <v>#REF!</v>
      </c>
      <c r="P281" s="42" t="e">
        <f aca="false">#REF!/P$1</f>
        <v>#REF!</v>
      </c>
      <c r="Q281" s="42" t="e">
        <f aca="false">#REF!/Q$1</f>
        <v>#REF!</v>
      </c>
      <c r="R281" s="42" t="e">
        <f aca="false">#REF!/R$1</f>
        <v>#REF!</v>
      </c>
      <c r="S281" s="0"/>
      <c r="T281" s="0"/>
    </row>
    <row r="282" customFormat="false" ht="18" hidden="false" customHeight="false" outlineLevel="0" collapsed="false">
      <c r="A282" s="69" t="s">
        <v>54</v>
      </c>
      <c r="B282" s="70" t="n">
        <f aca="false">B272+B261+B254+B243+B236+B228+B221+B209+B202+B194+B186</f>
        <v>795.072</v>
      </c>
      <c r="C282" s="70" t="n">
        <f aca="false">C272+C261+C254+C243+C236+C228+C221+C209+C202+C194+C186</f>
        <v>758.043</v>
      </c>
      <c r="D282" s="70" t="n">
        <f aca="false">D272+D261+D254+D243+D236+D228+D221+D209+D202+D194+D186</f>
        <v>815.024</v>
      </c>
      <c r="E282" s="70" t="n">
        <f aca="false">+E186+E194+E202+E209+E221+E228+E236+E243+E254+E261+E272</f>
        <v>686.391</v>
      </c>
      <c r="F282" s="70" t="n">
        <f aca="false">+F186+F194+F202+F209+F221+F228+F236+F243+F254+F261+F272</f>
        <v>753.772</v>
      </c>
      <c r="G282" s="70" t="n">
        <f aca="false">+G186+G194+G202+G209+G221+G228+G236+G243+G254+G261+G272</f>
        <v>728.594</v>
      </c>
      <c r="H282" s="70" t="n">
        <f aca="false">+H186+H194+H202+H209+H221+H228+H236+H243+H254+H261+H272</f>
        <v>768.947</v>
      </c>
      <c r="I282" s="70" t="n">
        <f aca="false">+I186+I194+I202+I209+I221+I228+I236+I243+I254+I261+I272</f>
        <v>796.058</v>
      </c>
      <c r="J282" s="70" t="n">
        <f aca="false">+J186+J194+J202+J209+J221+J228+J236+J243+J254+J261+J272</f>
        <v>767.523</v>
      </c>
      <c r="K282" s="70" t="n">
        <f aca="false">+K186+K194+K202+K209+K221+K228+K236+K243+K254+K261+K272</f>
        <v>783.054</v>
      </c>
      <c r="L282" s="70" t="n">
        <f aca="false">+L186+L194+L202+L209+L221+L228+L236+L243+L254+L261+L272</f>
        <v>763.61642025</v>
      </c>
      <c r="M282" s="70" t="n">
        <f aca="false">+M186+M194+M202+M209+M221+M228+M236+M243+M254+M261+M272</f>
        <v>941.19</v>
      </c>
      <c r="N282" s="71" t="n">
        <f aca="false">SUM(B282:M282)</f>
        <v>9357.28442025</v>
      </c>
      <c r="O282" s="42" t="e">
        <f aca="false">#REF!/O$1</f>
        <v>#REF!</v>
      </c>
      <c r="P282" s="42" t="e">
        <f aca="false">#REF!/P$1</f>
        <v>#REF!</v>
      </c>
      <c r="Q282" s="42" t="e">
        <f aca="false">#REF!/Q$1</f>
        <v>#REF!</v>
      </c>
      <c r="R282" s="42" t="e">
        <f aca="false">#REF!/R$1</f>
        <v>#REF!</v>
      </c>
      <c r="S282" s="0"/>
      <c r="T282" s="0"/>
      <c r="V282" s="16"/>
      <c r="W282" s="16"/>
      <c r="X282" s="16"/>
      <c r="Y282" s="16"/>
      <c r="Z282" s="16"/>
      <c r="AA282" s="16"/>
      <c r="AB282" s="16"/>
    </row>
    <row r="283" customFormat="false" ht="12.75" hidden="false" customHeight="false" outlineLevel="0" collapsed="false">
      <c r="A283" s="69" t="s">
        <v>63</v>
      </c>
      <c r="B283" s="70" t="n">
        <f aca="false">+B187+B195+B203+B210+B222+B229+B237+B244+B255+B262+B273</f>
        <v>9.727</v>
      </c>
      <c r="C283" s="70" t="n">
        <f aca="false">C273+C262+C255+C244+C237+C229+C222+C210+C195+C187</f>
        <v>14.10378</v>
      </c>
      <c r="D283" s="70" t="n">
        <f aca="false">D273+D262+D255+D244+D237+D229+D222+D210+D195+D187</f>
        <v>13.476</v>
      </c>
      <c r="E283" s="70" t="n">
        <f aca="false">+E187+E195+E203+E210+E222+E229+E237+E244+E255+E262+E273</f>
        <v>11.762</v>
      </c>
      <c r="F283" s="70" t="n">
        <f aca="false">+F187+F195+F203+F210+F222+F229+F237+F244+F255+F262+F273</f>
        <v>57.84</v>
      </c>
      <c r="G283" s="70" t="n">
        <f aca="false">+G187+G195+G203+G210+G222+G229+G237+G244+G255+G262+G273</f>
        <v>117.993</v>
      </c>
      <c r="H283" s="70" t="n">
        <f aca="false">+H187+H195+H203+H210+H222+H229+H237+H244+H255+H262+H273</f>
        <v>125.992</v>
      </c>
      <c r="I283" s="70" t="n">
        <f aca="false">+I187+I195+I203+I210+I222+I229+I237+I244+I255+I262+I273</f>
        <v>134.325</v>
      </c>
      <c r="J283" s="70" t="n">
        <f aca="false">+J187+J195+J203+J210+J222+J229+J237+J244+J255+J262+J273</f>
        <v>128.611</v>
      </c>
      <c r="K283" s="70" t="n">
        <f aca="false">+K187+K195+K203+K210+K222+K229+K237+K244+K255+K262+K273</f>
        <v>137.238</v>
      </c>
      <c r="L283" s="70" t="n">
        <f aca="false">+L187+L195+L203+L210+L222+L229+L237+L244+L255+L262+L273</f>
        <v>206.625</v>
      </c>
      <c r="M283" s="70" t="n">
        <f aca="false">+M187+M195+M203+M210+M222+M229+M237+M244+M255+M262+M273</f>
        <v>23.08</v>
      </c>
      <c r="N283" s="71" t="n">
        <f aca="false">SUM(B283:M283)</f>
        <v>980.77278</v>
      </c>
      <c r="O283" s="42" t="e">
        <f aca="false">#REF!/O$1</f>
        <v>#REF!</v>
      </c>
      <c r="P283" s="42" t="e">
        <f aca="false">#REF!/P$1</f>
        <v>#REF!</v>
      </c>
      <c r="Q283" s="42" t="e">
        <f aca="false">#REF!/Q$1</f>
        <v>#REF!</v>
      </c>
      <c r="R283" s="42" t="e">
        <f aca="false">#REF!/R$1</f>
        <v>#REF!</v>
      </c>
      <c r="S283" s="0"/>
      <c r="T283" s="0"/>
    </row>
    <row r="284" customFormat="false" ht="18" hidden="false" customHeight="false" outlineLevel="0" collapsed="false">
      <c r="A284" s="69" t="s">
        <v>98</v>
      </c>
      <c r="B284" s="70" t="n">
        <f aca="false">B230</f>
        <v>35.672</v>
      </c>
      <c r="C284" s="70" t="n">
        <f aca="false">C230</f>
        <v>5.695</v>
      </c>
      <c r="D284" s="70" t="n">
        <f aca="false">D230</f>
        <v>5.996</v>
      </c>
      <c r="E284" s="70" t="n">
        <f aca="false">E230</f>
        <v>12.734</v>
      </c>
      <c r="F284" s="70" t="n">
        <f aca="false">F230</f>
        <v>21.586</v>
      </c>
      <c r="G284" s="70" t="n">
        <f aca="false">G230</f>
        <v>5.209</v>
      </c>
      <c r="H284" s="70" t="n">
        <f aca="false">H230</f>
        <v>10.676</v>
      </c>
      <c r="I284" s="70" t="n">
        <f aca="false">I230</f>
        <v>12.986</v>
      </c>
      <c r="J284" s="70" t="n">
        <f aca="false">J230</f>
        <v>0.6</v>
      </c>
      <c r="K284" s="70" t="n">
        <f aca="false">K230</f>
        <v>14.533</v>
      </c>
      <c r="L284" s="70" t="n">
        <f aca="false">L230</f>
        <v>0</v>
      </c>
      <c r="M284" s="70" t="n">
        <f aca="false">M230</f>
        <v>293.006</v>
      </c>
      <c r="N284" s="71" t="n">
        <f aca="false">SUM(B284:M284)</f>
        <v>418.693</v>
      </c>
      <c r="O284" s="42"/>
      <c r="P284" s="42"/>
      <c r="Q284" s="42"/>
      <c r="R284" s="42"/>
      <c r="S284" s="0"/>
      <c r="T284" s="0"/>
      <c r="V284" s="16"/>
      <c r="W284" s="16"/>
      <c r="X284" s="16"/>
      <c r="Y284" s="16"/>
      <c r="Z284" s="16"/>
      <c r="AA284" s="16"/>
      <c r="AB284" s="16"/>
    </row>
    <row r="285" customFormat="false" ht="12.75" hidden="false" customHeight="false" outlineLevel="0" collapsed="false">
      <c r="A285" s="69" t="s">
        <v>99</v>
      </c>
      <c r="B285" s="70" t="n">
        <f aca="false">B211</f>
        <v>8</v>
      </c>
      <c r="C285" s="70" t="n">
        <f aca="false">C211</f>
        <v>7.551</v>
      </c>
      <c r="D285" s="70" t="n">
        <f aca="false">D211+D196</f>
        <v>21.03</v>
      </c>
      <c r="E285" s="70" t="n">
        <f aca="false">E211+E196</f>
        <v>4.576</v>
      </c>
      <c r="F285" s="70" t="n">
        <f aca="false">F211+F196</f>
        <v>0</v>
      </c>
      <c r="G285" s="70" t="n">
        <f aca="false">G211+G196</f>
        <v>0</v>
      </c>
      <c r="H285" s="70" t="n">
        <f aca="false">H211+H196</f>
        <v>0</v>
      </c>
      <c r="I285" s="70" t="n">
        <f aca="false">I211+I196</f>
        <v>0</v>
      </c>
      <c r="J285" s="70" t="n">
        <f aca="false">J211+J196</f>
        <v>0</v>
      </c>
      <c r="K285" s="70" t="n">
        <f aca="false">K211+K196</f>
        <v>0</v>
      </c>
      <c r="L285" s="70" t="n">
        <f aca="false">L211+L196</f>
        <v>0</v>
      </c>
      <c r="M285" s="70" t="n">
        <f aca="false">M211+M196</f>
        <v>5.58</v>
      </c>
      <c r="N285" s="71" t="n">
        <f aca="false">SUM(B285:M285)</f>
        <v>46.737</v>
      </c>
      <c r="O285" s="42"/>
      <c r="P285" s="42"/>
      <c r="Q285" s="42"/>
      <c r="R285" s="42"/>
      <c r="S285" s="0"/>
      <c r="T285" s="0"/>
    </row>
    <row r="286" customFormat="false" ht="18" hidden="false" customHeight="false" outlineLevel="0" collapsed="false">
      <c r="A286" s="69" t="s">
        <v>55</v>
      </c>
      <c r="B286" s="43" t="n">
        <f aca="false">+B188+B197+B204+B212+B223+B231+B238+B245+B256+B263+B274</f>
        <v>155.094</v>
      </c>
      <c r="C286" s="43" t="n">
        <f aca="false">+C188+C197+C204+C212+C223+C231+C238+C245+C256+C263+C274</f>
        <v>56.847</v>
      </c>
      <c r="D286" s="43" t="n">
        <f aca="false">+D188+D197+D204+D212+D223+D231+D238+D245+D256+D263+D274</f>
        <v>103.335</v>
      </c>
      <c r="E286" s="43" t="n">
        <f aca="false">+E188+E197+E204+E212+E223+E231+E238+E245+E256+E263+E274</f>
        <v>103.759</v>
      </c>
      <c r="F286" s="43" t="n">
        <f aca="false">+F188+F197+F204+F212+F223+F231+F238+F245+F256+F263+F274</f>
        <v>135.132</v>
      </c>
      <c r="G286" s="43" t="n">
        <f aca="false">+G188+G197+G204+G212+G223+G231+G238+G245+G256+G263+G274</f>
        <v>158.387</v>
      </c>
      <c r="H286" s="43" t="n">
        <f aca="false">+H188+H197+H204+H212+H223+H231+H238+H245+H256+H263+H274</f>
        <v>281.355</v>
      </c>
      <c r="I286" s="43" t="n">
        <f aca="false">+I188+I197+I204+I212+I223+I231+I238+I245+I256+I263+I274</f>
        <v>431.104</v>
      </c>
      <c r="J286" s="43" t="n">
        <f aca="false">+J188+J197+J204+J212+J223+J231+J238+J245+J256+J263+J274</f>
        <v>544.606</v>
      </c>
      <c r="K286" s="43" t="n">
        <f aca="false">+K188+K197+K204+K212+K223+K231+K238+K245+K256+K263+K274</f>
        <v>274.388</v>
      </c>
      <c r="L286" s="43" t="n">
        <f aca="false">+L188+L197+L204+L212+L223+L231+L238+L245+L256+L263+L274</f>
        <v>221.541</v>
      </c>
      <c r="M286" s="43" t="n">
        <f aca="false">+M188+M197+M204+M212+M223+M231+M238+M245+M256+M263+M274</f>
        <v>289.093</v>
      </c>
      <c r="N286" s="55" t="n">
        <f aca="false">SUM(B286:M286)</f>
        <v>2754.641</v>
      </c>
      <c r="O286" s="45" t="e">
        <f aca="false">#REF!/O$1</f>
        <v>#REF!</v>
      </c>
      <c r="P286" s="45" t="e">
        <f aca="false">#REF!/P$1</f>
        <v>#REF!</v>
      </c>
      <c r="Q286" s="45" t="e">
        <f aca="false">#REF!/Q$1</f>
        <v>#REF!</v>
      </c>
      <c r="R286" s="45" t="e">
        <f aca="false">#REF!/R$1</f>
        <v>#REF!</v>
      </c>
      <c r="S286" s="0"/>
      <c r="T286" s="0"/>
      <c r="V286" s="16"/>
      <c r="W286" s="16"/>
      <c r="X286" s="16"/>
      <c r="Y286" s="16"/>
      <c r="Z286" s="16"/>
      <c r="AA286" s="16"/>
      <c r="AB286" s="16"/>
    </row>
    <row r="287" customFormat="false" ht="12.75" hidden="false" customHeight="false" outlineLevel="0" collapsed="false">
      <c r="A287" s="47" t="s">
        <v>69</v>
      </c>
      <c r="B287" s="44" t="n">
        <f aca="false">+B281</f>
        <v>11342.732</v>
      </c>
      <c r="C287" s="44" t="n">
        <f aca="false">+C281</f>
        <v>10596.041</v>
      </c>
      <c r="D287" s="44" t="n">
        <f aca="false">+D281</f>
        <v>10994.077</v>
      </c>
      <c r="E287" s="44" t="n">
        <f aca="false">+E281</f>
        <v>10729.665</v>
      </c>
      <c r="F287" s="44" t="n">
        <f aca="false">+F281</f>
        <v>11496.834</v>
      </c>
      <c r="G287" s="44" t="n">
        <f aca="false">+G281</f>
        <v>11159.134</v>
      </c>
      <c r="H287" s="44" t="n">
        <f aca="false">+H281</f>
        <v>11690.559</v>
      </c>
      <c r="I287" s="44" t="n">
        <f aca="false">+I281</f>
        <v>11774.726</v>
      </c>
      <c r="J287" s="44" t="n">
        <f aca="false">+J281</f>
        <v>11577.756</v>
      </c>
      <c r="K287" s="44" t="n">
        <f aca="false">+K281</f>
        <v>11910.777</v>
      </c>
      <c r="L287" s="44" t="n">
        <f aca="false">+L281</f>
        <v>11448.33472</v>
      </c>
      <c r="M287" s="44" t="n">
        <f aca="false">+M281</f>
        <v>12356.631</v>
      </c>
      <c r="N287" s="55" t="n">
        <f aca="false">+N281</f>
        <v>137077.26672</v>
      </c>
      <c r="O287" s="57" t="e">
        <f aca="false">#REF!/O$1</f>
        <v>#REF!</v>
      </c>
      <c r="P287" s="57" t="e">
        <f aca="false">#REF!/P$1</f>
        <v>#REF!</v>
      </c>
      <c r="Q287" s="57" t="e">
        <f aca="false">#REF!/Q$1</f>
        <v>#REF!</v>
      </c>
      <c r="R287" s="57" t="e">
        <f aca="false">#REF!/R$1</f>
        <v>#REF!</v>
      </c>
      <c r="S287" s="0"/>
      <c r="T287" s="0"/>
    </row>
    <row r="288" customFormat="false" ht="18" hidden="false" customHeight="false" outlineLevel="0" collapsed="false">
      <c r="A288" s="47" t="s">
        <v>68</v>
      </c>
      <c r="B288" s="44" t="n">
        <f aca="false">SUM(B282:B286)</f>
        <v>1003.565</v>
      </c>
      <c r="C288" s="44" t="n">
        <f aca="false">SUM(C282:C286)</f>
        <v>842.23978</v>
      </c>
      <c r="D288" s="44" t="n">
        <f aca="false">SUM(D282:D286)</f>
        <v>958.861</v>
      </c>
      <c r="E288" s="44" t="n">
        <f aca="false">SUM(E282:E286)</f>
        <v>819.222</v>
      </c>
      <c r="F288" s="44" t="n">
        <f aca="false">SUM(F282:F286)</f>
        <v>968.33</v>
      </c>
      <c r="G288" s="44" t="n">
        <f aca="false">SUM(G282:G286)</f>
        <v>1010.183</v>
      </c>
      <c r="H288" s="44" t="n">
        <f aca="false">SUM(H282:H286)</f>
        <v>1186.97</v>
      </c>
      <c r="I288" s="44" t="n">
        <f aca="false">SUM(I282:I286)</f>
        <v>1374.473</v>
      </c>
      <c r="J288" s="44" t="n">
        <f aca="false">SUM(J282:J286)</f>
        <v>1441.34</v>
      </c>
      <c r="K288" s="44" t="n">
        <f aca="false">SUM(K282:K286)</f>
        <v>1209.213</v>
      </c>
      <c r="L288" s="44" t="n">
        <f aca="false">SUM(L282:L286)</f>
        <v>1191.78242025</v>
      </c>
      <c r="M288" s="44" t="n">
        <f aca="false">SUM(M282:M286)</f>
        <v>1551.949</v>
      </c>
      <c r="N288" s="55" t="n">
        <f aca="false">SUM(N282:N286)</f>
        <v>13558.12820025</v>
      </c>
      <c r="O288" s="39" t="e">
        <f aca="false">#REF!/O$1</f>
        <v>#REF!</v>
      </c>
      <c r="P288" s="39" t="e">
        <f aca="false">#REF!/P$1</f>
        <v>#REF!</v>
      </c>
      <c r="Q288" s="39" t="e">
        <f aca="false">#REF!/Q$1</f>
        <v>#REF!</v>
      </c>
      <c r="R288" s="39" t="e">
        <f aca="false">#REF!/R$1</f>
        <v>#REF!</v>
      </c>
      <c r="S288" s="0"/>
      <c r="T288" s="0"/>
      <c r="V288" s="16"/>
      <c r="W288" s="16"/>
      <c r="X288" s="16"/>
      <c r="Y288" s="16"/>
      <c r="Z288" s="16"/>
      <c r="AA288" s="16"/>
      <c r="AB288" s="16"/>
    </row>
    <row r="289" customFormat="false" ht="13.5" hidden="false" customHeight="false" outlineLevel="0" collapsed="false">
      <c r="A289" s="47" t="s">
        <v>100</v>
      </c>
      <c r="B289" s="44" t="n">
        <f aca="false">SUM(B287:B288)</f>
        <v>12346.297</v>
      </c>
      <c r="C289" s="44" t="n">
        <f aca="false">SUM(C287:C288)</f>
        <v>11438.28078</v>
      </c>
      <c r="D289" s="44" t="n">
        <f aca="false">SUM(D287:D288)</f>
        <v>11952.938</v>
      </c>
      <c r="E289" s="44" t="n">
        <f aca="false">SUM(E287:E288)</f>
        <v>11548.887</v>
      </c>
      <c r="F289" s="44" t="n">
        <f aca="false">SUM(F287:F288)</f>
        <v>12465.164</v>
      </c>
      <c r="G289" s="44" t="n">
        <f aca="false">SUM(G287:G288)</f>
        <v>12169.317</v>
      </c>
      <c r="H289" s="44" t="n">
        <f aca="false">SUM(H287:H288)</f>
        <v>12877.529</v>
      </c>
      <c r="I289" s="44" t="n">
        <f aca="false">SUM(I287:I288)</f>
        <v>13149.199</v>
      </c>
      <c r="J289" s="44" t="n">
        <f aca="false">SUM(J287:J288)</f>
        <v>13019.096</v>
      </c>
      <c r="K289" s="44" t="n">
        <f aca="false">SUM(K287:K288)</f>
        <v>13119.99</v>
      </c>
      <c r="L289" s="44" t="n">
        <f aca="false">SUM(L287:L288)</f>
        <v>12640.11714025</v>
      </c>
      <c r="M289" s="44" t="n">
        <f aca="false">SUM(M287:M288)</f>
        <v>13908.58</v>
      </c>
      <c r="N289" s="55" t="n">
        <f aca="false">SUM(N287:N288)</f>
        <v>150635.39492025</v>
      </c>
      <c r="O289" s="73" t="e">
        <f aca="false">O217+#REF!+O266</f>
        <v>#REF!</v>
      </c>
      <c r="P289" s="73" t="e">
        <f aca="false">P217+#REF!+P266</f>
        <v>#REF!</v>
      </c>
      <c r="Q289" s="73" t="e">
        <f aca="false">Q217+#REF!+Q266</f>
        <v>#REF!</v>
      </c>
      <c r="R289" s="73" t="e">
        <f aca="false">R217+#REF!+R265</f>
        <v>#REF!</v>
      </c>
      <c r="S289" s="0"/>
      <c r="T289" s="0"/>
      <c r="AD289" s="112"/>
    </row>
    <row r="290" customFormat="false" ht="18.75" hidden="false" customHeight="false" outlineLevel="0" collapsed="false">
      <c r="A290" s="51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87"/>
      <c r="P290" s="87"/>
      <c r="Q290" s="85"/>
      <c r="R290" s="87"/>
      <c r="S290" s="0"/>
      <c r="T290" s="0"/>
      <c r="V290" s="16"/>
      <c r="W290" s="16"/>
      <c r="X290" s="16"/>
      <c r="Y290" s="16"/>
      <c r="Z290" s="16"/>
      <c r="AA290" s="16"/>
      <c r="AB290" s="16"/>
    </row>
    <row r="291" customFormat="false" ht="12.75" hidden="false" customHeight="false" outlineLevel="0" collapsed="false">
      <c r="S291" s="0"/>
      <c r="T291" s="0"/>
    </row>
    <row r="292" customFormat="false" ht="18" hidden="false" customHeight="false" outlineLevel="0" collapsed="false">
      <c r="S292" s="0"/>
      <c r="T292" s="0"/>
      <c r="V292" s="16"/>
      <c r="W292" s="16"/>
      <c r="X292" s="16"/>
      <c r="Y292" s="16"/>
      <c r="Z292" s="16"/>
      <c r="AA292" s="16"/>
      <c r="AB292" s="16"/>
    </row>
    <row r="293" customFormat="false" ht="12.75" hidden="false" customHeight="false" outlineLevel="0" collapsed="false">
      <c r="S293" s="0"/>
      <c r="T293" s="0"/>
    </row>
    <row r="294" customFormat="false" ht="18" hidden="false" customHeight="false" outlineLevel="0" collapsed="false">
      <c r="S294" s="0"/>
      <c r="T294" s="0"/>
      <c r="V294" s="16"/>
      <c r="W294" s="16"/>
      <c r="X294" s="16"/>
      <c r="Y294" s="16"/>
      <c r="Z294" s="16"/>
      <c r="AA294" s="16"/>
      <c r="AB294" s="16"/>
    </row>
    <row r="295" customFormat="false" ht="12.75" hidden="false" customHeight="false" outlineLevel="0" collapsed="false">
      <c r="S295" s="0"/>
      <c r="T295" s="0"/>
    </row>
    <row r="296" customFormat="false" ht="18" hidden="false" customHeight="false" outlineLevel="0" collapsed="false">
      <c r="S296" s="0"/>
      <c r="T296" s="0"/>
      <c r="V296" s="16"/>
      <c r="W296" s="16"/>
      <c r="X296" s="16"/>
      <c r="Y296" s="16"/>
      <c r="Z296" s="16"/>
      <c r="AA296" s="16"/>
      <c r="AB296" s="16"/>
    </row>
    <row r="297" customFormat="false" ht="12.75" hidden="false" customHeight="false" outlineLevel="0" collapsed="false">
      <c r="S297" s="0"/>
      <c r="T297" s="0"/>
    </row>
    <row r="298" customFormat="false" ht="18" hidden="false" customHeight="false" outlineLevel="0" collapsed="false">
      <c r="S298" s="0"/>
      <c r="T298" s="0"/>
      <c r="V298" s="16"/>
      <c r="W298" s="16"/>
      <c r="X298" s="16"/>
      <c r="Y298" s="16"/>
      <c r="Z298" s="16"/>
      <c r="AA298" s="16"/>
      <c r="AB298" s="16"/>
    </row>
    <row r="299" customFormat="false" ht="12.75" hidden="false" customHeight="false" outlineLevel="0" collapsed="false">
      <c r="S299" s="0"/>
      <c r="T299" s="0"/>
    </row>
    <row r="300" customFormat="false" ht="18" hidden="false" customHeight="false" outlineLevel="0" collapsed="false">
      <c r="S300" s="0"/>
      <c r="T300" s="0"/>
      <c r="V300" s="16"/>
      <c r="W300" s="16"/>
      <c r="X300" s="16"/>
      <c r="Y300" s="16"/>
      <c r="Z300" s="16"/>
      <c r="AA300" s="16"/>
      <c r="AB300" s="16"/>
    </row>
    <row r="301" customFormat="false" ht="12.75" hidden="false" customHeight="false" outlineLevel="0" collapsed="false">
      <c r="S301" s="0"/>
      <c r="T301" s="0"/>
    </row>
    <row r="302" customFormat="false" ht="18" hidden="false" customHeight="false" outlineLevel="0" collapsed="false">
      <c r="S302" s="0"/>
      <c r="T302" s="0"/>
      <c r="V302" s="16"/>
      <c r="W302" s="16"/>
      <c r="X302" s="16"/>
      <c r="Y302" s="16"/>
      <c r="Z302" s="16"/>
      <c r="AA302" s="16"/>
      <c r="AB302" s="16"/>
    </row>
    <row r="303" customFormat="false" ht="12.75" hidden="false" customHeight="false" outlineLevel="0" collapsed="false">
      <c r="S303" s="0"/>
      <c r="T303" s="0"/>
    </row>
    <row r="304" customFormat="false" ht="18" hidden="false" customHeight="false" outlineLevel="0" collapsed="false">
      <c r="S304" s="0"/>
      <c r="T304" s="0"/>
      <c r="V304" s="16"/>
      <c r="W304" s="16"/>
      <c r="X304" s="16"/>
      <c r="Y304" s="16"/>
      <c r="Z304" s="16"/>
      <c r="AA304" s="16"/>
      <c r="AB304" s="16"/>
    </row>
    <row r="305" customFormat="false" ht="12.75" hidden="false" customHeight="false" outlineLevel="0" collapsed="false">
      <c r="S305" s="0"/>
      <c r="T305" s="0"/>
    </row>
    <row r="306" customFormat="false" ht="18" hidden="false" customHeight="false" outlineLevel="0" collapsed="false">
      <c r="S306" s="0"/>
      <c r="T306" s="0"/>
      <c r="V306" s="16"/>
      <c r="W306" s="16"/>
      <c r="X306" s="16"/>
      <c r="Y306" s="16"/>
      <c r="Z306" s="16"/>
      <c r="AA306" s="16"/>
      <c r="AB306" s="16"/>
    </row>
    <row r="307" customFormat="false" ht="12.75" hidden="false" customHeight="false" outlineLevel="0" collapsed="false">
      <c r="S307" s="0"/>
      <c r="T307" s="0"/>
    </row>
    <row r="308" customFormat="false" ht="18" hidden="false" customHeight="false" outlineLevel="0" collapsed="false">
      <c r="S308" s="0"/>
      <c r="T308" s="0"/>
      <c r="V308" s="16"/>
      <c r="W308" s="16"/>
      <c r="X308" s="16"/>
      <c r="Y308" s="16"/>
      <c r="Z308" s="16"/>
      <c r="AA308" s="16"/>
      <c r="AB308" s="16"/>
    </row>
    <row r="309" customFormat="false" ht="12.75" hidden="false" customHeight="false" outlineLevel="0" collapsed="false">
      <c r="S309" s="0"/>
      <c r="T309" s="0"/>
    </row>
    <row r="310" customFormat="false" ht="18" hidden="false" customHeight="false" outlineLevel="0" collapsed="false">
      <c r="S310" s="0"/>
      <c r="T310" s="0"/>
      <c r="V310" s="16"/>
      <c r="W310" s="16"/>
      <c r="X310" s="16"/>
      <c r="Y310" s="16"/>
      <c r="Z310" s="16"/>
      <c r="AA310" s="16"/>
      <c r="AB310" s="16"/>
    </row>
    <row r="311" customFormat="false" ht="12.75" hidden="false" customHeight="false" outlineLevel="0" collapsed="false">
      <c r="S311" s="0"/>
      <c r="T311" s="0"/>
    </row>
    <row r="312" customFormat="false" ht="18" hidden="false" customHeight="false" outlineLevel="0" collapsed="false">
      <c r="S312" s="0"/>
      <c r="T312" s="0"/>
      <c r="V312" s="16"/>
      <c r="W312" s="16"/>
      <c r="X312" s="16"/>
      <c r="Y312" s="16"/>
      <c r="Z312" s="16"/>
      <c r="AA312" s="16"/>
      <c r="AB312" s="16"/>
    </row>
    <row r="313" customFormat="false" ht="12.75" hidden="false" customHeight="false" outlineLevel="0" collapsed="false">
      <c r="S313" s="0"/>
      <c r="T313" s="0"/>
    </row>
    <row r="314" customFormat="false" ht="18" hidden="false" customHeight="false" outlineLevel="0" collapsed="false">
      <c r="S314" s="0"/>
      <c r="T314" s="0"/>
      <c r="V314" s="16"/>
      <c r="W314" s="16"/>
      <c r="X314" s="16"/>
      <c r="Y314" s="16"/>
      <c r="Z314" s="16"/>
      <c r="AA314" s="16"/>
      <c r="AB314" s="16"/>
    </row>
    <row r="315" customFormat="false" ht="12.75" hidden="false" customHeight="false" outlineLevel="0" collapsed="false">
      <c r="S315" s="0"/>
      <c r="T315" s="0"/>
    </row>
    <row r="316" customFormat="false" ht="18" hidden="false" customHeight="false" outlineLevel="0" collapsed="false">
      <c r="S316" s="0"/>
      <c r="T316" s="0"/>
      <c r="V316" s="16"/>
      <c r="W316" s="16"/>
      <c r="X316" s="16"/>
      <c r="Y316" s="16"/>
      <c r="Z316" s="16"/>
      <c r="AA316" s="16"/>
      <c r="AB316" s="16"/>
    </row>
    <row r="317" customFormat="false" ht="12.75" hidden="false" customHeight="false" outlineLevel="0" collapsed="false">
      <c r="S317" s="0"/>
      <c r="T317" s="0"/>
    </row>
    <row r="318" customFormat="false" ht="12.75" hidden="false" customHeight="false" outlineLevel="0" collapsed="false">
      <c r="S318" s="0"/>
      <c r="T318" s="0"/>
    </row>
    <row r="319" customFormat="false" ht="12.75" hidden="false" customHeight="false" outlineLevel="0" collapsed="false">
      <c r="S319" s="0"/>
      <c r="T319" s="0"/>
    </row>
  </sheetData>
  <mergeCells count="3">
    <mergeCell ref="A3:T3"/>
    <mergeCell ref="A4:T4"/>
    <mergeCell ref="A5:T5"/>
  </mergeCells>
  <printOptions headings="true" gridLines="false" gridLinesSet="true" horizontalCentered="true" verticalCentered="false"/>
  <pageMargins left="0.5" right="0.5" top="0.5" bottom="0.984027777777778" header="0.511811023622047" footer="0.5"/>
  <pageSetup paperSize="1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2" manualBreakCount="12">
    <brk id="75" man="true" max="16383" min="0"/>
    <brk id="113" man="true" max="16383" min="0"/>
    <brk id="180" man="true" max="16383" min="0"/>
    <brk id="250" man="true" max="16383" min="0"/>
    <brk id="634" man="true" max="16383" min="0"/>
    <brk id="682" man="true" max="16383" min="0"/>
    <brk id="721" man="true" max="16383" min="0"/>
    <brk id="754" man="true" max="16383" min="0"/>
    <brk id="795" man="true" max="16383" min="0"/>
    <brk id="846" man="true" max="16383" min="0"/>
    <brk id="937" man="true" max="16383" min="0"/>
    <brk id="962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1999-02-17T14:35:42Z</dcterms:created>
  <dc:creator/>
  <dc:description/>
  <dc:language>en-US</dc:language>
  <cp:lastModifiedBy>jmoore3</cp:lastModifiedBy>
  <cp:lastPrinted>2001-04-17T16:08:11Z</cp:lastPrinted>
  <dcterms:modified xsi:type="dcterms:W3CDTF">2002-02-07T13:32:50Z</dcterms:modified>
  <cp:revision>0</cp:revision>
  <dc:subject/>
  <dc:title>1996 SALES WORKBOOK</dc:title>
</cp:coreProperties>
</file>