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vmlDrawing5.vml" ContentType="application/vnd.openxmlformats-officedocument.vmlDrawing"/>
  <Override PartName="/xl/drawings/drawing4.xml" ContentType="application/vnd.openxmlformats-officedocument.drawing+xml"/>
  <Override PartName="/xl/drawings/vmlDrawing6.vml" ContentType="application/vnd.openxmlformats-officedocument.vmlDrawing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2000" sheetId="1" state="visible" r:id="rId3"/>
    <sheet name="Feb 2000" sheetId="2" state="visible" r:id="rId4"/>
    <sheet name="Mar 2000" sheetId="3" state="visible" r:id="rId5"/>
    <sheet name="Apr 2000" sheetId="4" state="visible" r:id="rId6"/>
    <sheet name="MAY 2000" sheetId="5" state="visible" r:id="rId7"/>
    <sheet name="NEW MASTER SHEET" sheetId="6" state="visible" r:id="rId8"/>
  </sheets>
  <definedNames>
    <definedName function="false" hidden="false" localSheetId="3" name="_xlnm.Print_Area" vbProcedure="false">'Apr 2000'!$A$1:$U$58</definedName>
    <definedName function="false" hidden="false" localSheetId="1" name="_xlnm.Print_Area" vbProcedure="false">'Feb 2000'!$A$1:$Q$53</definedName>
    <definedName function="false" hidden="false" localSheetId="0" name="_xlnm.Print_Area" vbProcedure="false">'Jan 2000'!$A$1:$Q$55</definedName>
    <definedName function="false" hidden="false" localSheetId="2" name="_xlnm.Print_Area" vbProcedure="false">'Mar 2000'!$A$1:$Q$55</definedName>
    <definedName function="false" hidden="false" localSheetId="4" name="_xlnm.Print_Area" vbProcedure="false">'MAY 2000'!$A$1:$Y$59</definedName>
    <definedName function="false" hidden="false" localSheetId="5" name="_xlnm.Print_Area" vbProcedure="false">'NEW MASTER SHEET'!$A$1:$Q$55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10"/>
            <color rgb="FF000000"/>
            <rFont val="Tahoma"/>
            <family val="0"/>
          </rPr>
          <t xml:space="preserve">This sheet is updated daily (by 3:30PM) and faxed to CALP for any requests, comments, and review.  They will fax it back with their input.
The current contact at CALP is Frank Miller, Plant Mgr. (fax) 757-487-9196 and (phone) 757-487-9062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33</xdr:colOff>
                <xdr:row>0</xdr:row>
                <xdr:rowOff>17</xdr:rowOff>
              </xdr:from>
              <xdr:to>
                <xdr:col>6</xdr:col>
                <xdr:colOff>93</xdr:colOff>
                <xdr:row>4</xdr:row>
                <xdr:rowOff>4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color rgb="FF000000"/>
            <rFont val="Tahoma"/>
            <family val="2"/>
          </rPr>
          <t xml:space="preserve">Input this date and the others will automatically update.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33</xdr:colOff>
                <xdr:row>2</xdr:row>
                <xdr:rowOff>4</xdr:rowOff>
              </xdr:from>
              <xdr:to>
                <xdr:col>3</xdr:col>
                <xdr:colOff>19</xdr:colOff>
                <xdr:row>4</xdr:row>
                <xdr:rowOff>2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color rgb="FF000000"/>
            <rFont val="Tahoma"/>
            <family val="2"/>
          </rPr>
          <t xml:space="preserve">CALP will provide this information based on their need for gas delivery.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</xdr:colOff>
                <xdr:row>2</xdr:row>
                <xdr:rowOff>7</xdr:rowOff>
              </xdr:from>
              <xdr:to>
                <xdr:col>4</xdr:col>
                <xdr:colOff>64</xdr:colOff>
                <xdr:row>4</xdr:row>
                <xdr:rowOff>7</xdr:rowOff>
              </xdr:to>
            </anchor>
          </commentPr>
        </mc:Choice>
        <mc:Fallback/>
      </mc:AlternateContent>
    </comment>
    <comment ref="C4" authorId="0">
      <text>
        <r>
          <rPr>
            <sz val="10"/>
            <color rgb="FF000000"/>
            <rFont val="Tahoma"/>
            <family val="2"/>
          </rPr>
          <t xml:space="preserve">Upon receiving "request", Fuel Mgr will make arrangements for gas scheduling and input the amount which will be delivered to the gate (TCO meter 633469).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2</xdr:row>
                <xdr:rowOff>7</xdr:rowOff>
              </xdr:from>
              <xdr:to>
                <xdr:col>5</xdr:col>
                <xdr:colOff>46</xdr:colOff>
                <xdr:row>6</xdr:row>
                <xdr:rowOff>6</xdr:rowOff>
              </xdr:to>
            </anchor>
          </commentPr>
        </mc:Choice>
        <mc:Fallback/>
      </mc:AlternateContent>
    </comment>
    <comment ref="D4" authorId="0">
      <text>
        <r>
          <rPr>
            <b val="true"/>
            <sz val="8"/>
            <color rgb="FF000000"/>
            <rFont val="Tahoma"/>
            <family val="0"/>
          </rPr>
          <t xml:space="preserve">This section will atomatically fill if the current TCO "Retainage Rate" is used in the formula. (SEE CELL W3)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13</xdr:colOff>
                <xdr:row>2</xdr:row>
                <xdr:rowOff>13</xdr:rowOff>
              </xdr:from>
              <xdr:to>
                <xdr:col>5</xdr:col>
                <xdr:colOff>96</xdr:colOff>
                <xdr:row>5</xdr:row>
                <xdr:rowOff>17</xdr:rowOff>
              </xdr:to>
            </anchor>
          </commentPr>
        </mc:Choice>
        <mc:Fallback/>
      </mc:AlternateContent>
    </comment>
    <comment ref="H4" authorId="0">
      <text>
        <r>
          <rPr>
            <sz val="10"/>
            <color rgb="FF000000"/>
            <rFont val="Tahoma"/>
            <family val="2"/>
          </rPr>
          <t xml:space="preserve">Calculation, no input necessary.  This compares schedule verses actual Navigator daily volumes.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105</xdr:colOff>
                <xdr:row>2</xdr:row>
                <xdr:rowOff>4</xdr:rowOff>
              </xdr:from>
              <xdr:to>
                <xdr:col>11</xdr:col>
                <xdr:colOff>29</xdr:colOff>
                <xdr:row>5</xdr:row>
                <xdr:rowOff>7</xdr:rowOff>
              </xdr:to>
            </anchor>
          </commentPr>
        </mc:Choice>
        <mc:Fallback/>
      </mc:AlternateContent>
    </comment>
    <comment ref="I4" authorId="0">
      <text>
        <r>
          <rPr>
            <sz val="10"/>
            <color rgb="FF000000"/>
            <rFont val="Tahoma"/>
            <family val="2"/>
          </rPr>
          <t xml:space="preserve">Monthly cumulative imbalance of scheduled verses actuals.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73</xdr:colOff>
                <xdr:row>2</xdr:row>
                <xdr:rowOff>4</xdr:rowOff>
              </xdr:from>
              <xdr:to>
                <xdr:col>11</xdr:col>
                <xdr:colOff>72</xdr:colOff>
                <xdr:row>4</xdr:row>
                <xdr:rowOff>14</xdr:rowOff>
              </xdr:to>
            </anchor>
          </commentPr>
        </mc:Choice>
        <mc:Fallback/>
      </mc:AlternateContent>
    </comment>
    <comment ref="J4" authorId="0">
      <text>
        <r>
          <rPr>
            <b val="true"/>
            <sz val="10"/>
            <color rgb="FF000000"/>
            <rFont val="Tahoma"/>
            <family val="2"/>
          </rPr>
          <t xml:space="preserve">PRICING GAS TO BE MOVED ON CALP'S OPT60 CONTRACT IS;
Gas Daily-Columbia App. Mid + fee as published in the following day issue.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2</xdr:row>
                <xdr:rowOff>13</xdr:rowOff>
              </xdr:from>
              <xdr:to>
                <xdr:col>13</xdr:col>
                <xdr:colOff>27</xdr:colOff>
                <xdr:row>5</xdr:row>
                <xdr:rowOff>17</xdr:rowOff>
              </xdr:to>
            </anchor>
          </commentPr>
        </mc:Choice>
        <mc:Fallback/>
      </mc:AlternateContent>
    </comment>
    <comment ref="N8" authorId="0">
      <text>
        <r>
          <rPr>
            <b val="true"/>
            <sz val="8"/>
            <color rgb="FF000000"/>
            <rFont val="Tahoma"/>
            <family val="0"/>
          </rPr>
          <t xml:space="preserve">MAKE SURE THIS INCLUDES CORRECT #OF DAYS IN MONTH FOR DAILY TOTALS.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</xdr:colOff>
                <xdr:row>6</xdr:row>
                <xdr:rowOff>12</xdr:rowOff>
              </xdr:from>
              <xdr:to>
                <xdr:col>15</xdr:col>
                <xdr:colOff>13</xdr:colOff>
                <xdr:row>9</xdr:row>
                <xdr:rowOff>10</xdr:rowOff>
              </xdr:to>
            </anchor>
          </commentPr>
        </mc:Choice>
        <mc:Fallback/>
      </mc:AlternateContent>
    </comment>
    <comment ref="Q4" authorId="0">
      <text>
        <r>
          <rPr>
            <sz val="10"/>
            <color rgb="FF000000"/>
            <rFont val="Tahoma"/>
            <family val="2"/>
          </rPr>
          <t xml:space="preserve">This information is found in the Columbia Navigator system.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151</xdr:colOff>
                <xdr:row>2</xdr:row>
                <xdr:rowOff>4</xdr:rowOff>
              </xdr:from>
              <xdr:to>
                <xdr:col>21</xdr:col>
                <xdr:colOff>4</xdr:colOff>
                <xdr:row>6</xdr:row>
                <xdr:rowOff>12</xdr:rowOff>
              </xdr:to>
            </anchor>
          </commentPr>
        </mc:Choice>
        <mc:Fallback/>
      </mc:AlternateContent>
    </comment>
    <comment ref="R42" authorId="0">
      <text>
        <r>
          <rPr>
            <b val="true"/>
            <sz val="9"/>
            <color rgb="FF993300"/>
            <rFont val="Tahoma"/>
            <family val="2"/>
          </rPr>
          <t xml:space="preserve">Mgmt. Fee Escalates every May by the Consumer Price Index/(not seasnally adjusted) South Urban ("CPI") 1982-1984=100, as published by the U.S. Dept. of Labor, BLS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103</xdr:colOff>
                <xdr:row>40</xdr:row>
                <xdr:rowOff>14</xdr:rowOff>
              </xdr:from>
              <xdr:to>
                <xdr:col>21</xdr:col>
                <xdr:colOff>52</xdr:colOff>
                <xdr:row>43</xdr:row>
                <xdr:rowOff>12</xdr:rowOff>
              </xdr:to>
            </anchor>
          </commentPr>
        </mc:Choice>
        <mc:Fallback/>
      </mc:AlternateContent>
    </comment>
    <comment ref="R44" authorId="0">
      <text>
        <r>
          <rPr>
            <b val="true"/>
            <sz val="10"/>
            <color rgb="FF000000"/>
            <rFont val="Tahoma"/>
            <family val="2"/>
          </rPr>
          <t xml:space="preserve">MAKE SURE THE CORRECT FEE IS USED HERE.  THE FIRST 1,500,000 Dth BURNT WILL BE AT 5 CENTS AND EVERYTHING ABOVE THAT AMOUNT WILL BE AT 3 CENTS.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13</xdr:colOff>
                <xdr:row>42</xdr:row>
                <xdr:rowOff>19</xdr:rowOff>
              </xdr:from>
              <xdr:to>
                <xdr:col>20</xdr:col>
                <xdr:colOff>5</xdr:colOff>
                <xdr:row>46</xdr:row>
                <xdr:rowOff>26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10"/>
            <color rgb="FF000000"/>
            <rFont val="Tahoma"/>
            <family val="0"/>
          </rPr>
          <t xml:space="preserve">This sheet is updated daily (by 3:30PM) and faxed to CALP for any requests, comments, and review.  They will fax it back with their input.
The current contact at CALP is Frank Miller, Plant Mgr. (fax) 757-487-9196 and (phone) 757-487-9062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33</xdr:colOff>
                <xdr:row>0</xdr:row>
                <xdr:rowOff>17</xdr:rowOff>
              </xdr:from>
              <xdr:to>
                <xdr:col>6</xdr:col>
                <xdr:colOff>93</xdr:colOff>
                <xdr:row>4</xdr:row>
                <xdr:rowOff>4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color rgb="FF000000"/>
            <rFont val="Tahoma"/>
            <family val="2"/>
          </rPr>
          <t xml:space="preserve">Input this date and the others will automatically update.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33</xdr:colOff>
                <xdr:row>2</xdr:row>
                <xdr:rowOff>4</xdr:rowOff>
              </xdr:from>
              <xdr:to>
                <xdr:col>3</xdr:col>
                <xdr:colOff>19</xdr:colOff>
                <xdr:row>4</xdr:row>
                <xdr:rowOff>2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color rgb="FF000000"/>
            <rFont val="Tahoma"/>
            <family val="2"/>
          </rPr>
          <t xml:space="preserve">CALP will provide this information based on their need for gas delivery.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</xdr:colOff>
                <xdr:row>2</xdr:row>
                <xdr:rowOff>7</xdr:rowOff>
              </xdr:from>
              <xdr:to>
                <xdr:col>4</xdr:col>
                <xdr:colOff>64</xdr:colOff>
                <xdr:row>4</xdr:row>
                <xdr:rowOff>7</xdr:rowOff>
              </xdr:to>
            </anchor>
          </commentPr>
        </mc:Choice>
        <mc:Fallback/>
      </mc:AlternateContent>
    </comment>
    <comment ref="C4" authorId="0">
      <text>
        <r>
          <rPr>
            <sz val="10"/>
            <color rgb="FF000000"/>
            <rFont val="Tahoma"/>
            <family val="2"/>
          </rPr>
          <t xml:space="preserve">Upon receiving "request", Fuel Mgr will make arrangements for gas scheduling and input the amount which will be delivered to the gate (TCO meter 633469).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2</xdr:row>
                <xdr:rowOff>13</xdr:rowOff>
              </xdr:from>
              <xdr:to>
                <xdr:col>5</xdr:col>
                <xdr:colOff>46</xdr:colOff>
                <xdr:row>6</xdr:row>
                <xdr:rowOff>10</xdr:rowOff>
              </xdr:to>
            </anchor>
          </commentPr>
        </mc:Choice>
        <mc:Fallback/>
      </mc:AlternateContent>
    </comment>
    <comment ref="D4" authorId="0">
      <text>
        <r>
          <rPr>
            <b val="true"/>
            <sz val="8"/>
            <color rgb="FF000000"/>
            <rFont val="Tahoma"/>
            <family val="0"/>
          </rPr>
          <t xml:space="preserve">This section will atomatically fill if the current TCO "Retainage Rate" is used in the formula. (SEE CELL W3)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13</xdr:colOff>
                <xdr:row>2</xdr:row>
                <xdr:rowOff>13</xdr:rowOff>
              </xdr:from>
              <xdr:to>
                <xdr:col>5</xdr:col>
                <xdr:colOff>96</xdr:colOff>
                <xdr:row>5</xdr:row>
                <xdr:rowOff>17</xdr:rowOff>
              </xdr:to>
            </anchor>
          </commentPr>
        </mc:Choice>
        <mc:Fallback/>
      </mc:AlternateContent>
    </comment>
    <comment ref="H4" authorId="0">
      <text>
        <r>
          <rPr>
            <sz val="10"/>
            <color rgb="FF000000"/>
            <rFont val="Tahoma"/>
            <family val="2"/>
          </rPr>
          <t xml:space="preserve">Calculation, no input necessary.  This compares schedule verses actual Navigator daily volumes.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105</xdr:colOff>
                <xdr:row>2</xdr:row>
                <xdr:rowOff>4</xdr:rowOff>
              </xdr:from>
              <xdr:to>
                <xdr:col>11</xdr:col>
                <xdr:colOff>29</xdr:colOff>
                <xdr:row>5</xdr:row>
                <xdr:rowOff>7</xdr:rowOff>
              </xdr:to>
            </anchor>
          </commentPr>
        </mc:Choice>
        <mc:Fallback/>
      </mc:AlternateContent>
    </comment>
    <comment ref="I4" authorId="0">
      <text>
        <r>
          <rPr>
            <sz val="10"/>
            <color rgb="FF000000"/>
            <rFont val="Tahoma"/>
            <family val="2"/>
          </rPr>
          <t xml:space="preserve">Monthly cumulative imbalance of scheduled verses actuals.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73</xdr:colOff>
                <xdr:row>2</xdr:row>
                <xdr:rowOff>4</xdr:rowOff>
              </xdr:from>
              <xdr:to>
                <xdr:col>11</xdr:col>
                <xdr:colOff>72</xdr:colOff>
                <xdr:row>4</xdr:row>
                <xdr:rowOff>14</xdr:rowOff>
              </xdr:to>
            </anchor>
          </commentPr>
        </mc:Choice>
        <mc:Fallback/>
      </mc:AlternateContent>
    </comment>
    <comment ref="J4" authorId="0">
      <text>
        <r>
          <rPr>
            <b val="true"/>
            <sz val="10"/>
            <color rgb="FF000000"/>
            <rFont val="Tahoma"/>
            <family val="2"/>
          </rPr>
          <t xml:space="preserve">PRICING GAS TO BE MOVED ON CALP'S OPT60 CONTRACT IS;
Gas Daily-Columbia App. Mid + fee as published in the following day issue.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2</xdr:row>
                <xdr:rowOff>13</xdr:rowOff>
              </xdr:from>
              <xdr:to>
                <xdr:col>13</xdr:col>
                <xdr:colOff>27</xdr:colOff>
                <xdr:row>5</xdr:row>
                <xdr:rowOff>17</xdr:rowOff>
              </xdr:to>
            </anchor>
          </commentPr>
        </mc:Choice>
        <mc:Fallback/>
      </mc:AlternateContent>
    </comment>
    <comment ref="N8" authorId="0">
      <text>
        <r>
          <rPr>
            <b val="true"/>
            <sz val="8"/>
            <color rgb="FF000000"/>
            <rFont val="Tahoma"/>
            <family val="0"/>
          </rPr>
          <t xml:space="preserve">MAKE SURE THIS INCLUDES CORRECT #OF DAYS IN MONTH FOR DAILY TOTALS.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</xdr:colOff>
                <xdr:row>6</xdr:row>
                <xdr:rowOff>12</xdr:rowOff>
              </xdr:from>
              <xdr:to>
                <xdr:col>15</xdr:col>
                <xdr:colOff>13</xdr:colOff>
                <xdr:row>9</xdr:row>
                <xdr:rowOff>10</xdr:rowOff>
              </xdr:to>
            </anchor>
          </commentPr>
        </mc:Choice>
        <mc:Fallback/>
      </mc:AlternateContent>
    </comment>
    <comment ref="Q4" authorId="0">
      <text>
        <r>
          <rPr>
            <sz val="10"/>
            <color rgb="FF000000"/>
            <rFont val="Tahoma"/>
            <family val="2"/>
          </rPr>
          <t xml:space="preserve">This information is found in the Columbia Navigator system.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151</xdr:colOff>
                <xdr:row>2</xdr:row>
                <xdr:rowOff>4</xdr:rowOff>
              </xdr:from>
              <xdr:to>
                <xdr:col>21</xdr:col>
                <xdr:colOff>4</xdr:colOff>
                <xdr:row>6</xdr:row>
                <xdr:rowOff>12</xdr:rowOff>
              </xdr:to>
            </anchor>
          </commentPr>
        </mc:Choice>
        <mc:Fallback/>
      </mc:AlternateContent>
    </comment>
    <comment ref="R40" authorId="0">
      <text>
        <r>
          <rPr>
            <b val="true"/>
            <sz val="9"/>
            <color rgb="FF993300"/>
            <rFont val="Tahoma"/>
            <family val="2"/>
          </rPr>
          <t xml:space="preserve">Mgmt. Fee Escalates every May by the Consumer Price Index/(not seasnally adjusted) South Urban ("CPI") 1982-1984=100, as published by the U.S. Dept. of Labor, BLS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103</xdr:colOff>
                <xdr:row>38</xdr:row>
                <xdr:rowOff>12</xdr:rowOff>
              </xdr:from>
              <xdr:to>
                <xdr:col>21</xdr:col>
                <xdr:colOff>52</xdr:colOff>
                <xdr:row>41</xdr:row>
                <xdr:rowOff>10</xdr:rowOff>
              </xdr:to>
            </anchor>
          </commentPr>
        </mc:Choice>
        <mc:Fallback/>
      </mc:AlternateContent>
    </comment>
    <comment ref="R42" authorId="0">
      <text>
        <r>
          <rPr>
            <b val="true"/>
            <sz val="10"/>
            <color rgb="FF000000"/>
            <rFont val="Tahoma"/>
            <family val="2"/>
          </rPr>
          <t xml:space="preserve">MAKE SURE THE CORRECT FEE IS USED HERE.  THE FIRST 1,500,000 Dth BURNT WILL BE AT 5 CENTS AND EVERYTHING ABOVE THAT AMOUNT WILL BE AT 3 CENTS.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13</xdr:colOff>
                <xdr:row>40</xdr:row>
                <xdr:rowOff>16</xdr:rowOff>
              </xdr:from>
              <xdr:to>
                <xdr:col>20</xdr:col>
                <xdr:colOff>5</xdr:colOff>
                <xdr:row>44</xdr:row>
                <xdr:rowOff>22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10"/>
            <color rgb="FF000000"/>
            <rFont val="Tahoma"/>
            <family val="0"/>
          </rPr>
          <t xml:space="preserve">This sheet is updated daily (by 3:30PM) and faxed to CALP for any requests, comments, and review.  They will fax it back with their input.
The current contact at CALP is Frank Miller, Plant Mgr. (fax) 757-487-9196 and (phone) 757-487-9062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33</xdr:colOff>
                <xdr:row>0</xdr:row>
                <xdr:rowOff>17</xdr:rowOff>
              </xdr:from>
              <xdr:to>
                <xdr:col>6</xdr:col>
                <xdr:colOff>93</xdr:colOff>
                <xdr:row>4</xdr:row>
                <xdr:rowOff>4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color rgb="FF000000"/>
            <rFont val="Tahoma"/>
            <family val="2"/>
          </rPr>
          <t xml:space="preserve">Input this date and the others will automatically update.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33</xdr:colOff>
                <xdr:row>2</xdr:row>
                <xdr:rowOff>4</xdr:rowOff>
              </xdr:from>
              <xdr:to>
                <xdr:col>3</xdr:col>
                <xdr:colOff>19</xdr:colOff>
                <xdr:row>4</xdr:row>
                <xdr:rowOff>2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color rgb="FF000000"/>
            <rFont val="Tahoma"/>
            <family val="2"/>
          </rPr>
          <t xml:space="preserve">CALP will provide this information based on their need for gas delivery.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</xdr:colOff>
                <xdr:row>2</xdr:row>
                <xdr:rowOff>7</xdr:rowOff>
              </xdr:from>
              <xdr:to>
                <xdr:col>4</xdr:col>
                <xdr:colOff>64</xdr:colOff>
                <xdr:row>4</xdr:row>
                <xdr:rowOff>7</xdr:rowOff>
              </xdr:to>
            </anchor>
          </commentPr>
        </mc:Choice>
        <mc:Fallback/>
      </mc:AlternateContent>
    </comment>
    <comment ref="C4" authorId="0">
      <text>
        <r>
          <rPr>
            <sz val="10"/>
            <color rgb="FF000000"/>
            <rFont val="Tahoma"/>
            <family val="2"/>
          </rPr>
          <t xml:space="preserve">Upon receiving "request", Fuel Mgr will make arrangements for gas scheduling and input the amount which will be delivered to the gate (TCO meter 633469).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2</xdr:row>
                <xdr:rowOff>13</xdr:rowOff>
              </xdr:from>
              <xdr:to>
                <xdr:col>5</xdr:col>
                <xdr:colOff>46</xdr:colOff>
                <xdr:row>6</xdr:row>
                <xdr:rowOff>10</xdr:rowOff>
              </xdr:to>
            </anchor>
          </commentPr>
        </mc:Choice>
        <mc:Fallback/>
      </mc:AlternateContent>
    </comment>
    <comment ref="D4" authorId="0">
      <text>
        <r>
          <rPr>
            <b val="true"/>
            <sz val="8"/>
            <color rgb="FF000000"/>
            <rFont val="Tahoma"/>
            <family val="0"/>
          </rPr>
          <t xml:space="preserve">This section will atomatically fill if the current TCO "Retainage Rate" is used in the formula. (SEE CELL W3)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13</xdr:colOff>
                <xdr:row>2</xdr:row>
                <xdr:rowOff>13</xdr:rowOff>
              </xdr:from>
              <xdr:to>
                <xdr:col>5</xdr:col>
                <xdr:colOff>96</xdr:colOff>
                <xdr:row>5</xdr:row>
                <xdr:rowOff>17</xdr:rowOff>
              </xdr:to>
            </anchor>
          </commentPr>
        </mc:Choice>
        <mc:Fallback/>
      </mc:AlternateContent>
    </comment>
    <comment ref="H4" authorId="0">
      <text>
        <r>
          <rPr>
            <sz val="10"/>
            <color rgb="FF000000"/>
            <rFont val="Tahoma"/>
            <family val="2"/>
          </rPr>
          <t xml:space="preserve">Calculation, no input necessary.  This compares schedule verses actual Navigator daily volumes.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105</xdr:colOff>
                <xdr:row>2</xdr:row>
                <xdr:rowOff>4</xdr:rowOff>
              </xdr:from>
              <xdr:to>
                <xdr:col>11</xdr:col>
                <xdr:colOff>29</xdr:colOff>
                <xdr:row>5</xdr:row>
                <xdr:rowOff>7</xdr:rowOff>
              </xdr:to>
            </anchor>
          </commentPr>
        </mc:Choice>
        <mc:Fallback/>
      </mc:AlternateContent>
    </comment>
    <comment ref="I4" authorId="0">
      <text>
        <r>
          <rPr>
            <sz val="10"/>
            <color rgb="FF000000"/>
            <rFont val="Tahoma"/>
            <family val="2"/>
          </rPr>
          <t xml:space="preserve">Monthly cumulative imbalance of scheduled verses actuals.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73</xdr:colOff>
                <xdr:row>2</xdr:row>
                <xdr:rowOff>4</xdr:rowOff>
              </xdr:from>
              <xdr:to>
                <xdr:col>11</xdr:col>
                <xdr:colOff>72</xdr:colOff>
                <xdr:row>4</xdr:row>
                <xdr:rowOff>14</xdr:rowOff>
              </xdr:to>
            </anchor>
          </commentPr>
        </mc:Choice>
        <mc:Fallback/>
      </mc:AlternateContent>
    </comment>
    <comment ref="J4" authorId="0">
      <text>
        <r>
          <rPr>
            <b val="true"/>
            <sz val="10"/>
            <color rgb="FF000000"/>
            <rFont val="Tahoma"/>
            <family val="2"/>
          </rPr>
          <t xml:space="preserve">PRICING GAS TO BE MOVED ON CALP'S OPT60 CONTRACT IS;
Gas Daily-Columbia App. Mid + fee as published in the following day issue.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2</xdr:row>
                <xdr:rowOff>13</xdr:rowOff>
              </xdr:from>
              <xdr:to>
                <xdr:col>13</xdr:col>
                <xdr:colOff>27</xdr:colOff>
                <xdr:row>5</xdr:row>
                <xdr:rowOff>17</xdr:rowOff>
              </xdr:to>
            </anchor>
          </commentPr>
        </mc:Choice>
        <mc:Fallback/>
      </mc:AlternateContent>
    </comment>
    <comment ref="N8" authorId="0">
      <text>
        <r>
          <rPr>
            <b val="true"/>
            <sz val="8"/>
            <color rgb="FF000000"/>
            <rFont val="Tahoma"/>
            <family val="0"/>
          </rPr>
          <t xml:space="preserve">MAKE SURE THIS INCLUDES CORRECT #OF DAYS IN MONTH FOR DAILY TOTALS.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</xdr:colOff>
                <xdr:row>6</xdr:row>
                <xdr:rowOff>12</xdr:rowOff>
              </xdr:from>
              <xdr:to>
                <xdr:col>15</xdr:col>
                <xdr:colOff>13</xdr:colOff>
                <xdr:row>9</xdr:row>
                <xdr:rowOff>10</xdr:rowOff>
              </xdr:to>
            </anchor>
          </commentPr>
        </mc:Choice>
        <mc:Fallback/>
      </mc:AlternateContent>
    </comment>
    <comment ref="Q4" authorId="0">
      <text>
        <r>
          <rPr>
            <sz val="10"/>
            <color rgb="FF000000"/>
            <rFont val="Tahoma"/>
            <family val="2"/>
          </rPr>
          <t xml:space="preserve">This information is found in the Columbia Navigator system.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151</xdr:colOff>
                <xdr:row>2</xdr:row>
                <xdr:rowOff>4</xdr:rowOff>
              </xdr:from>
              <xdr:to>
                <xdr:col>21</xdr:col>
                <xdr:colOff>4</xdr:colOff>
                <xdr:row>6</xdr:row>
                <xdr:rowOff>12</xdr:rowOff>
              </xdr:to>
            </anchor>
          </commentPr>
        </mc:Choice>
        <mc:Fallback/>
      </mc:AlternateContent>
    </comment>
    <comment ref="R42" authorId="0">
      <text>
        <r>
          <rPr>
            <b val="true"/>
            <sz val="9"/>
            <color rgb="FF993300"/>
            <rFont val="Tahoma"/>
            <family val="2"/>
          </rPr>
          <t xml:space="preserve">Mgmt. Fee Escalates every May by the Consumer Price Index/(not seasnally adjusted) South Urban ("CPI") 1982-1984=100, as published by the U.S. Dept. of Labor, BLS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103</xdr:colOff>
                <xdr:row>40</xdr:row>
                <xdr:rowOff>14</xdr:rowOff>
              </xdr:from>
              <xdr:to>
                <xdr:col>21</xdr:col>
                <xdr:colOff>52</xdr:colOff>
                <xdr:row>43</xdr:row>
                <xdr:rowOff>12</xdr:rowOff>
              </xdr:to>
            </anchor>
          </commentPr>
        </mc:Choice>
        <mc:Fallback/>
      </mc:AlternateContent>
    </comment>
    <comment ref="R44" authorId="0">
      <text>
        <r>
          <rPr>
            <b val="true"/>
            <sz val="10"/>
            <color rgb="FF000000"/>
            <rFont val="Tahoma"/>
            <family val="2"/>
          </rPr>
          <t xml:space="preserve">MAKE SURE THE CORRECT FEE IS USED HERE.  THE FIRST 1,500,000 Dth BURNT WILL BE AT 5 CENTS AND EVERYTHING ABOVE THAT AMOUNT WILL BE AT 3 CENTS.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13</xdr:colOff>
                <xdr:row>42</xdr:row>
                <xdr:rowOff>19</xdr:rowOff>
              </xdr:from>
              <xdr:to>
                <xdr:col>20</xdr:col>
                <xdr:colOff>5</xdr:colOff>
                <xdr:row>46</xdr:row>
                <xdr:rowOff>26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10"/>
            <color rgb="FF000000"/>
            <rFont val="Tahoma"/>
            <family val="0"/>
          </rPr>
          <t xml:space="preserve">This sheet is updated daily (by 3:30PM) and faxed to CALP for any requests, comments, and review.  They will fax it back with their input.
The current contact at CALP is Frank Miller, Plant Mgr. (fax) 757-487-9196 and (phone) 757-487-9062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33</xdr:colOff>
                <xdr:row>0</xdr:row>
                <xdr:rowOff>17</xdr:rowOff>
              </xdr:from>
              <xdr:to>
                <xdr:col>6</xdr:col>
                <xdr:colOff>93</xdr:colOff>
                <xdr:row>4</xdr:row>
                <xdr:rowOff>4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color rgb="FF000000"/>
            <rFont val="Tahoma"/>
            <family val="2"/>
          </rPr>
          <t xml:space="preserve">Input this date and the others will automatically update.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33</xdr:colOff>
                <xdr:row>2</xdr:row>
                <xdr:rowOff>4</xdr:rowOff>
              </xdr:from>
              <xdr:to>
                <xdr:col>3</xdr:col>
                <xdr:colOff>20</xdr:colOff>
                <xdr:row>4</xdr:row>
                <xdr:rowOff>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color rgb="FF000000"/>
            <rFont val="Tahoma"/>
            <family val="2"/>
          </rPr>
          <t xml:space="preserve">CALP will provide this information based on their need for gas delivery.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</xdr:colOff>
                <xdr:row>2</xdr:row>
                <xdr:rowOff>7</xdr:rowOff>
              </xdr:from>
              <xdr:to>
                <xdr:col>4</xdr:col>
                <xdr:colOff>64</xdr:colOff>
                <xdr:row>4</xdr:row>
                <xdr:rowOff>7</xdr:rowOff>
              </xdr:to>
            </anchor>
          </commentPr>
        </mc:Choice>
        <mc:Fallback/>
      </mc:AlternateContent>
    </comment>
    <comment ref="C4" authorId="0">
      <text>
        <r>
          <rPr>
            <sz val="10"/>
            <color rgb="FF000000"/>
            <rFont val="Tahoma"/>
            <family val="2"/>
          </rPr>
          <t xml:space="preserve">Upon receiving "request", Fuel Mgr will make arrangements for gas scheduling and input the amount which will be delivered to the gate (TCO meter 633469).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2</xdr:row>
                <xdr:rowOff>13</xdr:rowOff>
              </xdr:from>
              <xdr:to>
                <xdr:col>5</xdr:col>
                <xdr:colOff>46</xdr:colOff>
                <xdr:row>6</xdr:row>
                <xdr:rowOff>11</xdr:rowOff>
              </xdr:to>
            </anchor>
          </commentPr>
        </mc:Choice>
        <mc:Fallback/>
      </mc:AlternateContent>
    </comment>
    <comment ref="D4" authorId="0">
      <text>
        <r>
          <rPr>
            <b val="true"/>
            <sz val="8"/>
            <color rgb="FF000000"/>
            <rFont val="Tahoma"/>
            <family val="0"/>
          </rPr>
          <t xml:space="preserve">This section will atomatically fill if the current TCO "Retainage Rate" is used in the formula. (SEE CELL W3)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13</xdr:colOff>
                <xdr:row>2</xdr:row>
                <xdr:rowOff>13</xdr:rowOff>
              </xdr:from>
              <xdr:to>
                <xdr:col>5</xdr:col>
                <xdr:colOff>96</xdr:colOff>
                <xdr:row>5</xdr:row>
                <xdr:rowOff>17</xdr:rowOff>
              </xdr:to>
            </anchor>
          </commentPr>
        </mc:Choice>
        <mc:Fallback/>
      </mc:AlternateContent>
    </comment>
    <comment ref="H4" authorId="0">
      <text>
        <r>
          <rPr>
            <sz val="10"/>
            <color rgb="FF000000"/>
            <rFont val="Tahoma"/>
            <family val="2"/>
          </rPr>
          <t xml:space="preserve">Calculation, no input necessary.  This compares schedule verses actual Navigator daily volumes.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105</xdr:colOff>
                <xdr:row>2</xdr:row>
                <xdr:rowOff>4</xdr:rowOff>
              </xdr:from>
              <xdr:to>
                <xdr:col>10</xdr:col>
                <xdr:colOff>75</xdr:colOff>
                <xdr:row>5</xdr:row>
                <xdr:rowOff>7</xdr:rowOff>
              </xdr:to>
            </anchor>
          </commentPr>
        </mc:Choice>
        <mc:Fallback/>
      </mc:AlternateContent>
    </comment>
    <comment ref="I4" authorId="0">
      <text>
        <r>
          <rPr>
            <sz val="10"/>
            <color rgb="FF000000"/>
            <rFont val="Tahoma"/>
            <family val="2"/>
          </rPr>
          <t xml:space="preserve">Monthly cumulative imbalance of scheduled verses actuals.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73</xdr:colOff>
                <xdr:row>2</xdr:row>
                <xdr:rowOff>4</xdr:rowOff>
              </xdr:from>
              <xdr:to>
                <xdr:col>11</xdr:col>
                <xdr:colOff>1</xdr:colOff>
                <xdr:row>4</xdr:row>
                <xdr:rowOff>15</xdr:rowOff>
              </xdr:to>
            </anchor>
          </commentPr>
        </mc:Choice>
        <mc:Fallback/>
      </mc:AlternateContent>
    </comment>
    <comment ref="J4" authorId="0">
      <text>
        <r>
          <rPr>
            <b val="true"/>
            <sz val="10"/>
            <color rgb="FF000000"/>
            <rFont val="Tahoma"/>
            <family val="2"/>
          </rPr>
          <t xml:space="preserve">PRICING GAS TO BE MOVED ON CALP'S OPT60 CONTRACT IS;
Gas Daily-Columbia App. Mid as published in the following day issue.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</xdr:row>
                <xdr:rowOff>11</xdr:rowOff>
              </xdr:from>
              <xdr:to>
                <xdr:col>13</xdr:col>
                <xdr:colOff>41</xdr:colOff>
                <xdr:row>5</xdr:row>
                <xdr:rowOff>15</xdr:rowOff>
              </xdr:to>
            </anchor>
          </commentPr>
        </mc:Choice>
        <mc:Fallback/>
      </mc:AlternateContent>
    </comment>
    <comment ref="K4" authorId="0">
      <text>
        <r>
          <rPr>
            <b val="true"/>
            <sz val="10"/>
            <color rgb="FF000000"/>
            <rFont val="Tahoma"/>
            <family val="2"/>
          </rPr>
          <t xml:space="preserve">+ .05/dkt for first 1.5 BCF, then +.03/dkt for remainder 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58</xdr:colOff>
                <xdr:row>2</xdr:row>
                <xdr:rowOff>13</xdr:rowOff>
              </xdr:from>
              <xdr:to>
                <xdr:col>13</xdr:col>
                <xdr:colOff>84</xdr:colOff>
                <xdr:row>5</xdr:row>
                <xdr:rowOff>17</xdr:rowOff>
              </xdr:to>
            </anchor>
          </commentPr>
        </mc:Choice>
        <mc:Fallback/>
      </mc:AlternateContent>
    </comment>
    <comment ref="Q8" authorId="0">
      <text>
        <r>
          <rPr>
            <sz val="8"/>
            <color rgb="FF000000"/>
            <rFont val="Tahoma"/>
            <family val="0"/>
          </rPr>
          <t xml:space="preserve">
Robin wanted a credit from Calp for capacity used to meet Calp's burns in April.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68</xdr:colOff>
                <xdr:row>7</xdr:row>
                <xdr:rowOff>24</xdr:rowOff>
              </xdr:from>
              <xdr:to>
                <xdr:col>18</xdr:col>
                <xdr:colOff>101</xdr:colOff>
                <xdr:row>10</xdr:row>
                <xdr:rowOff>20</xdr:rowOff>
              </xdr:to>
            </anchor>
          </commentPr>
        </mc:Choice>
        <mc:Fallback/>
      </mc:AlternateContent>
    </comment>
    <comment ref="T4" authorId="0">
      <text>
        <r>
          <rPr>
            <sz val="10"/>
            <color rgb="FF000000"/>
            <rFont val="Tahoma"/>
            <family val="2"/>
          </rPr>
          <t xml:space="preserve">This information is found in the Columbia Navigator system.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0</xdr:colOff>
                <xdr:row>2</xdr:row>
                <xdr:rowOff>4</xdr:rowOff>
              </xdr:from>
              <xdr:to>
                <xdr:col>23</xdr:col>
                <xdr:colOff>0</xdr:colOff>
                <xdr:row>6</xdr:row>
                <xdr:rowOff>12</xdr:rowOff>
              </xdr:to>
            </anchor>
          </commentPr>
        </mc:Choice>
        <mc:Fallback/>
      </mc:AlternateContent>
    </comment>
    <comment ref="U41" authorId="0">
      <text>
        <r>
          <rPr>
            <b val="true"/>
            <sz val="9"/>
            <color rgb="FF993300"/>
            <rFont val="Tahoma"/>
            <family val="2"/>
          </rPr>
          <t xml:space="preserve">Mgmt. Fee Escalates every May by the Consumer Price Index/(not seasnally adjusted) South Urban ("CPI") 1982-1984=100, as published by the U.S. Dept. of Labor, BLS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0</xdr:colOff>
                <xdr:row>39</xdr:row>
                <xdr:rowOff>15</xdr:rowOff>
              </xdr:from>
              <xdr:to>
                <xdr:col>23</xdr:col>
                <xdr:colOff>0</xdr:colOff>
                <xdr:row>42</xdr:row>
                <xdr:rowOff>12</xdr:rowOff>
              </xdr:to>
            </anchor>
          </commentPr>
        </mc:Choice>
        <mc:Fallback/>
      </mc:AlternateContent>
    </comment>
    <comment ref="U43" authorId="0">
      <text>
        <r>
          <rPr>
            <b val="true"/>
            <sz val="10"/>
            <color rgb="FF000000"/>
            <rFont val="Tahoma"/>
            <family val="2"/>
          </rPr>
          <t xml:space="preserve">MAKE SURE THE CORRECT FEE IS USED HERE.  THE FIRST 1,500,000 Dth BURNT WILL BE AT 5 CENTS AND EVERYTHING ABOVE THAT AMOUNT WILL BE AT 3 CENTS.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0</xdr:colOff>
                <xdr:row>41</xdr:row>
                <xdr:rowOff>17</xdr:rowOff>
              </xdr:from>
              <xdr:to>
                <xdr:col>23</xdr:col>
                <xdr:colOff>0</xdr:colOff>
                <xdr:row>45</xdr:row>
                <xdr:rowOff>25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10"/>
            <color rgb="FF000000"/>
            <rFont val="Tahoma"/>
            <family val="0"/>
          </rPr>
          <t xml:space="preserve">This sheet is updated daily (by 3:30PM) and faxed to CALP for any requests, comments, and review.  They will fax it back with their input.
The current contact at CALP is Frank Miller, Plant Mgr. (fax) 757-487-9196 and (phone) 757-487-9062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28</xdr:colOff>
                <xdr:row>0</xdr:row>
                <xdr:rowOff>17</xdr:rowOff>
              </xdr:from>
              <xdr:to>
                <xdr:col>6</xdr:col>
                <xdr:colOff>89</xdr:colOff>
                <xdr:row>4</xdr:row>
                <xdr:rowOff>4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color rgb="FF000000"/>
            <rFont val="Tahoma"/>
            <family val="2"/>
          </rPr>
          <t xml:space="preserve">Input this date and the others will automatically update.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28</xdr:colOff>
                <xdr:row>2</xdr:row>
                <xdr:rowOff>4</xdr:rowOff>
              </xdr:from>
              <xdr:to>
                <xdr:col>3</xdr:col>
                <xdr:colOff>16</xdr:colOff>
                <xdr:row>4</xdr:row>
                <xdr:rowOff>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color rgb="FF000000"/>
            <rFont val="Tahoma"/>
            <family val="2"/>
          </rPr>
          <t xml:space="preserve">CALP will provide this information based on their need for gas delivery.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9</xdr:colOff>
                <xdr:row>2</xdr:row>
                <xdr:rowOff>7</xdr:rowOff>
              </xdr:from>
              <xdr:to>
                <xdr:col>4</xdr:col>
                <xdr:colOff>59</xdr:colOff>
                <xdr:row>4</xdr:row>
                <xdr:rowOff>7</xdr:rowOff>
              </xdr:to>
            </anchor>
          </commentPr>
        </mc:Choice>
        <mc:Fallback/>
      </mc:AlternateContent>
    </comment>
    <comment ref="C4" authorId="0">
      <text>
        <r>
          <rPr>
            <sz val="10"/>
            <color rgb="FF000000"/>
            <rFont val="Tahoma"/>
            <family val="2"/>
          </rPr>
          <t xml:space="preserve">Upon receiving "request", Fuel Mgr will make arrangements for gas scheduling and input the amount which will be delivered to the gate (TCO meter 633469).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2</xdr:row>
                <xdr:rowOff>13</xdr:rowOff>
              </xdr:from>
              <xdr:to>
                <xdr:col>5</xdr:col>
                <xdr:colOff>41</xdr:colOff>
                <xdr:row>6</xdr:row>
                <xdr:rowOff>11</xdr:rowOff>
              </xdr:to>
            </anchor>
          </commentPr>
        </mc:Choice>
        <mc:Fallback/>
      </mc:AlternateContent>
    </comment>
    <comment ref="D4" authorId="0">
      <text>
        <r>
          <rPr>
            <b val="true"/>
            <sz val="8"/>
            <color rgb="FF000000"/>
            <rFont val="Tahoma"/>
            <family val="0"/>
          </rPr>
          <t xml:space="preserve">This section will atomatically fill if the current TCO "Retainage Rate" is used in the formula. (SEE CELL W3)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</xdr:colOff>
                <xdr:row>2</xdr:row>
                <xdr:rowOff>13</xdr:rowOff>
              </xdr:from>
              <xdr:to>
                <xdr:col>5</xdr:col>
                <xdr:colOff>92</xdr:colOff>
                <xdr:row>5</xdr:row>
                <xdr:rowOff>17</xdr:rowOff>
              </xdr:to>
            </anchor>
          </commentPr>
        </mc:Choice>
        <mc:Fallback/>
      </mc:AlternateContent>
    </comment>
    <comment ref="H4" authorId="0">
      <text>
        <r>
          <rPr>
            <sz val="10"/>
            <color rgb="FF000000"/>
            <rFont val="Tahoma"/>
            <family val="2"/>
          </rPr>
          <t xml:space="preserve">Calculation, no input necessary.  This compares schedule verses actual Navigator daily volumes.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100</xdr:colOff>
                <xdr:row>2</xdr:row>
                <xdr:rowOff>4</xdr:rowOff>
              </xdr:from>
              <xdr:to>
                <xdr:col>10</xdr:col>
                <xdr:colOff>71</xdr:colOff>
                <xdr:row>5</xdr:row>
                <xdr:rowOff>7</xdr:rowOff>
              </xdr:to>
            </anchor>
          </commentPr>
        </mc:Choice>
        <mc:Fallback/>
      </mc:AlternateContent>
    </comment>
    <comment ref="I4" authorId="0">
      <text>
        <r>
          <rPr>
            <sz val="10"/>
            <color rgb="FF000000"/>
            <rFont val="Tahoma"/>
            <family val="2"/>
          </rPr>
          <t xml:space="preserve">Monthly cumulative imbalance of scheduled verses actuals.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69</xdr:colOff>
                <xdr:row>2</xdr:row>
                <xdr:rowOff>4</xdr:rowOff>
              </xdr:from>
              <xdr:to>
                <xdr:col>10</xdr:col>
                <xdr:colOff>113</xdr:colOff>
                <xdr:row>4</xdr:row>
                <xdr:rowOff>15</xdr:rowOff>
              </xdr:to>
            </anchor>
          </commentPr>
        </mc:Choice>
        <mc:Fallback/>
      </mc:AlternateContent>
    </comment>
    <comment ref="J4" authorId="0">
      <text>
        <r>
          <rPr>
            <b val="true"/>
            <sz val="10"/>
            <color rgb="FF000000"/>
            <rFont val="Tahoma"/>
            <family val="2"/>
          </rPr>
          <t xml:space="preserve">PRICING GAS TO BE MOVED ON CALP'S OPT60 CONTRACT IS;
Gas Daily-Columbia App. Mid as published in the following day issue.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12</xdr:colOff>
                <xdr:row>2</xdr:row>
                <xdr:rowOff>11</xdr:rowOff>
              </xdr:from>
              <xdr:to>
                <xdr:col>13</xdr:col>
                <xdr:colOff>34</xdr:colOff>
                <xdr:row>5</xdr:row>
                <xdr:rowOff>15</xdr:rowOff>
              </xdr:to>
            </anchor>
          </commentPr>
        </mc:Choice>
        <mc:Fallback/>
      </mc:AlternateContent>
    </comment>
    <comment ref="K4" authorId="0">
      <text>
        <r>
          <rPr>
            <b val="true"/>
            <sz val="10"/>
            <color rgb="FF000000"/>
            <rFont val="Tahoma"/>
            <family val="2"/>
          </rPr>
          <t xml:space="preserve">+ .05/dkt for first 1.5 BCF, then +.03/dkt for remainder gas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54</xdr:colOff>
                <xdr:row>2</xdr:row>
                <xdr:rowOff>13</xdr:rowOff>
              </xdr:from>
              <xdr:to>
                <xdr:col>13</xdr:col>
                <xdr:colOff>76</xdr:colOff>
                <xdr:row>5</xdr:row>
                <xdr:rowOff>17</xdr:rowOff>
              </xdr:to>
            </anchor>
          </commentPr>
        </mc:Choice>
        <mc:Fallback/>
      </mc:AlternateContent>
    </comment>
    <comment ref="U8" authorId="0">
      <text>
        <r>
          <rPr>
            <b val="true"/>
            <sz val="8"/>
            <color rgb="FF000000"/>
            <rFont val="Tahoma"/>
            <family val="0"/>
          </rPr>
          <t xml:space="preserve">MAKE SURE THIS INCLUDES CORRECT #OF DAYS IN MONTH FOR DAILY TOTALS.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21</xdr:col>
                <xdr:colOff>88</xdr:colOff>
                <xdr:row>6</xdr:row>
                <xdr:rowOff>9</xdr:rowOff>
              </xdr:from>
              <xdr:to>
                <xdr:col>23</xdr:col>
                <xdr:colOff>50</xdr:colOff>
                <xdr:row>9</xdr:row>
                <xdr:rowOff>8</xdr:rowOff>
              </xdr:to>
            </anchor>
          </commentPr>
        </mc:Choice>
        <mc:Fallback/>
      </mc:AlternateContent>
    </comment>
    <comment ref="X4" authorId="0">
      <text>
        <r>
          <rPr>
            <sz val="10"/>
            <color rgb="FF000000"/>
            <rFont val="Tahoma"/>
            <family val="2"/>
          </rPr>
          <t xml:space="preserve">This information is found in the Columbia Navigator system.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0</xdr:colOff>
                <xdr:row>2</xdr:row>
                <xdr:rowOff>4</xdr:rowOff>
              </xdr:from>
              <xdr:to>
                <xdr:col>27</xdr:col>
                <xdr:colOff>0</xdr:colOff>
                <xdr:row>6</xdr:row>
                <xdr:rowOff>12</xdr:rowOff>
              </xdr:to>
            </anchor>
          </commentPr>
        </mc:Choice>
        <mc:Fallback/>
      </mc:AlternateContent>
    </comment>
    <comment ref="Y42" authorId="0">
      <text>
        <r>
          <rPr>
            <b val="true"/>
            <sz val="9"/>
            <color rgb="FF993300"/>
            <rFont val="Tahoma"/>
            <family val="2"/>
          </rPr>
          <t xml:space="preserve">Mgmt. Fee Escalates every May by the Consumer Price Index/(not seasnally adjusted) South Urban ("CPI") 1982-1984=100, as published by the U.S. Dept. of Labor, BLS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0</xdr:colOff>
                <xdr:row>40</xdr:row>
                <xdr:rowOff>15</xdr:rowOff>
              </xdr:from>
              <xdr:to>
                <xdr:col>27</xdr:col>
                <xdr:colOff>0</xdr:colOff>
                <xdr:row>45</xdr:row>
                <xdr:rowOff>17</xdr:rowOff>
              </xdr:to>
            </anchor>
          </commentPr>
        </mc:Choice>
        <mc:Fallback/>
      </mc:AlternateContent>
    </comment>
    <comment ref="Y44" authorId="0">
      <text>
        <r>
          <rPr>
            <b val="true"/>
            <sz val="10"/>
            <color rgb="FF000000"/>
            <rFont val="Tahoma"/>
            <family val="2"/>
          </rPr>
          <t xml:space="preserve">MAKE SURE THE CORRECT FEE IS USED HERE.  THE FIRST 1,500,000 Dth BURNT WILL BE AT 5 CENTS AND EVERYTHING ABOVE THAT AMOUNT WILL BE AT 3 CENTS.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0</xdr:colOff>
                <xdr:row>42</xdr:row>
                <xdr:rowOff>19</xdr:rowOff>
              </xdr:from>
              <xdr:to>
                <xdr:col>27</xdr:col>
                <xdr:colOff>0</xdr:colOff>
                <xdr:row>46</xdr:row>
                <xdr:rowOff>27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b val="true"/>
            <sz val="10"/>
            <color rgb="FF000000"/>
            <rFont val="Tahoma"/>
            <family val="0"/>
          </rPr>
          <t xml:space="preserve">This sheet is updated daily (by 3:30PM) and faxed to CALP for any requests, comments, and review.  They will fax it back with their input.
The current contact at CALP is Frank Miller, Plant Mgr. (fax) 757-487-9196 and (phone) 757-487-9062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33</xdr:colOff>
                <xdr:row>0</xdr:row>
                <xdr:rowOff>17</xdr:rowOff>
              </xdr:from>
              <xdr:to>
                <xdr:col>6</xdr:col>
                <xdr:colOff>93</xdr:colOff>
                <xdr:row>4</xdr:row>
                <xdr:rowOff>4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color rgb="FF000000"/>
            <rFont val="Tahoma"/>
            <family val="2"/>
          </rPr>
          <t xml:space="preserve">Input this date and the others will automatically update.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33</xdr:colOff>
                <xdr:row>2</xdr:row>
                <xdr:rowOff>4</xdr:rowOff>
              </xdr:from>
              <xdr:to>
                <xdr:col>3</xdr:col>
                <xdr:colOff>19</xdr:colOff>
                <xdr:row>4</xdr:row>
                <xdr:rowOff>2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color rgb="FF000000"/>
            <rFont val="Tahoma"/>
            <family val="2"/>
          </rPr>
          <t xml:space="preserve">CALP will provide this information based on their need for gas delivery.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13</xdr:colOff>
                <xdr:row>2</xdr:row>
                <xdr:rowOff>7</xdr:rowOff>
              </xdr:from>
              <xdr:to>
                <xdr:col>4</xdr:col>
                <xdr:colOff>64</xdr:colOff>
                <xdr:row>4</xdr:row>
                <xdr:rowOff>7</xdr:rowOff>
              </xdr:to>
            </anchor>
          </commentPr>
        </mc:Choice>
        <mc:Fallback/>
      </mc:AlternateContent>
    </comment>
    <comment ref="C4" authorId="0">
      <text>
        <r>
          <rPr>
            <sz val="10"/>
            <color rgb="FF000000"/>
            <rFont val="Tahoma"/>
            <family val="2"/>
          </rPr>
          <t xml:space="preserve">Upon receiving "request", Fuel Mgr will make arrangements for gas scheduling and input the amount which will be delivered to the gate (TCO meter 633469).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2</xdr:row>
                <xdr:rowOff>13</xdr:rowOff>
              </xdr:from>
              <xdr:to>
                <xdr:col>5</xdr:col>
                <xdr:colOff>46</xdr:colOff>
                <xdr:row>6</xdr:row>
                <xdr:rowOff>10</xdr:rowOff>
              </xdr:to>
            </anchor>
          </commentPr>
        </mc:Choice>
        <mc:Fallback/>
      </mc:AlternateContent>
    </comment>
    <comment ref="D4" authorId="0">
      <text>
        <r>
          <rPr>
            <b val="true"/>
            <sz val="8"/>
            <color rgb="FF000000"/>
            <rFont val="Tahoma"/>
            <family val="0"/>
          </rPr>
          <t xml:space="preserve">This section will atomatically fill if the current TCO "Retainage Rate" is used in the formula. (SEE CELL W3)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13</xdr:colOff>
                <xdr:row>2</xdr:row>
                <xdr:rowOff>13</xdr:rowOff>
              </xdr:from>
              <xdr:to>
                <xdr:col>5</xdr:col>
                <xdr:colOff>96</xdr:colOff>
                <xdr:row>5</xdr:row>
                <xdr:rowOff>17</xdr:rowOff>
              </xdr:to>
            </anchor>
          </commentPr>
        </mc:Choice>
        <mc:Fallback/>
      </mc:AlternateContent>
    </comment>
    <comment ref="H4" authorId="0">
      <text>
        <r>
          <rPr>
            <sz val="10"/>
            <color rgb="FF000000"/>
            <rFont val="Tahoma"/>
            <family val="2"/>
          </rPr>
          <t xml:space="preserve">Calculation, no input necessary.  This compares schedule verses actual Navigator daily volumes.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105</xdr:colOff>
                <xdr:row>2</xdr:row>
                <xdr:rowOff>4</xdr:rowOff>
              </xdr:from>
              <xdr:to>
                <xdr:col>11</xdr:col>
                <xdr:colOff>29</xdr:colOff>
                <xdr:row>5</xdr:row>
                <xdr:rowOff>7</xdr:rowOff>
              </xdr:to>
            </anchor>
          </commentPr>
        </mc:Choice>
        <mc:Fallback/>
      </mc:AlternateContent>
    </comment>
    <comment ref="I4" authorId="0">
      <text>
        <r>
          <rPr>
            <sz val="10"/>
            <color rgb="FF000000"/>
            <rFont val="Tahoma"/>
            <family val="2"/>
          </rPr>
          <t xml:space="preserve">Monthly cumulative imbalance of scheduled verses actuals.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73</xdr:colOff>
                <xdr:row>2</xdr:row>
                <xdr:rowOff>4</xdr:rowOff>
              </xdr:from>
              <xdr:to>
                <xdr:col>11</xdr:col>
                <xdr:colOff>72</xdr:colOff>
                <xdr:row>4</xdr:row>
                <xdr:rowOff>14</xdr:rowOff>
              </xdr:to>
            </anchor>
          </commentPr>
        </mc:Choice>
        <mc:Fallback/>
      </mc:AlternateContent>
    </comment>
    <comment ref="J4" authorId="0">
      <text>
        <r>
          <rPr>
            <b val="true"/>
            <sz val="10"/>
            <color rgb="FF000000"/>
            <rFont val="Tahoma"/>
            <family val="2"/>
          </rPr>
          <t xml:space="preserve">PRICING GAS TO BE MOVED ON CALP'S OPT60 CONTRACT IS;
Gas Daily-Columbia App. Mid + fee as published in the following day issue.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2</xdr:row>
                <xdr:rowOff>13</xdr:rowOff>
              </xdr:from>
              <xdr:to>
                <xdr:col>13</xdr:col>
                <xdr:colOff>27</xdr:colOff>
                <xdr:row>5</xdr:row>
                <xdr:rowOff>17</xdr:rowOff>
              </xdr:to>
            </anchor>
          </commentPr>
        </mc:Choice>
        <mc:Fallback/>
      </mc:AlternateContent>
    </comment>
    <comment ref="N8" authorId="0">
      <text>
        <r>
          <rPr>
            <b val="true"/>
            <sz val="8"/>
            <color rgb="FF000000"/>
            <rFont val="Tahoma"/>
            <family val="0"/>
          </rPr>
          <t xml:space="preserve">MAKE SURE THIS INCLUDES CORRECT #OF DAYS IN MONTH FOR DAILY TOTALS.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</xdr:colOff>
                <xdr:row>6</xdr:row>
                <xdr:rowOff>12</xdr:rowOff>
              </xdr:from>
              <xdr:to>
                <xdr:col>15</xdr:col>
                <xdr:colOff>13</xdr:colOff>
                <xdr:row>9</xdr:row>
                <xdr:rowOff>10</xdr:rowOff>
              </xdr:to>
            </anchor>
          </commentPr>
        </mc:Choice>
        <mc:Fallback/>
      </mc:AlternateContent>
    </comment>
    <comment ref="Q4" authorId="0">
      <text>
        <r>
          <rPr>
            <sz val="10"/>
            <color rgb="FF000000"/>
            <rFont val="Tahoma"/>
            <family val="2"/>
          </rPr>
          <t xml:space="preserve">This information is found in the Columbia Navigator system.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151</xdr:colOff>
                <xdr:row>2</xdr:row>
                <xdr:rowOff>4</xdr:rowOff>
              </xdr:from>
              <xdr:to>
                <xdr:col>21</xdr:col>
                <xdr:colOff>4</xdr:colOff>
                <xdr:row>6</xdr:row>
                <xdr:rowOff>12</xdr:rowOff>
              </xdr:to>
            </anchor>
          </commentPr>
        </mc:Choice>
        <mc:Fallback/>
      </mc:AlternateContent>
    </comment>
    <comment ref="R42" authorId="0">
      <text>
        <r>
          <rPr>
            <b val="true"/>
            <sz val="9"/>
            <color rgb="FF993300"/>
            <rFont val="Tahoma"/>
            <family val="2"/>
          </rPr>
          <t xml:space="preserve">Mgmt. Fee Escalates every May by the Consumer Price Index/(not seasnally adjusted) South Urban ("CPI") 1982-1984=100, as published by the U.S. Dept. of Labor, BLS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103</xdr:colOff>
                <xdr:row>40</xdr:row>
                <xdr:rowOff>14</xdr:rowOff>
              </xdr:from>
              <xdr:to>
                <xdr:col>21</xdr:col>
                <xdr:colOff>52</xdr:colOff>
                <xdr:row>43</xdr:row>
                <xdr:rowOff>12</xdr:rowOff>
              </xdr:to>
            </anchor>
          </commentPr>
        </mc:Choice>
        <mc:Fallback/>
      </mc:AlternateContent>
    </comment>
    <comment ref="R44" authorId="0">
      <text>
        <r>
          <rPr>
            <b val="true"/>
            <sz val="10"/>
            <color rgb="FF000000"/>
            <rFont val="Tahoma"/>
            <family val="2"/>
          </rPr>
          <t xml:space="preserve">MAKE SURE THE CORRECT FEE IS USED HERE.  THE FIRST 1,500,000 Dth BURNT WILL BE AT 5 CENTS AND EVERYTHING ABOVE THAT AMOUNT WILL BE AT 3 CENTS.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13</xdr:colOff>
                <xdr:row>42</xdr:row>
                <xdr:rowOff>19</xdr:rowOff>
              </xdr:from>
              <xdr:to>
                <xdr:col>20</xdr:col>
                <xdr:colOff>5</xdr:colOff>
                <xdr:row>46</xdr:row>
                <xdr:rowOff>26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<sst xmlns="http://schemas.openxmlformats.org/spreadsheetml/2006/main" count="511" uniqueCount="95">
  <si>
    <t xml:space="preserve">COMMONWEALTH  ATLANTIC  L.P. - Chesapeake Facility Natural Gas ESTIMATES</t>
  </si>
  <si>
    <t xml:space="preserve">CALP Requirements</t>
  </si>
  <si>
    <t xml:space="preserve">Meter Readings</t>
  </si>
  <si>
    <t xml:space="preserve">Balance                             (Scheduled less Usage)</t>
  </si>
  <si>
    <t xml:space="preserve">Cost Components</t>
  </si>
  <si>
    <t xml:space="preserve">Informational</t>
  </si>
  <si>
    <r>
      <rPr>
        <sz val="13"/>
        <rFont val="Times New Roman"/>
        <family val="1"/>
      </rPr>
      <t xml:space="preserve">Daily  </t>
    </r>
    <r>
      <rPr>
        <b val="true"/>
        <sz val="13"/>
        <rFont val="Times New Roman"/>
        <family val="1"/>
      </rPr>
      <t xml:space="preserve">estimate</t>
    </r>
    <r>
      <rPr>
        <sz val="13"/>
        <rFont val="Times New Roman"/>
        <family val="1"/>
      </rPr>
      <t xml:space="preserve"> costs</t>
    </r>
  </si>
  <si>
    <t xml:space="preserve">Current TCO Retainage Rate</t>
  </si>
  <si>
    <t xml:space="preserve">or 2.116%</t>
  </si>
  <si>
    <t xml:space="preserve">Requested at City Gate</t>
  </si>
  <si>
    <t xml:space="preserve">Scheduled to City Gate</t>
  </si>
  <si>
    <t xml:space="preserve">Scheduled Into TCO</t>
  </si>
  <si>
    <t xml:space="preserve">Reported Daily Usage by Plant</t>
  </si>
  <si>
    <t xml:space="preserve">     Meter Readings                       via Navigator</t>
  </si>
  <si>
    <t xml:space="preserve">Daily         (+inj /-withd)</t>
  </si>
  <si>
    <t xml:space="preserve">Cumulative        (+ / -)</t>
  </si>
  <si>
    <t xml:space="preserve">INTO TCO GAS COST plus fee</t>
  </si>
  <si>
    <t xml:space="preserve">CES SIT Costs $</t>
  </si>
  <si>
    <t xml:space="preserve">TCO Transport Costs</t>
  </si>
  <si>
    <t xml:space="preserve">Remarks</t>
  </si>
  <si>
    <t xml:space="preserve">OPT 60 or summer firm</t>
  </si>
  <si>
    <t xml:space="preserve">PGA Fee up to 1,500,000 Dth Consumed</t>
  </si>
  <si>
    <t xml:space="preserve">Commodity</t>
  </si>
  <si>
    <t xml:space="preserve">Demand</t>
  </si>
  <si>
    <t xml:space="preserve">PGA Fee over 1,500,000 Dth Consumed</t>
  </si>
  <si>
    <t xml:space="preserve">Gas Pricing is based on Index… Col. App. GD Mid + PGA Fee as published in following day issue</t>
  </si>
  <si>
    <t xml:space="preserve">Date</t>
  </si>
  <si>
    <t xml:space="preserve">Dth</t>
  </si>
  <si>
    <t xml:space="preserve">       Mcf</t>
  </si>
  <si>
    <t xml:space="preserve">         Dth</t>
  </si>
  <si>
    <t xml:space="preserve">(MMBTU)</t>
  </si>
  <si>
    <t xml:space="preserve">($/MMBTU)</t>
  </si>
  <si>
    <t xml:space="preserve">(If OPT60 is not used, also include Transport to City Gate)</t>
  </si>
  <si>
    <t xml:space="preserve">n/a</t>
  </si>
  <si>
    <t xml:space="preserve">Total</t>
  </si>
  <si>
    <t xml:space="preserve">Year-To-Date consumption:</t>
  </si>
  <si>
    <t xml:space="preserve">FUEL MANAGEMENT FEE:</t>
  </si>
  <si>
    <t xml:space="preserve">Note: Gas Day Begins at 10:00 am</t>
  </si>
  <si>
    <t xml:space="preserve">COMMODITY TO CITY GATE:</t>
  </si>
  <si>
    <t xml:space="preserve">Approved: _____________________________________</t>
  </si>
  <si>
    <t xml:space="preserve">PGA FEE:</t>
  </si>
  <si>
    <t xml:space="preserve">Prepared: </t>
  </si>
  <si>
    <t xml:space="preserve">            (CALP signature)</t>
  </si>
  <si>
    <t xml:space="preserve">TRANSPORT (commodity and all other thru CES) COST:</t>
  </si>
  <si>
    <t xml:space="preserve">DEMAND (Released Capacity..) COST:</t>
  </si>
  <si>
    <t xml:space="preserve">COLUMBIA ENERGY SIT COST:</t>
  </si>
  <si>
    <r>
      <rPr>
        <sz val="13"/>
        <rFont val="Times New Roman"/>
        <family val="1"/>
      </rPr>
      <t xml:space="preserve">Previous Month.. DEMAND (CES use of UNUSED Capacity @ .02/Dth) </t>
    </r>
    <r>
      <rPr>
        <sz val="13"/>
        <color rgb="FFFF0000"/>
        <rFont val="Times New Roman"/>
        <family val="1"/>
      </rPr>
      <t xml:space="preserve">CREDIT</t>
    </r>
    <r>
      <rPr>
        <sz val="13"/>
        <rFont val="Times New Roman"/>
        <family val="1"/>
      </rPr>
      <t xml:space="preserve">:</t>
    </r>
  </si>
  <si>
    <r>
      <rPr>
        <sz val="13"/>
        <rFont val="Times New Roman"/>
        <family val="1"/>
      </rPr>
      <t xml:space="preserve">Previous Month.. TCO Commodity (CES Usage of Capacity) </t>
    </r>
    <r>
      <rPr>
        <sz val="13"/>
        <color rgb="FFFF0000"/>
        <rFont val="Times New Roman"/>
        <family val="1"/>
      </rPr>
      <t xml:space="preserve">CREDIT</t>
    </r>
    <r>
      <rPr>
        <sz val="13"/>
        <rFont val="Times New Roman"/>
        <family val="1"/>
      </rPr>
      <t xml:space="preserve">:</t>
    </r>
  </si>
  <si>
    <r>
      <rPr>
        <sz val="13"/>
        <rFont val="Times New Roman"/>
        <family val="1"/>
      </rPr>
      <t xml:space="preserve">TCO related OTHER COSTS </t>
    </r>
    <r>
      <rPr>
        <sz val="13"/>
        <color rgb="FFFF0000"/>
        <rFont val="Times New Roman"/>
        <family val="1"/>
      </rPr>
      <t xml:space="preserve">CREDIT</t>
    </r>
    <r>
      <rPr>
        <sz val="13"/>
        <rFont val="Times New Roman"/>
        <family val="1"/>
      </rPr>
      <t xml:space="preserve">:</t>
    </r>
  </si>
  <si>
    <t xml:space="preserve">CES INVOICE SUBTOTAL</t>
  </si>
  <si>
    <t xml:space="preserve">Any Credits for CES use of available Capacity will be applied to the following months invoice</t>
  </si>
  <si>
    <t xml:space="preserve">TCO DEMAND/CAPACITY COSTS</t>
  </si>
  <si>
    <t xml:space="preserve">Any Credits for CES gas transported will be applied to the following months invoice</t>
  </si>
  <si>
    <t xml:space="preserve">TCO COMMODITY TRANSPORT COSTS</t>
  </si>
  <si>
    <t xml:space="preserve">Any other applicable costs to be credited in the following month</t>
  </si>
  <si>
    <t xml:space="preserve">OTHER COSTS</t>
  </si>
  <si>
    <t xml:space="preserve">TOTAL COST TO CITY GATE:</t>
  </si>
  <si>
    <t xml:space="preserve">or 2.184%</t>
  </si>
  <si>
    <t xml:space="preserve">Grossed up TCO Pool</t>
  </si>
  <si>
    <t xml:space="preserve">TCO POOL GAS DAILY </t>
  </si>
  <si>
    <t xml:space="preserve">FEE </t>
  </si>
  <si>
    <t xml:space="preserve">ENRON SIT Costs $</t>
  </si>
  <si>
    <t xml:space="preserve">Unit Price</t>
  </si>
  <si>
    <t xml:space="preserve">Fuel</t>
  </si>
  <si>
    <t xml:space="preserve">Overrun</t>
  </si>
  <si>
    <t xml:space="preserve">TRANSPORT (commodity and all other thru Enron) COST:</t>
  </si>
  <si>
    <t xml:space="preserve">ENRON SIT COST:</t>
  </si>
  <si>
    <t xml:space="preserve">ENRON FUEL COST:</t>
  </si>
  <si>
    <t xml:space="preserve">ENRON OVERRUN COST:</t>
  </si>
  <si>
    <t xml:space="preserve">ENRON DEMAND COST:</t>
  </si>
  <si>
    <r>
      <rPr>
        <sz val="13"/>
        <rFont val="Times New Roman"/>
        <family val="1"/>
      </rPr>
      <t xml:space="preserve">Previous Month.. DEMAND (Enron use of UNUSED Capacity @ .02/Dth) </t>
    </r>
    <r>
      <rPr>
        <sz val="13"/>
        <color rgb="FFFF0000"/>
        <rFont val="Times New Roman"/>
        <family val="1"/>
      </rPr>
      <t xml:space="preserve">CREDIT</t>
    </r>
    <r>
      <rPr>
        <sz val="13"/>
        <rFont val="Times New Roman"/>
        <family val="1"/>
      </rPr>
      <t xml:space="preserve">:</t>
    </r>
  </si>
  <si>
    <r>
      <rPr>
        <sz val="13"/>
        <rFont val="Times New Roman"/>
        <family val="1"/>
      </rPr>
      <t xml:space="preserve">Previous Month.. TCO Commodity (Enron Usage of Capacity) </t>
    </r>
    <r>
      <rPr>
        <sz val="13"/>
        <color rgb="FFFF0000"/>
        <rFont val="Times New Roman"/>
        <family val="1"/>
      </rPr>
      <t xml:space="preserve">CREDIT</t>
    </r>
    <r>
      <rPr>
        <sz val="13"/>
        <rFont val="Times New Roman"/>
        <family val="1"/>
      </rPr>
      <t xml:space="preserve">:</t>
    </r>
  </si>
  <si>
    <t xml:space="preserve">Any Credits for Enron use of available Capacity will be applied to the following months invoice</t>
  </si>
  <si>
    <t xml:space="preserve">Any Credits for Enron gas transported will be applied to the following months invoice</t>
  </si>
  <si>
    <t xml:space="preserve">ENA Fuel Daily Cost/dkt</t>
  </si>
  <si>
    <t xml:space="preserve">ENA Fuel Daily Cost x Dlvd Vol</t>
  </si>
  <si>
    <t xml:space="preserve">ENA Fuel Weighted Avg  x Dlvd Vol</t>
  </si>
  <si>
    <t xml:space="preserve">ENA SIT Costs $</t>
  </si>
  <si>
    <t xml:space="preserve">CREDIT TO CALP</t>
  </si>
  <si>
    <t xml:space="preserve">CALP</t>
  </si>
  <si>
    <t xml:space="preserve">ENA Unit Price</t>
  </si>
  <si>
    <t xml:space="preserve">ENA </t>
  </si>
  <si>
    <t xml:space="preserve">ENA</t>
  </si>
  <si>
    <t xml:space="preserve">Usage</t>
  </si>
  <si>
    <t xml:space="preserve">dkt</t>
  </si>
  <si>
    <t xml:space="preserve">Daily vs Weighted fuel cost off slightly due to 4 digits rounding.</t>
  </si>
  <si>
    <t xml:space="preserve">Weighted Avg Fuel Cost =</t>
  </si>
  <si>
    <t xml:space="preserve">Updated CPI for May is published mid-June, so used April's Fee.</t>
  </si>
  <si>
    <t xml:space="preserve">ENRON COMMODITY CREDIT:</t>
  </si>
  <si>
    <t xml:space="preserve">ENRON DEMAND CREDIT</t>
  </si>
  <si>
    <t xml:space="preserve">ENRON OVERRUN CREDIT:</t>
  </si>
  <si>
    <t xml:space="preserve">ENRON INVOICE SUBTOTAL</t>
  </si>
  <si>
    <t xml:space="preserve">CALP DEMAND COST:</t>
  </si>
  <si>
    <t xml:space="preserve">TOTAL COST TO CALP:</t>
  </si>
  <si>
    <t xml:space="preserve">?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</si>
</sst>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0_)"/>
    <numFmt numFmtId="166" formatCode="mmmm\-yyyy"/>
    <numFmt numFmtId="167" formatCode="mmmm\-yy"/>
    <numFmt numFmtId="168" formatCode="0.00_)"/>
    <numFmt numFmtId="169" formatCode="0"/>
    <numFmt numFmtId="170" formatCode="mmm\-yyyy"/>
    <numFmt numFmtId="171" formatCode="_(\$* #,##0.00_);_(\$* \(#,##0.00\);_(\$* \-??_);_(@_)"/>
    <numFmt numFmtId="172" formatCode="_(\$* #,##0.000_);_(\$* \(#,##0.000\);_(\$* \-??_);_(@_)"/>
    <numFmt numFmtId="173" formatCode="_(* #,##0.00_);_(* \(#,##0.00\);_(* \-??_);_(@_)"/>
    <numFmt numFmtId="174" formatCode="_(* #,##0_);_(* \(#,##0\);_(* \-??_);_(@_)"/>
    <numFmt numFmtId="175" formatCode="_(\$* #,##0.0000_);_(\$* \(#,##0.0000\);_(\$* \-??_);_(@_)"/>
    <numFmt numFmtId="176" formatCode="ddd&quot; - &quot;dd"/>
    <numFmt numFmtId="177" formatCode="[$-409]#,##0_);\(#,##0\)"/>
    <numFmt numFmtId="178" formatCode="0.0000_)"/>
    <numFmt numFmtId="179" formatCode="[$-409]m/d/yyyy"/>
    <numFmt numFmtId="180" formatCode="\$#,##0.000_);&quot;($&quot;#,##0.000\)"/>
    <numFmt numFmtId="181" formatCode="0.0000"/>
    <numFmt numFmtId="182" formatCode="_(\$* #,##0.0000_);_(\$* \(#,##0.0000\);_(\$* \-????_);_(@_)"/>
    <numFmt numFmtId="183" formatCode="_(* #,##0_);_(* \(#,##0\);_(* \-_);_(@_)"/>
    <numFmt numFmtId="184" formatCode="_(\$* #,##0.00000_);_(\$* \(#,##0.00000\);_(\$* \-??_);_(@_)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3"/>
      <name val="Times New Roman"/>
      <family val="1"/>
    </font>
    <font>
      <b val="true"/>
      <sz val="18"/>
      <name val="Times New Roman"/>
      <family val="1"/>
    </font>
    <font>
      <b val="true"/>
      <sz val="13"/>
      <name val="Times New Roman"/>
      <family val="1"/>
    </font>
    <font>
      <b val="true"/>
      <sz val="13"/>
      <color rgb="FF0000FF"/>
      <name val="Times New Roman"/>
      <family val="1"/>
    </font>
    <font>
      <sz val="11"/>
      <name val="Times New Roman"/>
      <family val="1"/>
    </font>
    <font>
      <b val="true"/>
      <sz val="12"/>
      <color rgb="FF0000FF"/>
      <name val="Times New Roman"/>
      <family val="1"/>
    </font>
    <font>
      <sz val="13"/>
      <color rgb="FF0000FF"/>
      <name val="Times New Roman"/>
      <family val="1"/>
    </font>
    <font>
      <sz val="13"/>
      <name val="Arial"/>
      <family val="2"/>
    </font>
    <font>
      <sz val="13"/>
      <color rgb="FF0000FF"/>
      <name val="Arial"/>
      <family val="2"/>
    </font>
    <font>
      <b val="true"/>
      <sz val="13"/>
      <name val="Arial"/>
      <family val="2"/>
    </font>
    <font>
      <b val="true"/>
      <sz val="13"/>
      <color rgb="FF3366FF"/>
      <name val="Times New Roman"/>
      <family val="1"/>
    </font>
    <font>
      <b val="true"/>
      <i val="true"/>
      <sz val="13"/>
      <color rgb="FF3366FF"/>
      <name val="Times New Roman"/>
      <family val="1"/>
    </font>
    <font>
      <b val="true"/>
      <i val="true"/>
      <sz val="13"/>
      <color rgb="FFFF0000"/>
      <name val="Times New Roman"/>
      <family val="1"/>
    </font>
    <font>
      <sz val="13"/>
      <color rgb="FFFF0000"/>
      <name val="Times New Roman"/>
      <family val="1"/>
    </font>
    <font>
      <sz val="13"/>
      <color rgb="FFFF0000"/>
      <name val="Arial"/>
      <family val="2"/>
    </font>
    <font>
      <i val="true"/>
      <sz val="13"/>
      <name val="Times New Roman"/>
      <family val="1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  <font>
      <sz val="10"/>
      <color rgb="FF000000"/>
      <name val="Tahoma"/>
      <family val="2"/>
    </font>
    <font>
      <b val="true"/>
      <sz val="8"/>
      <color rgb="FF000000"/>
      <name val="Tahoma"/>
      <family val="0"/>
    </font>
    <font>
      <b val="true"/>
      <sz val="10"/>
      <color rgb="FF000000"/>
      <name val="Tahoma"/>
      <family val="2"/>
    </font>
    <font>
      <b val="true"/>
      <sz val="9"/>
      <color rgb="FF993300"/>
      <name val="Tahoma"/>
      <family val="2"/>
    </font>
    <font>
      <sz val="12"/>
      <name val="Bookman Old Style"/>
      <family val="1"/>
    </font>
    <font>
      <b val="true"/>
      <sz val="12"/>
      <name val="Bookman Old Style"/>
      <family val="1"/>
    </font>
    <font>
      <b val="true"/>
      <sz val="14"/>
      <name val="CG Omega (W1)"/>
      <family val="2"/>
    </font>
    <font>
      <b val="true"/>
      <sz val="16"/>
      <name val="CG Omega (W1)"/>
      <family val="2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  <fill>
      <patternFill patternType="solid">
        <fgColor rgb="FF9F9F9F"/>
        <bgColor rgb="FF808080"/>
      </patternFill>
    </fill>
    <fill>
      <patternFill patternType="solid">
        <fgColor rgb="FFC0C0C0"/>
        <bgColor rgb="FFDFDFDF"/>
      </patternFill>
    </fill>
  </fills>
  <borders count="5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7" fillId="2" borderId="5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2" borderId="1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" fillId="2" borderId="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2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2" borderId="1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2" borderId="1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3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3" borderId="7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11" fillId="0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1" fillId="0" borderId="2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1" fillId="0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2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1" fillId="0" borderId="2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1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2" fillId="0" borderId="2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1" fillId="0" borderId="2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11" fillId="0" borderId="25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4" fontId="11" fillId="0" borderId="23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7" fontId="11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1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1" fillId="2" borderId="3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1" fillId="0" borderId="2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7" fontId="1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11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3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1" fillId="0" borderId="3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1" fillId="0" borderId="3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3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1" fillId="0" borderId="3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1" fillId="0" borderId="2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1" fillId="0" borderId="22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7" fontId="11" fillId="0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2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1" fillId="2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7" fontId="11" fillId="0" borderId="3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1" fillId="0" borderId="3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1" fillId="0" borderId="1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1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1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1" fillId="0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4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4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4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4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4" borderId="4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1" fillId="4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1" fillId="4" borderId="4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4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1" fillId="0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3" fillId="0" borderId="4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3" fillId="0" borderId="1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4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1" fillId="5" borderId="4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1" fillId="5" borderId="4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1" fillId="0" borderId="4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5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4" fontId="16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1" fontId="13" fillId="0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6" fillId="2" borderId="5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6" fillId="2" borderId="2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2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2" borderId="3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1" fillId="0" borderId="2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1" fontId="1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1" fillId="0" borderId="2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1" fontId="1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2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2" borderId="5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6" fillId="2" borderId="2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6" fillId="3" borderId="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2" fontId="11" fillId="0" borderId="2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1" fillId="0" borderId="2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11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11" fillId="0" borderId="2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2" fontId="1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1" fillId="0" borderId="4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7" fillId="3" borderId="7" xfId="17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F9F9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90360</xdr:colOff>
      <xdr:row>42</xdr:row>
      <xdr:rowOff>38880</xdr:rowOff>
    </xdr:from>
    <xdr:to>
      <xdr:col>0</xdr:col>
      <xdr:colOff>734040</xdr:colOff>
      <xdr:row>42</xdr:row>
      <xdr:rowOff>229320</xdr:rowOff>
    </xdr:to>
    <xdr:sp>
      <xdr:nvSpPr>
        <xdr:cNvPr id="0" name="AutoShape 6"/>
        <xdr:cNvSpPr/>
      </xdr:nvSpPr>
      <xdr:spPr>
        <a:xfrm>
          <a:off x="90360" y="10496520"/>
          <a:ext cx="643680" cy="190440"/>
        </a:xfrm>
        <a:prstGeom prst="rightArrow">
          <a:avLst>
            <a:gd name="adj1" fmla="val 50000"/>
            <a:gd name="adj2" fmla="val 84499"/>
          </a:avLst>
        </a:prstGeom>
        <a:solidFill>
          <a:srgbClr val="3366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70200</xdr:colOff>
      <xdr:row>53</xdr:row>
      <xdr:rowOff>151920</xdr:rowOff>
    </xdr:from>
    <xdr:to>
      <xdr:col>14</xdr:col>
      <xdr:colOff>463680</xdr:colOff>
      <xdr:row>53</xdr:row>
      <xdr:rowOff>151920</xdr:rowOff>
    </xdr:to>
    <xdr:sp>
      <xdr:nvSpPr>
        <xdr:cNvPr id="1" name="Line 10"/>
        <xdr:cNvSpPr/>
      </xdr:nvSpPr>
      <xdr:spPr>
        <a:xfrm>
          <a:off x="13532760" y="13543560"/>
          <a:ext cx="39348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60120</xdr:colOff>
      <xdr:row>52</xdr:row>
      <xdr:rowOff>171720</xdr:rowOff>
    </xdr:from>
    <xdr:to>
      <xdr:col>14</xdr:col>
      <xdr:colOff>463680</xdr:colOff>
      <xdr:row>52</xdr:row>
      <xdr:rowOff>171720</xdr:rowOff>
    </xdr:to>
    <xdr:sp>
      <xdr:nvSpPr>
        <xdr:cNvPr id="2" name="Line 11"/>
        <xdr:cNvSpPr/>
      </xdr:nvSpPr>
      <xdr:spPr>
        <a:xfrm>
          <a:off x="13522680" y="13296600"/>
          <a:ext cx="40356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70200</xdr:colOff>
      <xdr:row>54</xdr:row>
      <xdr:rowOff>123840</xdr:rowOff>
    </xdr:from>
    <xdr:to>
      <xdr:col>14</xdr:col>
      <xdr:colOff>463680</xdr:colOff>
      <xdr:row>54</xdr:row>
      <xdr:rowOff>123840</xdr:rowOff>
    </xdr:to>
    <xdr:sp>
      <xdr:nvSpPr>
        <xdr:cNvPr id="3" name="Line 12"/>
        <xdr:cNvSpPr/>
      </xdr:nvSpPr>
      <xdr:spPr>
        <a:xfrm>
          <a:off x="13532760" y="13781880"/>
          <a:ext cx="39348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724680</xdr:colOff>
      <xdr:row>1</xdr:row>
      <xdr:rowOff>171000</xdr:rowOff>
    </xdr:from>
    <xdr:to>
      <xdr:col>29</xdr:col>
      <xdr:colOff>634680</xdr:colOff>
      <xdr:row>6</xdr:row>
      <xdr:rowOff>171000</xdr:rowOff>
    </xdr:to>
    <xdr:sp>
      <xdr:nvSpPr>
        <xdr:cNvPr id="4" name="Rectangle 18"/>
        <xdr:cNvSpPr/>
      </xdr:nvSpPr>
      <xdr:spPr>
        <a:xfrm>
          <a:off x="19500840" y="456840"/>
          <a:ext cx="8260920" cy="1076400"/>
        </a:xfrm>
        <a:prstGeom prst="rect">
          <a:avLst/>
        </a:prstGeom>
        <a:noFill/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90360</xdr:colOff>
      <xdr:row>40</xdr:row>
      <xdr:rowOff>38520</xdr:rowOff>
    </xdr:from>
    <xdr:to>
      <xdr:col>0</xdr:col>
      <xdr:colOff>734040</xdr:colOff>
      <xdr:row>40</xdr:row>
      <xdr:rowOff>229320</xdr:rowOff>
    </xdr:to>
    <xdr:sp>
      <xdr:nvSpPr>
        <xdr:cNvPr id="5" name="AutoShape 6"/>
        <xdr:cNvSpPr/>
      </xdr:nvSpPr>
      <xdr:spPr>
        <a:xfrm>
          <a:off x="90360" y="9985680"/>
          <a:ext cx="643680" cy="190800"/>
        </a:xfrm>
        <a:prstGeom prst="rightArrow">
          <a:avLst>
            <a:gd name="adj1" fmla="val 50000"/>
            <a:gd name="adj2" fmla="val 84340"/>
          </a:avLst>
        </a:prstGeom>
        <a:solidFill>
          <a:srgbClr val="3366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70200</xdr:colOff>
      <xdr:row>51</xdr:row>
      <xdr:rowOff>152280</xdr:rowOff>
    </xdr:from>
    <xdr:to>
      <xdr:col>14</xdr:col>
      <xdr:colOff>463680</xdr:colOff>
      <xdr:row>51</xdr:row>
      <xdr:rowOff>152280</xdr:rowOff>
    </xdr:to>
    <xdr:sp>
      <xdr:nvSpPr>
        <xdr:cNvPr id="6" name="Line 10"/>
        <xdr:cNvSpPr/>
      </xdr:nvSpPr>
      <xdr:spPr>
        <a:xfrm>
          <a:off x="13532760" y="13033080"/>
          <a:ext cx="39348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60120</xdr:colOff>
      <xdr:row>50</xdr:row>
      <xdr:rowOff>171720</xdr:rowOff>
    </xdr:from>
    <xdr:to>
      <xdr:col>14</xdr:col>
      <xdr:colOff>463680</xdr:colOff>
      <xdr:row>50</xdr:row>
      <xdr:rowOff>171720</xdr:rowOff>
    </xdr:to>
    <xdr:sp>
      <xdr:nvSpPr>
        <xdr:cNvPr id="7" name="Line 11"/>
        <xdr:cNvSpPr/>
      </xdr:nvSpPr>
      <xdr:spPr>
        <a:xfrm>
          <a:off x="13522680" y="12786120"/>
          <a:ext cx="40356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70200</xdr:colOff>
      <xdr:row>52</xdr:row>
      <xdr:rowOff>123840</xdr:rowOff>
    </xdr:from>
    <xdr:to>
      <xdr:col>14</xdr:col>
      <xdr:colOff>463680</xdr:colOff>
      <xdr:row>52</xdr:row>
      <xdr:rowOff>123840</xdr:rowOff>
    </xdr:to>
    <xdr:sp>
      <xdr:nvSpPr>
        <xdr:cNvPr id="8" name="Line 12"/>
        <xdr:cNvSpPr/>
      </xdr:nvSpPr>
      <xdr:spPr>
        <a:xfrm>
          <a:off x="13532760" y="13271400"/>
          <a:ext cx="39348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543960</xdr:colOff>
      <xdr:row>39</xdr:row>
      <xdr:rowOff>38880</xdr:rowOff>
    </xdr:from>
    <xdr:to>
      <xdr:col>14</xdr:col>
      <xdr:colOff>795960</xdr:colOff>
      <xdr:row>53</xdr:row>
      <xdr:rowOff>238680</xdr:rowOff>
    </xdr:to>
    <xdr:sp>
      <xdr:nvSpPr>
        <xdr:cNvPr id="9" name="Text 13"/>
        <xdr:cNvSpPr/>
      </xdr:nvSpPr>
      <xdr:spPr>
        <a:xfrm>
          <a:off x="11621520" y="9719280"/>
          <a:ext cx="2637000" cy="38764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effectLst/>
              <a:uFillTx/>
              <a:latin typeface="Bookman Old Style"/>
            </a:rPr>
            <a:t> 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400" strike="noStrike" u="none">
              <a:effectLst/>
              <a:uFillTx/>
              <a:latin typeface="CG Omega (W1)"/>
            </a:rPr>
            <a:t> </a:t>
          </a:r>
          <a:r>
            <a:rPr b="1" lang="en-US" sz="1600" strike="noStrike" u="none">
              <a:effectLst/>
              <a:uFillTx/>
              <a:latin typeface="CG Omega (W1)"/>
            </a:rPr>
            <a:t>To:   Frank Miller, CALP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Plant Manager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Ph: 757-487-9062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Fx: 757-487-9196</a:t>
          </a:r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Cc:  Roman Bakke, EME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Fx: 703-222-0516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835560</xdr:colOff>
      <xdr:row>39</xdr:row>
      <xdr:rowOff>38880</xdr:rowOff>
    </xdr:from>
    <xdr:to>
      <xdr:col>16</xdr:col>
      <xdr:colOff>1138680</xdr:colOff>
      <xdr:row>53</xdr:row>
      <xdr:rowOff>218880</xdr:rowOff>
    </xdr:to>
    <xdr:sp>
      <xdr:nvSpPr>
        <xdr:cNvPr id="10" name="Text 14"/>
        <xdr:cNvSpPr/>
      </xdr:nvSpPr>
      <xdr:spPr>
        <a:xfrm>
          <a:off x="14298120" y="9719280"/>
          <a:ext cx="2678040" cy="38566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400" strike="noStrike" u="none">
              <a:effectLst/>
              <a:uFillTx/>
              <a:latin typeface="CG Omega (W1)"/>
            </a:rPr>
            <a:t> </a:t>
          </a:r>
          <a:r>
            <a:rPr b="1" lang="en-US" sz="1600" strike="noStrike" u="none">
              <a:effectLst/>
              <a:uFillTx/>
              <a:latin typeface="CG Omega (W1)"/>
            </a:rPr>
            <a:t> Fr:  Ron Thompson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C E S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Ph: 724-837-1300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Fx: 724-873-1310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18</xdr:col>
      <xdr:colOff>724680</xdr:colOff>
      <xdr:row>1</xdr:row>
      <xdr:rowOff>171000</xdr:rowOff>
    </xdr:from>
    <xdr:to>
      <xdr:col>29</xdr:col>
      <xdr:colOff>634680</xdr:colOff>
      <xdr:row>6</xdr:row>
      <xdr:rowOff>171000</xdr:rowOff>
    </xdr:to>
    <xdr:sp>
      <xdr:nvSpPr>
        <xdr:cNvPr id="11" name="Rectangle 18"/>
        <xdr:cNvSpPr/>
      </xdr:nvSpPr>
      <xdr:spPr>
        <a:xfrm>
          <a:off x="19500840" y="456840"/>
          <a:ext cx="8260920" cy="1076400"/>
        </a:xfrm>
        <a:prstGeom prst="rect">
          <a:avLst/>
        </a:prstGeom>
        <a:noFill/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90360</xdr:colOff>
      <xdr:row>42</xdr:row>
      <xdr:rowOff>38880</xdr:rowOff>
    </xdr:from>
    <xdr:to>
      <xdr:col>0</xdr:col>
      <xdr:colOff>734040</xdr:colOff>
      <xdr:row>42</xdr:row>
      <xdr:rowOff>229320</xdr:rowOff>
    </xdr:to>
    <xdr:sp>
      <xdr:nvSpPr>
        <xdr:cNvPr id="12" name="AutoShape 6"/>
        <xdr:cNvSpPr/>
      </xdr:nvSpPr>
      <xdr:spPr>
        <a:xfrm>
          <a:off x="90360" y="10496520"/>
          <a:ext cx="643680" cy="190440"/>
        </a:xfrm>
        <a:prstGeom prst="rightArrow">
          <a:avLst>
            <a:gd name="adj1" fmla="val 50000"/>
            <a:gd name="adj2" fmla="val 84499"/>
          </a:avLst>
        </a:prstGeom>
        <a:solidFill>
          <a:srgbClr val="3366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70200</xdr:colOff>
      <xdr:row>53</xdr:row>
      <xdr:rowOff>151920</xdr:rowOff>
    </xdr:from>
    <xdr:to>
      <xdr:col>14</xdr:col>
      <xdr:colOff>463680</xdr:colOff>
      <xdr:row>53</xdr:row>
      <xdr:rowOff>151920</xdr:rowOff>
    </xdr:to>
    <xdr:sp>
      <xdr:nvSpPr>
        <xdr:cNvPr id="13" name="Line 10"/>
        <xdr:cNvSpPr/>
      </xdr:nvSpPr>
      <xdr:spPr>
        <a:xfrm>
          <a:off x="13532760" y="13543560"/>
          <a:ext cx="39348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60120</xdr:colOff>
      <xdr:row>52</xdr:row>
      <xdr:rowOff>171720</xdr:rowOff>
    </xdr:from>
    <xdr:to>
      <xdr:col>14</xdr:col>
      <xdr:colOff>463680</xdr:colOff>
      <xdr:row>52</xdr:row>
      <xdr:rowOff>171720</xdr:rowOff>
    </xdr:to>
    <xdr:sp>
      <xdr:nvSpPr>
        <xdr:cNvPr id="14" name="Line 11"/>
        <xdr:cNvSpPr/>
      </xdr:nvSpPr>
      <xdr:spPr>
        <a:xfrm>
          <a:off x="13522680" y="13296600"/>
          <a:ext cx="40356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70200</xdr:colOff>
      <xdr:row>54</xdr:row>
      <xdr:rowOff>123840</xdr:rowOff>
    </xdr:from>
    <xdr:to>
      <xdr:col>14</xdr:col>
      <xdr:colOff>463680</xdr:colOff>
      <xdr:row>54</xdr:row>
      <xdr:rowOff>123840</xdr:rowOff>
    </xdr:to>
    <xdr:sp>
      <xdr:nvSpPr>
        <xdr:cNvPr id="15" name="Line 12"/>
        <xdr:cNvSpPr/>
      </xdr:nvSpPr>
      <xdr:spPr>
        <a:xfrm>
          <a:off x="13532760" y="13781880"/>
          <a:ext cx="39348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553320</xdr:colOff>
      <xdr:row>58</xdr:row>
      <xdr:rowOff>104760</xdr:rowOff>
    </xdr:from>
    <xdr:to>
      <xdr:col>14</xdr:col>
      <xdr:colOff>806040</xdr:colOff>
      <xdr:row>76</xdr:row>
      <xdr:rowOff>209520</xdr:rowOff>
    </xdr:to>
    <xdr:sp>
      <xdr:nvSpPr>
        <xdr:cNvPr id="16" name="Text 13"/>
        <xdr:cNvSpPr/>
      </xdr:nvSpPr>
      <xdr:spPr>
        <a:xfrm>
          <a:off x="11630880" y="14667840"/>
          <a:ext cx="2637720" cy="3876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effectLst/>
              <a:uFillTx/>
              <a:latin typeface="Bookman Old Style"/>
            </a:rPr>
            <a:t> 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400" strike="noStrike" u="none">
              <a:effectLst/>
              <a:uFillTx/>
              <a:latin typeface="CG Omega (W1)"/>
            </a:rPr>
            <a:t> </a:t>
          </a:r>
          <a:r>
            <a:rPr b="1" lang="en-US" sz="1600" strike="noStrike" u="none">
              <a:effectLst/>
              <a:uFillTx/>
              <a:latin typeface="CG Omega (W1)"/>
            </a:rPr>
            <a:t>To:   Frank Miller, CALP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Plant Manager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Ph: 757-487-9062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Fx: 757-487-9196</a:t>
          </a:r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Cc:  Roman Bakke, EME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Fx: 703-222-0516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1297800</xdr:colOff>
      <xdr:row>58</xdr:row>
      <xdr:rowOff>123480</xdr:rowOff>
    </xdr:from>
    <xdr:to>
      <xdr:col>17</xdr:col>
      <xdr:colOff>413640</xdr:colOff>
      <xdr:row>76</xdr:row>
      <xdr:rowOff>209520</xdr:rowOff>
    </xdr:to>
    <xdr:sp>
      <xdr:nvSpPr>
        <xdr:cNvPr id="17" name="Text 14"/>
        <xdr:cNvSpPr/>
      </xdr:nvSpPr>
      <xdr:spPr>
        <a:xfrm>
          <a:off x="14760360" y="14686560"/>
          <a:ext cx="2678400" cy="38581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400" strike="noStrike" u="none">
              <a:effectLst/>
              <a:uFillTx/>
              <a:latin typeface="CG Omega (W1)"/>
            </a:rPr>
            <a:t> </a:t>
          </a:r>
          <a:r>
            <a:rPr b="1" lang="en-US" sz="1600" strike="noStrike" u="none">
              <a:effectLst/>
              <a:uFillTx/>
              <a:latin typeface="CG Omega (W1)"/>
            </a:rPr>
            <a:t> Fr:  Ron Thompson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C E S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Ph: 724-837-1300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Fx: 724-873-1310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18</xdr:col>
      <xdr:colOff>724680</xdr:colOff>
      <xdr:row>1</xdr:row>
      <xdr:rowOff>171000</xdr:rowOff>
    </xdr:from>
    <xdr:to>
      <xdr:col>29</xdr:col>
      <xdr:colOff>634680</xdr:colOff>
      <xdr:row>6</xdr:row>
      <xdr:rowOff>171000</xdr:rowOff>
    </xdr:to>
    <xdr:sp>
      <xdr:nvSpPr>
        <xdr:cNvPr id="18" name="Rectangle 18"/>
        <xdr:cNvSpPr/>
      </xdr:nvSpPr>
      <xdr:spPr>
        <a:xfrm>
          <a:off x="19500840" y="456840"/>
          <a:ext cx="8260920" cy="1076400"/>
        </a:xfrm>
        <a:prstGeom prst="rect">
          <a:avLst/>
        </a:prstGeom>
        <a:noFill/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90360</xdr:colOff>
      <xdr:row>41</xdr:row>
      <xdr:rowOff>38520</xdr:rowOff>
    </xdr:from>
    <xdr:to>
      <xdr:col>0</xdr:col>
      <xdr:colOff>734040</xdr:colOff>
      <xdr:row>41</xdr:row>
      <xdr:rowOff>229320</xdr:rowOff>
    </xdr:to>
    <xdr:sp>
      <xdr:nvSpPr>
        <xdr:cNvPr id="19" name="AutoShape 6"/>
        <xdr:cNvSpPr/>
      </xdr:nvSpPr>
      <xdr:spPr>
        <a:xfrm>
          <a:off x="90360" y="10240920"/>
          <a:ext cx="643680" cy="190800"/>
        </a:xfrm>
        <a:prstGeom prst="rightArrow">
          <a:avLst>
            <a:gd name="adj1" fmla="val 50000"/>
            <a:gd name="adj2" fmla="val 84340"/>
          </a:avLst>
        </a:prstGeom>
        <a:solidFill>
          <a:srgbClr val="3366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70560</xdr:colOff>
      <xdr:row>54</xdr:row>
      <xdr:rowOff>152280</xdr:rowOff>
    </xdr:from>
    <xdr:to>
      <xdr:col>17</xdr:col>
      <xdr:colOff>463680</xdr:colOff>
      <xdr:row>54</xdr:row>
      <xdr:rowOff>152280</xdr:rowOff>
    </xdr:to>
    <xdr:sp>
      <xdr:nvSpPr>
        <xdr:cNvPr id="20" name="Line 10"/>
        <xdr:cNvSpPr/>
      </xdr:nvSpPr>
      <xdr:spPr>
        <a:xfrm>
          <a:off x="16934760" y="13821840"/>
          <a:ext cx="39312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60120</xdr:colOff>
      <xdr:row>53</xdr:row>
      <xdr:rowOff>172080</xdr:rowOff>
    </xdr:from>
    <xdr:to>
      <xdr:col>17</xdr:col>
      <xdr:colOff>463680</xdr:colOff>
      <xdr:row>53</xdr:row>
      <xdr:rowOff>172080</xdr:rowOff>
    </xdr:to>
    <xdr:sp>
      <xdr:nvSpPr>
        <xdr:cNvPr id="21" name="Line 11"/>
        <xdr:cNvSpPr/>
      </xdr:nvSpPr>
      <xdr:spPr>
        <a:xfrm>
          <a:off x="16924320" y="13574880"/>
          <a:ext cx="40356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70560</xdr:colOff>
      <xdr:row>55</xdr:row>
      <xdr:rowOff>123480</xdr:rowOff>
    </xdr:from>
    <xdr:to>
      <xdr:col>17</xdr:col>
      <xdr:colOff>463680</xdr:colOff>
      <xdr:row>55</xdr:row>
      <xdr:rowOff>123480</xdr:rowOff>
    </xdr:to>
    <xdr:sp>
      <xdr:nvSpPr>
        <xdr:cNvPr id="22" name="Line 12"/>
        <xdr:cNvSpPr/>
      </xdr:nvSpPr>
      <xdr:spPr>
        <a:xfrm>
          <a:off x="16934760" y="14059800"/>
          <a:ext cx="39312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150840</xdr:colOff>
      <xdr:row>59</xdr:row>
      <xdr:rowOff>28440</xdr:rowOff>
    </xdr:from>
    <xdr:to>
      <xdr:col>16</xdr:col>
      <xdr:colOff>554400</xdr:colOff>
      <xdr:row>77</xdr:row>
      <xdr:rowOff>133560</xdr:rowOff>
    </xdr:to>
    <xdr:sp>
      <xdr:nvSpPr>
        <xdr:cNvPr id="23" name="Text 13"/>
        <xdr:cNvSpPr/>
      </xdr:nvSpPr>
      <xdr:spPr>
        <a:xfrm>
          <a:off x="11198520" y="14869800"/>
          <a:ext cx="5032800" cy="3876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effectLst/>
              <a:uFillTx/>
              <a:latin typeface="Bookman Old Style"/>
            </a:rPr>
            <a:t> 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400" strike="noStrike" u="none">
              <a:effectLst/>
              <a:uFillTx/>
              <a:latin typeface="CG Omega (W1)"/>
            </a:rPr>
            <a:t> </a:t>
          </a:r>
          <a:endParaRPr b="0" lang="en-US" sz="14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To:   Frank Miller, CALP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Plant Manager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Ph: 757-487-9062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Fx: 757-487-9196</a:t>
          </a:r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Cc:  Roman Bakke, EME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Fx: 703-222-0516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17</xdr:col>
      <xdr:colOff>291240</xdr:colOff>
      <xdr:row>59</xdr:row>
      <xdr:rowOff>104760</xdr:rowOff>
    </xdr:from>
    <xdr:to>
      <xdr:col>19</xdr:col>
      <xdr:colOff>595080</xdr:colOff>
      <xdr:row>77</xdr:row>
      <xdr:rowOff>190800</xdr:rowOff>
    </xdr:to>
    <xdr:sp>
      <xdr:nvSpPr>
        <xdr:cNvPr id="24" name="Text 14"/>
        <xdr:cNvSpPr/>
      </xdr:nvSpPr>
      <xdr:spPr>
        <a:xfrm>
          <a:off x="17155440" y="14946120"/>
          <a:ext cx="2678760" cy="38577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400" strike="noStrike" u="none">
              <a:effectLst/>
              <a:uFillTx/>
              <a:latin typeface="CG Omega (W1)"/>
            </a:rPr>
            <a:t> </a:t>
          </a:r>
          <a:r>
            <a:rPr b="1" lang="en-US" sz="1600" strike="noStrike" u="none">
              <a:effectLst/>
              <a:uFillTx/>
              <a:latin typeface="CG Omega (W1)"/>
            </a:rPr>
            <a:t>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Fr:  ?????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ENRON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Ph: 713-853-????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Fx: 713-853-????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21</xdr:col>
      <xdr:colOff>724320</xdr:colOff>
      <xdr:row>1</xdr:row>
      <xdr:rowOff>171000</xdr:rowOff>
    </xdr:from>
    <xdr:to>
      <xdr:col>32</xdr:col>
      <xdr:colOff>634680</xdr:colOff>
      <xdr:row>6</xdr:row>
      <xdr:rowOff>171000</xdr:rowOff>
    </xdr:to>
    <xdr:sp>
      <xdr:nvSpPr>
        <xdr:cNvPr id="25" name="Rectangle 18"/>
        <xdr:cNvSpPr/>
      </xdr:nvSpPr>
      <xdr:spPr>
        <a:xfrm>
          <a:off x="22902480" y="456840"/>
          <a:ext cx="8331480" cy="1076400"/>
        </a:xfrm>
        <a:prstGeom prst="rect">
          <a:avLst/>
        </a:prstGeom>
        <a:noFill/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90720</xdr:colOff>
      <xdr:row>42</xdr:row>
      <xdr:rowOff>38880</xdr:rowOff>
    </xdr:from>
    <xdr:to>
      <xdr:col>0</xdr:col>
      <xdr:colOff>735480</xdr:colOff>
      <xdr:row>42</xdr:row>
      <xdr:rowOff>229320</xdr:rowOff>
    </xdr:to>
    <xdr:sp>
      <xdr:nvSpPr>
        <xdr:cNvPr id="26" name="AutoShape 6"/>
        <xdr:cNvSpPr/>
      </xdr:nvSpPr>
      <xdr:spPr>
        <a:xfrm>
          <a:off x="90720" y="10496520"/>
          <a:ext cx="644760" cy="190440"/>
        </a:xfrm>
        <a:prstGeom prst="rightArrow">
          <a:avLst>
            <a:gd name="adj1" fmla="val 50000"/>
            <a:gd name="adj2" fmla="val 84641"/>
          </a:avLst>
        </a:prstGeom>
        <a:solidFill>
          <a:srgbClr val="3366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70200</xdr:colOff>
      <xdr:row>55</xdr:row>
      <xdr:rowOff>152280</xdr:rowOff>
    </xdr:from>
    <xdr:to>
      <xdr:col>21</xdr:col>
      <xdr:colOff>463680</xdr:colOff>
      <xdr:row>55</xdr:row>
      <xdr:rowOff>152280</xdr:rowOff>
    </xdr:to>
    <xdr:sp>
      <xdr:nvSpPr>
        <xdr:cNvPr id="27" name="Line 9"/>
        <xdr:cNvSpPr/>
      </xdr:nvSpPr>
      <xdr:spPr>
        <a:xfrm>
          <a:off x="21493800" y="14077080"/>
          <a:ext cx="39348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60120</xdr:colOff>
      <xdr:row>54</xdr:row>
      <xdr:rowOff>172080</xdr:rowOff>
    </xdr:from>
    <xdr:to>
      <xdr:col>21</xdr:col>
      <xdr:colOff>463680</xdr:colOff>
      <xdr:row>54</xdr:row>
      <xdr:rowOff>172080</xdr:rowOff>
    </xdr:to>
    <xdr:sp>
      <xdr:nvSpPr>
        <xdr:cNvPr id="28" name="Line 10"/>
        <xdr:cNvSpPr/>
      </xdr:nvSpPr>
      <xdr:spPr>
        <a:xfrm>
          <a:off x="21483720" y="13830120"/>
          <a:ext cx="40356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70200</xdr:colOff>
      <xdr:row>56</xdr:row>
      <xdr:rowOff>123480</xdr:rowOff>
    </xdr:from>
    <xdr:to>
      <xdr:col>21</xdr:col>
      <xdr:colOff>463680</xdr:colOff>
      <xdr:row>56</xdr:row>
      <xdr:rowOff>123480</xdr:rowOff>
    </xdr:to>
    <xdr:sp>
      <xdr:nvSpPr>
        <xdr:cNvPr id="29" name="Line 11"/>
        <xdr:cNvSpPr/>
      </xdr:nvSpPr>
      <xdr:spPr>
        <a:xfrm>
          <a:off x="21493800" y="14315040"/>
          <a:ext cx="39348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150840</xdr:colOff>
      <xdr:row>60</xdr:row>
      <xdr:rowOff>28440</xdr:rowOff>
    </xdr:from>
    <xdr:to>
      <xdr:col>20</xdr:col>
      <xdr:colOff>554040</xdr:colOff>
      <xdr:row>78</xdr:row>
      <xdr:rowOff>133560</xdr:rowOff>
    </xdr:to>
    <xdr:sp>
      <xdr:nvSpPr>
        <xdr:cNvPr id="30" name="Text 12"/>
        <xdr:cNvSpPr/>
      </xdr:nvSpPr>
      <xdr:spPr>
        <a:xfrm>
          <a:off x="14560200" y="15125040"/>
          <a:ext cx="6230160" cy="38768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effectLst/>
              <a:uFillTx/>
              <a:latin typeface="Bookman Old Style"/>
            </a:rPr>
            <a:t> 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400" strike="noStrike" u="none">
              <a:effectLst/>
              <a:uFillTx/>
              <a:latin typeface="CG Omega (W1)"/>
            </a:rPr>
            <a:t> </a:t>
          </a:r>
          <a:endParaRPr b="0" lang="en-US" sz="14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To:   Frank Miller, CALP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Plant Manager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Ph: 757-487-9062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Fx: 757-487-9196</a:t>
          </a:r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Cc:  Roman Bakke, EME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Fx: 703-222-0516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21</xdr:col>
      <xdr:colOff>291240</xdr:colOff>
      <xdr:row>60</xdr:row>
      <xdr:rowOff>104760</xdr:rowOff>
    </xdr:from>
    <xdr:to>
      <xdr:col>23</xdr:col>
      <xdr:colOff>594720</xdr:colOff>
      <xdr:row>78</xdr:row>
      <xdr:rowOff>190800</xdr:rowOff>
    </xdr:to>
    <xdr:sp>
      <xdr:nvSpPr>
        <xdr:cNvPr id="31" name="Text 13"/>
        <xdr:cNvSpPr/>
      </xdr:nvSpPr>
      <xdr:spPr>
        <a:xfrm>
          <a:off x="21714840" y="15201360"/>
          <a:ext cx="2678400" cy="38577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400" strike="noStrike" u="none">
              <a:effectLst/>
              <a:uFillTx/>
              <a:latin typeface="CG Omega (W1)"/>
            </a:rPr>
            <a:t> </a:t>
          </a:r>
          <a:r>
            <a:rPr b="1" lang="en-US" sz="1600" strike="noStrike" u="none">
              <a:effectLst/>
              <a:uFillTx/>
              <a:latin typeface="CG Omega (W1)"/>
            </a:rPr>
            <a:t>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Fr:  ?????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ENRON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Ph: 713-853-????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Fx: 713-853-????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25</xdr:col>
      <xdr:colOff>724320</xdr:colOff>
      <xdr:row>1</xdr:row>
      <xdr:rowOff>171000</xdr:rowOff>
    </xdr:from>
    <xdr:to>
      <xdr:col>36</xdr:col>
      <xdr:colOff>634320</xdr:colOff>
      <xdr:row>6</xdr:row>
      <xdr:rowOff>171000</xdr:rowOff>
    </xdr:to>
    <xdr:sp>
      <xdr:nvSpPr>
        <xdr:cNvPr id="32" name="Rectangle 17"/>
        <xdr:cNvSpPr/>
      </xdr:nvSpPr>
      <xdr:spPr>
        <a:xfrm>
          <a:off x="27461520" y="456840"/>
          <a:ext cx="8331480" cy="1076400"/>
        </a:xfrm>
        <a:prstGeom prst="rect">
          <a:avLst/>
        </a:prstGeom>
        <a:noFill/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90360</xdr:colOff>
      <xdr:row>42</xdr:row>
      <xdr:rowOff>38880</xdr:rowOff>
    </xdr:from>
    <xdr:to>
      <xdr:col>0</xdr:col>
      <xdr:colOff>734040</xdr:colOff>
      <xdr:row>42</xdr:row>
      <xdr:rowOff>229320</xdr:rowOff>
    </xdr:to>
    <xdr:sp>
      <xdr:nvSpPr>
        <xdr:cNvPr id="33" name="AutoShape 6"/>
        <xdr:cNvSpPr/>
      </xdr:nvSpPr>
      <xdr:spPr>
        <a:xfrm>
          <a:off x="90360" y="10496520"/>
          <a:ext cx="643680" cy="190440"/>
        </a:xfrm>
        <a:prstGeom prst="rightArrow">
          <a:avLst>
            <a:gd name="adj1" fmla="val 50000"/>
            <a:gd name="adj2" fmla="val 84499"/>
          </a:avLst>
        </a:prstGeom>
        <a:solidFill>
          <a:srgbClr val="3366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70200</xdr:colOff>
      <xdr:row>53</xdr:row>
      <xdr:rowOff>151920</xdr:rowOff>
    </xdr:from>
    <xdr:to>
      <xdr:col>14</xdr:col>
      <xdr:colOff>463680</xdr:colOff>
      <xdr:row>53</xdr:row>
      <xdr:rowOff>151920</xdr:rowOff>
    </xdr:to>
    <xdr:sp>
      <xdr:nvSpPr>
        <xdr:cNvPr id="34" name="Line 10"/>
        <xdr:cNvSpPr/>
      </xdr:nvSpPr>
      <xdr:spPr>
        <a:xfrm>
          <a:off x="13532760" y="13543560"/>
          <a:ext cx="39348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60120</xdr:colOff>
      <xdr:row>52</xdr:row>
      <xdr:rowOff>171720</xdr:rowOff>
    </xdr:from>
    <xdr:to>
      <xdr:col>14</xdr:col>
      <xdr:colOff>463680</xdr:colOff>
      <xdr:row>52</xdr:row>
      <xdr:rowOff>171720</xdr:rowOff>
    </xdr:to>
    <xdr:sp>
      <xdr:nvSpPr>
        <xdr:cNvPr id="35" name="Line 11"/>
        <xdr:cNvSpPr/>
      </xdr:nvSpPr>
      <xdr:spPr>
        <a:xfrm>
          <a:off x="13522680" y="13296600"/>
          <a:ext cx="40356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70200</xdr:colOff>
      <xdr:row>54</xdr:row>
      <xdr:rowOff>123840</xdr:rowOff>
    </xdr:from>
    <xdr:to>
      <xdr:col>14</xdr:col>
      <xdr:colOff>463680</xdr:colOff>
      <xdr:row>54</xdr:row>
      <xdr:rowOff>123840</xdr:rowOff>
    </xdr:to>
    <xdr:sp>
      <xdr:nvSpPr>
        <xdr:cNvPr id="36" name="Line 12"/>
        <xdr:cNvSpPr/>
      </xdr:nvSpPr>
      <xdr:spPr>
        <a:xfrm>
          <a:off x="13532760" y="13781880"/>
          <a:ext cx="393480" cy="0"/>
        </a:xfrm>
        <a:prstGeom prst="line">
          <a:avLst/>
        </a:prstGeom>
        <a:ln w="1260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543960</xdr:colOff>
      <xdr:row>41</xdr:row>
      <xdr:rowOff>38520</xdr:rowOff>
    </xdr:from>
    <xdr:to>
      <xdr:col>14</xdr:col>
      <xdr:colOff>795960</xdr:colOff>
      <xdr:row>55</xdr:row>
      <xdr:rowOff>238320</xdr:rowOff>
    </xdr:to>
    <xdr:sp>
      <xdr:nvSpPr>
        <xdr:cNvPr id="37" name="Text 13"/>
        <xdr:cNvSpPr/>
      </xdr:nvSpPr>
      <xdr:spPr>
        <a:xfrm>
          <a:off x="11621520" y="10229760"/>
          <a:ext cx="2637000" cy="38764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effectLst/>
              <a:uFillTx/>
              <a:latin typeface="Bookman Old Style"/>
            </a:rPr>
            <a:t> 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400" strike="noStrike" u="none">
              <a:effectLst/>
              <a:uFillTx/>
              <a:latin typeface="CG Omega (W1)"/>
            </a:rPr>
            <a:t> </a:t>
          </a:r>
          <a:r>
            <a:rPr b="1" lang="en-US" sz="1600" strike="noStrike" u="none">
              <a:effectLst/>
              <a:uFillTx/>
              <a:latin typeface="CG Omega (W1)"/>
            </a:rPr>
            <a:t>To:   Frank Miller, CALP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Plant Manager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Ph: 757-487-9062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 Fx: 757-487-9196</a:t>
          </a:r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Cc:  Roman Bakke, EME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Fx: 703-222-0516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835560</xdr:colOff>
      <xdr:row>41</xdr:row>
      <xdr:rowOff>38520</xdr:rowOff>
    </xdr:from>
    <xdr:to>
      <xdr:col>16</xdr:col>
      <xdr:colOff>1138680</xdr:colOff>
      <xdr:row>55</xdr:row>
      <xdr:rowOff>218520</xdr:rowOff>
    </xdr:to>
    <xdr:sp>
      <xdr:nvSpPr>
        <xdr:cNvPr id="38" name="Text 14"/>
        <xdr:cNvSpPr/>
      </xdr:nvSpPr>
      <xdr:spPr>
        <a:xfrm>
          <a:off x="14298120" y="10229760"/>
          <a:ext cx="2678040" cy="38566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200" strike="noStrike" u="none">
            <a:effectLst/>
            <a:uFillTx/>
            <a:latin typeface="Times New Roman"/>
          </a:endParaRPr>
        </a:p>
        <a:p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400" strike="noStrike" u="none">
              <a:effectLst/>
              <a:uFillTx/>
              <a:latin typeface="CG Omega (W1)"/>
            </a:rPr>
            <a:t> </a:t>
          </a:r>
          <a:r>
            <a:rPr b="1" lang="en-US" sz="1600" strike="noStrike" u="none">
              <a:effectLst/>
              <a:uFillTx/>
              <a:latin typeface="CG Omega (W1)"/>
            </a:rPr>
            <a:t> Fr:  Ron Thompson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C E S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Ph: 724-837-1300</a:t>
          </a:r>
          <a:endParaRPr b="0" lang="en-US" sz="1600" strike="noStrike" u="none">
            <a:effectLst/>
            <a:uFillTx/>
            <a:latin typeface="Times New Roman"/>
          </a:endParaRPr>
        </a:p>
        <a:p>
          <a:r>
            <a:rPr b="1" lang="en-US" sz="1600" strike="noStrike" u="none">
              <a:effectLst/>
              <a:uFillTx/>
              <a:latin typeface="CG Omega (W1)"/>
            </a:rPr>
            <a:t>         Fx: 724-873-1310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18</xdr:col>
      <xdr:colOff>724680</xdr:colOff>
      <xdr:row>1</xdr:row>
      <xdr:rowOff>171000</xdr:rowOff>
    </xdr:from>
    <xdr:to>
      <xdr:col>29</xdr:col>
      <xdr:colOff>634680</xdr:colOff>
      <xdr:row>6</xdr:row>
      <xdr:rowOff>171000</xdr:rowOff>
    </xdr:to>
    <xdr:sp>
      <xdr:nvSpPr>
        <xdr:cNvPr id="39" name="Rectangle 18"/>
        <xdr:cNvSpPr/>
      </xdr:nvSpPr>
      <xdr:spPr>
        <a:xfrm>
          <a:off x="19500840" y="456840"/>
          <a:ext cx="8260920" cy="1076400"/>
        </a:xfrm>
        <a:prstGeom prst="rect">
          <a:avLst/>
        </a:prstGeom>
        <a:noFill/>
        <a:ln w="2844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4" min="2" style="2" width="13.99"/>
    <col collapsed="false" customWidth="true" hidden="false" outlineLevel="0" max="5" min="5" style="2" width="14.14"/>
    <col collapsed="false" customWidth="true" hidden="false" outlineLevel="0" max="6" min="6" style="2" width="13.7"/>
    <col collapsed="false" customWidth="true" hidden="false" outlineLevel="0" max="7" min="7" style="2" width="13.85"/>
    <col collapsed="false" customWidth="true" hidden="false" outlineLevel="0" max="8" min="8" style="2" width="13.7"/>
    <col collapsed="false" customWidth="true" hidden="false" outlineLevel="0" max="9" min="9" style="2" width="14.28"/>
    <col collapsed="false" customWidth="true" hidden="false" outlineLevel="0" max="10" min="10" style="2" width="15.7"/>
    <col collapsed="false" customWidth="true" hidden="false" outlineLevel="0" max="11" min="11" style="2" width="4.7"/>
    <col collapsed="false" customWidth="true" hidden="false" outlineLevel="0" max="12" min="12" style="2" width="14.7"/>
    <col collapsed="false" customWidth="true" hidden="false" outlineLevel="0" max="13" min="13" style="2" width="16.99"/>
    <col collapsed="false" customWidth="true" hidden="false" outlineLevel="0" max="14" min="14" style="2" width="16.84"/>
    <col collapsed="false" customWidth="true" hidden="false" outlineLevel="0" max="15" min="15" style="2" width="18.56"/>
    <col collapsed="false" customWidth="true" hidden="false" outlineLevel="0" max="16" min="16" style="2" width="15.13"/>
    <col collapsed="false" customWidth="true" hidden="false" outlineLevel="0" max="17" min="17" style="2" width="16.84"/>
    <col collapsed="false" customWidth="true" hidden="false" outlineLevel="0" max="18" min="18" style="2" width="24.85"/>
    <col collapsed="false" customWidth="true" hidden="false" outlineLevel="0" max="19" min="19" style="2" width="24.7"/>
    <col collapsed="false" customWidth="false" hidden="false" outlineLevel="0" max="22" min="20" style="2" width="9.14"/>
    <col collapsed="false" customWidth="true" hidden="false" outlineLevel="0" max="23" min="23" style="2" width="9.41"/>
    <col collapsed="false" customWidth="true" hidden="false" outlineLevel="0" max="24" min="24" style="2" width="11.28"/>
    <col collapsed="false" customWidth="false" hidden="false" outlineLevel="0" max="257" min="25" style="2" width="9.14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 t="n">
        <f aca="false">A4</f>
        <v>36526</v>
      </c>
      <c r="Q1" s="4"/>
      <c r="R1" s="5"/>
      <c r="S1" s="5"/>
    </row>
    <row r="2" customFormat="false" ht="17.25" hidden="false" customHeight="false" outlineLevel="0" collapsed="false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8"/>
      <c r="R2" s="9"/>
    </row>
    <row r="3" customFormat="false" ht="15.75" hidden="false" customHeight="true" outlineLevel="0" collapsed="false">
      <c r="A3" s="10"/>
      <c r="B3" s="11" t="s">
        <v>1</v>
      </c>
      <c r="C3" s="11"/>
      <c r="D3" s="11"/>
      <c r="E3" s="12" t="s">
        <v>2</v>
      </c>
      <c r="F3" s="12"/>
      <c r="G3" s="12"/>
      <c r="H3" s="13" t="s">
        <v>3</v>
      </c>
      <c r="I3" s="13"/>
      <c r="J3" s="13" t="s">
        <v>4</v>
      </c>
      <c r="K3" s="13"/>
      <c r="L3" s="13"/>
      <c r="M3" s="13"/>
      <c r="N3" s="13"/>
      <c r="O3" s="14" t="s">
        <v>5</v>
      </c>
      <c r="P3" s="14"/>
      <c r="Q3" s="14"/>
      <c r="R3" s="15" t="s">
        <v>6</v>
      </c>
      <c r="V3" s="16" t="s">
        <v>7</v>
      </c>
      <c r="W3" s="17" t="n">
        <v>0.97884</v>
      </c>
      <c r="X3" s="18" t="s">
        <v>8</v>
      </c>
    </row>
    <row r="4" customFormat="false" ht="18" hidden="false" customHeight="true" outlineLevel="0" collapsed="false">
      <c r="A4" s="19" t="n">
        <v>36526</v>
      </c>
      <c r="B4" s="20" t="s">
        <v>9</v>
      </c>
      <c r="C4" s="20" t="s">
        <v>10</v>
      </c>
      <c r="D4" s="21" t="s">
        <v>11</v>
      </c>
      <c r="E4" s="22" t="s">
        <v>12</v>
      </c>
      <c r="F4" s="23" t="s">
        <v>13</v>
      </c>
      <c r="G4" s="23"/>
      <c r="H4" s="24" t="s">
        <v>14</v>
      </c>
      <c r="I4" s="25" t="s">
        <v>15</v>
      </c>
      <c r="J4" s="26" t="s">
        <v>16</v>
      </c>
      <c r="K4" s="27"/>
      <c r="L4" s="28" t="s">
        <v>17</v>
      </c>
      <c r="M4" s="29" t="s">
        <v>18</v>
      </c>
      <c r="N4" s="29"/>
      <c r="O4" s="30" t="s">
        <v>19</v>
      </c>
      <c r="P4" s="30"/>
      <c r="Q4" s="31" t="s">
        <v>20</v>
      </c>
      <c r="R4" s="15"/>
      <c r="V4" s="16" t="s">
        <v>21</v>
      </c>
      <c r="W4" s="32" t="n">
        <v>0.05</v>
      </c>
    </row>
    <row r="5" customFormat="false" ht="17.25" hidden="false" customHeight="true" outlineLevel="0" collapsed="false">
      <c r="A5" s="19"/>
      <c r="B5" s="20"/>
      <c r="C5" s="20"/>
      <c r="D5" s="21"/>
      <c r="E5" s="22"/>
      <c r="F5" s="23"/>
      <c r="G5" s="23"/>
      <c r="H5" s="24"/>
      <c r="I5" s="25"/>
      <c r="J5" s="26"/>
      <c r="K5" s="27"/>
      <c r="L5" s="28"/>
      <c r="M5" s="33" t="s">
        <v>22</v>
      </c>
      <c r="N5" s="34" t="s">
        <v>23</v>
      </c>
      <c r="O5" s="30"/>
      <c r="P5" s="30"/>
      <c r="Q5" s="31"/>
      <c r="R5" s="15"/>
      <c r="V5" s="16" t="s">
        <v>24</v>
      </c>
      <c r="W5" s="32" t="n">
        <v>0.03</v>
      </c>
    </row>
    <row r="6" customFormat="false" ht="16.5" hidden="false" customHeight="true" outlineLevel="0" collapsed="false">
      <c r="A6" s="19"/>
      <c r="B6" s="20"/>
      <c r="C6" s="20"/>
      <c r="D6" s="21"/>
      <c r="E6" s="22"/>
      <c r="F6" s="23"/>
      <c r="G6" s="23"/>
      <c r="H6" s="24"/>
      <c r="I6" s="25"/>
      <c r="J6" s="26"/>
      <c r="K6" s="27"/>
      <c r="L6" s="28"/>
      <c r="M6" s="35"/>
      <c r="N6" s="36" t="n">
        <v>40000</v>
      </c>
      <c r="O6" s="30"/>
      <c r="P6" s="30"/>
      <c r="Q6" s="31"/>
      <c r="R6" s="15"/>
      <c r="T6" s="37" t="s">
        <v>25</v>
      </c>
      <c r="U6" s="16"/>
    </row>
    <row r="7" customFormat="false" ht="15" hidden="false" customHeight="true" outlineLevel="0" collapsed="false">
      <c r="A7" s="38" t="s">
        <v>26</v>
      </c>
      <c r="B7" s="39" t="s">
        <v>27</v>
      </c>
      <c r="C7" s="40" t="s">
        <v>27</v>
      </c>
      <c r="D7" s="41" t="s">
        <v>27</v>
      </c>
      <c r="E7" s="42" t="s">
        <v>27</v>
      </c>
      <c r="F7" s="43" t="s">
        <v>28</v>
      </c>
      <c r="G7" s="44" t="s">
        <v>29</v>
      </c>
      <c r="H7" s="45" t="s">
        <v>30</v>
      </c>
      <c r="I7" s="40" t="s">
        <v>30</v>
      </c>
      <c r="J7" s="46" t="s">
        <v>31</v>
      </c>
      <c r="K7" s="47"/>
      <c r="L7" s="48" t="n">
        <v>0.0415</v>
      </c>
      <c r="M7" s="49" t="n">
        <v>0.0154</v>
      </c>
      <c r="N7" s="49" t="n">
        <f aca="false">2.8932</f>
        <v>2.8932</v>
      </c>
      <c r="O7" s="30"/>
      <c r="P7" s="30"/>
      <c r="Q7" s="31"/>
      <c r="R7" s="15"/>
      <c r="T7" s="50"/>
      <c r="U7" s="50" t="s">
        <v>32</v>
      </c>
    </row>
    <row r="8" customFormat="false" ht="20.1" hidden="false" customHeight="true" outlineLevel="0" collapsed="false">
      <c r="A8" s="51" t="n">
        <f aca="false">A4</f>
        <v>36526</v>
      </c>
      <c r="B8" s="52"/>
      <c r="C8" s="53"/>
      <c r="D8" s="54" t="n">
        <f aca="false">C8/$W$3</f>
        <v>0</v>
      </c>
      <c r="E8" s="53"/>
      <c r="F8" s="55"/>
      <c r="G8" s="56"/>
      <c r="H8" s="57" t="n">
        <f aca="false">C8-G8</f>
        <v>0</v>
      </c>
      <c r="I8" s="58" t="n">
        <f aca="false">H8</f>
        <v>0</v>
      </c>
      <c r="J8" s="59"/>
      <c r="K8" s="60"/>
      <c r="L8" s="61" t="n">
        <f aca="false">(IF(H8&lt;0,-H8*$L$7,H8*$L$7))</f>
        <v>0</v>
      </c>
      <c r="M8" s="62" t="n">
        <f aca="false">G8*$M$7</f>
        <v>0</v>
      </c>
      <c r="N8" s="63" t="n">
        <f aca="false">(N6*N7)/31</f>
        <v>3733.16129032258</v>
      </c>
      <c r="O8" s="64"/>
      <c r="P8" s="64"/>
      <c r="Q8" s="65" t="s">
        <v>33</v>
      </c>
      <c r="R8" s="66" t="n">
        <f aca="false">G8*J8+L8+M8+N8</f>
        <v>3733.16129032258</v>
      </c>
    </row>
    <row r="9" customFormat="false" ht="20.1" hidden="false" customHeight="true" outlineLevel="0" collapsed="false">
      <c r="A9" s="51" t="n">
        <f aca="false">A8+1</f>
        <v>36527</v>
      </c>
      <c r="B9" s="52"/>
      <c r="C9" s="53"/>
      <c r="D9" s="54" t="n">
        <f aca="false">C9/$W$3</f>
        <v>0</v>
      </c>
      <c r="E9" s="53"/>
      <c r="F9" s="55"/>
      <c r="G9" s="56"/>
      <c r="H9" s="57" t="n">
        <f aca="false">C9-G9</f>
        <v>0</v>
      </c>
      <c r="I9" s="58" t="n">
        <f aca="false">I8+H9</f>
        <v>0</v>
      </c>
      <c r="J9" s="59"/>
      <c r="K9" s="60"/>
      <c r="L9" s="61" t="n">
        <f aca="false">(IF(H9&lt;0,-H9*$L$7,H9*$L$7))</f>
        <v>0</v>
      </c>
      <c r="M9" s="62" t="n">
        <f aca="false">G9*$M$7</f>
        <v>0</v>
      </c>
      <c r="N9" s="67" t="n">
        <f aca="false">N8</f>
        <v>3733.16129032258</v>
      </c>
      <c r="O9" s="68"/>
      <c r="P9" s="68"/>
      <c r="Q9" s="65" t="s">
        <v>33</v>
      </c>
      <c r="R9" s="66" t="n">
        <f aca="false">G9*J9+L9+M9+N9</f>
        <v>3733.16129032258</v>
      </c>
    </row>
    <row r="10" customFormat="false" ht="20.1" hidden="false" customHeight="true" outlineLevel="0" collapsed="false">
      <c r="A10" s="51" t="n">
        <f aca="false">A9+1</f>
        <v>36528</v>
      </c>
      <c r="B10" s="52"/>
      <c r="C10" s="53"/>
      <c r="D10" s="54" t="n">
        <f aca="false">C10/$W$3</f>
        <v>0</v>
      </c>
      <c r="E10" s="53"/>
      <c r="F10" s="55"/>
      <c r="G10" s="56"/>
      <c r="H10" s="57" t="n">
        <f aca="false">C10-G10</f>
        <v>0</v>
      </c>
      <c r="I10" s="58" t="n">
        <f aca="false">I9+H10</f>
        <v>0</v>
      </c>
      <c r="J10" s="59"/>
      <c r="K10" s="60"/>
      <c r="L10" s="61" t="n">
        <f aca="false">(IF(H10&lt;0,-H10*$L$7,H10*$L$7))</f>
        <v>0</v>
      </c>
      <c r="M10" s="62" t="n">
        <f aca="false">G10*$M$7</f>
        <v>0</v>
      </c>
      <c r="N10" s="67" t="n">
        <f aca="false">N9</f>
        <v>3733.16129032258</v>
      </c>
      <c r="O10" s="68"/>
      <c r="P10" s="68"/>
      <c r="Q10" s="65" t="s">
        <v>33</v>
      </c>
      <c r="R10" s="66" t="n">
        <f aca="false">G10*J10+L10+M10+N10</f>
        <v>3733.16129032258</v>
      </c>
    </row>
    <row r="11" customFormat="false" ht="20.1" hidden="false" customHeight="true" outlineLevel="0" collapsed="false">
      <c r="A11" s="51" t="n">
        <f aca="false">A10+1</f>
        <v>36529</v>
      </c>
      <c r="B11" s="52"/>
      <c r="C11" s="53"/>
      <c r="D11" s="54" t="n">
        <f aca="false">C11/$W$3</f>
        <v>0</v>
      </c>
      <c r="E11" s="53"/>
      <c r="F11" s="55"/>
      <c r="G11" s="69"/>
      <c r="H11" s="57" t="n">
        <f aca="false">C11-G11</f>
        <v>0</v>
      </c>
      <c r="I11" s="58" t="n">
        <f aca="false">I10+H11</f>
        <v>0</v>
      </c>
      <c r="J11" s="59"/>
      <c r="K11" s="60"/>
      <c r="L11" s="61" t="n">
        <f aca="false">(IF(H11&lt;0,-H11*$L$7,H11*$L$7))</f>
        <v>0</v>
      </c>
      <c r="M11" s="62" t="n">
        <f aca="false">G11*$M$7</f>
        <v>0</v>
      </c>
      <c r="N11" s="67" t="n">
        <f aca="false">N10</f>
        <v>3733.16129032258</v>
      </c>
      <c r="O11" s="68"/>
      <c r="P11" s="68"/>
      <c r="Q11" s="65" t="s">
        <v>33</v>
      </c>
      <c r="R11" s="66" t="n">
        <f aca="false">G11*J11+L11+M11+N11</f>
        <v>3733.16129032258</v>
      </c>
    </row>
    <row r="12" customFormat="false" ht="20.1" hidden="false" customHeight="true" outlineLevel="0" collapsed="false">
      <c r="A12" s="51" t="n">
        <f aca="false">A11+1</f>
        <v>36530</v>
      </c>
      <c r="B12" s="52"/>
      <c r="C12" s="53"/>
      <c r="D12" s="54" t="n">
        <f aca="false">C12/$W$3</f>
        <v>0</v>
      </c>
      <c r="E12" s="53"/>
      <c r="F12" s="70"/>
      <c r="G12" s="69"/>
      <c r="H12" s="57" t="n">
        <f aca="false">C12-G12</f>
        <v>0</v>
      </c>
      <c r="I12" s="58" t="n">
        <f aca="false">I11+H12</f>
        <v>0</v>
      </c>
      <c r="J12" s="59"/>
      <c r="K12" s="60"/>
      <c r="L12" s="61" t="n">
        <f aca="false">(IF(H12&lt;0,-H12*$L$7,H12*$L$7))</f>
        <v>0</v>
      </c>
      <c r="M12" s="62" t="n">
        <f aca="false">G12*$M$7</f>
        <v>0</v>
      </c>
      <c r="N12" s="67" t="n">
        <f aca="false">N11</f>
        <v>3733.16129032258</v>
      </c>
      <c r="O12" s="68"/>
      <c r="P12" s="68"/>
      <c r="Q12" s="65" t="s">
        <v>33</v>
      </c>
      <c r="R12" s="66" t="n">
        <f aca="false">G12*J12+L12+M12+N12</f>
        <v>3733.16129032258</v>
      </c>
    </row>
    <row r="13" customFormat="false" ht="16.9" hidden="false" customHeight="true" outlineLevel="0" collapsed="false">
      <c r="A13" s="51" t="n">
        <f aca="false">A12+1</f>
        <v>36531</v>
      </c>
      <c r="B13" s="71"/>
      <c r="C13" s="72"/>
      <c r="D13" s="73" t="n">
        <f aca="false">C13/$W$3</f>
        <v>0</v>
      </c>
      <c r="E13" s="74"/>
      <c r="F13" s="75"/>
      <c r="G13" s="76"/>
      <c r="H13" s="71" t="n">
        <f aca="false">C13-G13</f>
        <v>0</v>
      </c>
      <c r="I13" s="58" t="n">
        <f aca="false">I12+H13</f>
        <v>0</v>
      </c>
      <c r="J13" s="59"/>
      <c r="K13" s="60"/>
      <c r="L13" s="77" t="n">
        <f aca="false">(IF(H13&lt;0,-H13*$L$7,H13*$L$7))</f>
        <v>0</v>
      </c>
      <c r="M13" s="78" t="n">
        <f aca="false">G13*$M$7</f>
        <v>0</v>
      </c>
      <c r="N13" s="79" t="n">
        <f aca="false">N12</f>
        <v>3733.16129032258</v>
      </c>
      <c r="O13" s="80"/>
      <c r="P13" s="80"/>
      <c r="Q13" s="81" t="s">
        <v>33</v>
      </c>
      <c r="R13" s="82" t="n">
        <f aca="false">G13*J13+L13+M13+N13</f>
        <v>3733.16129032258</v>
      </c>
    </row>
    <row r="14" customFormat="false" ht="20.1" hidden="false" customHeight="true" outlineLevel="0" collapsed="false">
      <c r="A14" s="51" t="n">
        <f aca="false">A13+1</f>
        <v>36532</v>
      </c>
      <c r="B14" s="83"/>
      <c r="C14" s="84"/>
      <c r="D14" s="85" t="n">
        <f aca="false">C14/$W$3</f>
        <v>0</v>
      </c>
      <c r="E14" s="84"/>
      <c r="F14" s="86"/>
      <c r="G14" s="87"/>
      <c r="H14" s="88" t="n">
        <f aca="false">C14-G14</f>
        <v>0</v>
      </c>
      <c r="I14" s="58" t="n">
        <f aca="false">I13+H14</f>
        <v>0</v>
      </c>
      <c r="J14" s="89"/>
      <c r="K14" s="60"/>
      <c r="L14" s="90" t="n">
        <f aca="false">(IF(H14&lt;0,-H14*$L$7,H14*$L$7))</f>
        <v>0</v>
      </c>
      <c r="M14" s="62" t="n">
        <f aca="false">G14*$M$7</f>
        <v>0</v>
      </c>
      <c r="N14" s="67" t="n">
        <f aca="false">N13</f>
        <v>3733.16129032258</v>
      </c>
      <c r="O14" s="68"/>
      <c r="P14" s="68"/>
      <c r="Q14" s="65" t="s">
        <v>33</v>
      </c>
      <c r="R14" s="66" t="n">
        <f aca="false">G14*J14+L14+M14+N14</f>
        <v>3733.16129032258</v>
      </c>
    </row>
    <row r="15" customFormat="false" ht="20.1" hidden="false" customHeight="true" outlineLevel="0" collapsed="false">
      <c r="A15" s="51" t="n">
        <f aca="false">A14+1</f>
        <v>36533</v>
      </c>
      <c r="B15" s="52"/>
      <c r="C15" s="53"/>
      <c r="D15" s="54" t="n">
        <f aca="false">C15/$W$3</f>
        <v>0</v>
      </c>
      <c r="E15" s="53"/>
      <c r="F15" s="55"/>
      <c r="G15" s="56"/>
      <c r="H15" s="57" t="n">
        <f aca="false">C15-G15</f>
        <v>0</v>
      </c>
      <c r="I15" s="58" t="n">
        <f aca="false">I14+H15</f>
        <v>0</v>
      </c>
      <c r="J15" s="59"/>
      <c r="K15" s="60"/>
      <c r="L15" s="91" t="n">
        <f aca="false">(IF(H15&lt;0,-H15*$L$7,H15*$L$7))</f>
        <v>0</v>
      </c>
      <c r="M15" s="62" t="n">
        <f aca="false">G15*$M$7</f>
        <v>0</v>
      </c>
      <c r="N15" s="67" t="n">
        <f aca="false">N14</f>
        <v>3733.16129032258</v>
      </c>
      <c r="O15" s="92"/>
      <c r="P15" s="92"/>
      <c r="Q15" s="65" t="s">
        <v>33</v>
      </c>
      <c r="R15" s="66" t="n">
        <f aca="false">G15*J15+L15+M15+N15</f>
        <v>3733.16129032258</v>
      </c>
    </row>
    <row r="16" customFormat="false" ht="20.1" hidden="false" customHeight="true" outlineLevel="0" collapsed="false">
      <c r="A16" s="51" t="n">
        <f aca="false">A15+1</f>
        <v>36534</v>
      </c>
      <c r="B16" s="52"/>
      <c r="C16" s="53"/>
      <c r="D16" s="85" t="n">
        <f aca="false">C16/$W$3</f>
        <v>0</v>
      </c>
      <c r="E16" s="53"/>
      <c r="F16" s="55"/>
      <c r="G16" s="56"/>
      <c r="H16" s="57" t="n">
        <f aca="false">C16-G16</f>
        <v>0</v>
      </c>
      <c r="I16" s="58" t="n">
        <f aca="false">I15+H16</f>
        <v>0</v>
      </c>
      <c r="J16" s="59"/>
      <c r="K16" s="60"/>
      <c r="L16" s="91" t="n">
        <f aca="false">(IF(H16&lt;0,-H16*$L$7,H16*$L$7))</f>
        <v>0</v>
      </c>
      <c r="M16" s="62" t="n">
        <f aca="false">G16*$M$7</f>
        <v>0</v>
      </c>
      <c r="N16" s="67" t="n">
        <f aca="false">N15</f>
        <v>3733.16129032258</v>
      </c>
      <c r="O16" s="68"/>
      <c r="P16" s="68"/>
      <c r="Q16" s="65" t="s">
        <v>33</v>
      </c>
      <c r="R16" s="66" t="n">
        <f aca="false">G16*J16+L16+M16+N16</f>
        <v>3733.16129032258</v>
      </c>
    </row>
    <row r="17" customFormat="false" ht="20.1" hidden="false" customHeight="true" outlineLevel="0" collapsed="false">
      <c r="A17" s="51" t="n">
        <f aca="false">A16+1</f>
        <v>36535</v>
      </c>
      <c r="B17" s="52"/>
      <c r="C17" s="53"/>
      <c r="D17" s="85" t="n">
        <f aca="false">C17/$W$3</f>
        <v>0</v>
      </c>
      <c r="E17" s="53"/>
      <c r="F17" s="55"/>
      <c r="G17" s="56"/>
      <c r="H17" s="57" t="n">
        <f aca="false">C17-G17</f>
        <v>0</v>
      </c>
      <c r="I17" s="58" t="n">
        <f aca="false">I16+H17</f>
        <v>0</v>
      </c>
      <c r="J17" s="59"/>
      <c r="K17" s="60"/>
      <c r="L17" s="91" t="n">
        <f aca="false">(IF(H17&lt;0,-H17*$L$7,H17*$L$7))</f>
        <v>0</v>
      </c>
      <c r="M17" s="62" t="n">
        <f aca="false">G17*$M$7</f>
        <v>0</v>
      </c>
      <c r="N17" s="67" t="n">
        <f aca="false">N16</f>
        <v>3733.16129032258</v>
      </c>
      <c r="O17" s="68"/>
      <c r="P17" s="68"/>
      <c r="Q17" s="65" t="s">
        <v>33</v>
      </c>
      <c r="R17" s="66" t="n">
        <f aca="false">G17*J17+L17+M17+N17</f>
        <v>3733.16129032258</v>
      </c>
    </row>
    <row r="18" customFormat="false" ht="20.1" hidden="false" customHeight="true" outlineLevel="0" collapsed="false">
      <c r="A18" s="51" t="n">
        <f aca="false">A17+1</f>
        <v>36536</v>
      </c>
      <c r="B18" s="52"/>
      <c r="C18" s="53"/>
      <c r="D18" s="85" t="n">
        <f aca="false">C18/$W$3</f>
        <v>0</v>
      </c>
      <c r="E18" s="53"/>
      <c r="F18" s="55"/>
      <c r="G18" s="56"/>
      <c r="H18" s="57" t="n">
        <f aca="false">C18-G18</f>
        <v>0</v>
      </c>
      <c r="I18" s="58" t="n">
        <f aca="false">I17+H18</f>
        <v>0</v>
      </c>
      <c r="J18" s="59"/>
      <c r="K18" s="60"/>
      <c r="L18" s="91" t="n">
        <f aca="false">(IF(H18&lt;0,-H18*$L$7,H18*$L$7))</f>
        <v>0</v>
      </c>
      <c r="M18" s="62" t="n">
        <f aca="false">G18*$M$7</f>
        <v>0</v>
      </c>
      <c r="N18" s="67" t="n">
        <f aca="false">N17</f>
        <v>3733.16129032258</v>
      </c>
      <c r="O18" s="68"/>
      <c r="P18" s="68"/>
      <c r="Q18" s="65" t="s">
        <v>33</v>
      </c>
      <c r="R18" s="66" t="n">
        <f aca="false">G18*J18+L18+M18+N18</f>
        <v>3733.16129032258</v>
      </c>
    </row>
    <row r="19" customFormat="false" ht="20.1" hidden="false" customHeight="true" outlineLevel="0" collapsed="false">
      <c r="A19" s="51" t="n">
        <f aca="false">A18+1</f>
        <v>36537</v>
      </c>
      <c r="B19" s="52"/>
      <c r="C19" s="53"/>
      <c r="D19" s="85" t="n">
        <f aca="false">C19/$W$3</f>
        <v>0</v>
      </c>
      <c r="E19" s="53"/>
      <c r="F19" s="55"/>
      <c r="G19" s="56"/>
      <c r="H19" s="57" t="n">
        <f aca="false">C19-G19</f>
        <v>0</v>
      </c>
      <c r="I19" s="58" t="n">
        <f aca="false">I18+H19</f>
        <v>0</v>
      </c>
      <c r="J19" s="93"/>
      <c r="K19" s="60"/>
      <c r="L19" s="91" t="n">
        <f aca="false">(IF(H19&lt;0,-H19*$L$7,H19*$L$7))</f>
        <v>0</v>
      </c>
      <c r="M19" s="62" t="n">
        <f aca="false">G19*$M$7</f>
        <v>0</v>
      </c>
      <c r="N19" s="67" t="n">
        <f aca="false">N18</f>
        <v>3733.16129032258</v>
      </c>
      <c r="O19" s="68"/>
      <c r="P19" s="68"/>
      <c r="Q19" s="65" t="s">
        <v>33</v>
      </c>
      <c r="R19" s="66" t="n">
        <f aca="false">G19*J19+L19+M19+N19</f>
        <v>3733.16129032258</v>
      </c>
    </row>
    <row r="20" customFormat="false" ht="20.1" hidden="false" customHeight="true" outlineLevel="0" collapsed="false">
      <c r="A20" s="51" t="n">
        <f aca="false">A19+1</f>
        <v>36538</v>
      </c>
      <c r="B20" s="52"/>
      <c r="C20" s="53"/>
      <c r="D20" s="85" t="n">
        <f aca="false">C20/$W$3</f>
        <v>0</v>
      </c>
      <c r="E20" s="53"/>
      <c r="F20" s="55"/>
      <c r="G20" s="56"/>
      <c r="H20" s="57" t="n">
        <f aca="false">C20-G20</f>
        <v>0</v>
      </c>
      <c r="I20" s="58" t="n">
        <f aca="false">I19+H20</f>
        <v>0</v>
      </c>
      <c r="J20" s="59"/>
      <c r="K20" s="60"/>
      <c r="L20" s="91" t="n">
        <f aca="false">(IF(H20&lt;0,-H20*$L$7,H20*$L$7))</f>
        <v>0</v>
      </c>
      <c r="M20" s="62" t="n">
        <f aca="false">G20*$M$7</f>
        <v>0</v>
      </c>
      <c r="N20" s="67" t="n">
        <f aca="false">N19</f>
        <v>3733.16129032258</v>
      </c>
      <c r="O20" s="68"/>
      <c r="P20" s="68"/>
      <c r="Q20" s="65" t="s">
        <v>33</v>
      </c>
      <c r="R20" s="66" t="n">
        <f aca="false">G20*J20+L20+M20+N20</f>
        <v>3733.16129032258</v>
      </c>
    </row>
    <row r="21" customFormat="false" ht="20.1" hidden="false" customHeight="true" outlineLevel="0" collapsed="false">
      <c r="A21" s="51" t="n">
        <f aca="false">A20+1</f>
        <v>36539</v>
      </c>
      <c r="B21" s="52"/>
      <c r="C21" s="53"/>
      <c r="D21" s="85" t="n">
        <f aca="false">C21/$W$3</f>
        <v>0</v>
      </c>
      <c r="E21" s="53"/>
      <c r="F21" s="55"/>
      <c r="G21" s="56"/>
      <c r="H21" s="57" t="n">
        <f aca="false">C21-G21</f>
        <v>0</v>
      </c>
      <c r="I21" s="58" t="n">
        <f aca="false">I20+H21</f>
        <v>0</v>
      </c>
      <c r="J21" s="59"/>
      <c r="K21" s="60"/>
      <c r="L21" s="91" t="n">
        <f aca="false">(IF(H21&lt;0,-H21*$L$7,H21*$L$7))</f>
        <v>0</v>
      </c>
      <c r="M21" s="62" t="n">
        <f aca="false">G21*$M$7</f>
        <v>0</v>
      </c>
      <c r="N21" s="67" t="n">
        <f aca="false">N20</f>
        <v>3733.16129032258</v>
      </c>
      <c r="O21" s="68"/>
      <c r="P21" s="68"/>
      <c r="Q21" s="65" t="s">
        <v>33</v>
      </c>
      <c r="R21" s="66" t="n">
        <f aca="false">G21*J21+L21+M21+N21</f>
        <v>3733.16129032258</v>
      </c>
    </row>
    <row r="22" customFormat="false" ht="20.1" hidden="false" customHeight="true" outlineLevel="0" collapsed="false">
      <c r="A22" s="51" t="n">
        <f aca="false">A21+1</f>
        <v>36540</v>
      </c>
      <c r="B22" s="52"/>
      <c r="C22" s="53"/>
      <c r="D22" s="85" t="n">
        <f aca="false">C22/$W$3</f>
        <v>0</v>
      </c>
      <c r="E22" s="53"/>
      <c r="F22" s="55"/>
      <c r="G22" s="56"/>
      <c r="H22" s="57" t="n">
        <f aca="false">C22-G22</f>
        <v>0</v>
      </c>
      <c r="I22" s="58" t="n">
        <f aca="false">I21+H22</f>
        <v>0</v>
      </c>
      <c r="J22" s="59"/>
      <c r="K22" s="60"/>
      <c r="L22" s="91" t="n">
        <f aca="false">(IF(H22&lt;0,-H22*$L$7,H22*$L$7))</f>
        <v>0</v>
      </c>
      <c r="M22" s="62" t="n">
        <f aca="false">G22*$M$7</f>
        <v>0</v>
      </c>
      <c r="N22" s="67" t="n">
        <f aca="false">N21</f>
        <v>3733.16129032258</v>
      </c>
      <c r="O22" s="68"/>
      <c r="P22" s="68"/>
      <c r="Q22" s="65" t="s">
        <v>33</v>
      </c>
      <c r="R22" s="66" t="n">
        <f aca="false">G22*J22+L22+M22+N22</f>
        <v>3733.16129032258</v>
      </c>
    </row>
    <row r="23" customFormat="false" ht="20.1" hidden="false" customHeight="true" outlineLevel="0" collapsed="false">
      <c r="A23" s="51" t="n">
        <f aca="false">A22+1</f>
        <v>36541</v>
      </c>
      <c r="B23" s="52"/>
      <c r="C23" s="53"/>
      <c r="D23" s="85" t="n">
        <f aca="false">C23/$W$3</f>
        <v>0</v>
      </c>
      <c r="E23" s="53"/>
      <c r="F23" s="55"/>
      <c r="G23" s="56"/>
      <c r="H23" s="57" t="n">
        <f aca="false">C23-G23</f>
        <v>0</v>
      </c>
      <c r="I23" s="58" t="n">
        <f aca="false">I22+H23</f>
        <v>0</v>
      </c>
      <c r="J23" s="59"/>
      <c r="K23" s="60"/>
      <c r="L23" s="91" t="n">
        <f aca="false">(IF(H23&lt;0,-H23*$L$7,H23*$L$7))</f>
        <v>0</v>
      </c>
      <c r="M23" s="62" t="n">
        <f aca="false">G23*$M$7</f>
        <v>0</v>
      </c>
      <c r="N23" s="67" t="n">
        <f aca="false">N22</f>
        <v>3733.16129032258</v>
      </c>
      <c r="O23" s="68"/>
      <c r="P23" s="68"/>
      <c r="Q23" s="65" t="s">
        <v>33</v>
      </c>
      <c r="R23" s="66" t="n">
        <f aca="false">G23*J23+L23+M23+N23</f>
        <v>3733.16129032258</v>
      </c>
    </row>
    <row r="24" customFormat="false" ht="20.1" hidden="false" customHeight="true" outlineLevel="0" collapsed="false">
      <c r="A24" s="51" t="n">
        <f aca="false">A23+1</f>
        <v>36542</v>
      </c>
      <c r="B24" s="52"/>
      <c r="C24" s="53"/>
      <c r="D24" s="85" t="n">
        <f aca="false">C24/$W$3</f>
        <v>0</v>
      </c>
      <c r="E24" s="53"/>
      <c r="F24" s="55"/>
      <c r="G24" s="56"/>
      <c r="H24" s="57" t="n">
        <f aca="false">C24-G24</f>
        <v>0</v>
      </c>
      <c r="I24" s="58" t="n">
        <f aca="false">I23+H24</f>
        <v>0</v>
      </c>
      <c r="J24" s="59"/>
      <c r="K24" s="60"/>
      <c r="L24" s="91" t="n">
        <f aca="false">(IF(H24&lt;0,-H24*$L$7,H24*$L$7))</f>
        <v>0</v>
      </c>
      <c r="M24" s="62" t="n">
        <f aca="false">G24*$M$7</f>
        <v>0</v>
      </c>
      <c r="N24" s="67" t="n">
        <f aca="false">N23</f>
        <v>3733.16129032258</v>
      </c>
      <c r="O24" s="68"/>
      <c r="P24" s="68"/>
      <c r="Q24" s="65" t="s">
        <v>33</v>
      </c>
      <c r="R24" s="66" t="n">
        <f aca="false">G24*J24+L24+M24+N24</f>
        <v>3733.16129032258</v>
      </c>
    </row>
    <row r="25" customFormat="false" ht="20.1" hidden="false" customHeight="true" outlineLevel="0" collapsed="false">
      <c r="A25" s="51" t="n">
        <f aca="false">A24+1</f>
        <v>36543</v>
      </c>
      <c r="B25" s="52"/>
      <c r="C25" s="53"/>
      <c r="D25" s="85" t="n">
        <f aca="false">C25/$W$3</f>
        <v>0</v>
      </c>
      <c r="E25" s="53"/>
      <c r="F25" s="55"/>
      <c r="G25" s="56"/>
      <c r="H25" s="57" t="n">
        <f aca="false">C25-G25</f>
        <v>0</v>
      </c>
      <c r="I25" s="58" t="n">
        <f aca="false">I24+H25</f>
        <v>0</v>
      </c>
      <c r="J25" s="59"/>
      <c r="K25" s="60"/>
      <c r="L25" s="91" t="n">
        <f aca="false">(IF(H25&lt;0,-H25*$L$7,H25*$L$7))</f>
        <v>0</v>
      </c>
      <c r="M25" s="62" t="n">
        <f aca="false">G25*$M$7</f>
        <v>0</v>
      </c>
      <c r="N25" s="67" t="n">
        <f aca="false">N24</f>
        <v>3733.16129032258</v>
      </c>
      <c r="O25" s="68"/>
      <c r="P25" s="68"/>
      <c r="Q25" s="65" t="s">
        <v>33</v>
      </c>
      <c r="R25" s="66" t="n">
        <f aca="false">G25*J25+L25+M25+N25</f>
        <v>3733.16129032258</v>
      </c>
    </row>
    <row r="26" customFormat="false" ht="20.1" hidden="false" customHeight="true" outlineLevel="0" collapsed="false">
      <c r="A26" s="51" t="n">
        <f aca="false">A25+1</f>
        <v>36544</v>
      </c>
      <c r="B26" s="52"/>
      <c r="C26" s="53"/>
      <c r="D26" s="85" t="n">
        <f aca="false">C26/$W$3</f>
        <v>0</v>
      </c>
      <c r="E26" s="53"/>
      <c r="F26" s="55"/>
      <c r="G26" s="56"/>
      <c r="H26" s="57" t="n">
        <f aca="false">C26-G26</f>
        <v>0</v>
      </c>
      <c r="I26" s="58" t="n">
        <f aca="false">I25+H26</f>
        <v>0</v>
      </c>
      <c r="J26" s="59"/>
      <c r="K26" s="60"/>
      <c r="L26" s="91" t="n">
        <f aca="false">(IF(H26&lt;0,-H26*$L$7,H26*$L$7))</f>
        <v>0</v>
      </c>
      <c r="M26" s="62" t="n">
        <f aca="false">G26*$M$7</f>
        <v>0</v>
      </c>
      <c r="N26" s="67" t="n">
        <f aca="false">N25</f>
        <v>3733.16129032258</v>
      </c>
      <c r="O26" s="68"/>
      <c r="P26" s="68"/>
      <c r="Q26" s="65" t="s">
        <v>33</v>
      </c>
      <c r="R26" s="66" t="n">
        <f aca="false">G26*J26+L26+M26+N26</f>
        <v>3733.16129032258</v>
      </c>
    </row>
    <row r="27" customFormat="false" ht="20.1" hidden="false" customHeight="true" outlineLevel="0" collapsed="false">
      <c r="A27" s="51" t="n">
        <f aca="false">A26+1</f>
        <v>36545</v>
      </c>
      <c r="B27" s="52"/>
      <c r="C27" s="53"/>
      <c r="D27" s="85" t="n">
        <f aca="false">C27/$W$3</f>
        <v>0</v>
      </c>
      <c r="E27" s="53"/>
      <c r="F27" s="55"/>
      <c r="G27" s="56"/>
      <c r="H27" s="57" t="n">
        <f aca="false">C27-G27</f>
        <v>0</v>
      </c>
      <c r="I27" s="58" t="n">
        <f aca="false">I26+H27</f>
        <v>0</v>
      </c>
      <c r="J27" s="59"/>
      <c r="K27" s="60"/>
      <c r="L27" s="91" t="n">
        <f aca="false">(IF(H27&lt;0,-H27*$L$7,H27*$L$7))</f>
        <v>0</v>
      </c>
      <c r="M27" s="62" t="n">
        <f aca="false">G27*$M$7</f>
        <v>0</v>
      </c>
      <c r="N27" s="67" t="n">
        <f aca="false">N26</f>
        <v>3733.16129032258</v>
      </c>
      <c r="O27" s="68"/>
      <c r="P27" s="68"/>
      <c r="Q27" s="65" t="s">
        <v>33</v>
      </c>
      <c r="R27" s="66" t="n">
        <f aca="false">G27*J27+L27+M27+N27</f>
        <v>3733.16129032258</v>
      </c>
    </row>
    <row r="28" customFormat="false" ht="20.1" hidden="false" customHeight="true" outlineLevel="0" collapsed="false">
      <c r="A28" s="51" t="n">
        <f aca="false">A27+1</f>
        <v>36546</v>
      </c>
      <c r="B28" s="52"/>
      <c r="C28" s="53"/>
      <c r="D28" s="85" t="n">
        <f aca="false">C28/$W$3</f>
        <v>0</v>
      </c>
      <c r="E28" s="94"/>
      <c r="F28" s="55"/>
      <c r="G28" s="56"/>
      <c r="H28" s="57" t="n">
        <f aca="false">C28-G28</f>
        <v>0</v>
      </c>
      <c r="I28" s="58" t="n">
        <f aca="false">I27+H28</f>
        <v>0</v>
      </c>
      <c r="J28" s="59"/>
      <c r="K28" s="60"/>
      <c r="L28" s="91" t="n">
        <f aca="false">(IF(H28&lt;0,-H28*$L$7,H28*$L$7))</f>
        <v>0</v>
      </c>
      <c r="M28" s="62" t="n">
        <f aca="false">G28*$M$7</f>
        <v>0</v>
      </c>
      <c r="N28" s="67" t="n">
        <f aca="false">N27</f>
        <v>3733.16129032258</v>
      </c>
      <c r="O28" s="68"/>
      <c r="P28" s="68"/>
      <c r="Q28" s="65" t="s">
        <v>33</v>
      </c>
      <c r="R28" s="66" t="n">
        <f aca="false">G28*J28+L28+M28+N28</f>
        <v>3733.16129032258</v>
      </c>
    </row>
    <row r="29" customFormat="false" ht="20.1" hidden="false" customHeight="true" outlineLevel="0" collapsed="false">
      <c r="A29" s="51" t="n">
        <f aca="false">A28+1</f>
        <v>36547</v>
      </c>
      <c r="B29" s="52"/>
      <c r="C29" s="53"/>
      <c r="D29" s="85" t="n">
        <f aca="false">C29/$W$3</f>
        <v>0</v>
      </c>
      <c r="E29" s="53"/>
      <c r="F29" s="55"/>
      <c r="G29" s="56"/>
      <c r="H29" s="57" t="n">
        <f aca="false">C29-G29</f>
        <v>0</v>
      </c>
      <c r="I29" s="58" t="n">
        <f aca="false">I28+H29</f>
        <v>0</v>
      </c>
      <c r="J29" s="59"/>
      <c r="K29" s="60"/>
      <c r="L29" s="91" t="n">
        <f aca="false">(IF(H29&lt;0,-H29*$L$7,H29*$L$7))</f>
        <v>0</v>
      </c>
      <c r="M29" s="62" t="n">
        <f aca="false">G29*$M$7</f>
        <v>0</v>
      </c>
      <c r="N29" s="67" t="n">
        <f aca="false">N28</f>
        <v>3733.16129032258</v>
      </c>
      <c r="O29" s="68"/>
      <c r="P29" s="68"/>
      <c r="Q29" s="65" t="s">
        <v>33</v>
      </c>
      <c r="R29" s="66" t="n">
        <f aca="false">G29*J29+L29+M29+N29</f>
        <v>3733.16129032258</v>
      </c>
    </row>
    <row r="30" customFormat="false" ht="20.1" hidden="false" customHeight="true" outlineLevel="0" collapsed="false">
      <c r="A30" s="51" t="n">
        <f aca="false">A29+1</f>
        <v>36548</v>
      </c>
      <c r="B30" s="52"/>
      <c r="C30" s="53"/>
      <c r="D30" s="85" t="n">
        <f aca="false">C30/$W$3</f>
        <v>0</v>
      </c>
      <c r="E30" s="53"/>
      <c r="F30" s="55"/>
      <c r="G30" s="56"/>
      <c r="H30" s="57" t="n">
        <f aca="false">C30-G30</f>
        <v>0</v>
      </c>
      <c r="I30" s="58" t="n">
        <f aca="false">I29+H30</f>
        <v>0</v>
      </c>
      <c r="J30" s="59"/>
      <c r="K30" s="60"/>
      <c r="L30" s="91" t="n">
        <f aca="false">(IF(H30&lt;0,-H30*$L$7,H30*$L$7))</f>
        <v>0</v>
      </c>
      <c r="M30" s="62" t="n">
        <f aca="false">G30*$M$7</f>
        <v>0</v>
      </c>
      <c r="N30" s="67" t="n">
        <f aca="false">N29</f>
        <v>3733.16129032258</v>
      </c>
      <c r="O30" s="68"/>
      <c r="P30" s="68"/>
      <c r="Q30" s="65" t="s">
        <v>33</v>
      </c>
      <c r="R30" s="66" t="n">
        <f aca="false">G30*J30+L30+M30+N30</f>
        <v>3733.16129032258</v>
      </c>
    </row>
    <row r="31" customFormat="false" ht="20.1" hidden="false" customHeight="true" outlineLevel="0" collapsed="false">
      <c r="A31" s="51" t="n">
        <f aca="false">A30+1</f>
        <v>36549</v>
      </c>
      <c r="B31" s="52"/>
      <c r="C31" s="53"/>
      <c r="D31" s="85" t="n">
        <f aca="false">C31/$W$3</f>
        <v>0</v>
      </c>
      <c r="E31" s="53"/>
      <c r="F31" s="55"/>
      <c r="G31" s="56"/>
      <c r="H31" s="57" t="n">
        <f aca="false">C31-G31</f>
        <v>0</v>
      </c>
      <c r="I31" s="58" t="n">
        <f aca="false">I30+H31</f>
        <v>0</v>
      </c>
      <c r="J31" s="59"/>
      <c r="K31" s="60"/>
      <c r="L31" s="91" t="n">
        <f aca="false">(IF(H31&lt;0,-H31*$L$7,H31*$L$7))</f>
        <v>0</v>
      </c>
      <c r="M31" s="62" t="n">
        <f aca="false">G31*$M$7</f>
        <v>0</v>
      </c>
      <c r="N31" s="67" t="n">
        <f aca="false">N30</f>
        <v>3733.16129032258</v>
      </c>
      <c r="O31" s="68"/>
      <c r="P31" s="68"/>
      <c r="Q31" s="65" t="s">
        <v>33</v>
      </c>
      <c r="R31" s="66" t="n">
        <f aca="false">G31*J31+L31+M31+N31</f>
        <v>3733.16129032258</v>
      </c>
    </row>
    <row r="32" customFormat="false" ht="20.1" hidden="false" customHeight="true" outlineLevel="0" collapsed="false">
      <c r="A32" s="51" t="n">
        <f aca="false">A31+1</f>
        <v>36550</v>
      </c>
      <c r="B32" s="52"/>
      <c r="C32" s="53"/>
      <c r="D32" s="85" t="n">
        <f aca="false">C32/$W$3</f>
        <v>0</v>
      </c>
      <c r="E32" s="53"/>
      <c r="F32" s="55"/>
      <c r="G32" s="56"/>
      <c r="H32" s="57" t="n">
        <f aca="false">C32-G32</f>
        <v>0</v>
      </c>
      <c r="I32" s="58" t="n">
        <f aca="false">I31+H32</f>
        <v>0</v>
      </c>
      <c r="J32" s="95"/>
      <c r="K32" s="96"/>
      <c r="L32" s="91" t="n">
        <f aca="false">(IF(H32&lt;0,-H32*$L$7,H32*$L$7))</f>
        <v>0</v>
      </c>
      <c r="M32" s="62" t="n">
        <f aca="false">G32*$M$7</f>
        <v>0</v>
      </c>
      <c r="N32" s="67" t="n">
        <f aca="false">N31</f>
        <v>3733.16129032258</v>
      </c>
      <c r="O32" s="68"/>
      <c r="P32" s="68"/>
      <c r="Q32" s="65" t="s">
        <v>33</v>
      </c>
      <c r="R32" s="66" t="n">
        <f aca="false">G32*J32+L32+M32+N32</f>
        <v>3733.16129032258</v>
      </c>
    </row>
    <row r="33" customFormat="false" ht="20.1" hidden="false" customHeight="true" outlineLevel="0" collapsed="false">
      <c r="A33" s="51" t="n">
        <f aca="false">A32+1</f>
        <v>36551</v>
      </c>
      <c r="B33" s="52"/>
      <c r="C33" s="53"/>
      <c r="D33" s="85" t="n">
        <f aca="false">C33/$W$3</f>
        <v>0</v>
      </c>
      <c r="E33" s="53"/>
      <c r="F33" s="55"/>
      <c r="G33" s="56"/>
      <c r="H33" s="57" t="n">
        <f aca="false">C33-G33</f>
        <v>0</v>
      </c>
      <c r="I33" s="58" t="n">
        <f aca="false">I32+H33</f>
        <v>0</v>
      </c>
      <c r="J33" s="59"/>
      <c r="K33" s="60"/>
      <c r="L33" s="91" t="n">
        <f aca="false">(IF(H33&lt;0,-H33*$L$7,H33*$L$7))</f>
        <v>0</v>
      </c>
      <c r="M33" s="62" t="n">
        <f aca="false">G33*$M$7</f>
        <v>0</v>
      </c>
      <c r="N33" s="67" t="n">
        <f aca="false">N32</f>
        <v>3733.16129032258</v>
      </c>
      <c r="O33" s="68"/>
      <c r="P33" s="68"/>
      <c r="Q33" s="65" t="s">
        <v>33</v>
      </c>
      <c r="R33" s="66" t="n">
        <f aca="false">G33*J33+L33+M33+N33</f>
        <v>3733.16129032258</v>
      </c>
    </row>
    <row r="34" customFormat="false" ht="20.1" hidden="false" customHeight="true" outlineLevel="0" collapsed="false">
      <c r="A34" s="51" t="n">
        <f aca="false">A33+1</f>
        <v>36552</v>
      </c>
      <c r="B34" s="52"/>
      <c r="C34" s="53"/>
      <c r="D34" s="85" t="n">
        <f aca="false">C34/$W$3</f>
        <v>0</v>
      </c>
      <c r="E34" s="53"/>
      <c r="F34" s="55"/>
      <c r="G34" s="56"/>
      <c r="H34" s="57" t="n">
        <f aca="false">C34-G34</f>
        <v>0</v>
      </c>
      <c r="I34" s="58" t="n">
        <f aca="false">I33+H34</f>
        <v>0</v>
      </c>
      <c r="J34" s="59"/>
      <c r="K34" s="60"/>
      <c r="L34" s="91" t="n">
        <f aca="false">(IF(H34&lt;0,-H34*$L$7,H34*$L$7))</f>
        <v>0</v>
      </c>
      <c r="M34" s="62" t="n">
        <f aca="false">G34*$M$7</f>
        <v>0</v>
      </c>
      <c r="N34" s="67" t="n">
        <f aca="false">N33</f>
        <v>3733.16129032258</v>
      </c>
      <c r="O34" s="68"/>
      <c r="P34" s="68"/>
      <c r="Q34" s="65" t="s">
        <v>33</v>
      </c>
      <c r="R34" s="66" t="n">
        <f aca="false">G34*J34+L34+M34+N34</f>
        <v>3733.16129032258</v>
      </c>
    </row>
    <row r="35" customFormat="false" ht="20.1" hidden="false" customHeight="true" outlineLevel="0" collapsed="false">
      <c r="A35" s="51" t="n">
        <f aca="false">A34+1</f>
        <v>36553</v>
      </c>
      <c r="B35" s="52"/>
      <c r="C35" s="53"/>
      <c r="D35" s="85" t="n">
        <f aca="false">C35/$W$3</f>
        <v>0</v>
      </c>
      <c r="E35" s="53"/>
      <c r="F35" s="55"/>
      <c r="G35" s="56"/>
      <c r="H35" s="57" t="n">
        <f aca="false">C35-G35</f>
        <v>0</v>
      </c>
      <c r="I35" s="58" t="n">
        <f aca="false">I34+H35</f>
        <v>0</v>
      </c>
      <c r="J35" s="59"/>
      <c r="K35" s="60"/>
      <c r="L35" s="91" t="n">
        <f aca="false">(IF(H35&lt;0,-H35*$L$7,H35*$L$7))</f>
        <v>0</v>
      </c>
      <c r="M35" s="62" t="n">
        <f aca="false">G35*$M$7</f>
        <v>0</v>
      </c>
      <c r="N35" s="67" t="n">
        <f aca="false">N34</f>
        <v>3733.16129032258</v>
      </c>
      <c r="O35" s="68"/>
      <c r="P35" s="68"/>
      <c r="Q35" s="65" t="s">
        <v>33</v>
      </c>
      <c r="R35" s="66" t="n">
        <f aca="false">G35*J35+L35+M35+N35</f>
        <v>3733.16129032258</v>
      </c>
    </row>
    <row r="36" customFormat="false" ht="20.1" hidden="false" customHeight="true" outlineLevel="0" collapsed="false">
      <c r="A36" s="51" t="n">
        <f aca="false">A35+1</f>
        <v>36554</v>
      </c>
      <c r="B36" s="52"/>
      <c r="C36" s="53"/>
      <c r="D36" s="85" t="n">
        <f aca="false">C36/$W$3</f>
        <v>0</v>
      </c>
      <c r="E36" s="53"/>
      <c r="F36" s="55"/>
      <c r="G36" s="56"/>
      <c r="H36" s="57" t="n">
        <f aca="false">C36-G36</f>
        <v>0</v>
      </c>
      <c r="I36" s="58" t="n">
        <f aca="false">I35+H36</f>
        <v>0</v>
      </c>
      <c r="J36" s="59"/>
      <c r="K36" s="60"/>
      <c r="L36" s="91" t="n">
        <f aca="false">(IF(H36&lt;0,-H36*$L$7,H36*$L$7))</f>
        <v>0</v>
      </c>
      <c r="M36" s="62" t="n">
        <f aca="false">G36*$M$7</f>
        <v>0</v>
      </c>
      <c r="N36" s="67" t="n">
        <f aca="false">N35</f>
        <v>3733.16129032258</v>
      </c>
      <c r="O36" s="68"/>
      <c r="P36" s="68"/>
      <c r="Q36" s="65" t="s">
        <v>33</v>
      </c>
      <c r="R36" s="66" t="n">
        <f aca="false">G36*J36+L36+M36+N36</f>
        <v>3733.16129032258</v>
      </c>
    </row>
    <row r="37" customFormat="false" ht="20.1" hidden="false" customHeight="true" outlineLevel="0" collapsed="false">
      <c r="A37" s="51" t="n">
        <f aca="false">A36+1</f>
        <v>36555</v>
      </c>
      <c r="B37" s="52"/>
      <c r="C37" s="53"/>
      <c r="D37" s="85" t="n">
        <f aca="false">C37/$W$3</f>
        <v>0</v>
      </c>
      <c r="E37" s="53"/>
      <c r="F37" s="55"/>
      <c r="G37" s="56"/>
      <c r="H37" s="57" t="n">
        <f aca="false">C37-G37</f>
        <v>0</v>
      </c>
      <c r="I37" s="58" t="n">
        <f aca="false">I36+H37</f>
        <v>0</v>
      </c>
      <c r="J37" s="59"/>
      <c r="K37" s="60"/>
      <c r="L37" s="91" t="n">
        <f aca="false">(IF(H37&lt;0,-H37*$L$7,H37*$L$7))</f>
        <v>0</v>
      </c>
      <c r="M37" s="62" t="n">
        <f aca="false">G37*$M$7</f>
        <v>0</v>
      </c>
      <c r="N37" s="67" t="n">
        <f aca="false">N36</f>
        <v>3733.16129032258</v>
      </c>
      <c r="O37" s="68"/>
      <c r="P37" s="68"/>
      <c r="Q37" s="65" t="s">
        <v>33</v>
      </c>
      <c r="R37" s="66" t="n">
        <f aca="false">G37*J37+L37+M37+N37</f>
        <v>3733.16129032258</v>
      </c>
    </row>
    <row r="38" customFormat="false" ht="20.1" hidden="false" customHeight="true" outlineLevel="0" collapsed="false">
      <c r="A38" s="51" t="n">
        <f aca="false">A37+1</f>
        <v>36556</v>
      </c>
      <c r="B38" s="97"/>
      <c r="C38" s="98"/>
      <c r="D38" s="73" t="n">
        <f aca="false">C38/$W$3</f>
        <v>0</v>
      </c>
      <c r="E38" s="98"/>
      <c r="F38" s="99"/>
      <c r="G38" s="100"/>
      <c r="H38" s="101" t="n">
        <f aca="false">C38-G38</f>
        <v>0</v>
      </c>
      <c r="I38" s="102" t="n">
        <f aca="false">I37+H38</f>
        <v>0</v>
      </c>
      <c r="J38" s="103"/>
      <c r="K38" s="60"/>
      <c r="L38" s="104" t="n">
        <f aca="false">(IF(H38&lt;0,-H38*$L$7,H38*$L$7))</f>
        <v>0</v>
      </c>
      <c r="M38" s="105" t="n">
        <f aca="false">G38*$M$7</f>
        <v>0</v>
      </c>
      <c r="N38" s="67" t="n">
        <f aca="false">N37</f>
        <v>3733.16129032258</v>
      </c>
      <c r="O38" s="106"/>
      <c r="P38" s="106"/>
      <c r="Q38" s="107" t="s">
        <v>33</v>
      </c>
      <c r="R38" s="66" t="n">
        <f aca="false">G38*J38+L38+M38+N38</f>
        <v>3733.16129032258</v>
      </c>
    </row>
    <row r="39" customFormat="false" ht="20.1" hidden="false" customHeight="true" outlineLevel="0" collapsed="false">
      <c r="A39" s="108"/>
      <c r="B39" s="109"/>
      <c r="C39" s="110"/>
      <c r="D39" s="111"/>
      <c r="E39" s="112"/>
      <c r="F39" s="110"/>
      <c r="G39" s="110"/>
      <c r="H39" s="110"/>
      <c r="I39" s="110"/>
      <c r="J39" s="113"/>
      <c r="K39" s="113"/>
      <c r="L39" s="113"/>
      <c r="M39" s="110"/>
      <c r="N39" s="110"/>
      <c r="O39" s="114"/>
      <c r="P39" s="114"/>
      <c r="Q39" s="115"/>
      <c r="R39" s="110"/>
    </row>
    <row r="40" customFormat="false" ht="20.1" hidden="false" customHeight="true" outlineLevel="0" collapsed="false">
      <c r="A40" s="116" t="s">
        <v>34</v>
      </c>
      <c r="B40" s="117" t="n">
        <f aca="false">SUM(B8:B38)</f>
        <v>0</v>
      </c>
      <c r="C40" s="118" t="n">
        <f aca="false">SUM(C8:C38)</f>
        <v>0</v>
      </c>
      <c r="D40" s="119"/>
      <c r="E40" s="120" t="n">
        <f aca="false">SUM(E8:E38)</f>
        <v>0</v>
      </c>
      <c r="F40" s="121" t="n">
        <f aca="false">SUM(F8:F38)</f>
        <v>0</v>
      </c>
      <c r="G40" s="118" t="n">
        <f aca="false">SUM(G8:G38)</f>
        <v>0</v>
      </c>
      <c r="H40" s="122"/>
      <c r="I40" s="122"/>
      <c r="J40" s="123"/>
      <c r="K40" s="123"/>
      <c r="L40" s="124" t="n">
        <f aca="false">SUM(L8:L38)</f>
        <v>0</v>
      </c>
      <c r="M40" s="124" t="n">
        <f aca="false">SUM(M8:M38)</f>
        <v>0</v>
      </c>
      <c r="N40" s="124" t="n">
        <f aca="false">N6*N7</f>
        <v>115728</v>
      </c>
      <c r="O40" s="125"/>
      <c r="P40" s="125"/>
      <c r="Q40" s="122"/>
      <c r="R40" s="126" t="n">
        <f aca="false">SUM(R8:R38)</f>
        <v>115728</v>
      </c>
    </row>
    <row r="41" customFormat="false" ht="20.1" hidden="false" customHeight="true" outlineLevel="0" collapsed="false">
      <c r="A41" s="127"/>
      <c r="B41" s="128"/>
      <c r="C41" s="128"/>
      <c r="D41" s="128"/>
      <c r="E41" s="129"/>
      <c r="F41" s="129"/>
      <c r="G41" s="129"/>
      <c r="H41" s="129"/>
      <c r="I41" s="129"/>
      <c r="J41" s="129"/>
      <c r="K41" s="129"/>
      <c r="L41" s="128"/>
      <c r="M41" s="129"/>
      <c r="N41" s="129"/>
      <c r="O41" s="129"/>
      <c r="P41" s="129"/>
      <c r="Q41" s="129"/>
      <c r="R41" s="129"/>
    </row>
    <row r="42" customFormat="false" ht="21" hidden="false" customHeight="true" outlineLevel="0" collapsed="false">
      <c r="A42" s="130"/>
      <c r="B42" s="131"/>
      <c r="C42" s="128"/>
      <c r="D42" s="128"/>
      <c r="E42" s="129"/>
      <c r="F42" s="132" t="s">
        <v>35</v>
      </c>
      <c r="G42" s="133" t="n">
        <f aca="false">G40</f>
        <v>0</v>
      </c>
      <c r="H42" s="134" t="s">
        <v>27</v>
      </c>
      <c r="J42" s="129"/>
      <c r="K42" s="129"/>
      <c r="L42" s="129"/>
      <c r="M42" s="129"/>
      <c r="N42" s="129"/>
      <c r="O42" s="129"/>
      <c r="P42" s="129"/>
      <c r="Q42" s="135" t="s">
        <v>36</v>
      </c>
      <c r="R42" s="136" t="n">
        <v>5854.83</v>
      </c>
      <c r="S42" s="137"/>
    </row>
    <row r="43" customFormat="false" ht="21" hidden="false" customHeight="true" outlineLevel="0" collapsed="false">
      <c r="A43" s="127"/>
      <c r="B43" s="131" t="s">
        <v>37</v>
      </c>
      <c r="C43" s="128"/>
      <c r="D43" s="128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35" t="s">
        <v>38</v>
      </c>
      <c r="R43" s="138" t="n">
        <f aca="false">R40-R44-R45-R46-R47-R53-R54</f>
        <v>0</v>
      </c>
      <c r="S43" s="139"/>
    </row>
    <row r="44" customFormat="false" ht="21" hidden="false" customHeight="true" outlineLevel="0" collapsed="false">
      <c r="A44" s="127"/>
      <c r="B44" s="140"/>
      <c r="C44" s="141"/>
      <c r="D44" s="141"/>
      <c r="E44" s="142"/>
      <c r="F44" s="142"/>
      <c r="G44" s="142"/>
      <c r="H44" s="142"/>
      <c r="I44" s="140" t="s">
        <v>39</v>
      </c>
      <c r="J44" s="142"/>
      <c r="K44" s="142"/>
      <c r="L44" s="129"/>
      <c r="M44" s="129"/>
      <c r="N44" s="129"/>
      <c r="O44" s="129"/>
      <c r="P44" s="142"/>
      <c r="Q44" s="135" t="s">
        <v>40</v>
      </c>
      <c r="R44" s="138" t="n">
        <f aca="false">(G40*0.05)</f>
        <v>0</v>
      </c>
      <c r="S44" s="139"/>
    </row>
    <row r="45" customFormat="false" ht="21" hidden="false" customHeight="true" outlineLevel="0" collapsed="false">
      <c r="A45" s="127"/>
      <c r="B45" s="140" t="s">
        <v>41</v>
      </c>
      <c r="C45" s="141" t="n">
        <f aca="true">NOW()</f>
        <v>45926.9497134853</v>
      </c>
      <c r="D45" s="141"/>
      <c r="E45" s="142"/>
      <c r="F45" s="142"/>
      <c r="G45" s="142"/>
      <c r="H45" s="142"/>
      <c r="I45" s="142"/>
      <c r="J45" s="140" t="s">
        <v>42</v>
      </c>
      <c r="K45" s="140"/>
      <c r="L45" s="129"/>
      <c r="M45" s="129"/>
      <c r="N45" s="129"/>
      <c r="O45" s="129"/>
      <c r="P45" s="142"/>
      <c r="Q45" s="135" t="s">
        <v>43</v>
      </c>
      <c r="R45" s="138" t="n">
        <v>0</v>
      </c>
      <c r="S45" s="139"/>
    </row>
    <row r="46" customFormat="false" ht="21" hidden="false" customHeight="true" outlineLevel="0" collapsed="false">
      <c r="A46" s="127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29"/>
      <c r="M46" s="129"/>
      <c r="N46" s="129"/>
      <c r="O46" s="129"/>
      <c r="P46" s="129"/>
      <c r="Q46" s="135" t="s">
        <v>44</v>
      </c>
      <c r="R46" s="138" t="n">
        <v>0</v>
      </c>
      <c r="S46" s="143"/>
    </row>
    <row r="47" customFormat="false" ht="21" hidden="false" customHeight="true" outlineLevel="0" collapsed="false">
      <c r="D47" s="144"/>
      <c r="E47" s="144"/>
      <c r="F47" s="144"/>
      <c r="G47" s="144"/>
      <c r="H47" s="144"/>
      <c r="I47" s="144"/>
      <c r="J47" s="144"/>
      <c r="Q47" s="135" t="s">
        <v>45</v>
      </c>
      <c r="R47" s="145" t="n">
        <f aca="false">L40</f>
        <v>0</v>
      </c>
      <c r="S47" s="146"/>
    </row>
    <row r="48" customFormat="false" ht="21" hidden="false" customHeight="true" outlineLevel="0" collapsed="false">
      <c r="D48" s="147"/>
      <c r="E48" s="148"/>
      <c r="F48" s="148"/>
      <c r="G48" s="148"/>
      <c r="H48" s="148"/>
      <c r="I48" s="148"/>
      <c r="J48" s="148"/>
      <c r="Q48" s="135" t="s">
        <v>46</v>
      </c>
      <c r="R48" s="149" t="n">
        <v>0</v>
      </c>
      <c r="S48" s="146"/>
    </row>
    <row r="49" customFormat="false" ht="21" hidden="false" customHeight="true" outlineLevel="0" collapsed="false">
      <c r="D49" s="147"/>
      <c r="E49" s="148"/>
      <c r="F49" s="148"/>
      <c r="G49" s="148"/>
      <c r="H49" s="148"/>
      <c r="I49" s="148"/>
      <c r="J49" s="148"/>
      <c r="Q49" s="135" t="s">
        <v>47</v>
      </c>
      <c r="R49" s="149" t="n">
        <v>0</v>
      </c>
      <c r="S49" s="146"/>
    </row>
    <row r="50" customFormat="false" ht="21" hidden="false" customHeight="true" outlineLevel="0" collapsed="false">
      <c r="D50" s="147"/>
      <c r="E50" s="148"/>
      <c r="F50" s="148"/>
      <c r="G50" s="148"/>
      <c r="H50" s="148"/>
      <c r="I50" s="148"/>
      <c r="J50" s="148"/>
      <c r="Q50" s="150" t="s">
        <v>48</v>
      </c>
      <c r="R50" s="151" t="n">
        <v>0</v>
      </c>
      <c r="S50" s="146"/>
    </row>
    <row r="51" customFormat="false" ht="21" hidden="false" customHeight="true" outlineLevel="0" collapsed="false">
      <c r="Q51" s="152" t="s">
        <v>49</v>
      </c>
      <c r="R51" s="153" t="n">
        <f aca="false">SUM(R42:R50)</f>
        <v>5854.83</v>
      </c>
      <c r="S51" s="146"/>
    </row>
    <row r="52" customFormat="false" ht="21" hidden="false" customHeight="true" outlineLevel="0" collapsed="false">
      <c r="Q52" s="135"/>
      <c r="R52" s="145"/>
      <c r="S52" s="146"/>
    </row>
    <row r="53" customFormat="false" ht="21" hidden="false" customHeight="true" outlineLevel="0" collapsed="false">
      <c r="N53" s="154" t="s">
        <v>50</v>
      </c>
      <c r="O53" s="129"/>
      <c r="Q53" s="135" t="s">
        <v>51</v>
      </c>
      <c r="R53" s="145" t="n">
        <f aca="false">N40</f>
        <v>115728</v>
      </c>
      <c r="S53" s="146"/>
    </row>
    <row r="54" customFormat="false" ht="21" hidden="false" customHeight="true" outlineLevel="0" collapsed="false">
      <c r="N54" s="154" t="s">
        <v>52</v>
      </c>
      <c r="Q54" s="135" t="s">
        <v>53</v>
      </c>
      <c r="R54" s="145" t="n">
        <f aca="false">G40*0.0154</f>
        <v>0</v>
      </c>
      <c r="S54" s="146"/>
    </row>
    <row r="55" customFormat="false" ht="16.5" hidden="false" customHeight="false" outlineLevel="0" collapsed="false">
      <c r="N55" s="154" t="s">
        <v>54</v>
      </c>
      <c r="Q55" s="150" t="s">
        <v>55</v>
      </c>
      <c r="R55" s="136" t="n">
        <v>0</v>
      </c>
    </row>
    <row r="56" customFormat="false" ht="21" hidden="false" customHeight="true" outlineLevel="0" collapsed="false">
      <c r="Q56" s="16" t="s">
        <v>56</v>
      </c>
      <c r="R56" s="155" t="n">
        <f aca="false">R51+R53+R54+R55</f>
        <v>121582.83</v>
      </c>
    </row>
    <row r="57" customFormat="false" ht="17.25" hidden="false" customHeight="false" outlineLevel="0" collapsed="false"/>
  </sheetData>
  <mergeCells count="56">
    <mergeCell ref="A1:O1"/>
    <mergeCell ref="P1:Q1"/>
    <mergeCell ref="B3:D3"/>
    <mergeCell ref="E3:G3"/>
    <mergeCell ref="H3:I3"/>
    <mergeCell ref="J3:N3"/>
    <mergeCell ref="O3:Q3"/>
    <mergeCell ref="R3:R7"/>
    <mergeCell ref="A4:A6"/>
    <mergeCell ref="B4:B6"/>
    <mergeCell ref="C4:C6"/>
    <mergeCell ref="D4:D6"/>
    <mergeCell ref="E4:E6"/>
    <mergeCell ref="F4:G6"/>
    <mergeCell ref="H4:H6"/>
    <mergeCell ref="I4:I6"/>
    <mergeCell ref="J4:J6"/>
    <mergeCell ref="K4:K6"/>
    <mergeCell ref="L4:L6"/>
    <mergeCell ref="M4:N4"/>
    <mergeCell ref="O4:P7"/>
    <mergeCell ref="Q4:Q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D47:J47"/>
  </mergeCells>
  <printOptions headings="false" gridLines="false" gridLinesSet="true" horizontalCentered="false" verticalCentered="false"/>
  <pageMargins left="0.35" right="0.309722222222222" top="0.370138888888889" bottom="0.3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5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7" topLeftCell="H8" activePane="bottomRight" state="frozen"/>
      <selection pane="topLeft" activeCell="A1" activeCellId="0" sqref="A1"/>
      <selection pane="topRight" activeCell="H1" activeCellId="0" sqref="H1"/>
      <selection pane="bottomLeft" activeCell="A8" activeCellId="0" sqref="A8"/>
      <selection pane="bottomRight" activeCell="N10" activeCellId="0" sqref="N10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4" min="2" style="2" width="13.99"/>
    <col collapsed="false" customWidth="true" hidden="false" outlineLevel="0" max="5" min="5" style="2" width="14.14"/>
    <col collapsed="false" customWidth="true" hidden="false" outlineLevel="0" max="6" min="6" style="2" width="13.7"/>
    <col collapsed="false" customWidth="true" hidden="false" outlineLevel="0" max="7" min="7" style="2" width="13.85"/>
    <col collapsed="false" customWidth="true" hidden="false" outlineLevel="0" max="8" min="8" style="2" width="13.7"/>
    <col collapsed="false" customWidth="true" hidden="false" outlineLevel="0" max="9" min="9" style="2" width="14.28"/>
    <col collapsed="false" customWidth="true" hidden="false" outlineLevel="0" max="10" min="10" style="2" width="15.7"/>
    <col collapsed="false" customWidth="true" hidden="false" outlineLevel="0" max="11" min="11" style="2" width="4.7"/>
    <col collapsed="false" customWidth="true" hidden="false" outlineLevel="0" max="12" min="12" style="2" width="14.7"/>
    <col collapsed="false" customWidth="true" hidden="false" outlineLevel="0" max="13" min="13" style="2" width="16.99"/>
    <col collapsed="false" customWidth="true" hidden="false" outlineLevel="0" max="14" min="14" style="2" width="16.84"/>
    <col collapsed="false" customWidth="true" hidden="false" outlineLevel="0" max="15" min="15" style="2" width="18.56"/>
    <col collapsed="false" customWidth="true" hidden="false" outlineLevel="0" max="16" min="16" style="2" width="15.13"/>
    <col collapsed="false" customWidth="true" hidden="false" outlineLevel="0" max="17" min="17" style="2" width="16.84"/>
    <col collapsed="false" customWidth="true" hidden="false" outlineLevel="0" max="18" min="18" style="2" width="24.85"/>
    <col collapsed="false" customWidth="true" hidden="false" outlineLevel="0" max="19" min="19" style="2" width="24.7"/>
    <col collapsed="false" customWidth="false" hidden="false" outlineLevel="0" max="22" min="20" style="2" width="9.14"/>
    <col collapsed="false" customWidth="true" hidden="false" outlineLevel="0" max="23" min="23" style="2" width="9.41"/>
    <col collapsed="false" customWidth="true" hidden="false" outlineLevel="0" max="24" min="24" style="2" width="11.28"/>
    <col collapsed="false" customWidth="false" hidden="false" outlineLevel="0" max="257" min="25" style="2" width="9.14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56" t="n">
        <f aca="false">A4</f>
        <v>36557</v>
      </c>
      <c r="Q1" s="156"/>
      <c r="R1" s="5"/>
      <c r="S1" s="5"/>
    </row>
    <row r="2" customFormat="false" ht="17.25" hidden="false" customHeight="false" outlineLevel="0" collapsed="false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8"/>
      <c r="R2" s="9"/>
    </row>
    <row r="3" customFormat="false" ht="15.75" hidden="false" customHeight="true" outlineLevel="0" collapsed="false">
      <c r="A3" s="10"/>
      <c r="B3" s="11" t="s">
        <v>1</v>
      </c>
      <c r="C3" s="11"/>
      <c r="D3" s="11"/>
      <c r="E3" s="12" t="s">
        <v>2</v>
      </c>
      <c r="F3" s="12"/>
      <c r="G3" s="12"/>
      <c r="H3" s="13" t="s">
        <v>3</v>
      </c>
      <c r="I3" s="13"/>
      <c r="J3" s="13" t="s">
        <v>4</v>
      </c>
      <c r="K3" s="13"/>
      <c r="L3" s="13"/>
      <c r="M3" s="13"/>
      <c r="N3" s="13"/>
      <c r="O3" s="14" t="s">
        <v>5</v>
      </c>
      <c r="P3" s="14"/>
      <c r="Q3" s="14"/>
      <c r="R3" s="15" t="s">
        <v>6</v>
      </c>
      <c r="V3" s="16" t="s">
        <v>7</v>
      </c>
      <c r="W3" s="17" t="n">
        <v>0.97884</v>
      </c>
      <c r="X3" s="18" t="s">
        <v>8</v>
      </c>
    </row>
    <row r="4" customFormat="false" ht="18" hidden="false" customHeight="true" outlineLevel="0" collapsed="false">
      <c r="A4" s="19" t="n">
        <v>36557</v>
      </c>
      <c r="B4" s="21" t="s">
        <v>9</v>
      </c>
      <c r="C4" s="21" t="s">
        <v>10</v>
      </c>
      <c r="D4" s="21" t="s">
        <v>11</v>
      </c>
      <c r="E4" s="157" t="s">
        <v>12</v>
      </c>
      <c r="F4" s="158" t="s">
        <v>13</v>
      </c>
      <c r="G4" s="158"/>
      <c r="H4" s="24" t="s">
        <v>14</v>
      </c>
      <c r="I4" s="25" t="s">
        <v>15</v>
      </c>
      <c r="J4" s="159" t="s">
        <v>16</v>
      </c>
      <c r="K4" s="27"/>
      <c r="L4" s="28" t="s">
        <v>17</v>
      </c>
      <c r="M4" s="29" t="s">
        <v>18</v>
      </c>
      <c r="N4" s="29"/>
      <c r="O4" s="30" t="s">
        <v>19</v>
      </c>
      <c r="P4" s="30"/>
      <c r="Q4" s="31" t="s">
        <v>20</v>
      </c>
      <c r="R4" s="15"/>
      <c r="V4" s="16" t="s">
        <v>21</v>
      </c>
      <c r="W4" s="32" t="n">
        <v>0.05</v>
      </c>
    </row>
    <row r="5" customFormat="false" ht="17.25" hidden="false" customHeight="true" outlineLevel="0" collapsed="false">
      <c r="A5" s="19"/>
      <c r="B5" s="21"/>
      <c r="C5" s="21"/>
      <c r="D5" s="21"/>
      <c r="E5" s="157"/>
      <c r="F5" s="158"/>
      <c r="G5" s="158"/>
      <c r="H5" s="24"/>
      <c r="I5" s="25"/>
      <c r="J5" s="159"/>
      <c r="K5" s="27"/>
      <c r="L5" s="28"/>
      <c r="M5" s="33" t="s">
        <v>22</v>
      </c>
      <c r="N5" s="34" t="s">
        <v>23</v>
      </c>
      <c r="O5" s="30"/>
      <c r="P5" s="30"/>
      <c r="Q5" s="31"/>
      <c r="R5" s="15"/>
      <c r="V5" s="16" t="s">
        <v>24</v>
      </c>
      <c r="W5" s="32" t="n">
        <v>0.03</v>
      </c>
    </row>
    <row r="6" customFormat="false" ht="16.5" hidden="false" customHeight="true" outlineLevel="0" collapsed="false">
      <c r="A6" s="19"/>
      <c r="B6" s="21"/>
      <c r="C6" s="21"/>
      <c r="D6" s="21"/>
      <c r="E6" s="157"/>
      <c r="F6" s="158"/>
      <c r="G6" s="158"/>
      <c r="H6" s="24"/>
      <c r="I6" s="25"/>
      <c r="J6" s="159"/>
      <c r="K6" s="27"/>
      <c r="L6" s="28"/>
      <c r="M6" s="35"/>
      <c r="N6" s="36" t="n">
        <v>40000</v>
      </c>
      <c r="O6" s="30"/>
      <c r="P6" s="30"/>
      <c r="Q6" s="31"/>
      <c r="R6" s="15"/>
      <c r="T6" s="37" t="s">
        <v>25</v>
      </c>
      <c r="U6" s="16"/>
    </row>
    <row r="7" customFormat="false" ht="15" hidden="false" customHeight="true" outlineLevel="0" collapsed="false">
      <c r="A7" s="38" t="s">
        <v>26</v>
      </c>
      <c r="B7" s="39" t="s">
        <v>27</v>
      </c>
      <c r="C7" s="40" t="s">
        <v>27</v>
      </c>
      <c r="D7" s="41" t="s">
        <v>27</v>
      </c>
      <c r="E7" s="42" t="s">
        <v>27</v>
      </c>
      <c r="F7" s="43" t="s">
        <v>28</v>
      </c>
      <c r="G7" s="44" t="s">
        <v>29</v>
      </c>
      <c r="H7" s="45" t="s">
        <v>30</v>
      </c>
      <c r="I7" s="40" t="s">
        <v>30</v>
      </c>
      <c r="J7" s="46" t="s">
        <v>31</v>
      </c>
      <c r="K7" s="47"/>
      <c r="L7" s="48" t="n">
        <v>0.0415</v>
      </c>
      <c r="M7" s="49" t="n">
        <v>0.0154</v>
      </c>
      <c r="N7" s="49" t="n">
        <f aca="false">2.8932</f>
        <v>2.8932</v>
      </c>
      <c r="O7" s="30"/>
      <c r="P7" s="30"/>
      <c r="Q7" s="31"/>
      <c r="R7" s="15"/>
      <c r="T7" s="50"/>
      <c r="U7" s="50" t="s">
        <v>32</v>
      </c>
    </row>
    <row r="8" customFormat="false" ht="20.1" hidden="false" customHeight="true" outlineLevel="0" collapsed="false">
      <c r="A8" s="51" t="n">
        <f aca="false">A4</f>
        <v>36557</v>
      </c>
      <c r="B8" s="52"/>
      <c r="C8" s="53"/>
      <c r="D8" s="54" t="n">
        <f aca="false">C8/$W$3</f>
        <v>0</v>
      </c>
      <c r="E8" s="53"/>
      <c r="F8" s="55"/>
      <c r="G8" s="56"/>
      <c r="H8" s="57" t="n">
        <f aca="false">C8-G8</f>
        <v>0</v>
      </c>
      <c r="I8" s="58" t="n">
        <f aca="false">H8</f>
        <v>0</v>
      </c>
      <c r="J8" s="59"/>
      <c r="K8" s="60"/>
      <c r="L8" s="61" t="n">
        <f aca="false">(IF(H8&lt;0,-H8*$L$7,H8*$L$7))</f>
        <v>0</v>
      </c>
      <c r="M8" s="62" t="n">
        <f aca="false">G8*$M$7</f>
        <v>0</v>
      </c>
      <c r="N8" s="63" t="n">
        <f aca="false">(N6*N7)/29</f>
        <v>3990.62068965517</v>
      </c>
      <c r="O8" s="64"/>
      <c r="P8" s="64"/>
      <c r="Q8" s="65" t="s">
        <v>33</v>
      </c>
      <c r="R8" s="66" t="n">
        <f aca="false">G8*J8+L8+M8+N8</f>
        <v>3990.62068965517</v>
      </c>
    </row>
    <row r="9" customFormat="false" ht="20.1" hidden="false" customHeight="true" outlineLevel="0" collapsed="false">
      <c r="A9" s="51" t="n">
        <f aca="false">A8+1</f>
        <v>36558</v>
      </c>
      <c r="B9" s="52"/>
      <c r="C9" s="53"/>
      <c r="D9" s="54" t="n">
        <f aca="false">C9/$W$3</f>
        <v>0</v>
      </c>
      <c r="E9" s="53"/>
      <c r="F9" s="55"/>
      <c r="G9" s="56"/>
      <c r="H9" s="57" t="n">
        <f aca="false">C9-G9</f>
        <v>0</v>
      </c>
      <c r="I9" s="58" t="n">
        <f aca="false">I8+H9</f>
        <v>0</v>
      </c>
      <c r="J9" s="59"/>
      <c r="K9" s="60"/>
      <c r="L9" s="61" t="n">
        <f aca="false">(IF(H9&lt;0,-H9*$L$7,H9*$L$7))</f>
        <v>0</v>
      </c>
      <c r="M9" s="62" t="n">
        <f aca="false">G9*$M$7</f>
        <v>0</v>
      </c>
      <c r="N9" s="67" t="n">
        <f aca="false">N8</f>
        <v>3990.62068965517</v>
      </c>
      <c r="O9" s="68"/>
      <c r="P9" s="68"/>
      <c r="Q9" s="65" t="s">
        <v>33</v>
      </c>
      <c r="R9" s="66" t="n">
        <f aca="false">G9*J9+L9+M9+N9</f>
        <v>3990.62068965517</v>
      </c>
    </row>
    <row r="10" customFormat="false" ht="20.1" hidden="false" customHeight="true" outlineLevel="0" collapsed="false">
      <c r="A10" s="51" t="n">
        <f aca="false">A9+1</f>
        <v>36559</v>
      </c>
      <c r="B10" s="52"/>
      <c r="C10" s="53"/>
      <c r="D10" s="54" t="n">
        <f aca="false">C10/$W$3</f>
        <v>0</v>
      </c>
      <c r="E10" s="53"/>
      <c r="F10" s="55"/>
      <c r="G10" s="56"/>
      <c r="H10" s="57" t="n">
        <f aca="false">C10-G10</f>
        <v>0</v>
      </c>
      <c r="I10" s="58" t="n">
        <f aca="false">I9+H10</f>
        <v>0</v>
      </c>
      <c r="J10" s="59"/>
      <c r="K10" s="60"/>
      <c r="L10" s="61" t="n">
        <f aca="false">(IF(H10&lt;0,-H10*$L$7,H10*$L$7))</f>
        <v>0</v>
      </c>
      <c r="M10" s="62" t="n">
        <f aca="false">G10*$M$7</f>
        <v>0</v>
      </c>
      <c r="N10" s="67" t="n">
        <f aca="false">N9</f>
        <v>3990.62068965517</v>
      </c>
      <c r="O10" s="68"/>
      <c r="P10" s="68"/>
      <c r="Q10" s="65" t="s">
        <v>33</v>
      </c>
      <c r="R10" s="66" t="n">
        <f aca="false">G10*J10+L10+M10+N10</f>
        <v>3990.62068965517</v>
      </c>
    </row>
    <row r="11" customFormat="false" ht="20.1" hidden="false" customHeight="true" outlineLevel="0" collapsed="false">
      <c r="A11" s="51" t="n">
        <f aca="false">A10+1</f>
        <v>36560</v>
      </c>
      <c r="B11" s="52"/>
      <c r="C11" s="53"/>
      <c r="D11" s="54" t="n">
        <f aca="false">C11/$W$3</f>
        <v>0</v>
      </c>
      <c r="E11" s="53"/>
      <c r="F11" s="55"/>
      <c r="G11" s="69"/>
      <c r="H11" s="57" t="n">
        <f aca="false">C11-G11</f>
        <v>0</v>
      </c>
      <c r="I11" s="58" t="n">
        <f aca="false">I10+H11</f>
        <v>0</v>
      </c>
      <c r="J11" s="59"/>
      <c r="K11" s="60"/>
      <c r="L11" s="61" t="n">
        <f aca="false">(IF(H11&lt;0,-H11*$L$7,H11*$L$7))</f>
        <v>0</v>
      </c>
      <c r="M11" s="62" t="n">
        <f aca="false">G11*$M$7</f>
        <v>0</v>
      </c>
      <c r="N11" s="67" t="n">
        <f aca="false">N10</f>
        <v>3990.62068965517</v>
      </c>
      <c r="O11" s="68"/>
      <c r="P11" s="68"/>
      <c r="Q11" s="65" t="s">
        <v>33</v>
      </c>
      <c r="R11" s="66" t="n">
        <f aca="false">G11*J11+L11+M11+N11</f>
        <v>3990.62068965517</v>
      </c>
    </row>
    <row r="12" customFormat="false" ht="20.1" hidden="false" customHeight="true" outlineLevel="0" collapsed="false">
      <c r="A12" s="51" t="n">
        <f aca="false">A11+1</f>
        <v>36561</v>
      </c>
      <c r="B12" s="52"/>
      <c r="C12" s="53"/>
      <c r="D12" s="54" t="n">
        <f aca="false">C12/$W$3</f>
        <v>0</v>
      </c>
      <c r="E12" s="53"/>
      <c r="F12" s="70"/>
      <c r="G12" s="69"/>
      <c r="H12" s="57" t="n">
        <f aca="false">C12-G12</f>
        <v>0</v>
      </c>
      <c r="I12" s="58" t="n">
        <f aca="false">I11+H12</f>
        <v>0</v>
      </c>
      <c r="J12" s="59"/>
      <c r="K12" s="60"/>
      <c r="L12" s="61" t="n">
        <f aca="false">(IF(H12&lt;0,-H12*$L$7,H12*$L$7))</f>
        <v>0</v>
      </c>
      <c r="M12" s="62" t="n">
        <f aca="false">G12*$M$7</f>
        <v>0</v>
      </c>
      <c r="N12" s="67" t="n">
        <f aca="false">N11</f>
        <v>3990.62068965517</v>
      </c>
      <c r="O12" s="68"/>
      <c r="P12" s="68"/>
      <c r="Q12" s="65" t="s">
        <v>33</v>
      </c>
      <c r="R12" s="66" t="n">
        <f aca="false">G12*J12+L12+M12+N12</f>
        <v>3990.62068965517</v>
      </c>
    </row>
    <row r="13" customFormat="false" ht="16.9" hidden="false" customHeight="true" outlineLevel="0" collapsed="false">
      <c r="A13" s="51" t="n">
        <f aca="false">A12+1</f>
        <v>36562</v>
      </c>
      <c r="B13" s="71"/>
      <c r="C13" s="72"/>
      <c r="D13" s="73" t="n">
        <f aca="false">C13/$W$3</f>
        <v>0</v>
      </c>
      <c r="E13" s="74"/>
      <c r="F13" s="75"/>
      <c r="G13" s="76"/>
      <c r="H13" s="71" t="n">
        <f aca="false">C13-G13</f>
        <v>0</v>
      </c>
      <c r="I13" s="58" t="n">
        <f aca="false">I12+H13</f>
        <v>0</v>
      </c>
      <c r="J13" s="59"/>
      <c r="K13" s="60"/>
      <c r="L13" s="77" t="n">
        <f aca="false">(IF(H13&lt;0,-H13*$L$7,H13*$L$7))</f>
        <v>0</v>
      </c>
      <c r="M13" s="78" t="n">
        <f aca="false">G13*$M$7</f>
        <v>0</v>
      </c>
      <c r="N13" s="79" t="n">
        <f aca="false">N12</f>
        <v>3990.62068965517</v>
      </c>
      <c r="O13" s="80"/>
      <c r="P13" s="80"/>
      <c r="Q13" s="81" t="s">
        <v>33</v>
      </c>
      <c r="R13" s="82" t="n">
        <f aca="false">G13*J13+L13+M13+N13</f>
        <v>3990.62068965517</v>
      </c>
    </row>
    <row r="14" customFormat="false" ht="20.1" hidden="false" customHeight="true" outlineLevel="0" collapsed="false">
      <c r="A14" s="51" t="n">
        <f aca="false">A13+1</f>
        <v>36563</v>
      </c>
      <c r="B14" s="83"/>
      <c r="C14" s="84"/>
      <c r="D14" s="85" t="n">
        <f aca="false">C14/$W$3</f>
        <v>0</v>
      </c>
      <c r="E14" s="84"/>
      <c r="F14" s="86"/>
      <c r="G14" s="87"/>
      <c r="H14" s="88" t="n">
        <f aca="false">C14-G14</f>
        <v>0</v>
      </c>
      <c r="I14" s="58" t="n">
        <f aca="false">I13+H14</f>
        <v>0</v>
      </c>
      <c r="J14" s="89"/>
      <c r="K14" s="60"/>
      <c r="L14" s="90" t="n">
        <f aca="false">(IF(H14&lt;0,-H14*$L$7,H14*$L$7))</f>
        <v>0</v>
      </c>
      <c r="M14" s="62" t="n">
        <f aca="false">G14*$M$7</f>
        <v>0</v>
      </c>
      <c r="N14" s="67" t="n">
        <f aca="false">N13</f>
        <v>3990.62068965517</v>
      </c>
      <c r="O14" s="68"/>
      <c r="P14" s="68"/>
      <c r="Q14" s="65" t="s">
        <v>33</v>
      </c>
      <c r="R14" s="66" t="n">
        <f aca="false">G14*J14+L14+M14+N14</f>
        <v>3990.62068965517</v>
      </c>
    </row>
    <row r="15" customFormat="false" ht="20.1" hidden="false" customHeight="true" outlineLevel="0" collapsed="false">
      <c r="A15" s="51" t="n">
        <f aca="false">A14+1</f>
        <v>36564</v>
      </c>
      <c r="B15" s="52"/>
      <c r="C15" s="53"/>
      <c r="D15" s="54" t="n">
        <f aca="false">C15/$W$3</f>
        <v>0</v>
      </c>
      <c r="E15" s="53"/>
      <c r="F15" s="55"/>
      <c r="G15" s="56"/>
      <c r="H15" s="57" t="n">
        <f aca="false">C15-G15</f>
        <v>0</v>
      </c>
      <c r="I15" s="58" t="n">
        <f aca="false">I14+H15</f>
        <v>0</v>
      </c>
      <c r="J15" s="59"/>
      <c r="K15" s="60"/>
      <c r="L15" s="91" t="n">
        <f aca="false">(IF(H15&lt;0,-H15*$L$7,H15*$L$7))</f>
        <v>0</v>
      </c>
      <c r="M15" s="62" t="n">
        <f aca="false">G15*$M$7</f>
        <v>0</v>
      </c>
      <c r="N15" s="67" t="n">
        <f aca="false">N14</f>
        <v>3990.62068965517</v>
      </c>
      <c r="O15" s="92"/>
      <c r="P15" s="92"/>
      <c r="Q15" s="65" t="s">
        <v>33</v>
      </c>
      <c r="R15" s="66" t="n">
        <f aca="false">G15*J15+L15+M15+N15</f>
        <v>3990.62068965517</v>
      </c>
    </row>
    <row r="16" customFormat="false" ht="20.1" hidden="false" customHeight="true" outlineLevel="0" collapsed="false">
      <c r="A16" s="51" t="n">
        <f aca="false">A15+1</f>
        <v>36565</v>
      </c>
      <c r="B16" s="52"/>
      <c r="C16" s="53"/>
      <c r="D16" s="85" t="n">
        <f aca="false">C16/$W$3</f>
        <v>0</v>
      </c>
      <c r="E16" s="53"/>
      <c r="F16" s="55"/>
      <c r="G16" s="56"/>
      <c r="H16" s="57" t="n">
        <f aca="false">C16-G16</f>
        <v>0</v>
      </c>
      <c r="I16" s="58" t="n">
        <f aca="false">I15+H16</f>
        <v>0</v>
      </c>
      <c r="J16" s="59"/>
      <c r="K16" s="60"/>
      <c r="L16" s="91" t="n">
        <f aca="false">(IF(H16&lt;0,-H16*$L$7,H16*$L$7))</f>
        <v>0</v>
      </c>
      <c r="M16" s="62" t="n">
        <f aca="false">G16*$M$7</f>
        <v>0</v>
      </c>
      <c r="N16" s="67" t="n">
        <f aca="false">N15</f>
        <v>3990.62068965517</v>
      </c>
      <c r="O16" s="68"/>
      <c r="P16" s="68"/>
      <c r="Q16" s="65" t="s">
        <v>33</v>
      </c>
      <c r="R16" s="66" t="n">
        <f aca="false">G16*J16+L16+M16+N16</f>
        <v>3990.62068965517</v>
      </c>
    </row>
    <row r="17" customFormat="false" ht="20.1" hidden="false" customHeight="true" outlineLevel="0" collapsed="false">
      <c r="A17" s="51" t="n">
        <f aca="false">A16+1</f>
        <v>36566</v>
      </c>
      <c r="B17" s="52"/>
      <c r="C17" s="53"/>
      <c r="D17" s="85" t="n">
        <f aca="false">C17/$W$3</f>
        <v>0</v>
      </c>
      <c r="E17" s="53"/>
      <c r="F17" s="55"/>
      <c r="G17" s="56"/>
      <c r="H17" s="57" t="n">
        <f aca="false">C17-G17</f>
        <v>0</v>
      </c>
      <c r="I17" s="58" t="n">
        <f aca="false">I16+H17</f>
        <v>0</v>
      </c>
      <c r="J17" s="59"/>
      <c r="K17" s="60"/>
      <c r="L17" s="91" t="n">
        <f aca="false">(IF(H17&lt;0,-H17*$L$7,H17*$L$7))</f>
        <v>0</v>
      </c>
      <c r="M17" s="62" t="n">
        <f aca="false">G17*$M$7</f>
        <v>0</v>
      </c>
      <c r="N17" s="67" t="n">
        <f aca="false">N16</f>
        <v>3990.62068965517</v>
      </c>
      <c r="O17" s="68"/>
      <c r="P17" s="68"/>
      <c r="Q17" s="65" t="s">
        <v>33</v>
      </c>
      <c r="R17" s="66" t="n">
        <f aca="false">G17*J17+L17+M17+N17</f>
        <v>3990.62068965517</v>
      </c>
    </row>
    <row r="18" customFormat="false" ht="20.1" hidden="false" customHeight="true" outlineLevel="0" collapsed="false">
      <c r="A18" s="51" t="n">
        <f aca="false">A17+1</f>
        <v>36567</v>
      </c>
      <c r="B18" s="52"/>
      <c r="C18" s="53"/>
      <c r="D18" s="85" t="n">
        <f aca="false">C18/$W$3</f>
        <v>0</v>
      </c>
      <c r="E18" s="53"/>
      <c r="F18" s="55"/>
      <c r="G18" s="56"/>
      <c r="H18" s="57" t="n">
        <f aca="false">C18-G18</f>
        <v>0</v>
      </c>
      <c r="I18" s="58" t="n">
        <f aca="false">I17+H18</f>
        <v>0</v>
      </c>
      <c r="J18" s="59"/>
      <c r="K18" s="60"/>
      <c r="L18" s="91" t="n">
        <f aca="false">(IF(H18&lt;0,-H18*$L$7,H18*$L$7))</f>
        <v>0</v>
      </c>
      <c r="M18" s="62" t="n">
        <f aca="false">G18*$M$7</f>
        <v>0</v>
      </c>
      <c r="N18" s="67" t="n">
        <f aca="false">N17</f>
        <v>3990.62068965517</v>
      </c>
      <c r="O18" s="68"/>
      <c r="P18" s="68"/>
      <c r="Q18" s="65" t="s">
        <v>33</v>
      </c>
      <c r="R18" s="66" t="n">
        <f aca="false">G18*J18+L18+M18+N18</f>
        <v>3990.62068965517</v>
      </c>
    </row>
    <row r="19" customFormat="false" ht="20.1" hidden="false" customHeight="true" outlineLevel="0" collapsed="false">
      <c r="A19" s="51" t="n">
        <f aca="false">A18+1</f>
        <v>36568</v>
      </c>
      <c r="B19" s="52"/>
      <c r="C19" s="53"/>
      <c r="D19" s="85" t="n">
        <f aca="false">C19/$W$3</f>
        <v>0</v>
      </c>
      <c r="E19" s="53"/>
      <c r="F19" s="55"/>
      <c r="G19" s="56"/>
      <c r="H19" s="57" t="n">
        <f aca="false">C19-G19</f>
        <v>0</v>
      </c>
      <c r="I19" s="58" t="n">
        <f aca="false">I18+H19</f>
        <v>0</v>
      </c>
      <c r="J19" s="93"/>
      <c r="K19" s="60"/>
      <c r="L19" s="91" t="n">
        <f aca="false">(IF(H19&lt;0,-H19*$L$7,H19*$L$7))</f>
        <v>0</v>
      </c>
      <c r="M19" s="62" t="n">
        <f aca="false">G19*$M$7</f>
        <v>0</v>
      </c>
      <c r="N19" s="67" t="n">
        <f aca="false">N18</f>
        <v>3990.62068965517</v>
      </c>
      <c r="O19" s="68"/>
      <c r="P19" s="68"/>
      <c r="Q19" s="65" t="s">
        <v>33</v>
      </c>
      <c r="R19" s="66" t="n">
        <f aca="false">G19*J19+L19+M19+N19</f>
        <v>3990.62068965517</v>
      </c>
    </row>
    <row r="20" customFormat="false" ht="20.1" hidden="false" customHeight="true" outlineLevel="0" collapsed="false">
      <c r="A20" s="51" t="n">
        <f aca="false">A19+1</f>
        <v>36569</v>
      </c>
      <c r="B20" s="52"/>
      <c r="C20" s="53"/>
      <c r="D20" s="85" t="n">
        <f aca="false">C20/$W$3</f>
        <v>0</v>
      </c>
      <c r="E20" s="53"/>
      <c r="F20" s="55"/>
      <c r="G20" s="56"/>
      <c r="H20" s="57" t="n">
        <f aca="false">C20-G20</f>
        <v>0</v>
      </c>
      <c r="I20" s="58" t="n">
        <f aca="false">I19+H20</f>
        <v>0</v>
      </c>
      <c r="J20" s="59"/>
      <c r="K20" s="60"/>
      <c r="L20" s="91" t="n">
        <f aca="false">(IF(H20&lt;0,-H20*$L$7,H20*$L$7))</f>
        <v>0</v>
      </c>
      <c r="M20" s="62" t="n">
        <f aca="false">G20*$M$7</f>
        <v>0</v>
      </c>
      <c r="N20" s="67" t="n">
        <f aca="false">N19</f>
        <v>3990.62068965517</v>
      </c>
      <c r="O20" s="68"/>
      <c r="P20" s="68"/>
      <c r="Q20" s="65" t="s">
        <v>33</v>
      </c>
      <c r="R20" s="66" t="n">
        <f aca="false">G20*J20+L20+M20+N20</f>
        <v>3990.62068965517</v>
      </c>
    </row>
    <row r="21" customFormat="false" ht="20.1" hidden="false" customHeight="true" outlineLevel="0" collapsed="false">
      <c r="A21" s="51" t="n">
        <f aca="false">A20+1</f>
        <v>36570</v>
      </c>
      <c r="B21" s="52"/>
      <c r="C21" s="53"/>
      <c r="D21" s="85" t="n">
        <f aca="false">C21/$W$3</f>
        <v>0</v>
      </c>
      <c r="E21" s="53"/>
      <c r="F21" s="55"/>
      <c r="G21" s="56"/>
      <c r="H21" s="57" t="n">
        <f aca="false">C21-G21</f>
        <v>0</v>
      </c>
      <c r="I21" s="58" t="n">
        <f aca="false">I20+H21</f>
        <v>0</v>
      </c>
      <c r="J21" s="59"/>
      <c r="K21" s="60"/>
      <c r="L21" s="91" t="n">
        <f aca="false">(IF(H21&lt;0,-H21*$L$7,H21*$L$7))</f>
        <v>0</v>
      </c>
      <c r="M21" s="62" t="n">
        <f aca="false">G21*$M$7</f>
        <v>0</v>
      </c>
      <c r="N21" s="67" t="n">
        <f aca="false">N20</f>
        <v>3990.62068965517</v>
      </c>
      <c r="O21" s="68"/>
      <c r="P21" s="68"/>
      <c r="Q21" s="65" t="s">
        <v>33</v>
      </c>
      <c r="R21" s="66" t="n">
        <f aca="false">G21*J21+L21+M21+N21</f>
        <v>3990.62068965517</v>
      </c>
    </row>
    <row r="22" customFormat="false" ht="20.1" hidden="false" customHeight="true" outlineLevel="0" collapsed="false">
      <c r="A22" s="51" t="n">
        <f aca="false">A21+1</f>
        <v>36571</v>
      </c>
      <c r="B22" s="52"/>
      <c r="C22" s="53"/>
      <c r="D22" s="85" t="n">
        <f aca="false">C22/$W$3</f>
        <v>0</v>
      </c>
      <c r="E22" s="53"/>
      <c r="F22" s="55"/>
      <c r="G22" s="56"/>
      <c r="H22" s="57" t="n">
        <f aca="false">C22-G22</f>
        <v>0</v>
      </c>
      <c r="I22" s="58" t="n">
        <f aca="false">I21+H22</f>
        <v>0</v>
      </c>
      <c r="J22" s="59"/>
      <c r="K22" s="60"/>
      <c r="L22" s="91" t="n">
        <f aca="false">(IF(H22&lt;0,-H22*$L$7,H22*$L$7))</f>
        <v>0</v>
      </c>
      <c r="M22" s="62" t="n">
        <f aca="false">G22*$M$7</f>
        <v>0</v>
      </c>
      <c r="N22" s="67" t="n">
        <f aca="false">N21</f>
        <v>3990.62068965517</v>
      </c>
      <c r="O22" s="68"/>
      <c r="P22" s="68"/>
      <c r="Q22" s="65" t="s">
        <v>33</v>
      </c>
      <c r="R22" s="66" t="n">
        <f aca="false">G22*J22+L22+M22+N22</f>
        <v>3990.62068965517</v>
      </c>
    </row>
    <row r="23" customFormat="false" ht="20.1" hidden="false" customHeight="true" outlineLevel="0" collapsed="false">
      <c r="A23" s="51" t="n">
        <f aca="false">A22+1</f>
        <v>36572</v>
      </c>
      <c r="B23" s="52"/>
      <c r="C23" s="53"/>
      <c r="D23" s="85" t="n">
        <f aca="false">C23/$W$3</f>
        <v>0</v>
      </c>
      <c r="E23" s="53"/>
      <c r="F23" s="55"/>
      <c r="G23" s="56"/>
      <c r="H23" s="57" t="n">
        <f aca="false">C23-G23</f>
        <v>0</v>
      </c>
      <c r="I23" s="58" t="n">
        <f aca="false">I22+H23</f>
        <v>0</v>
      </c>
      <c r="J23" s="59"/>
      <c r="K23" s="60"/>
      <c r="L23" s="91" t="n">
        <f aca="false">(IF(H23&lt;0,-H23*$L$7,H23*$L$7))</f>
        <v>0</v>
      </c>
      <c r="M23" s="62" t="n">
        <f aca="false">G23*$M$7</f>
        <v>0</v>
      </c>
      <c r="N23" s="67" t="n">
        <f aca="false">N22</f>
        <v>3990.62068965517</v>
      </c>
      <c r="O23" s="68"/>
      <c r="P23" s="68"/>
      <c r="Q23" s="65" t="s">
        <v>33</v>
      </c>
      <c r="R23" s="66" t="n">
        <f aca="false">G23*J23+L23+M23+N23</f>
        <v>3990.62068965517</v>
      </c>
    </row>
    <row r="24" customFormat="false" ht="20.1" hidden="false" customHeight="true" outlineLevel="0" collapsed="false">
      <c r="A24" s="51" t="n">
        <f aca="false">A23+1</f>
        <v>36573</v>
      </c>
      <c r="B24" s="52"/>
      <c r="C24" s="53"/>
      <c r="D24" s="85" t="n">
        <f aca="false">C24/$W$3</f>
        <v>0</v>
      </c>
      <c r="E24" s="53"/>
      <c r="F24" s="55"/>
      <c r="G24" s="56"/>
      <c r="H24" s="57" t="n">
        <f aca="false">C24-G24</f>
        <v>0</v>
      </c>
      <c r="I24" s="58" t="n">
        <f aca="false">I23+H24</f>
        <v>0</v>
      </c>
      <c r="J24" s="59"/>
      <c r="K24" s="60"/>
      <c r="L24" s="91" t="n">
        <f aca="false">(IF(H24&lt;0,-H24*$L$7,H24*$L$7))</f>
        <v>0</v>
      </c>
      <c r="M24" s="62" t="n">
        <f aca="false">G24*$M$7</f>
        <v>0</v>
      </c>
      <c r="N24" s="67" t="n">
        <f aca="false">N23</f>
        <v>3990.62068965517</v>
      </c>
      <c r="O24" s="68"/>
      <c r="P24" s="68"/>
      <c r="Q24" s="65" t="s">
        <v>33</v>
      </c>
      <c r="R24" s="66" t="n">
        <f aca="false">G24*J24+L24+M24+N24</f>
        <v>3990.62068965517</v>
      </c>
    </row>
    <row r="25" customFormat="false" ht="20.1" hidden="false" customHeight="true" outlineLevel="0" collapsed="false">
      <c r="A25" s="51" t="n">
        <f aca="false">A24+1</f>
        <v>36574</v>
      </c>
      <c r="B25" s="52"/>
      <c r="C25" s="53"/>
      <c r="D25" s="85" t="n">
        <f aca="false">C25/$W$3</f>
        <v>0</v>
      </c>
      <c r="E25" s="53"/>
      <c r="F25" s="55"/>
      <c r="G25" s="56"/>
      <c r="H25" s="57" t="n">
        <f aca="false">C25-G25</f>
        <v>0</v>
      </c>
      <c r="I25" s="58" t="n">
        <f aca="false">I24+H25</f>
        <v>0</v>
      </c>
      <c r="J25" s="59"/>
      <c r="K25" s="60"/>
      <c r="L25" s="91" t="n">
        <f aca="false">(IF(H25&lt;0,-H25*$L$7,H25*$L$7))</f>
        <v>0</v>
      </c>
      <c r="M25" s="62" t="n">
        <f aca="false">G25*$M$7</f>
        <v>0</v>
      </c>
      <c r="N25" s="67" t="n">
        <f aca="false">N24</f>
        <v>3990.62068965517</v>
      </c>
      <c r="O25" s="68"/>
      <c r="P25" s="68"/>
      <c r="Q25" s="65" t="s">
        <v>33</v>
      </c>
      <c r="R25" s="66" t="n">
        <f aca="false">G25*J25+L25+M25+N25</f>
        <v>3990.62068965517</v>
      </c>
    </row>
    <row r="26" customFormat="false" ht="20.1" hidden="false" customHeight="true" outlineLevel="0" collapsed="false">
      <c r="A26" s="51" t="n">
        <f aca="false">A25+1</f>
        <v>36575</v>
      </c>
      <c r="B26" s="52"/>
      <c r="C26" s="53"/>
      <c r="D26" s="85" t="n">
        <f aca="false">C26/$W$3</f>
        <v>0</v>
      </c>
      <c r="E26" s="53"/>
      <c r="F26" s="55"/>
      <c r="G26" s="56"/>
      <c r="H26" s="57" t="n">
        <f aca="false">C26-G26</f>
        <v>0</v>
      </c>
      <c r="I26" s="58" t="n">
        <f aca="false">I25+H26</f>
        <v>0</v>
      </c>
      <c r="J26" s="59"/>
      <c r="K26" s="60"/>
      <c r="L26" s="91" t="n">
        <f aca="false">(IF(H26&lt;0,-H26*$L$7,H26*$L$7))</f>
        <v>0</v>
      </c>
      <c r="M26" s="62" t="n">
        <f aca="false">G26*$M$7</f>
        <v>0</v>
      </c>
      <c r="N26" s="67" t="n">
        <f aca="false">N25</f>
        <v>3990.62068965517</v>
      </c>
      <c r="O26" s="68"/>
      <c r="P26" s="68"/>
      <c r="Q26" s="65" t="s">
        <v>33</v>
      </c>
      <c r="R26" s="66" t="n">
        <f aca="false">G26*J26+L26+M26+N26</f>
        <v>3990.62068965517</v>
      </c>
    </row>
    <row r="27" customFormat="false" ht="20.1" hidden="false" customHeight="true" outlineLevel="0" collapsed="false">
      <c r="A27" s="51" t="n">
        <f aca="false">A26+1</f>
        <v>36576</v>
      </c>
      <c r="B27" s="52"/>
      <c r="C27" s="53"/>
      <c r="D27" s="85" t="n">
        <f aca="false">C27/$W$3</f>
        <v>0</v>
      </c>
      <c r="E27" s="53"/>
      <c r="F27" s="55"/>
      <c r="G27" s="56"/>
      <c r="H27" s="57" t="n">
        <f aca="false">C27-G27</f>
        <v>0</v>
      </c>
      <c r="I27" s="58" t="n">
        <f aca="false">I26+H27</f>
        <v>0</v>
      </c>
      <c r="J27" s="59"/>
      <c r="K27" s="60"/>
      <c r="L27" s="91" t="n">
        <f aca="false">(IF(H27&lt;0,-H27*$L$7,H27*$L$7))</f>
        <v>0</v>
      </c>
      <c r="M27" s="62" t="n">
        <f aca="false">G27*$M$7</f>
        <v>0</v>
      </c>
      <c r="N27" s="67" t="n">
        <f aca="false">N26</f>
        <v>3990.62068965517</v>
      </c>
      <c r="O27" s="68"/>
      <c r="P27" s="68"/>
      <c r="Q27" s="65" t="s">
        <v>33</v>
      </c>
      <c r="R27" s="66" t="n">
        <f aca="false">G27*J27+L27+M27+N27</f>
        <v>3990.62068965517</v>
      </c>
    </row>
    <row r="28" customFormat="false" ht="20.1" hidden="false" customHeight="true" outlineLevel="0" collapsed="false">
      <c r="A28" s="51" t="n">
        <f aca="false">A27+1</f>
        <v>36577</v>
      </c>
      <c r="B28" s="52"/>
      <c r="C28" s="53"/>
      <c r="D28" s="85" t="n">
        <f aca="false">C28/$W$3</f>
        <v>0</v>
      </c>
      <c r="E28" s="94"/>
      <c r="F28" s="55"/>
      <c r="G28" s="56"/>
      <c r="H28" s="57" t="n">
        <f aca="false">C28-G28</f>
        <v>0</v>
      </c>
      <c r="I28" s="58" t="n">
        <f aca="false">I27+H28</f>
        <v>0</v>
      </c>
      <c r="J28" s="59"/>
      <c r="K28" s="60"/>
      <c r="L28" s="91" t="n">
        <f aca="false">(IF(H28&lt;0,-H28*$L$7,H28*$L$7))</f>
        <v>0</v>
      </c>
      <c r="M28" s="62" t="n">
        <f aca="false">G28*$M$7</f>
        <v>0</v>
      </c>
      <c r="N28" s="67" t="n">
        <f aca="false">N27</f>
        <v>3990.62068965517</v>
      </c>
      <c r="O28" s="68"/>
      <c r="P28" s="68"/>
      <c r="Q28" s="65" t="s">
        <v>33</v>
      </c>
      <c r="R28" s="66" t="n">
        <f aca="false">G28*J28+L28+M28+N28</f>
        <v>3990.62068965517</v>
      </c>
    </row>
    <row r="29" customFormat="false" ht="20.1" hidden="false" customHeight="true" outlineLevel="0" collapsed="false">
      <c r="A29" s="51" t="n">
        <f aca="false">A28+1</f>
        <v>36578</v>
      </c>
      <c r="B29" s="52"/>
      <c r="C29" s="53"/>
      <c r="D29" s="85" t="n">
        <f aca="false">C29/$W$3</f>
        <v>0</v>
      </c>
      <c r="E29" s="53"/>
      <c r="F29" s="55"/>
      <c r="G29" s="56"/>
      <c r="H29" s="57" t="n">
        <f aca="false">C29-G29</f>
        <v>0</v>
      </c>
      <c r="I29" s="58" t="n">
        <f aca="false">I28+H29</f>
        <v>0</v>
      </c>
      <c r="J29" s="59"/>
      <c r="K29" s="60"/>
      <c r="L29" s="91" t="n">
        <f aca="false">(IF(H29&lt;0,-H29*$L$7,H29*$L$7))</f>
        <v>0</v>
      </c>
      <c r="M29" s="62" t="n">
        <f aca="false">G29*$M$7</f>
        <v>0</v>
      </c>
      <c r="N29" s="67" t="n">
        <f aca="false">N28</f>
        <v>3990.62068965517</v>
      </c>
      <c r="O29" s="68"/>
      <c r="P29" s="68"/>
      <c r="Q29" s="65" t="s">
        <v>33</v>
      </c>
      <c r="R29" s="66" t="n">
        <f aca="false">G29*J29+L29+M29+N29</f>
        <v>3990.62068965517</v>
      </c>
    </row>
    <row r="30" customFormat="false" ht="20.1" hidden="false" customHeight="true" outlineLevel="0" collapsed="false">
      <c r="A30" s="51" t="n">
        <f aca="false">A29+1</f>
        <v>36579</v>
      </c>
      <c r="B30" s="52"/>
      <c r="C30" s="53"/>
      <c r="D30" s="85" t="n">
        <f aca="false">C30/$W$3</f>
        <v>0</v>
      </c>
      <c r="E30" s="53"/>
      <c r="F30" s="55"/>
      <c r="G30" s="56"/>
      <c r="H30" s="57" t="n">
        <f aca="false">C30-G30</f>
        <v>0</v>
      </c>
      <c r="I30" s="58" t="n">
        <f aca="false">I29+H30</f>
        <v>0</v>
      </c>
      <c r="J30" s="59"/>
      <c r="K30" s="60"/>
      <c r="L30" s="91" t="n">
        <f aca="false">(IF(H30&lt;0,-H30*$L$7,H30*$L$7))</f>
        <v>0</v>
      </c>
      <c r="M30" s="62" t="n">
        <f aca="false">G30*$M$7</f>
        <v>0</v>
      </c>
      <c r="N30" s="67" t="n">
        <f aca="false">N29</f>
        <v>3990.62068965517</v>
      </c>
      <c r="O30" s="68"/>
      <c r="P30" s="68"/>
      <c r="Q30" s="65" t="s">
        <v>33</v>
      </c>
      <c r="R30" s="66" t="n">
        <f aca="false">G30*J30+L30+M30+N30</f>
        <v>3990.62068965517</v>
      </c>
    </row>
    <row r="31" customFormat="false" ht="20.1" hidden="false" customHeight="true" outlineLevel="0" collapsed="false">
      <c r="A31" s="51" t="n">
        <f aca="false">A30+1</f>
        <v>36580</v>
      </c>
      <c r="B31" s="52"/>
      <c r="C31" s="53"/>
      <c r="D31" s="85" t="n">
        <f aca="false">C31/$W$3</f>
        <v>0</v>
      </c>
      <c r="E31" s="53"/>
      <c r="F31" s="55"/>
      <c r="G31" s="56"/>
      <c r="H31" s="57" t="n">
        <f aca="false">C31-G31</f>
        <v>0</v>
      </c>
      <c r="I31" s="58" t="n">
        <f aca="false">I30+H31</f>
        <v>0</v>
      </c>
      <c r="J31" s="59"/>
      <c r="K31" s="60"/>
      <c r="L31" s="91" t="n">
        <f aca="false">(IF(H31&lt;0,-H31*$L$7,H31*$L$7))</f>
        <v>0</v>
      </c>
      <c r="M31" s="62" t="n">
        <f aca="false">G31*$M$7</f>
        <v>0</v>
      </c>
      <c r="N31" s="67" t="n">
        <f aca="false">N30</f>
        <v>3990.62068965517</v>
      </c>
      <c r="O31" s="68"/>
      <c r="P31" s="68"/>
      <c r="Q31" s="65" t="s">
        <v>33</v>
      </c>
      <c r="R31" s="66" t="n">
        <f aca="false">G31*J31+L31+M31+N31</f>
        <v>3990.62068965517</v>
      </c>
    </row>
    <row r="32" customFormat="false" ht="20.1" hidden="false" customHeight="true" outlineLevel="0" collapsed="false">
      <c r="A32" s="51" t="n">
        <f aca="false">A31+1</f>
        <v>36581</v>
      </c>
      <c r="B32" s="52"/>
      <c r="C32" s="53"/>
      <c r="D32" s="85" t="n">
        <f aca="false">C32/$W$3</f>
        <v>0</v>
      </c>
      <c r="E32" s="53"/>
      <c r="F32" s="55"/>
      <c r="G32" s="56"/>
      <c r="H32" s="57" t="n">
        <f aca="false">C32-G32</f>
        <v>0</v>
      </c>
      <c r="I32" s="58" t="n">
        <f aca="false">I31+H32</f>
        <v>0</v>
      </c>
      <c r="J32" s="95"/>
      <c r="K32" s="96"/>
      <c r="L32" s="91" t="n">
        <f aca="false">(IF(H32&lt;0,-H32*$L$7,H32*$L$7))</f>
        <v>0</v>
      </c>
      <c r="M32" s="62" t="n">
        <f aca="false">G32*$M$7</f>
        <v>0</v>
      </c>
      <c r="N32" s="67" t="n">
        <f aca="false">N31</f>
        <v>3990.62068965517</v>
      </c>
      <c r="O32" s="68"/>
      <c r="P32" s="68"/>
      <c r="Q32" s="65" t="s">
        <v>33</v>
      </c>
      <c r="R32" s="66" t="n">
        <f aca="false">G32*J32+L32+M32+N32</f>
        <v>3990.62068965517</v>
      </c>
    </row>
    <row r="33" customFormat="false" ht="20.1" hidden="false" customHeight="true" outlineLevel="0" collapsed="false">
      <c r="A33" s="51" t="n">
        <f aca="false">A32+1</f>
        <v>36582</v>
      </c>
      <c r="B33" s="52"/>
      <c r="C33" s="53"/>
      <c r="D33" s="85" t="n">
        <f aca="false">C33/$W$3</f>
        <v>0</v>
      </c>
      <c r="E33" s="53"/>
      <c r="F33" s="55"/>
      <c r="G33" s="56"/>
      <c r="H33" s="57" t="n">
        <f aca="false">C33-G33</f>
        <v>0</v>
      </c>
      <c r="I33" s="58" t="n">
        <f aca="false">I32+H33</f>
        <v>0</v>
      </c>
      <c r="J33" s="59"/>
      <c r="K33" s="60"/>
      <c r="L33" s="91" t="n">
        <f aca="false">(IF(H33&lt;0,-H33*$L$7,H33*$L$7))</f>
        <v>0</v>
      </c>
      <c r="M33" s="62" t="n">
        <f aca="false">G33*$M$7</f>
        <v>0</v>
      </c>
      <c r="N33" s="67" t="n">
        <f aca="false">N32</f>
        <v>3990.62068965517</v>
      </c>
      <c r="O33" s="68"/>
      <c r="P33" s="68"/>
      <c r="Q33" s="65" t="s">
        <v>33</v>
      </c>
      <c r="R33" s="66" t="n">
        <f aca="false">G33*J33+L33+M33+N33</f>
        <v>3990.62068965517</v>
      </c>
    </row>
    <row r="34" customFormat="false" ht="20.1" hidden="false" customHeight="true" outlineLevel="0" collapsed="false">
      <c r="A34" s="51" t="n">
        <f aca="false">A33+1</f>
        <v>36583</v>
      </c>
      <c r="B34" s="52"/>
      <c r="C34" s="53"/>
      <c r="D34" s="85" t="n">
        <f aca="false">C34/$W$3</f>
        <v>0</v>
      </c>
      <c r="E34" s="53"/>
      <c r="F34" s="55"/>
      <c r="G34" s="56"/>
      <c r="H34" s="57" t="n">
        <f aca="false">C34-G34</f>
        <v>0</v>
      </c>
      <c r="I34" s="58" t="n">
        <f aca="false">I33+H34</f>
        <v>0</v>
      </c>
      <c r="J34" s="59"/>
      <c r="K34" s="60"/>
      <c r="L34" s="91" t="n">
        <f aca="false">(IF(H34&lt;0,-H34*$L$7,H34*$L$7))</f>
        <v>0</v>
      </c>
      <c r="M34" s="62" t="n">
        <f aca="false">G34*$M$7</f>
        <v>0</v>
      </c>
      <c r="N34" s="67" t="n">
        <f aca="false">N33</f>
        <v>3990.62068965517</v>
      </c>
      <c r="O34" s="68"/>
      <c r="P34" s="68"/>
      <c r="Q34" s="65" t="s">
        <v>33</v>
      </c>
      <c r="R34" s="66" t="n">
        <f aca="false">G34*J34+L34+M34+N34</f>
        <v>3990.62068965517</v>
      </c>
    </row>
    <row r="35" customFormat="false" ht="20.1" hidden="false" customHeight="true" outlineLevel="0" collapsed="false">
      <c r="A35" s="51" t="n">
        <f aca="false">A34+1</f>
        <v>36584</v>
      </c>
      <c r="B35" s="52"/>
      <c r="C35" s="53"/>
      <c r="D35" s="85" t="n">
        <f aca="false">C35/$W$3</f>
        <v>0</v>
      </c>
      <c r="E35" s="53"/>
      <c r="F35" s="55"/>
      <c r="G35" s="56"/>
      <c r="H35" s="57" t="n">
        <f aca="false">C35-G35</f>
        <v>0</v>
      </c>
      <c r="I35" s="58" t="n">
        <f aca="false">I34+H35</f>
        <v>0</v>
      </c>
      <c r="J35" s="59"/>
      <c r="K35" s="60"/>
      <c r="L35" s="91" t="n">
        <f aca="false">(IF(H35&lt;0,-H35*$L$7,H35*$L$7))</f>
        <v>0</v>
      </c>
      <c r="M35" s="62" t="n">
        <f aca="false">G35*$M$7</f>
        <v>0</v>
      </c>
      <c r="N35" s="67" t="n">
        <f aca="false">N34</f>
        <v>3990.62068965517</v>
      </c>
      <c r="O35" s="68"/>
      <c r="P35" s="68"/>
      <c r="Q35" s="65" t="s">
        <v>33</v>
      </c>
      <c r="R35" s="66" t="n">
        <f aca="false">G35*J35+L35+M35+N35</f>
        <v>3990.62068965517</v>
      </c>
    </row>
    <row r="36" customFormat="false" ht="20.1" hidden="false" customHeight="true" outlineLevel="0" collapsed="false">
      <c r="A36" s="51" t="n">
        <f aca="false">A35+1</f>
        <v>36585</v>
      </c>
      <c r="B36" s="52"/>
      <c r="C36" s="53"/>
      <c r="D36" s="85" t="n">
        <f aca="false">C36/$W$3</f>
        <v>0</v>
      </c>
      <c r="E36" s="53"/>
      <c r="F36" s="55"/>
      <c r="G36" s="56"/>
      <c r="H36" s="57" t="n">
        <f aca="false">C36-G36</f>
        <v>0</v>
      </c>
      <c r="I36" s="58" t="n">
        <f aca="false">I35+H36</f>
        <v>0</v>
      </c>
      <c r="J36" s="59"/>
      <c r="K36" s="60"/>
      <c r="L36" s="91" t="n">
        <f aca="false">(IF(H36&lt;0,-H36*$L$7,H36*$L$7))</f>
        <v>0</v>
      </c>
      <c r="M36" s="62" t="n">
        <f aca="false">G36*$M$7</f>
        <v>0</v>
      </c>
      <c r="N36" s="67" t="n">
        <f aca="false">N35</f>
        <v>3990.62068965517</v>
      </c>
      <c r="O36" s="68"/>
      <c r="P36" s="68"/>
      <c r="Q36" s="65" t="s">
        <v>33</v>
      </c>
      <c r="R36" s="66" t="n">
        <f aca="false">G36*J36+L36+M36+N36</f>
        <v>3990.62068965517</v>
      </c>
    </row>
    <row r="37" customFormat="false" ht="20.1" hidden="false" customHeight="true" outlineLevel="0" collapsed="false">
      <c r="A37" s="108"/>
      <c r="B37" s="109"/>
      <c r="C37" s="110"/>
      <c r="D37" s="111"/>
      <c r="E37" s="112"/>
      <c r="F37" s="110"/>
      <c r="G37" s="110"/>
      <c r="H37" s="110"/>
      <c r="I37" s="110"/>
      <c r="J37" s="113"/>
      <c r="K37" s="113"/>
      <c r="L37" s="113"/>
      <c r="M37" s="110"/>
      <c r="N37" s="110"/>
      <c r="O37" s="114"/>
      <c r="P37" s="114"/>
      <c r="Q37" s="115"/>
      <c r="R37" s="110"/>
    </row>
    <row r="38" customFormat="false" ht="20.1" hidden="false" customHeight="true" outlineLevel="0" collapsed="false">
      <c r="A38" s="116" t="s">
        <v>34</v>
      </c>
      <c r="B38" s="117" t="n">
        <f aca="false">SUM(B8:B36)</f>
        <v>0</v>
      </c>
      <c r="C38" s="118" t="n">
        <f aca="false">SUM(C8:C36)</f>
        <v>0</v>
      </c>
      <c r="D38" s="119"/>
      <c r="E38" s="120" t="n">
        <f aca="false">SUM(E8:E36)</f>
        <v>0</v>
      </c>
      <c r="F38" s="121" t="n">
        <f aca="false">SUM(F8:F36)</f>
        <v>0</v>
      </c>
      <c r="G38" s="118" t="n">
        <f aca="false">SUM(G8:G36)</f>
        <v>0</v>
      </c>
      <c r="H38" s="122"/>
      <c r="I38" s="122"/>
      <c r="J38" s="123"/>
      <c r="K38" s="123"/>
      <c r="L38" s="124" t="n">
        <f aca="false">SUM(L8:L36)</f>
        <v>0</v>
      </c>
      <c r="M38" s="124" t="n">
        <f aca="false">SUM(M8:M36)</f>
        <v>0</v>
      </c>
      <c r="N38" s="124" t="n">
        <f aca="false">N6*N7</f>
        <v>115728</v>
      </c>
      <c r="O38" s="125"/>
      <c r="P38" s="125"/>
      <c r="Q38" s="122"/>
      <c r="R38" s="126" t="n">
        <f aca="false">SUM(R8:R36)</f>
        <v>115728</v>
      </c>
    </row>
    <row r="39" customFormat="false" ht="20.1" hidden="false" customHeight="true" outlineLevel="0" collapsed="false">
      <c r="A39" s="127"/>
      <c r="B39" s="128"/>
      <c r="C39" s="128"/>
      <c r="D39" s="128"/>
      <c r="E39" s="129"/>
      <c r="F39" s="129"/>
      <c r="G39" s="129"/>
      <c r="H39" s="129"/>
      <c r="I39" s="129"/>
      <c r="J39" s="129"/>
      <c r="K39" s="129"/>
      <c r="L39" s="128"/>
      <c r="M39" s="129"/>
      <c r="N39" s="129"/>
      <c r="O39" s="129"/>
      <c r="P39" s="129"/>
      <c r="Q39" s="129"/>
      <c r="R39" s="129"/>
    </row>
    <row r="40" customFormat="false" ht="21" hidden="false" customHeight="true" outlineLevel="0" collapsed="false">
      <c r="A40" s="130"/>
      <c r="B40" s="131"/>
      <c r="C40" s="128"/>
      <c r="D40" s="128"/>
      <c r="E40" s="129"/>
      <c r="F40" s="132" t="s">
        <v>35</v>
      </c>
      <c r="G40" s="133" t="n">
        <f aca="false">'Jan 2000'!G42+'Feb 2000'!G38</f>
        <v>0</v>
      </c>
      <c r="H40" s="134" t="s">
        <v>27</v>
      </c>
      <c r="J40" s="129"/>
      <c r="K40" s="129"/>
      <c r="L40" s="129"/>
      <c r="M40" s="129"/>
      <c r="N40" s="129"/>
      <c r="O40" s="129"/>
      <c r="P40" s="129"/>
      <c r="Q40" s="135" t="s">
        <v>36</v>
      </c>
      <c r="R40" s="136" t="n">
        <v>5854.83</v>
      </c>
      <c r="S40" s="137"/>
    </row>
    <row r="41" customFormat="false" ht="21" hidden="false" customHeight="true" outlineLevel="0" collapsed="false">
      <c r="A41" s="127"/>
      <c r="B41" s="131" t="s">
        <v>37</v>
      </c>
      <c r="C41" s="128"/>
      <c r="D41" s="128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35" t="s">
        <v>38</v>
      </c>
      <c r="R41" s="138" t="n">
        <f aca="false">R38-R42-R43-R44-R45-R51-R52</f>
        <v>0</v>
      </c>
      <c r="S41" s="139"/>
    </row>
    <row r="42" customFormat="false" ht="21" hidden="false" customHeight="true" outlineLevel="0" collapsed="false">
      <c r="A42" s="127"/>
      <c r="B42" s="140"/>
      <c r="C42" s="141"/>
      <c r="D42" s="141"/>
      <c r="E42" s="142"/>
      <c r="F42" s="142"/>
      <c r="G42" s="142"/>
      <c r="H42" s="142"/>
      <c r="I42" s="140" t="s">
        <v>39</v>
      </c>
      <c r="J42" s="142"/>
      <c r="K42" s="142"/>
      <c r="L42" s="129"/>
      <c r="M42" s="129"/>
      <c r="N42" s="129"/>
      <c r="O42" s="129"/>
      <c r="P42" s="142"/>
      <c r="Q42" s="135" t="s">
        <v>40</v>
      </c>
      <c r="R42" s="138" t="n">
        <f aca="false">(G38*0.05)</f>
        <v>0</v>
      </c>
      <c r="S42" s="139"/>
    </row>
    <row r="43" customFormat="false" ht="21" hidden="false" customHeight="true" outlineLevel="0" collapsed="false">
      <c r="A43" s="127"/>
      <c r="B43" s="140" t="s">
        <v>41</v>
      </c>
      <c r="C43" s="141" t="n">
        <f aca="true">NOW()</f>
        <v>45926.9497135272</v>
      </c>
      <c r="D43" s="141"/>
      <c r="E43" s="142"/>
      <c r="F43" s="142"/>
      <c r="G43" s="142"/>
      <c r="H43" s="142"/>
      <c r="I43" s="142"/>
      <c r="J43" s="140" t="s">
        <v>42</v>
      </c>
      <c r="K43" s="140"/>
      <c r="L43" s="129"/>
      <c r="M43" s="129"/>
      <c r="N43" s="129"/>
      <c r="O43" s="129"/>
      <c r="P43" s="142"/>
      <c r="Q43" s="135" t="s">
        <v>43</v>
      </c>
      <c r="R43" s="138" t="n">
        <v>0</v>
      </c>
      <c r="S43" s="139"/>
    </row>
    <row r="44" customFormat="false" ht="21" hidden="false" customHeight="true" outlineLevel="0" collapsed="false">
      <c r="A44" s="127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29"/>
      <c r="M44" s="129"/>
      <c r="N44" s="129"/>
      <c r="O44" s="129"/>
      <c r="P44" s="129"/>
      <c r="Q44" s="135" t="s">
        <v>44</v>
      </c>
      <c r="R44" s="138" t="n">
        <v>0</v>
      </c>
      <c r="S44" s="143"/>
    </row>
    <row r="45" customFormat="false" ht="21" hidden="false" customHeight="true" outlineLevel="0" collapsed="false">
      <c r="D45" s="144"/>
      <c r="E45" s="144"/>
      <c r="F45" s="144"/>
      <c r="G45" s="144"/>
      <c r="H45" s="144"/>
      <c r="I45" s="144"/>
      <c r="J45" s="144"/>
      <c r="Q45" s="135" t="s">
        <v>45</v>
      </c>
      <c r="R45" s="145" t="n">
        <f aca="false">L38</f>
        <v>0</v>
      </c>
      <c r="S45" s="146"/>
    </row>
    <row r="46" customFormat="false" ht="21" hidden="false" customHeight="true" outlineLevel="0" collapsed="false">
      <c r="D46" s="147"/>
      <c r="E46" s="148"/>
      <c r="F46" s="148"/>
      <c r="G46" s="148"/>
      <c r="H46" s="148"/>
      <c r="I46" s="148"/>
      <c r="J46" s="148"/>
      <c r="Q46" s="135" t="s">
        <v>46</v>
      </c>
      <c r="R46" s="149" t="n">
        <v>0</v>
      </c>
      <c r="S46" s="146"/>
    </row>
    <row r="47" customFormat="false" ht="21" hidden="false" customHeight="true" outlineLevel="0" collapsed="false">
      <c r="D47" s="147"/>
      <c r="E47" s="148"/>
      <c r="F47" s="148"/>
      <c r="G47" s="148"/>
      <c r="H47" s="148"/>
      <c r="I47" s="148"/>
      <c r="J47" s="148"/>
      <c r="Q47" s="135" t="s">
        <v>47</v>
      </c>
      <c r="R47" s="149" t="n">
        <v>0</v>
      </c>
      <c r="S47" s="146"/>
    </row>
    <row r="48" customFormat="false" ht="21" hidden="false" customHeight="true" outlineLevel="0" collapsed="false">
      <c r="D48" s="147"/>
      <c r="E48" s="148"/>
      <c r="F48" s="148"/>
      <c r="G48" s="148"/>
      <c r="H48" s="148"/>
      <c r="I48" s="148"/>
      <c r="J48" s="148"/>
      <c r="Q48" s="150" t="s">
        <v>48</v>
      </c>
      <c r="R48" s="151" t="n">
        <v>0</v>
      </c>
      <c r="S48" s="146"/>
    </row>
    <row r="49" customFormat="false" ht="21" hidden="false" customHeight="true" outlineLevel="0" collapsed="false">
      <c r="Q49" s="152" t="s">
        <v>49</v>
      </c>
      <c r="R49" s="153" t="n">
        <f aca="false">SUM(R40:R48)</f>
        <v>5854.83</v>
      </c>
      <c r="S49" s="146"/>
    </row>
    <row r="50" customFormat="false" ht="21" hidden="false" customHeight="true" outlineLevel="0" collapsed="false">
      <c r="Q50" s="135"/>
      <c r="R50" s="145"/>
      <c r="S50" s="146"/>
    </row>
    <row r="51" customFormat="false" ht="21" hidden="false" customHeight="true" outlineLevel="0" collapsed="false">
      <c r="N51" s="154" t="s">
        <v>50</v>
      </c>
      <c r="O51" s="129"/>
      <c r="Q51" s="135" t="s">
        <v>51</v>
      </c>
      <c r="R51" s="145" t="n">
        <f aca="false">N38</f>
        <v>115728</v>
      </c>
      <c r="S51" s="146"/>
    </row>
    <row r="52" customFormat="false" ht="21" hidden="false" customHeight="true" outlineLevel="0" collapsed="false">
      <c r="N52" s="154" t="s">
        <v>52</v>
      </c>
      <c r="Q52" s="135" t="s">
        <v>53</v>
      </c>
      <c r="R52" s="145" t="n">
        <f aca="false">G38*0.0154</f>
        <v>0</v>
      </c>
      <c r="S52" s="146"/>
    </row>
    <row r="53" customFormat="false" ht="16.5" hidden="false" customHeight="false" outlineLevel="0" collapsed="false">
      <c r="N53" s="154" t="s">
        <v>54</v>
      </c>
      <c r="Q53" s="150" t="s">
        <v>55</v>
      </c>
      <c r="R53" s="136" t="n">
        <v>0</v>
      </c>
    </row>
    <row r="54" customFormat="false" ht="21" hidden="false" customHeight="true" outlineLevel="0" collapsed="false">
      <c r="Q54" s="16" t="s">
        <v>56</v>
      </c>
      <c r="R54" s="155" t="n">
        <f aca="false">R49+R51+R52+R53</f>
        <v>121582.83</v>
      </c>
    </row>
    <row r="55" customFormat="false" ht="17.25" hidden="false" customHeight="false" outlineLevel="0" collapsed="false"/>
  </sheetData>
  <mergeCells count="54">
    <mergeCell ref="A1:O1"/>
    <mergeCell ref="P1:Q1"/>
    <mergeCell ref="B3:D3"/>
    <mergeCell ref="E3:G3"/>
    <mergeCell ref="H3:I3"/>
    <mergeCell ref="J3:N3"/>
    <mergeCell ref="O3:Q3"/>
    <mergeCell ref="R3:R7"/>
    <mergeCell ref="A4:A6"/>
    <mergeCell ref="B4:B6"/>
    <mergeCell ref="C4:C6"/>
    <mergeCell ref="D4:D6"/>
    <mergeCell ref="E4:E6"/>
    <mergeCell ref="F4:G6"/>
    <mergeCell ref="H4:H6"/>
    <mergeCell ref="I4:I6"/>
    <mergeCell ref="J4:J6"/>
    <mergeCell ref="K4:K6"/>
    <mergeCell ref="L4:L6"/>
    <mergeCell ref="M4:N4"/>
    <mergeCell ref="O4:P7"/>
    <mergeCell ref="Q4:Q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D45:J45"/>
  </mergeCells>
  <printOptions headings="false" gridLines="false" gridLinesSet="true" horizontalCentered="false" verticalCentered="false"/>
  <pageMargins left="0.35" right="0.309722222222222" top="0.370138888888889" bottom="0.3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5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7" topLeftCell="B29" activePane="bottomRight" state="frozen"/>
      <selection pane="topLeft" activeCell="A1" activeCellId="0" sqref="A1"/>
      <selection pane="topRight" activeCell="B1" activeCellId="0" sqref="B1"/>
      <selection pane="bottomLeft" activeCell="A29" activeCellId="0" sqref="A29"/>
      <selection pane="bottomRight" activeCell="J28" activeCellId="0" sqref="J28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4" min="2" style="2" width="13.99"/>
    <col collapsed="false" customWidth="true" hidden="false" outlineLevel="0" max="5" min="5" style="2" width="14.14"/>
    <col collapsed="false" customWidth="true" hidden="false" outlineLevel="0" max="6" min="6" style="2" width="13.7"/>
    <col collapsed="false" customWidth="true" hidden="false" outlineLevel="0" max="7" min="7" style="2" width="13.85"/>
    <col collapsed="false" customWidth="true" hidden="false" outlineLevel="0" max="8" min="8" style="2" width="13.7"/>
    <col collapsed="false" customWidth="true" hidden="false" outlineLevel="0" max="9" min="9" style="2" width="14.28"/>
    <col collapsed="false" customWidth="true" hidden="false" outlineLevel="0" max="10" min="10" style="2" width="15.7"/>
    <col collapsed="false" customWidth="true" hidden="false" outlineLevel="0" max="11" min="11" style="2" width="4.7"/>
    <col collapsed="false" customWidth="true" hidden="false" outlineLevel="0" max="12" min="12" style="2" width="14.7"/>
    <col collapsed="false" customWidth="true" hidden="false" outlineLevel="0" max="13" min="13" style="2" width="16.99"/>
    <col collapsed="false" customWidth="true" hidden="false" outlineLevel="0" max="14" min="14" style="2" width="16.84"/>
    <col collapsed="false" customWidth="true" hidden="false" outlineLevel="0" max="15" min="15" style="2" width="18.56"/>
    <col collapsed="false" customWidth="true" hidden="false" outlineLevel="0" max="16" min="16" style="2" width="15.13"/>
    <col collapsed="false" customWidth="true" hidden="false" outlineLevel="0" max="17" min="17" style="2" width="16.84"/>
    <col collapsed="false" customWidth="true" hidden="false" outlineLevel="0" max="18" min="18" style="2" width="24.85"/>
    <col collapsed="false" customWidth="true" hidden="false" outlineLevel="0" max="19" min="19" style="2" width="24.7"/>
    <col collapsed="false" customWidth="false" hidden="false" outlineLevel="0" max="22" min="20" style="2" width="9.14"/>
    <col collapsed="false" customWidth="true" hidden="false" outlineLevel="0" max="23" min="23" style="2" width="9.41"/>
    <col collapsed="false" customWidth="true" hidden="false" outlineLevel="0" max="24" min="24" style="2" width="11.28"/>
    <col collapsed="false" customWidth="false" hidden="false" outlineLevel="0" max="257" min="25" style="2" width="9.14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 t="n">
        <f aca="false">A4</f>
        <v>36586</v>
      </c>
      <c r="Q1" s="4"/>
      <c r="R1" s="5"/>
      <c r="S1" s="5"/>
    </row>
    <row r="2" customFormat="false" ht="17.25" hidden="false" customHeight="false" outlineLevel="0" collapsed="false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8"/>
      <c r="R2" s="9"/>
    </row>
    <row r="3" customFormat="false" ht="15.75" hidden="false" customHeight="true" outlineLevel="0" collapsed="false">
      <c r="A3" s="10"/>
      <c r="B3" s="11" t="s">
        <v>1</v>
      </c>
      <c r="C3" s="11"/>
      <c r="D3" s="11"/>
      <c r="E3" s="12" t="s">
        <v>2</v>
      </c>
      <c r="F3" s="12"/>
      <c r="G3" s="12"/>
      <c r="H3" s="13" t="s">
        <v>3</v>
      </c>
      <c r="I3" s="13"/>
      <c r="J3" s="13" t="s">
        <v>4</v>
      </c>
      <c r="K3" s="13"/>
      <c r="L3" s="13"/>
      <c r="M3" s="13"/>
      <c r="N3" s="13"/>
      <c r="O3" s="14" t="s">
        <v>5</v>
      </c>
      <c r="P3" s="14"/>
      <c r="Q3" s="14"/>
      <c r="R3" s="15" t="s">
        <v>6</v>
      </c>
      <c r="V3" s="16" t="s">
        <v>7</v>
      </c>
      <c r="W3" s="17" t="n">
        <v>0.97884</v>
      </c>
      <c r="X3" s="18" t="s">
        <v>8</v>
      </c>
    </row>
    <row r="4" customFormat="false" ht="18" hidden="false" customHeight="true" outlineLevel="0" collapsed="false">
      <c r="A4" s="19" t="n">
        <v>36586</v>
      </c>
      <c r="B4" s="20" t="s">
        <v>9</v>
      </c>
      <c r="C4" s="20" t="s">
        <v>10</v>
      </c>
      <c r="D4" s="21" t="s">
        <v>11</v>
      </c>
      <c r="E4" s="22" t="s">
        <v>12</v>
      </c>
      <c r="F4" s="23" t="s">
        <v>13</v>
      </c>
      <c r="G4" s="23"/>
      <c r="H4" s="24" t="s">
        <v>14</v>
      </c>
      <c r="I4" s="25" t="s">
        <v>15</v>
      </c>
      <c r="J4" s="26" t="s">
        <v>16</v>
      </c>
      <c r="K4" s="27"/>
      <c r="L4" s="28" t="s">
        <v>17</v>
      </c>
      <c r="M4" s="29" t="s">
        <v>18</v>
      </c>
      <c r="N4" s="29"/>
      <c r="O4" s="30" t="s">
        <v>19</v>
      </c>
      <c r="P4" s="30"/>
      <c r="Q4" s="31" t="s">
        <v>20</v>
      </c>
      <c r="R4" s="15"/>
      <c r="V4" s="16" t="s">
        <v>21</v>
      </c>
      <c r="W4" s="32" t="n">
        <v>0.05</v>
      </c>
    </row>
    <row r="5" customFormat="false" ht="17.25" hidden="false" customHeight="true" outlineLevel="0" collapsed="false">
      <c r="A5" s="19"/>
      <c r="B5" s="20"/>
      <c r="C5" s="20"/>
      <c r="D5" s="21"/>
      <c r="E5" s="22"/>
      <c r="F5" s="23"/>
      <c r="G5" s="23"/>
      <c r="H5" s="24"/>
      <c r="I5" s="25"/>
      <c r="J5" s="26"/>
      <c r="K5" s="27"/>
      <c r="L5" s="28"/>
      <c r="M5" s="33" t="s">
        <v>22</v>
      </c>
      <c r="N5" s="34" t="s">
        <v>23</v>
      </c>
      <c r="O5" s="30"/>
      <c r="P5" s="30"/>
      <c r="Q5" s="31"/>
      <c r="R5" s="15"/>
      <c r="V5" s="16" t="s">
        <v>24</v>
      </c>
      <c r="W5" s="32" t="n">
        <v>0.03</v>
      </c>
    </row>
    <row r="6" customFormat="false" ht="16.5" hidden="false" customHeight="true" outlineLevel="0" collapsed="false">
      <c r="A6" s="19"/>
      <c r="B6" s="20"/>
      <c r="C6" s="20"/>
      <c r="D6" s="21"/>
      <c r="E6" s="22"/>
      <c r="F6" s="23"/>
      <c r="G6" s="23"/>
      <c r="H6" s="24"/>
      <c r="I6" s="25"/>
      <c r="J6" s="26"/>
      <c r="K6" s="27"/>
      <c r="L6" s="28"/>
      <c r="M6" s="35"/>
      <c r="N6" s="36" t="n">
        <v>40000</v>
      </c>
      <c r="O6" s="30"/>
      <c r="P6" s="30"/>
      <c r="Q6" s="31"/>
      <c r="R6" s="15"/>
      <c r="T6" s="37" t="s">
        <v>25</v>
      </c>
      <c r="U6" s="16"/>
    </row>
    <row r="7" customFormat="false" ht="15" hidden="false" customHeight="true" outlineLevel="0" collapsed="false">
      <c r="A7" s="38" t="s">
        <v>26</v>
      </c>
      <c r="B7" s="39" t="s">
        <v>27</v>
      </c>
      <c r="C7" s="40" t="s">
        <v>27</v>
      </c>
      <c r="D7" s="41" t="s">
        <v>27</v>
      </c>
      <c r="E7" s="42" t="s">
        <v>27</v>
      </c>
      <c r="F7" s="43" t="s">
        <v>28</v>
      </c>
      <c r="G7" s="44" t="s">
        <v>29</v>
      </c>
      <c r="H7" s="45" t="s">
        <v>30</v>
      </c>
      <c r="I7" s="40" t="s">
        <v>30</v>
      </c>
      <c r="J7" s="46" t="s">
        <v>31</v>
      </c>
      <c r="K7" s="47"/>
      <c r="L7" s="48" t="n">
        <v>0.0415</v>
      </c>
      <c r="M7" s="49" t="n">
        <v>0.0154</v>
      </c>
      <c r="N7" s="49" t="n">
        <f aca="false">2.8932</f>
        <v>2.8932</v>
      </c>
      <c r="O7" s="30"/>
      <c r="P7" s="30"/>
      <c r="Q7" s="31"/>
      <c r="R7" s="15"/>
      <c r="T7" s="50"/>
      <c r="U7" s="50" t="s">
        <v>32</v>
      </c>
    </row>
    <row r="8" customFormat="false" ht="20.1" hidden="false" customHeight="true" outlineLevel="0" collapsed="false">
      <c r="A8" s="51" t="n">
        <f aca="false">A4</f>
        <v>36586</v>
      </c>
      <c r="B8" s="52"/>
      <c r="C8" s="53"/>
      <c r="D8" s="54" t="n">
        <f aca="false">C8/$W$3</f>
        <v>0</v>
      </c>
      <c r="E8" s="53"/>
      <c r="F8" s="55"/>
      <c r="G8" s="56"/>
      <c r="H8" s="57" t="n">
        <f aca="false">C8-G8</f>
        <v>0</v>
      </c>
      <c r="I8" s="58" t="n">
        <f aca="false">H8</f>
        <v>0</v>
      </c>
      <c r="J8" s="59"/>
      <c r="K8" s="60"/>
      <c r="L8" s="61" t="n">
        <f aca="false">(IF(H8&lt;0,-H8*$L$7,H8*$L$7))</f>
        <v>0</v>
      </c>
      <c r="M8" s="62" t="n">
        <f aca="false">G8*$M$7</f>
        <v>0</v>
      </c>
      <c r="N8" s="63" t="n">
        <f aca="false">(N6*N7)/31</f>
        <v>3733.16129032258</v>
      </c>
      <c r="O8" s="64"/>
      <c r="P8" s="64"/>
      <c r="Q8" s="65" t="s">
        <v>33</v>
      </c>
      <c r="R8" s="66" t="n">
        <f aca="false">G8*J8+L8+M8+N8</f>
        <v>3733.16129032258</v>
      </c>
    </row>
    <row r="9" customFormat="false" ht="20.1" hidden="false" customHeight="true" outlineLevel="0" collapsed="false">
      <c r="A9" s="51" t="n">
        <f aca="false">A8+1</f>
        <v>36587</v>
      </c>
      <c r="B9" s="52"/>
      <c r="C9" s="53"/>
      <c r="D9" s="54" t="n">
        <f aca="false">C9/$W$3</f>
        <v>0</v>
      </c>
      <c r="E9" s="53"/>
      <c r="F9" s="55"/>
      <c r="G9" s="56"/>
      <c r="H9" s="57" t="n">
        <f aca="false">C9-G9</f>
        <v>0</v>
      </c>
      <c r="I9" s="58" t="n">
        <f aca="false">I8+H9</f>
        <v>0</v>
      </c>
      <c r="J9" s="59"/>
      <c r="K9" s="60"/>
      <c r="L9" s="61" t="n">
        <f aca="false">(IF(H9&lt;0,-H9*$L$7,H9*$L$7))</f>
        <v>0</v>
      </c>
      <c r="M9" s="62" t="n">
        <f aca="false">G9*$M$7</f>
        <v>0</v>
      </c>
      <c r="N9" s="67" t="n">
        <f aca="false">N8</f>
        <v>3733.16129032258</v>
      </c>
      <c r="O9" s="68"/>
      <c r="P9" s="68"/>
      <c r="Q9" s="65" t="s">
        <v>33</v>
      </c>
      <c r="R9" s="66" t="n">
        <f aca="false">G9*J9+L9+M9+N9</f>
        <v>3733.16129032258</v>
      </c>
    </row>
    <row r="10" customFormat="false" ht="20.1" hidden="false" customHeight="true" outlineLevel="0" collapsed="false">
      <c r="A10" s="51" t="n">
        <f aca="false">A9+1</f>
        <v>36588</v>
      </c>
      <c r="B10" s="52"/>
      <c r="C10" s="53"/>
      <c r="D10" s="54" t="n">
        <f aca="false">C10/$W$3</f>
        <v>0</v>
      </c>
      <c r="E10" s="53"/>
      <c r="F10" s="55"/>
      <c r="G10" s="56"/>
      <c r="H10" s="57" t="n">
        <f aca="false">C10-G10</f>
        <v>0</v>
      </c>
      <c r="I10" s="58" t="n">
        <f aca="false">I9+H10</f>
        <v>0</v>
      </c>
      <c r="J10" s="59"/>
      <c r="K10" s="60"/>
      <c r="L10" s="61" t="n">
        <f aca="false">(IF(H10&lt;0,-H10*$L$7,H10*$L$7))</f>
        <v>0</v>
      </c>
      <c r="M10" s="62" t="n">
        <f aca="false">G10*$M$7</f>
        <v>0</v>
      </c>
      <c r="N10" s="67" t="n">
        <f aca="false">N9</f>
        <v>3733.16129032258</v>
      </c>
      <c r="O10" s="68"/>
      <c r="P10" s="68"/>
      <c r="Q10" s="65" t="s">
        <v>33</v>
      </c>
      <c r="R10" s="66" t="n">
        <f aca="false">G10*J10+L10+M10+N10</f>
        <v>3733.16129032258</v>
      </c>
    </row>
    <row r="11" customFormat="false" ht="20.1" hidden="false" customHeight="true" outlineLevel="0" collapsed="false">
      <c r="A11" s="51" t="n">
        <f aca="false">A10+1</f>
        <v>36589</v>
      </c>
      <c r="B11" s="52"/>
      <c r="C11" s="53"/>
      <c r="D11" s="54" t="n">
        <f aca="false">C11/$W$3</f>
        <v>0</v>
      </c>
      <c r="E11" s="53"/>
      <c r="F11" s="55"/>
      <c r="G11" s="69"/>
      <c r="H11" s="57" t="n">
        <f aca="false">C11-G11</f>
        <v>0</v>
      </c>
      <c r="I11" s="58" t="n">
        <f aca="false">I10+H11</f>
        <v>0</v>
      </c>
      <c r="J11" s="59"/>
      <c r="K11" s="60"/>
      <c r="L11" s="61" t="n">
        <f aca="false">(IF(H11&lt;0,-H11*$L$7,H11*$L$7))</f>
        <v>0</v>
      </c>
      <c r="M11" s="62" t="n">
        <f aca="false">G11*$M$7</f>
        <v>0</v>
      </c>
      <c r="N11" s="67" t="n">
        <f aca="false">N10</f>
        <v>3733.16129032258</v>
      </c>
      <c r="O11" s="68"/>
      <c r="P11" s="68"/>
      <c r="Q11" s="65" t="s">
        <v>33</v>
      </c>
      <c r="R11" s="66" t="n">
        <f aca="false">G11*J11+L11+M11+N11</f>
        <v>3733.16129032258</v>
      </c>
    </row>
    <row r="12" customFormat="false" ht="20.1" hidden="false" customHeight="true" outlineLevel="0" collapsed="false">
      <c r="A12" s="51" t="n">
        <f aca="false">A11+1</f>
        <v>36590</v>
      </c>
      <c r="B12" s="52"/>
      <c r="C12" s="53"/>
      <c r="D12" s="54" t="n">
        <f aca="false">C12/$W$3</f>
        <v>0</v>
      </c>
      <c r="E12" s="53"/>
      <c r="F12" s="70"/>
      <c r="G12" s="69"/>
      <c r="H12" s="57" t="n">
        <f aca="false">C12-G12</f>
        <v>0</v>
      </c>
      <c r="I12" s="58" t="n">
        <f aca="false">I11+H12</f>
        <v>0</v>
      </c>
      <c r="J12" s="59"/>
      <c r="K12" s="60"/>
      <c r="L12" s="61" t="n">
        <f aca="false">(IF(H12&lt;0,-H12*$L$7,H12*$L$7))</f>
        <v>0</v>
      </c>
      <c r="M12" s="62" t="n">
        <f aca="false">G12*$M$7</f>
        <v>0</v>
      </c>
      <c r="N12" s="67" t="n">
        <f aca="false">N11</f>
        <v>3733.16129032258</v>
      </c>
      <c r="O12" s="68"/>
      <c r="P12" s="68"/>
      <c r="Q12" s="65" t="s">
        <v>33</v>
      </c>
      <c r="R12" s="66" t="n">
        <f aca="false">G12*J12+L12+M12+N12</f>
        <v>3733.16129032258</v>
      </c>
    </row>
    <row r="13" customFormat="false" ht="16.9" hidden="false" customHeight="true" outlineLevel="0" collapsed="false">
      <c r="A13" s="51" t="n">
        <f aca="false">A12+1</f>
        <v>36591</v>
      </c>
      <c r="B13" s="71"/>
      <c r="C13" s="72"/>
      <c r="D13" s="73" t="n">
        <f aca="false">C13/$W$3</f>
        <v>0</v>
      </c>
      <c r="E13" s="74"/>
      <c r="F13" s="75"/>
      <c r="G13" s="76"/>
      <c r="H13" s="71" t="n">
        <f aca="false">C13-G13</f>
        <v>0</v>
      </c>
      <c r="I13" s="58" t="n">
        <f aca="false">I12+H13</f>
        <v>0</v>
      </c>
      <c r="J13" s="59"/>
      <c r="K13" s="60"/>
      <c r="L13" s="77" t="n">
        <f aca="false">(IF(H13&lt;0,-H13*$L$7,H13*$L$7))</f>
        <v>0</v>
      </c>
      <c r="M13" s="78" t="n">
        <f aca="false">G13*$M$7</f>
        <v>0</v>
      </c>
      <c r="N13" s="79" t="n">
        <f aca="false">N12</f>
        <v>3733.16129032258</v>
      </c>
      <c r="O13" s="80"/>
      <c r="P13" s="80"/>
      <c r="Q13" s="81" t="s">
        <v>33</v>
      </c>
      <c r="R13" s="82" t="n">
        <f aca="false">G13*J13+L13+M13+N13</f>
        <v>3733.16129032258</v>
      </c>
    </row>
    <row r="14" customFormat="false" ht="20.1" hidden="false" customHeight="true" outlineLevel="0" collapsed="false">
      <c r="A14" s="51" t="n">
        <f aca="false">A13+1</f>
        <v>36592</v>
      </c>
      <c r="B14" s="83"/>
      <c r="C14" s="84"/>
      <c r="D14" s="85" t="n">
        <f aca="false">C14/$W$3</f>
        <v>0</v>
      </c>
      <c r="E14" s="84"/>
      <c r="F14" s="86"/>
      <c r="G14" s="87"/>
      <c r="H14" s="88" t="n">
        <f aca="false">C14-G14</f>
        <v>0</v>
      </c>
      <c r="I14" s="58" t="n">
        <f aca="false">I13+H14</f>
        <v>0</v>
      </c>
      <c r="J14" s="89"/>
      <c r="K14" s="60"/>
      <c r="L14" s="90" t="n">
        <f aca="false">(IF(H14&lt;0,-H14*$L$7,H14*$L$7))</f>
        <v>0</v>
      </c>
      <c r="M14" s="62" t="n">
        <f aca="false">G14*$M$7</f>
        <v>0</v>
      </c>
      <c r="N14" s="67" t="n">
        <f aca="false">N13</f>
        <v>3733.16129032258</v>
      </c>
      <c r="O14" s="68"/>
      <c r="P14" s="68"/>
      <c r="Q14" s="65" t="s">
        <v>33</v>
      </c>
      <c r="R14" s="66" t="n">
        <f aca="false">G14*J14+L14+M14+N14</f>
        <v>3733.16129032258</v>
      </c>
    </row>
    <row r="15" customFormat="false" ht="20.1" hidden="false" customHeight="true" outlineLevel="0" collapsed="false">
      <c r="A15" s="51" t="n">
        <f aca="false">A14+1</f>
        <v>36593</v>
      </c>
      <c r="B15" s="52"/>
      <c r="C15" s="53"/>
      <c r="D15" s="54" t="n">
        <f aca="false">C15/$W$3</f>
        <v>0</v>
      </c>
      <c r="E15" s="53"/>
      <c r="F15" s="55"/>
      <c r="G15" s="56"/>
      <c r="H15" s="57" t="n">
        <f aca="false">C15-G15</f>
        <v>0</v>
      </c>
      <c r="I15" s="58" t="n">
        <f aca="false">I14+H15</f>
        <v>0</v>
      </c>
      <c r="J15" s="59"/>
      <c r="K15" s="60"/>
      <c r="L15" s="91" t="n">
        <f aca="false">(IF(H15&lt;0,-H15*$L$7,H15*$L$7))</f>
        <v>0</v>
      </c>
      <c r="M15" s="62" t="n">
        <f aca="false">G15*$M$7</f>
        <v>0</v>
      </c>
      <c r="N15" s="67" t="n">
        <f aca="false">N14</f>
        <v>3733.16129032258</v>
      </c>
      <c r="O15" s="92"/>
      <c r="P15" s="92"/>
      <c r="Q15" s="65" t="s">
        <v>33</v>
      </c>
      <c r="R15" s="66" t="n">
        <f aca="false">G15*J15+L15+M15+N15</f>
        <v>3733.16129032258</v>
      </c>
    </row>
    <row r="16" customFormat="false" ht="20.1" hidden="false" customHeight="true" outlineLevel="0" collapsed="false">
      <c r="A16" s="51" t="n">
        <f aca="false">A15+1</f>
        <v>36594</v>
      </c>
      <c r="B16" s="52"/>
      <c r="C16" s="53"/>
      <c r="D16" s="85" t="n">
        <f aca="false">C16/$W$3</f>
        <v>0</v>
      </c>
      <c r="E16" s="53"/>
      <c r="F16" s="55"/>
      <c r="G16" s="56"/>
      <c r="H16" s="57" t="n">
        <f aca="false">C16-G16</f>
        <v>0</v>
      </c>
      <c r="I16" s="58" t="n">
        <f aca="false">I15+H16</f>
        <v>0</v>
      </c>
      <c r="J16" s="59"/>
      <c r="K16" s="60"/>
      <c r="L16" s="91" t="n">
        <f aca="false">(IF(H16&lt;0,-H16*$L$7,H16*$L$7))</f>
        <v>0</v>
      </c>
      <c r="M16" s="62" t="n">
        <f aca="false">G16*$M$7</f>
        <v>0</v>
      </c>
      <c r="N16" s="67" t="n">
        <f aca="false">N15</f>
        <v>3733.16129032258</v>
      </c>
      <c r="O16" s="68"/>
      <c r="P16" s="68"/>
      <c r="Q16" s="65" t="s">
        <v>33</v>
      </c>
      <c r="R16" s="66" t="n">
        <f aca="false">G16*J16+L16+M16+N16</f>
        <v>3733.16129032258</v>
      </c>
    </row>
    <row r="17" customFormat="false" ht="20.1" hidden="false" customHeight="true" outlineLevel="0" collapsed="false">
      <c r="A17" s="51" t="n">
        <f aca="false">A16+1</f>
        <v>36595</v>
      </c>
      <c r="B17" s="52"/>
      <c r="C17" s="53"/>
      <c r="D17" s="85" t="n">
        <f aca="false">C17/$W$3</f>
        <v>0</v>
      </c>
      <c r="E17" s="53"/>
      <c r="F17" s="55"/>
      <c r="G17" s="56"/>
      <c r="H17" s="57" t="n">
        <f aca="false">C17-G17</f>
        <v>0</v>
      </c>
      <c r="I17" s="58" t="n">
        <f aca="false">I16+H17</f>
        <v>0</v>
      </c>
      <c r="J17" s="59"/>
      <c r="K17" s="60"/>
      <c r="L17" s="91" t="n">
        <f aca="false">(IF(H17&lt;0,-H17*$L$7,H17*$L$7))</f>
        <v>0</v>
      </c>
      <c r="M17" s="62" t="n">
        <f aca="false">G17*$M$7</f>
        <v>0</v>
      </c>
      <c r="N17" s="67" t="n">
        <f aca="false">N16</f>
        <v>3733.16129032258</v>
      </c>
      <c r="O17" s="68"/>
      <c r="P17" s="68"/>
      <c r="Q17" s="65" t="s">
        <v>33</v>
      </c>
      <c r="R17" s="66" t="n">
        <f aca="false">G17*J17+L17+M17+N17</f>
        <v>3733.16129032258</v>
      </c>
    </row>
    <row r="18" customFormat="false" ht="20.1" hidden="false" customHeight="true" outlineLevel="0" collapsed="false">
      <c r="A18" s="51" t="n">
        <f aca="false">A17+1</f>
        <v>36596</v>
      </c>
      <c r="B18" s="52"/>
      <c r="C18" s="53"/>
      <c r="D18" s="85" t="n">
        <f aca="false">C18/$W$3</f>
        <v>0</v>
      </c>
      <c r="E18" s="53"/>
      <c r="F18" s="55"/>
      <c r="G18" s="56"/>
      <c r="H18" s="57" t="n">
        <f aca="false">C18-G18</f>
        <v>0</v>
      </c>
      <c r="I18" s="58" t="n">
        <f aca="false">I17+H18</f>
        <v>0</v>
      </c>
      <c r="J18" s="59"/>
      <c r="K18" s="60"/>
      <c r="L18" s="91" t="n">
        <f aca="false">(IF(H18&lt;0,-H18*$L$7,H18*$L$7))</f>
        <v>0</v>
      </c>
      <c r="M18" s="62" t="n">
        <f aca="false">G18*$M$7</f>
        <v>0</v>
      </c>
      <c r="N18" s="67" t="n">
        <f aca="false">N17</f>
        <v>3733.16129032258</v>
      </c>
      <c r="O18" s="68"/>
      <c r="P18" s="68"/>
      <c r="Q18" s="65" t="s">
        <v>33</v>
      </c>
      <c r="R18" s="66" t="n">
        <f aca="false">G18*J18+L18+M18+N18</f>
        <v>3733.16129032258</v>
      </c>
    </row>
    <row r="19" customFormat="false" ht="20.1" hidden="false" customHeight="true" outlineLevel="0" collapsed="false">
      <c r="A19" s="51" t="n">
        <f aca="false">A18+1</f>
        <v>36597</v>
      </c>
      <c r="B19" s="52"/>
      <c r="C19" s="53"/>
      <c r="D19" s="85" t="n">
        <f aca="false">C19/$W$3</f>
        <v>0</v>
      </c>
      <c r="E19" s="53"/>
      <c r="F19" s="55"/>
      <c r="G19" s="56"/>
      <c r="H19" s="57" t="n">
        <f aca="false">C19-G19</f>
        <v>0</v>
      </c>
      <c r="I19" s="58" t="n">
        <f aca="false">I18+H19</f>
        <v>0</v>
      </c>
      <c r="J19" s="93"/>
      <c r="K19" s="60"/>
      <c r="L19" s="91" t="n">
        <f aca="false">(IF(H19&lt;0,-H19*$L$7,H19*$L$7))</f>
        <v>0</v>
      </c>
      <c r="M19" s="62" t="n">
        <f aca="false">G19*$M$7</f>
        <v>0</v>
      </c>
      <c r="N19" s="67" t="n">
        <f aca="false">N18</f>
        <v>3733.16129032258</v>
      </c>
      <c r="O19" s="68"/>
      <c r="P19" s="68"/>
      <c r="Q19" s="65" t="s">
        <v>33</v>
      </c>
      <c r="R19" s="66" t="n">
        <f aca="false">G19*J19+L19+M19+N19</f>
        <v>3733.16129032258</v>
      </c>
    </row>
    <row r="20" customFormat="false" ht="20.1" hidden="false" customHeight="true" outlineLevel="0" collapsed="false">
      <c r="A20" s="51" t="n">
        <f aca="false">A19+1</f>
        <v>36598</v>
      </c>
      <c r="B20" s="52"/>
      <c r="C20" s="53"/>
      <c r="D20" s="85" t="n">
        <f aca="false">C20/$W$3</f>
        <v>0</v>
      </c>
      <c r="E20" s="53"/>
      <c r="F20" s="55"/>
      <c r="G20" s="56"/>
      <c r="H20" s="57" t="n">
        <f aca="false">C20-G20</f>
        <v>0</v>
      </c>
      <c r="I20" s="58" t="n">
        <f aca="false">I19+H20</f>
        <v>0</v>
      </c>
      <c r="J20" s="59"/>
      <c r="K20" s="60"/>
      <c r="L20" s="91" t="n">
        <f aca="false">(IF(H20&lt;0,-H20*$L$7,H20*$L$7))</f>
        <v>0</v>
      </c>
      <c r="M20" s="62" t="n">
        <f aca="false">G20*$M$7</f>
        <v>0</v>
      </c>
      <c r="N20" s="67" t="n">
        <f aca="false">N19</f>
        <v>3733.16129032258</v>
      </c>
      <c r="O20" s="68"/>
      <c r="P20" s="68"/>
      <c r="Q20" s="65" t="s">
        <v>33</v>
      </c>
      <c r="R20" s="66" t="n">
        <f aca="false">G20*J20+L20+M20+N20</f>
        <v>3733.16129032258</v>
      </c>
    </row>
    <row r="21" customFormat="false" ht="20.1" hidden="false" customHeight="true" outlineLevel="0" collapsed="false">
      <c r="A21" s="51" t="n">
        <f aca="false">A20+1</f>
        <v>36599</v>
      </c>
      <c r="B21" s="52"/>
      <c r="C21" s="53"/>
      <c r="D21" s="85" t="n">
        <f aca="false">C21/$W$3</f>
        <v>0</v>
      </c>
      <c r="E21" s="53"/>
      <c r="F21" s="55"/>
      <c r="G21" s="56"/>
      <c r="H21" s="57" t="n">
        <f aca="false">C21-G21</f>
        <v>0</v>
      </c>
      <c r="I21" s="58" t="n">
        <f aca="false">I20+H21</f>
        <v>0</v>
      </c>
      <c r="J21" s="59"/>
      <c r="K21" s="60"/>
      <c r="L21" s="91" t="n">
        <f aca="false">(IF(H21&lt;0,-H21*$L$7,H21*$L$7))</f>
        <v>0</v>
      </c>
      <c r="M21" s="62" t="n">
        <f aca="false">G21*$M$7</f>
        <v>0</v>
      </c>
      <c r="N21" s="67" t="n">
        <f aca="false">N20</f>
        <v>3733.16129032258</v>
      </c>
      <c r="O21" s="68"/>
      <c r="P21" s="68"/>
      <c r="Q21" s="65" t="s">
        <v>33</v>
      </c>
      <c r="R21" s="66" t="n">
        <f aca="false">G21*J21+L21+M21+N21</f>
        <v>3733.16129032258</v>
      </c>
    </row>
    <row r="22" customFormat="false" ht="20.1" hidden="false" customHeight="true" outlineLevel="0" collapsed="false">
      <c r="A22" s="51" t="n">
        <f aca="false">A21+1</f>
        <v>36600</v>
      </c>
      <c r="B22" s="52"/>
      <c r="C22" s="53"/>
      <c r="D22" s="85" t="n">
        <f aca="false">C22/$W$3</f>
        <v>0</v>
      </c>
      <c r="E22" s="53"/>
      <c r="F22" s="55"/>
      <c r="G22" s="56"/>
      <c r="H22" s="57" t="n">
        <f aca="false">C22-G22</f>
        <v>0</v>
      </c>
      <c r="I22" s="58" t="n">
        <f aca="false">I21+H22</f>
        <v>0</v>
      </c>
      <c r="J22" s="59"/>
      <c r="K22" s="60"/>
      <c r="L22" s="91" t="n">
        <f aca="false">(IF(H22&lt;0,-H22*$L$7,H22*$L$7))</f>
        <v>0</v>
      </c>
      <c r="M22" s="62" t="n">
        <f aca="false">G22*$M$7</f>
        <v>0</v>
      </c>
      <c r="N22" s="67" t="n">
        <f aca="false">N21</f>
        <v>3733.16129032258</v>
      </c>
      <c r="O22" s="68"/>
      <c r="P22" s="68"/>
      <c r="Q22" s="65" t="s">
        <v>33</v>
      </c>
      <c r="R22" s="66" t="n">
        <f aca="false">G22*J22+L22+M22+N22</f>
        <v>3733.16129032258</v>
      </c>
    </row>
    <row r="23" customFormat="false" ht="20.1" hidden="false" customHeight="true" outlineLevel="0" collapsed="false">
      <c r="A23" s="51" t="n">
        <f aca="false">A22+1</f>
        <v>36601</v>
      </c>
      <c r="B23" s="52"/>
      <c r="C23" s="53"/>
      <c r="D23" s="85" t="n">
        <f aca="false">C23/$W$3</f>
        <v>0</v>
      </c>
      <c r="E23" s="53"/>
      <c r="F23" s="55"/>
      <c r="G23" s="56"/>
      <c r="H23" s="57" t="n">
        <f aca="false">C23-G23</f>
        <v>0</v>
      </c>
      <c r="I23" s="58" t="n">
        <f aca="false">I22+H23</f>
        <v>0</v>
      </c>
      <c r="J23" s="59"/>
      <c r="K23" s="60"/>
      <c r="L23" s="91" t="n">
        <f aca="false">(IF(H23&lt;0,-H23*$L$7,H23*$L$7))</f>
        <v>0</v>
      </c>
      <c r="M23" s="62" t="n">
        <f aca="false">G23*$M$7</f>
        <v>0</v>
      </c>
      <c r="N23" s="67" t="n">
        <f aca="false">N22</f>
        <v>3733.16129032258</v>
      </c>
      <c r="O23" s="68"/>
      <c r="P23" s="68"/>
      <c r="Q23" s="65" t="s">
        <v>33</v>
      </c>
      <c r="R23" s="66" t="n">
        <f aca="false">G23*J23+L23+M23+N23</f>
        <v>3733.16129032258</v>
      </c>
    </row>
    <row r="24" customFormat="false" ht="20.1" hidden="false" customHeight="true" outlineLevel="0" collapsed="false">
      <c r="A24" s="51" t="n">
        <f aca="false">A23+1</f>
        <v>36602</v>
      </c>
      <c r="B24" s="52"/>
      <c r="C24" s="53"/>
      <c r="D24" s="85" t="n">
        <f aca="false">C24/$W$3</f>
        <v>0</v>
      </c>
      <c r="E24" s="53"/>
      <c r="F24" s="55"/>
      <c r="G24" s="56"/>
      <c r="H24" s="57" t="n">
        <f aca="false">C24-G24</f>
        <v>0</v>
      </c>
      <c r="I24" s="58" t="n">
        <f aca="false">I23+H24</f>
        <v>0</v>
      </c>
      <c r="J24" s="59"/>
      <c r="K24" s="60"/>
      <c r="L24" s="91" t="n">
        <f aca="false">(IF(H24&lt;0,-H24*$L$7,H24*$L$7))</f>
        <v>0</v>
      </c>
      <c r="M24" s="62" t="n">
        <f aca="false">G24*$M$7</f>
        <v>0</v>
      </c>
      <c r="N24" s="67" t="n">
        <f aca="false">N23</f>
        <v>3733.16129032258</v>
      </c>
      <c r="O24" s="68"/>
      <c r="P24" s="68"/>
      <c r="Q24" s="65" t="s">
        <v>33</v>
      </c>
      <c r="R24" s="66" t="n">
        <f aca="false">G24*J24+L24+M24+N24</f>
        <v>3733.16129032258</v>
      </c>
    </row>
    <row r="25" customFormat="false" ht="20.1" hidden="false" customHeight="true" outlineLevel="0" collapsed="false">
      <c r="A25" s="51" t="n">
        <f aca="false">A24+1</f>
        <v>36603</v>
      </c>
      <c r="B25" s="52"/>
      <c r="C25" s="53"/>
      <c r="D25" s="85" t="n">
        <f aca="false">C25/$W$3</f>
        <v>0</v>
      </c>
      <c r="E25" s="53"/>
      <c r="F25" s="55"/>
      <c r="G25" s="56"/>
      <c r="H25" s="57" t="n">
        <f aca="false">C25-G25</f>
        <v>0</v>
      </c>
      <c r="I25" s="58" t="n">
        <f aca="false">I24+H25</f>
        <v>0</v>
      </c>
      <c r="J25" s="59"/>
      <c r="K25" s="60"/>
      <c r="L25" s="91" t="n">
        <f aca="false">(IF(H25&lt;0,-H25*$L$7,H25*$L$7))</f>
        <v>0</v>
      </c>
      <c r="M25" s="62" t="n">
        <f aca="false">G25*$M$7</f>
        <v>0</v>
      </c>
      <c r="N25" s="67" t="n">
        <f aca="false">N24</f>
        <v>3733.16129032258</v>
      </c>
      <c r="O25" s="68"/>
      <c r="P25" s="68"/>
      <c r="Q25" s="65" t="s">
        <v>33</v>
      </c>
      <c r="R25" s="66" t="n">
        <f aca="false">G25*J25+L25+M25+N25</f>
        <v>3733.16129032258</v>
      </c>
    </row>
    <row r="26" customFormat="false" ht="20.1" hidden="false" customHeight="true" outlineLevel="0" collapsed="false">
      <c r="A26" s="51" t="n">
        <f aca="false">A25+1</f>
        <v>36604</v>
      </c>
      <c r="B26" s="52"/>
      <c r="C26" s="53"/>
      <c r="D26" s="85" t="n">
        <f aca="false">C26/$W$3</f>
        <v>0</v>
      </c>
      <c r="E26" s="53"/>
      <c r="F26" s="55"/>
      <c r="G26" s="56"/>
      <c r="H26" s="57" t="n">
        <f aca="false">C26-G26</f>
        <v>0</v>
      </c>
      <c r="I26" s="58" t="n">
        <f aca="false">I25+H26</f>
        <v>0</v>
      </c>
      <c r="J26" s="59"/>
      <c r="K26" s="60"/>
      <c r="L26" s="91" t="n">
        <f aca="false">(IF(H26&lt;0,-H26*$L$7,H26*$L$7))</f>
        <v>0</v>
      </c>
      <c r="M26" s="62" t="n">
        <f aca="false">G26*$M$7</f>
        <v>0</v>
      </c>
      <c r="N26" s="67" t="n">
        <f aca="false">N25</f>
        <v>3733.16129032258</v>
      </c>
      <c r="O26" s="68"/>
      <c r="P26" s="68"/>
      <c r="Q26" s="65" t="s">
        <v>33</v>
      </c>
      <c r="R26" s="66" t="n">
        <f aca="false">G26*J26+L26+M26+N26</f>
        <v>3733.16129032258</v>
      </c>
    </row>
    <row r="27" customFormat="false" ht="20.1" hidden="false" customHeight="true" outlineLevel="0" collapsed="false">
      <c r="A27" s="51" t="n">
        <f aca="false">A26+1</f>
        <v>36605</v>
      </c>
      <c r="B27" s="52"/>
      <c r="C27" s="53"/>
      <c r="D27" s="85" t="n">
        <f aca="false">C27/$W$3</f>
        <v>0</v>
      </c>
      <c r="E27" s="53"/>
      <c r="F27" s="55"/>
      <c r="G27" s="56"/>
      <c r="H27" s="57" t="n">
        <f aca="false">C27-G27</f>
        <v>0</v>
      </c>
      <c r="I27" s="58" t="n">
        <f aca="false">I26+H27</f>
        <v>0</v>
      </c>
      <c r="J27" s="59"/>
      <c r="K27" s="60"/>
      <c r="L27" s="91" t="n">
        <f aca="false">(IF(H27&lt;0,-H27*$L$7,H27*$L$7))</f>
        <v>0</v>
      </c>
      <c r="M27" s="62" t="n">
        <f aca="false">G27*$M$7</f>
        <v>0</v>
      </c>
      <c r="N27" s="67" t="n">
        <f aca="false">N26</f>
        <v>3733.16129032258</v>
      </c>
      <c r="O27" s="68"/>
      <c r="P27" s="68"/>
      <c r="Q27" s="65" t="s">
        <v>33</v>
      </c>
      <c r="R27" s="66" t="n">
        <f aca="false">G27*J27+L27+M27+N27</f>
        <v>3733.16129032258</v>
      </c>
    </row>
    <row r="28" customFormat="false" ht="20.1" hidden="false" customHeight="true" outlineLevel="0" collapsed="false">
      <c r="A28" s="51" t="n">
        <f aca="false">A27+1</f>
        <v>36606</v>
      </c>
      <c r="B28" s="52" t="n">
        <v>1000</v>
      </c>
      <c r="C28" s="53" t="n">
        <v>1000</v>
      </c>
      <c r="D28" s="85" t="n">
        <f aca="false">C28/$W$3</f>
        <v>1021.6174247068</v>
      </c>
      <c r="E28" s="94"/>
      <c r="F28" s="55" t="n">
        <v>946</v>
      </c>
      <c r="G28" s="56" t="n">
        <v>968</v>
      </c>
      <c r="H28" s="57" t="n">
        <f aca="false">C28-G28</f>
        <v>32</v>
      </c>
      <c r="I28" s="58" t="n">
        <f aca="false">I27+H28</f>
        <v>32</v>
      </c>
      <c r="J28" s="59" t="n">
        <f aca="false">2.875+0.05</f>
        <v>2.925</v>
      </c>
      <c r="K28" s="60"/>
      <c r="L28" s="91" t="n">
        <f aca="false">(IF(H28&lt;0,-H28*$L$7,H28*$L$7))</f>
        <v>1.328</v>
      </c>
      <c r="M28" s="62" t="n">
        <f aca="false">G28*$M$7</f>
        <v>14.9072</v>
      </c>
      <c r="N28" s="67" t="n">
        <f aca="false">N27</f>
        <v>3733.16129032258</v>
      </c>
      <c r="O28" s="68"/>
      <c r="P28" s="68"/>
      <c r="Q28" s="65" t="s">
        <v>33</v>
      </c>
      <c r="R28" s="66" t="n">
        <f aca="false">G28*J28+L28+M28+N28</f>
        <v>6580.79649032258</v>
      </c>
    </row>
    <row r="29" customFormat="false" ht="20.1" hidden="false" customHeight="true" outlineLevel="0" collapsed="false">
      <c r="A29" s="51" t="n">
        <f aca="false">A28+1</f>
        <v>36607</v>
      </c>
      <c r="B29" s="52"/>
      <c r="C29" s="53"/>
      <c r="D29" s="85" t="n">
        <f aca="false">C29/$W$3</f>
        <v>0</v>
      </c>
      <c r="E29" s="53"/>
      <c r="F29" s="55"/>
      <c r="G29" s="56"/>
      <c r="H29" s="57" t="n">
        <f aca="false">C29-G29</f>
        <v>0</v>
      </c>
      <c r="I29" s="58" t="n">
        <f aca="false">I28+H29</f>
        <v>32</v>
      </c>
      <c r="J29" s="59"/>
      <c r="K29" s="60"/>
      <c r="L29" s="91" t="n">
        <f aca="false">(IF(H29&lt;0,-H29*$L$7,H29*$L$7))</f>
        <v>0</v>
      </c>
      <c r="M29" s="62" t="n">
        <f aca="false">G29*$M$7</f>
        <v>0</v>
      </c>
      <c r="N29" s="67" t="n">
        <f aca="false">N28</f>
        <v>3733.16129032258</v>
      </c>
      <c r="O29" s="68"/>
      <c r="P29" s="68"/>
      <c r="Q29" s="65" t="s">
        <v>33</v>
      </c>
      <c r="R29" s="66" t="n">
        <f aca="false">G29*J29+L29+M29+N29</f>
        <v>3733.16129032258</v>
      </c>
    </row>
    <row r="30" customFormat="false" ht="20.1" hidden="false" customHeight="true" outlineLevel="0" collapsed="false">
      <c r="A30" s="51" t="n">
        <f aca="false">A29+1</f>
        <v>36608</v>
      </c>
      <c r="B30" s="52"/>
      <c r="C30" s="53"/>
      <c r="D30" s="85" t="n">
        <f aca="false">C30/$W$3</f>
        <v>0</v>
      </c>
      <c r="E30" s="53"/>
      <c r="F30" s="55"/>
      <c r="G30" s="56"/>
      <c r="H30" s="57" t="n">
        <f aca="false">C30-G30</f>
        <v>0</v>
      </c>
      <c r="I30" s="58" t="n">
        <f aca="false">I29+H30</f>
        <v>32</v>
      </c>
      <c r="J30" s="59"/>
      <c r="K30" s="60"/>
      <c r="L30" s="91" t="n">
        <f aca="false">(IF(H30&lt;0,-H30*$L$7,H30*$L$7))</f>
        <v>0</v>
      </c>
      <c r="M30" s="62" t="n">
        <f aca="false">G30*$M$7</f>
        <v>0</v>
      </c>
      <c r="N30" s="67" t="n">
        <f aca="false">N29</f>
        <v>3733.16129032258</v>
      </c>
      <c r="O30" s="68"/>
      <c r="P30" s="68"/>
      <c r="Q30" s="65" t="s">
        <v>33</v>
      </c>
      <c r="R30" s="66" t="n">
        <f aca="false">G30*J30+L30+M30+N30</f>
        <v>3733.16129032258</v>
      </c>
    </row>
    <row r="31" customFormat="false" ht="20.1" hidden="false" customHeight="true" outlineLevel="0" collapsed="false">
      <c r="A31" s="51" t="n">
        <f aca="false">A30+1</f>
        <v>36609</v>
      </c>
      <c r="B31" s="52"/>
      <c r="C31" s="53"/>
      <c r="D31" s="85" t="n">
        <f aca="false">C31/$W$3</f>
        <v>0</v>
      </c>
      <c r="E31" s="53"/>
      <c r="F31" s="55"/>
      <c r="G31" s="56"/>
      <c r="H31" s="57" t="n">
        <f aca="false">C31-G31</f>
        <v>0</v>
      </c>
      <c r="I31" s="58" t="n">
        <f aca="false">I30+H31</f>
        <v>32</v>
      </c>
      <c r="J31" s="59"/>
      <c r="K31" s="60"/>
      <c r="L31" s="91" t="n">
        <f aca="false">(IF(H31&lt;0,-H31*$L$7,H31*$L$7))</f>
        <v>0</v>
      </c>
      <c r="M31" s="62" t="n">
        <f aca="false">G31*$M$7</f>
        <v>0</v>
      </c>
      <c r="N31" s="67" t="n">
        <f aca="false">N30</f>
        <v>3733.16129032258</v>
      </c>
      <c r="O31" s="68"/>
      <c r="P31" s="68"/>
      <c r="Q31" s="65" t="s">
        <v>33</v>
      </c>
      <c r="R31" s="66" t="n">
        <f aca="false">G31*J31+L31+M31+N31</f>
        <v>3733.16129032258</v>
      </c>
    </row>
    <row r="32" customFormat="false" ht="20.1" hidden="false" customHeight="true" outlineLevel="0" collapsed="false">
      <c r="A32" s="51" t="n">
        <f aca="false">A31+1</f>
        <v>36610</v>
      </c>
      <c r="B32" s="52"/>
      <c r="C32" s="53"/>
      <c r="D32" s="85" t="n">
        <f aca="false">C32/$W$3</f>
        <v>0</v>
      </c>
      <c r="E32" s="53"/>
      <c r="F32" s="55"/>
      <c r="G32" s="56"/>
      <c r="H32" s="57" t="n">
        <f aca="false">C32-G32</f>
        <v>0</v>
      </c>
      <c r="I32" s="58" t="n">
        <f aca="false">I31+H32</f>
        <v>32</v>
      </c>
      <c r="J32" s="95"/>
      <c r="K32" s="96"/>
      <c r="L32" s="91" t="n">
        <f aca="false">(IF(H32&lt;0,-H32*$L$7,H32*$L$7))</f>
        <v>0</v>
      </c>
      <c r="M32" s="62" t="n">
        <f aca="false">G32*$M$7</f>
        <v>0</v>
      </c>
      <c r="N32" s="67" t="n">
        <f aca="false">N31</f>
        <v>3733.16129032258</v>
      </c>
      <c r="O32" s="68"/>
      <c r="P32" s="68"/>
      <c r="Q32" s="65" t="s">
        <v>33</v>
      </c>
      <c r="R32" s="66" t="n">
        <f aca="false">G32*J32+L32+M32+N32</f>
        <v>3733.16129032258</v>
      </c>
    </row>
    <row r="33" customFormat="false" ht="20.1" hidden="false" customHeight="true" outlineLevel="0" collapsed="false">
      <c r="A33" s="51" t="n">
        <f aca="false">A32+1</f>
        <v>36611</v>
      </c>
      <c r="B33" s="52"/>
      <c r="C33" s="53"/>
      <c r="D33" s="85" t="n">
        <f aca="false">C33/$W$3</f>
        <v>0</v>
      </c>
      <c r="E33" s="53"/>
      <c r="F33" s="55"/>
      <c r="G33" s="56"/>
      <c r="H33" s="57" t="n">
        <f aca="false">C33-G33</f>
        <v>0</v>
      </c>
      <c r="I33" s="58" t="n">
        <f aca="false">I32+H33</f>
        <v>32</v>
      </c>
      <c r="J33" s="59"/>
      <c r="K33" s="60"/>
      <c r="L33" s="91" t="n">
        <f aca="false">(IF(H33&lt;0,-H33*$L$7,H33*$L$7))</f>
        <v>0</v>
      </c>
      <c r="M33" s="62" t="n">
        <f aca="false">G33*$M$7</f>
        <v>0</v>
      </c>
      <c r="N33" s="67" t="n">
        <f aca="false">N32</f>
        <v>3733.16129032258</v>
      </c>
      <c r="O33" s="68"/>
      <c r="P33" s="68"/>
      <c r="Q33" s="65" t="s">
        <v>33</v>
      </c>
      <c r="R33" s="66" t="n">
        <f aca="false">G33*J33+L33+M33+N33</f>
        <v>3733.16129032258</v>
      </c>
    </row>
    <row r="34" customFormat="false" ht="20.1" hidden="false" customHeight="true" outlineLevel="0" collapsed="false">
      <c r="A34" s="51" t="n">
        <f aca="false">A33+1</f>
        <v>36612</v>
      </c>
      <c r="B34" s="52"/>
      <c r="C34" s="53"/>
      <c r="D34" s="85" t="n">
        <f aca="false">C34/$W$3</f>
        <v>0</v>
      </c>
      <c r="E34" s="53"/>
      <c r="F34" s="55"/>
      <c r="G34" s="56"/>
      <c r="H34" s="57" t="n">
        <f aca="false">C34-G34</f>
        <v>0</v>
      </c>
      <c r="I34" s="58" t="n">
        <f aca="false">I33+H34</f>
        <v>32</v>
      </c>
      <c r="J34" s="59"/>
      <c r="K34" s="60"/>
      <c r="L34" s="91" t="n">
        <f aca="false">(IF(H34&lt;0,-H34*$L$7,H34*$L$7))</f>
        <v>0</v>
      </c>
      <c r="M34" s="62" t="n">
        <f aca="false">G34*$M$7</f>
        <v>0</v>
      </c>
      <c r="N34" s="67" t="n">
        <f aca="false">N33</f>
        <v>3733.16129032258</v>
      </c>
      <c r="O34" s="68"/>
      <c r="P34" s="68"/>
      <c r="Q34" s="65" t="s">
        <v>33</v>
      </c>
      <c r="R34" s="66" t="n">
        <f aca="false">G34*J34+L34+M34+N34</f>
        <v>3733.16129032258</v>
      </c>
    </row>
    <row r="35" customFormat="false" ht="20.1" hidden="false" customHeight="true" outlineLevel="0" collapsed="false">
      <c r="A35" s="51" t="n">
        <f aca="false">A34+1</f>
        <v>36613</v>
      </c>
      <c r="B35" s="52"/>
      <c r="C35" s="53"/>
      <c r="D35" s="85" t="n">
        <f aca="false">C35/$W$3</f>
        <v>0</v>
      </c>
      <c r="E35" s="53"/>
      <c r="F35" s="55"/>
      <c r="G35" s="56"/>
      <c r="H35" s="57" t="n">
        <f aca="false">C35-G35</f>
        <v>0</v>
      </c>
      <c r="I35" s="58" t="n">
        <f aca="false">I34+H35</f>
        <v>32</v>
      </c>
      <c r="J35" s="59"/>
      <c r="K35" s="60"/>
      <c r="L35" s="91" t="n">
        <f aca="false">(IF(H35&lt;0,-H35*$L$7,H35*$L$7))</f>
        <v>0</v>
      </c>
      <c r="M35" s="62" t="n">
        <f aca="false">G35*$M$7</f>
        <v>0</v>
      </c>
      <c r="N35" s="67" t="n">
        <f aca="false">N34</f>
        <v>3733.16129032258</v>
      </c>
      <c r="O35" s="68"/>
      <c r="P35" s="68"/>
      <c r="Q35" s="65" t="s">
        <v>33</v>
      </c>
      <c r="R35" s="66" t="n">
        <f aca="false">G35*J35+L35+M35+N35</f>
        <v>3733.16129032258</v>
      </c>
    </row>
    <row r="36" customFormat="false" ht="20.1" hidden="false" customHeight="true" outlineLevel="0" collapsed="false">
      <c r="A36" s="51" t="n">
        <f aca="false">A35+1</f>
        <v>36614</v>
      </c>
      <c r="B36" s="52"/>
      <c r="C36" s="53"/>
      <c r="D36" s="85" t="n">
        <f aca="false">C36/$W$3</f>
        <v>0</v>
      </c>
      <c r="E36" s="53"/>
      <c r="F36" s="55"/>
      <c r="G36" s="56"/>
      <c r="H36" s="57" t="n">
        <f aca="false">C36-G36</f>
        <v>0</v>
      </c>
      <c r="I36" s="58" t="n">
        <f aca="false">I35+H36</f>
        <v>32</v>
      </c>
      <c r="J36" s="59"/>
      <c r="K36" s="60"/>
      <c r="L36" s="91" t="n">
        <f aca="false">(IF(H36&lt;0,-H36*$L$7,H36*$L$7))</f>
        <v>0</v>
      </c>
      <c r="M36" s="62" t="n">
        <f aca="false">G36*$M$7</f>
        <v>0</v>
      </c>
      <c r="N36" s="67" t="n">
        <f aca="false">N35</f>
        <v>3733.16129032258</v>
      </c>
      <c r="O36" s="68"/>
      <c r="P36" s="68"/>
      <c r="Q36" s="65" t="s">
        <v>33</v>
      </c>
      <c r="R36" s="66" t="n">
        <f aca="false">G36*J36+L36+M36+N36</f>
        <v>3733.16129032258</v>
      </c>
    </row>
    <row r="37" customFormat="false" ht="20.1" hidden="false" customHeight="true" outlineLevel="0" collapsed="false">
      <c r="A37" s="51" t="n">
        <f aca="false">A36+1</f>
        <v>36615</v>
      </c>
      <c r="B37" s="52"/>
      <c r="C37" s="53"/>
      <c r="D37" s="85" t="n">
        <f aca="false">C37/$W$3</f>
        <v>0</v>
      </c>
      <c r="E37" s="53"/>
      <c r="F37" s="55"/>
      <c r="G37" s="56"/>
      <c r="H37" s="57" t="n">
        <f aca="false">C37-G37</f>
        <v>0</v>
      </c>
      <c r="I37" s="58" t="n">
        <f aca="false">I36+H37</f>
        <v>32</v>
      </c>
      <c r="J37" s="59"/>
      <c r="K37" s="60"/>
      <c r="L37" s="91" t="n">
        <f aca="false">(IF(H37&lt;0,-H37*$L$7,H37*$L$7))</f>
        <v>0</v>
      </c>
      <c r="M37" s="62" t="n">
        <f aca="false">G37*$M$7</f>
        <v>0</v>
      </c>
      <c r="N37" s="67" t="n">
        <f aca="false">N36</f>
        <v>3733.16129032258</v>
      </c>
      <c r="O37" s="68"/>
      <c r="P37" s="68"/>
      <c r="Q37" s="65" t="s">
        <v>33</v>
      </c>
      <c r="R37" s="66" t="n">
        <f aca="false">G37*J37+L37+M37+N37</f>
        <v>3733.16129032258</v>
      </c>
    </row>
    <row r="38" customFormat="false" ht="20.1" hidden="false" customHeight="true" outlineLevel="0" collapsed="false">
      <c r="A38" s="51" t="n">
        <f aca="false">A37+1</f>
        <v>36616</v>
      </c>
      <c r="B38" s="97"/>
      <c r="C38" s="98"/>
      <c r="D38" s="73" t="n">
        <f aca="false">C38/$W$3</f>
        <v>0</v>
      </c>
      <c r="E38" s="98"/>
      <c r="F38" s="99"/>
      <c r="G38" s="100"/>
      <c r="H38" s="101" t="n">
        <f aca="false">C38-G38</f>
        <v>0</v>
      </c>
      <c r="I38" s="102" t="n">
        <f aca="false">I37+H38</f>
        <v>32</v>
      </c>
      <c r="J38" s="103"/>
      <c r="K38" s="60"/>
      <c r="L38" s="104" t="n">
        <f aca="false">(IF(H38&lt;0,-H38*$L$7,H38*$L$7))</f>
        <v>0</v>
      </c>
      <c r="M38" s="105" t="n">
        <f aca="false">G38*$M$7</f>
        <v>0</v>
      </c>
      <c r="N38" s="67" t="n">
        <f aca="false">N37</f>
        <v>3733.16129032258</v>
      </c>
      <c r="O38" s="106"/>
      <c r="P38" s="106"/>
      <c r="Q38" s="107" t="s">
        <v>33</v>
      </c>
      <c r="R38" s="66" t="n">
        <f aca="false">G38*J38+L38+M38+N38</f>
        <v>3733.16129032258</v>
      </c>
    </row>
    <row r="39" customFormat="false" ht="20.1" hidden="false" customHeight="true" outlineLevel="0" collapsed="false">
      <c r="A39" s="108"/>
      <c r="B39" s="109"/>
      <c r="C39" s="110"/>
      <c r="D39" s="111"/>
      <c r="E39" s="112"/>
      <c r="F39" s="110"/>
      <c r="G39" s="110"/>
      <c r="H39" s="110"/>
      <c r="I39" s="110"/>
      <c r="J39" s="113"/>
      <c r="K39" s="113"/>
      <c r="L39" s="113"/>
      <c r="M39" s="110"/>
      <c r="N39" s="110"/>
      <c r="O39" s="114"/>
      <c r="P39" s="114"/>
      <c r="Q39" s="115"/>
      <c r="R39" s="110"/>
    </row>
    <row r="40" customFormat="false" ht="20.1" hidden="false" customHeight="true" outlineLevel="0" collapsed="false">
      <c r="A40" s="116" t="s">
        <v>34</v>
      </c>
      <c r="B40" s="117" t="n">
        <f aca="false">SUM(B8:B38)</f>
        <v>1000</v>
      </c>
      <c r="C40" s="118" t="n">
        <f aca="false">SUM(C8:C38)</f>
        <v>1000</v>
      </c>
      <c r="D40" s="119"/>
      <c r="E40" s="120" t="n">
        <f aca="false">SUM(E8:E38)</f>
        <v>0</v>
      </c>
      <c r="F40" s="121" t="n">
        <f aca="false">SUM(F8:F38)</f>
        <v>946</v>
      </c>
      <c r="G40" s="118" t="n">
        <f aca="false">SUM(G8:G38)</f>
        <v>968</v>
      </c>
      <c r="H40" s="122"/>
      <c r="I40" s="122"/>
      <c r="J40" s="123"/>
      <c r="K40" s="123"/>
      <c r="L40" s="124" t="n">
        <f aca="false">SUM(L8:L38)</f>
        <v>1.328</v>
      </c>
      <c r="M40" s="124" t="n">
        <f aca="false">SUM(M8:M38)</f>
        <v>14.9072</v>
      </c>
      <c r="N40" s="124" t="n">
        <f aca="false">N6*N7</f>
        <v>115728</v>
      </c>
      <c r="O40" s="125"/>
      <c r="P40" s="125"/>
      <c r="Q40" s="122"/>
      <c r="R40" s="126" t="n">
        <f aca="false">SUM(R8:R38)</f>
        <v>118575.6352</v>
      </c>
    </row>
    <row r="41" customFormat="false" ht="20.1" hidden="false" customHeight="true" outlineLevel="0" collapsed="false">
      <c r="A41" s="127"/>
      <c r="B41" s="128"/>
      <c r="C41" s="128"/>
      <c r="D41" s="128"/>
      <c r="E41" s="129"/>
      <c r="F41" s="129"/>
      <c r="G41" s="129"/>
      <c r="H41" s="129"/>
      <c r="I41" s="129"/>
      <c r="J41" s="129"/>
      <c r="K41" s="129"/>
      <c r="L41" s="128"/>
      <c r="M41" s="129"/>
      <c r="N41" s="129"/>
      <c r="O41" s="129"/>
      <c r="P41" s="129"/>
      <c r="Q41" s="129"/>
      <c r="R41" s="129"/>
    </row>
    <row r="42" customFormat="false" ht="21" hidden="false" customHeight="true" outlineLevel="0" collapsed="false">
      <c r="A42" s="130"/>
      <c r="B42" s="131"/>
      <c r="C42" s="128"/>
      <c r="D42" s="128"/>
      <c r="E42" s="129"/>
      <c r="F42" s="132" t="s">
        <v>35</v>
      </c>
      <c r="G42" s="133" t="n">
        <f aca="false">'Feb 2000'!G40+'Mar 2000'!G40</f>
        <v>968</v>
      </c>
      <c r="H42" s="134" t="s">
        <v>27</v>
      </c>
      <c r="J42" s="129"/>
      <c r="K42" s="129"/>
      <c r="L42" s="129"/>
      <c r="M42" s="129"/>
      <c r="N42" s="129"/>
      <c r="O42" s="129"/>
      <c r="P42" s="129"/>
      <c r="Q42" s="135" t="s">
        <v>36</v>
      </c>
      <c r="R42" s="136" t="n">
        <v>5854.83</v>
      </c>
      <c r="S42" s="137"/>
    </row>
    <row r="43" customFormat="false" ht="21" hidden="false" customHeight="true" outlineLevel="0" collapsed="false">
      <c r="A43" s="127"/>
      <c r="B43" s="131" t="s">
        <v>37</v>
      </c>
      <c r="C43" s="128"/>
      <c r="D43" s="128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35" t="s">
        <v>38</v>
      </c>
      <c r="R43" s="138" t="n">
        <f aca="false">R40-R44-R45-R46-R47-R53-R54</f>
        <v>2783</v>
      </c>
      <c r="S43" s="139"/>
    </row>
    <row r="44" customFormat="false" ht="21" hidden="false" customHeight="true" outlineLevel="0" collapsed="false">
      <c r="A44" s="127"/>
      <c r="B44" s="140"/>
      <c r="C44" s="141"/>
      <c r="D44" s="141"/>
      <c r="E44" s="142"/>
      <c r="F44" s="142"/>
      <c r="G44" s="142"/>
      <c r="H44" s="142"/>
      <c r="I44" s="140" t="s">
        <v>39</v>
      </c>
      <c r="J44" s="142"/>
      <c r="K44" s="142"/>
      <c r="L44" s="129"/>
      <c r="M44" s="129"/>
      <c r="N44" s="129"/>
      <c r="O44" s="129"/>
      <c r="P44" s="142"/>
      <c r="Q44" s="135" t="s">
        <v>40</v>
      </c>
      <c r="R44" s="138" t="n">
        <f aca="false">(G40*0.05)</f>
        <v>48.4</v>
      </c>
      <c r="S44" s="139"/>
    </row>
    <row r="45" customFormat="false" ht="21" hidden="false" customHeight="true" outlineLevel="0" collapsed="false">
      <c r="A45" s="127"/>
      <c r="B45" s="140" t="s">
        <v>41</v>
      </c>
      <c r="C45" s="141" t="n">
        <f aca="true">NOW()</f>
        <v>45926.9497135749</v>
      </c>
      <c r="D45" s="141"/>
      <c r="E45" s="142"/>
      <c r="F45" s="142"/>
      <c r="G45" s="142"/>
      <c r="H45" s="142"/>
      <c r="I45" s="142"/>
      <c r="J45" s="140" t="s">
        <v>42</v>
      </c>
      <c r="K45" s="140"/>
      <c r="L45" s="129"/>
      <c r="M45" s="129"/>
      <c r="N45" s="129"/>
      <c r="O45" s="129"/>
      <c r="P45" s="142"/>
      <c r="Q45" s="135" t="s">
        <v>43</v>
      </c>
      <c r="R45" s="138" t="n">
        <v>0</v>
      </c>
      <c r="S45" s="139"/>
    </row>
    <row r="46" customFormat="false" ht="21" hidden="false" customHeight="true" outlineLevel="0" collapsed="false">
      <c r="A46" s="127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29"/>
      <c r="M46" s="129"/>
      <c r="N46" s="129"/>
      <c r="O46" s="129"/>
      <c r="P46" s="129"/>
      <c r="Q46" s="135" t="s">
        <v>44</v>
      </c>
      <c r="R46" s="138" t="n">
        <v>0</v>
      </c>
      <c r="S46" s="143"/>
    </row>
    <row r="47" customFormat="false" ht="21" hidden="false" customHeight="true" outlineLevel="0" collapsed="false">
      <c r="D47" s="144"/>
      <c r="E47" s="144"/>
      <c r="F47" s="144"/>
      <c r="G47" s="144"/>
      <c r="H47" s="144"/>
      <c r="I47" s="144"/>
      <c r="J47" s="144"/>
      <c r="Q47" s="135" t="s">
        <v>45</v>
      </c>
      <c r="R47" s="145" t="n">
        <f aca="false">L40</f>
        <v>1.328</v>
      </c>
      <c r="S47" s="146"/>
    </row>
    <row r="48" customFormat="false" ht="21" hidden="false" customHeight="true" outlineLevel="0" collapsed="false">
      <c r="D48" s="147"/>
      <c r="E48" s="148"/>
      <c r="F48" s="148"/>
      <c r="G48" s="148"/>
      <c r="H48" s="148"/>
      <c r="I48" s="148"/>
      <c r="J48" s="148"/>
      <c r="Q48" s="135" t="s">
        <v>46</v>
      </c>
      <c r="R48" s="149" t="n">
        <v>0</v>
      </c>
      <c r="S48" s="146"/>
    </row>
    <row r="49" customFormat="false" ht="21" hidden="false" customHeight="true" outlineLevel="0" collapsed="false">
      <c r="D49" s="147"/>
      <c r="E49" s="148"/>
      <c r="F49" s="148"/>
      <c r="G49" s="148"/>
      <c r="H49" s="148"/>
      <c r="I49" s="148"/>
      <c r="J49" s="148"/>
      <c r="Q49" s="135" t="s">
        <v>47</v>
      </c>
      <c r="R49" s="149" t="n">
        <v>0</v>
      </c>
      <c r="S49" s="146"/>
    </row>
    <row r="50" customFormat="false" ht="21" hidden="false" customHeight="true" outlineLevel="0" collapsed="false">
      <c r="D50" s="147"/>
      <c r="E50" s="148"/>
      <c r="F50" s="148"/>
      <c r="G50" s="148"/>
      <c r="H50" s="148"/>
      <c r="I50" s="148"/>
      <c r="J50" s="148"/>
      <c r="Q50" s="150" t="s">
        <v>48</v>
      </c>
      <c r="R50" s="151" t="n">
        <v>0</v>
      </c>
      <c r="S50" s="146"/>
    </row>
    <row r="51" customFormat="false" ht="21" hidden="false" customHeight="true" outlineLevel="0" collapsed="false">
      <c r="Q51" s="152" t="s">
        <v>49</v>
      </c>
      <c r="R51" s="153" t="n">
        <f aca="false">SUM(R42:R50)</f>
        <v>8687.558</v>
      </c>
      <c r="S51" s="146"/>
    </row>
    <row r="52" customFormat="false" ht="21" hidden="false" customHeight="true" outlineLevel="0" collapsed="false">
      <c r="Q52" s="135"/>
      <c r="R52" s="145"/>
      <c r="S52" s="146"/>
    </row>
    <row r="53" customFormat="false" ht="21" hidden="false" customHeight="true" outlineLevel="0" collapsed="false">
      <c r="N53" s="154" t="s">
        <v>50</v>
      </c>
      <c r="O53" s="129"/>
      <c r="Q53" s="135" t="s">
        <v>51</v>
      </c>
      <c r="R53" s="145" t="n">
        <f aca="false">N40</f>
        <v>115728</v>
      </c>
      <c r="S53" s="146"/>
    </row>
    <row r="54" customFormat="false" ht="21" hidden="false" customHeight="true" outlineLevel="0" collapsed="false">
      <c r="N54" s="154" t="s">
        <v>52</v>
      </c>
      <c r="Q54" s="135" t="s">
        <v>53</v>
      </c>
      <c r="R54" s="145" t="n">
        <f aca="false">G40*0.0154</f>
        <v>14.9072</v>
      </c>
      <c r="S54" s="146"/>
    </row>
    <row r="55" customFormat="false" ht="16.5" hidden="false" customHeight="false" outlineLevel="0" collapsed="false">
      <c r="N55" s="154" t="s">
        <v>54</v>
      </c>
      <c r="Q55" s="150" t="s">
        <v>55</v>
      </c>
      <c r="R55" s="136" t="n">
        <v>0</v>
      </c>
    </row>
    <row r="56" customFormat="false" ht="21" hidden="false" customHeight="true" outlineLevel="0" collapsed="false">
      <c r="Q56" s="16" t="s">
        <v>56</v>
      </c>
      <c r="R56" s="155" t="n">
        <f aca="false">R51+R53+R54+R55</f>
        <v>124430.4652</v>
      </c>
    </row>
    <row r="57" customFormat="false" ht="17.25" hidden="false" customHeight="false" outlineLevel="0" collapsed="false"/>
  </sheetData>
  <mergeCells count="56">
    <mergeCell ref="A1:O1"/>
    <mergeCell ref="P1:Q1"/>
    <mergeCell ref="B3:D3"/>
    <mergeCell ref="E3:G3"/>
    <mergeCell ref="H3:I3"/>
    <mergeCell ref="J3:N3"/>
    <mergeCell ref="O3:Q3"/>
    <mergeCell ref="R3:R7"/>
    <mergeCell ref="A4:A6"/>
    <mergeCell ref="B4:B6"/>
    <mergeCell ref="C4:C6"/>
    <mergeCell ref="D4:D6"/>
    <mergeCell ref="E4:E6"/>
    <mergeCell ref="F4:G6"/>
    <mergeCell ref="H4:H6"/>
    <mergeCell ref="I4:I6"/>
    <mergeCell ref="J4:J6"/>
    <mergeCell ref="K4:K6"/>
    <mergeCell ref="L4:L6"/>
    <mergeCell ref="M4:N4"/>
    <mergeCell ref="O4:P7"/>
    <mergeCell ref="Q4:Q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D47:J47"/>
  </mergeCells>
  <printOptions headings="false" gridLines="false" gridLinesSet="true" horizontalCentered="false" verticalCentered="false"/>
  <pageMargins left="0.35" right="0.309722222222222" top="0.370138888888889" bottom="0.339583333333333" header="0.511811023622047" footer="0.259722222222222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&amp;Lo:\logistics\gas\east\tco\gelp\&amp;F&amp;C&amp;A&amp;R&amp;D  &amp;T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5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7" topLeftCell="N8" activePane="bottomRight" state="frozen"/>
      <selection pane="topLeft" activeCell="A1" activeCellId="0" sqref="A1"/>
      <selection pane="topRight" activeCell="N1" activeCellId="0" sqref="N1"/>
      <selection pane="bottomLeft" activeCell="A8" activeCellId="0" sqref="A8"/>
      <selection pane="bottomRight" activeCell="O12" activeCellId="0" sqref="O12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4" min="2" style="2" width="13.99"/>
    <col collapsed="false" customWidth="true" hidden="false" outlineLevel="0" max="5" min="5" style="2" width="14.14"/>
    <col collapsed="false" customWidth="true" hidden="false" outlineLevel="0" max="6" min="6" style="2" width="13.7"/>
    <col collapsed="false" customWidth="true" hidden="false" outlineLevel="0" max="7" min="7" style="2" width="13.85"/>
    <col collapsed="false" customWidth="true" hidden="false" outlineLevel="0" max="8" min="8" style="2" width="13.7"/>
    <col collapsed="false" customWidth="true" hidden="false" outlineLevel="0" max="10" min="9" style="2" width="14.28"/>
    <col collapsed="false" customWidth="true" hidden="false" outlineLevel="0" max="11" min="11" style="2" width="15.7"/>
    <col collapsed="false" customWidth="true" hidden="false" outlineLevel="0" max="12" min="12" style="2" width="4.7"/>
    <col collapsed="false" customWidth="true" hidden="false" outlineLevel="0" max="13" min="13" style="2" width="14.7"/>
    <col collapsed="false" customWidth="true" hidden="false" outlineLevel="0" max="16" min="14" style="2" width="16.99"/>
    <col collapsed="false" customWidth="true" hidden="false" outlineLevel="0" max="17" min="17" style="2" width="16.84"/>
    <col collapsed="false" customWidth="true" hidden="false" outlineLevel="0" max="18" min="18" style="2" width="18.56"/>
    <col collapsed="false" customWidth="true" hidden="false" outlineLevel="0" max="19" min="19" style="2" width="15.13"/>
    <col collapsed="false" customWidth="true" hidden="false" outlineLevel="0" max="20" min="20" style="2" width="16.84"/>
    <col collapsed="false" customWidth="true" hidden="false" outlineLevel="0" max="21" min="21" style="2" width="24.85"/>
    <col collapsed="false" customWidth="true" hidden="false" outlineLevel="0" max="22" min="22" style="2" width="24.7"/>
    <col collapsed="false" customWidth="false" hidden="false" outlineLevel="0" max="25" min="23" style="2" width="9.14"/>
    <col collapsed="false" customWidth="true" hidden="false" outlineLevel="0" max="26" min="26" style="2" width="10.41"/>
    <col collapsed="false" customWidth="true" hidden="false" outlineLevel="0" max="27" min="27" style="2" width="11.28"/>
    <col collapsed="false" customWidth="false" hidden="false" outlineLevel="0" max="257" min="28" style="2" width="9.14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 t="n">
        <f aca="false">A4</f>
        <v>36617</v>
      </c>
      <c r="T1" s="4"/>
      <c r="U1" s="5"/>
      <c r="V1" s="5"/>
    </row>
    <row r="2" customFormat="false" ht="17.25" hidden="false" customHeight="false" outlineLevel="0" collapsed="false">
      <c r="A2" s="6"/>
      <c r="B2" s="7"/>
      <c r="C2" s="7"/>
      <c r="D2" s="7"/>
      <c r="E2" s="7"/>
      <c r="F2" s="7"/>
      <c r="G2" s="7"/>
      <c r="H2" s="7"/>
      <c r="I2" s="7"/>
      <c r="J2" s="160"/>
      <c r="K2" s="7"/>
      <c r="L2" s="7"/>
      <c r="M2" s="7"/>
      <c r="N2" s="7"/>
      <c r="O2" s="7"/>
      <c r="P2" s="7"/>
      <c r="Q2" s="7"/>
      <c r="R2" s="7"/>
      <c r="S2" s="8"/>
      <c r="T2" s="8"/>
      <c r="U2" s="9"/>
    </row>
    <row r="3" customFormat="false" ht="15.75" hidden="false" customHeight="true" outlineLevel="0" collapsed="false">
      <c r="A3" s="10"/>
      <c r="B3" s="11" t="s">
        <v>1</v>
      </c>
      <c r="C3" s="11"/>
      <c r="D3" s="11"/>
      <c r="E3" s="12" t="s">
        <v>2</v>
      </c>
      <c r="F3" s="12"/>
      <c r="G3" s="12"/>
      <c r="H3" s="161" t="s">
        <v>3</v>
      </c>
      <c r="I3" s="161"/>
      <c r="J3" s="162"/>
      <c r="K3" s="163" t="s">
        <v>4</v>
      </c>
      <c r="L3" s="163"/>
      <c r="M3" s="163"/>
      <c r="N3" s="163"/>
      <c r="O3" s="163"/>
      <c r="P3" s="163"/>
      <c r="Q3" s="163"/>
      <c r="R3" s="14" t="s">
        <v>5</v>
      </c>
      <c r="S3" s="14"/>
      <c r="T3" s="14"/>
      <c r="U3" s="15" t="s">
        <v>6</v>
      </c>
      <c r="Y3" s="16" t="s">
        <v>7</v>
      </c>
      <c r="Z3" s="17" t="n">
        <v>0.97816</v>
      </c>
      <c r="AA3" s="18" t="s">
        <v>57</v>
      </c>
    </row>
    <row r="4" customFormat="false" ht="18" hidden="false" customHeight="true" outlineLevel="0" collapsed="false">
      <c r="A4" s="19" t="n">
        <v>36617</v>
      </c>
      <c r="B4" s="20" t="s">
        <v>9</v>
      </c>
      <c r="C4" s="20" t="s">
        <v>10</v>
      </c>
      <c r="D4" s="21" t="s">
        <v>58</v>
      </c>
      <c r="E4" s="22" t="s">
        <v>12</v>
      </c>
      <c r="F4" s="23" t="s">
        <v>13</v>
      </c>
      <c r="G4" s="23"/>
      <c r="H4" s="24" t="s">
        <v>14</v>
      </c>
      <c r="I4" s="25" t="s">
        <v>15</v>
      </c>
      <c r="J4" s="26" t="s">
        <v>59</v>
      </c>
      <c r="K4" s="26" t="s">
        <v>60</v>
      </c>
      <c r="L4" s="27"/>
      <c r="M4" s="28" t="s">
        <v>61</v>
      </c>
      <c r="N4" s="29" t="s">
        <v>18</v>
      </c>
      <c r="O4" s="29"/>
      <c r="P4" s="29"/>
      <c r="Q4" s="29"/>
      <c r="R4" s="30" t="s">
        <v>19</v>
      </c>
      <c r="S4" s="30"/>
      <c r="T4" s="31" t="s">
        <v>62</v>
      </c>
      <c r="U4" s="15"/>
      <c r="Y4" s="16" t="s">
        <v>21</v>
      </c>
      <c r="Z4" s="32" t="n">
        <v>0.05</v>
      </c>
    </row>
    <row r="5" customFormat="false" ht="17.25" hidden="false" customHeight="true" outlineLevel="0" collapsed="false">
      <c r="A5" s="19"/>
      <c r="B5" s="20"/>
      <c r="C5" s="20"/>
      <c r="D5" s="21"/>
      <c r="E5" s="22"/>
      <c r="F5" s="23"/>
      <c r="G5" s="23"/>
      <c r="H5" s="24"/>
      <c r="I5" s="25"/>
      <c r="J5" s="26"/>
      <c r="K5" s="26"/>
      <c r="L5" s="27"/>
      <c r="M5" s="28"/>
      <c r="N5" s="164" t="s">
        <v>22</v>
      </c>
      <c r="O5" s="165" t="s">
        <v>63</v>
      </c>
      <c r="P5" s="166" t="s">
        <v>64</v>
      </c>
      <c r="Q5" s="34" t="s">
        <v>23</v>
      </c>
      <c r="R5" s="30"/>
      <c r="S5" s="30"/>
      <c r="T5" s="31"/>
      <c r="U5" s="15"/>
      <c r="Y5" s="16" t="s">
        <v>24</v>
      </c>
      <c r="Z5" s="32" t="n">
        <v>0.03</v>
      </c>
    </row>
    <row r="6" customFormat="false" ht="16.5" hidden="false" customHeight="true" outlineLevel="0" collapsed="false">
      <c r="A6" s="19"/>
      <c r="B6" s="20"/>
      <c r="C6" s="20"/>
      <c r="D6" s="21"/>
      <c r="E6" s="22"/>
      <c r="F6" s="23"/>
      <c r="G6" s="23"/>
      <c r="H6" s="24"/>
      <c r="I6" s="25"/>
      <c r="J6" s="26"/>
      <c r="K6" s="26"/>
      <c r="L6" s="27"/>
      <c r="M6" s="28"/>
      <c r="N6" s="167"/>
      <c r="O6" s="168"/>
      <c r="P6" s="169"/>
      <c r="Q6" s="36"/>
      <c r="R6" s="30"/>
      <c r="S6" s="30"/>
      <c r="T6" s="31"/>
      <c r="U6" s="15"/>
      <c r="W6" s="37" t="s">
        <v>25</v>
      </c>
      <c r="X6" s="16"/>
    </row>
    <row r="7" customFormat="false" ht="15" hidden="false" customHeight="true" outlineLevel="0" collapsed="false">
      <c r="A7" s="38" t="s">
        <v>26</v>
      </c>
      <c r="B7" s="39" t="s">
        <v>27</v>
      </c>
      <c r="C7" s="40" t="s">
        <v>27</v>
      </c>
      <c r="D7" s="41" t="s">
        <v>27</v>
      </c>
      <c r="E7" s="42" t="s">
        <v>27</v>
      </c>
      <c r="F7" s="43" t="s">
        <v>28</v>
      </c>
      <c r="G7" s="44" t="s">
        <v>29</v>
      </c>
      <c r="H7" s="45" t="s">
        <v>30</v>
      </c>
      <c r="I7" s="40" t="s">
        <v>30</v>
      </c>
      <c r="J7" s="46" t="s">
        <v>31</v>
      </c>
      <c r="K7" s="48" t="n">
        <v>0.05</v>
      </c>
      <c r="L7" s="47"/>
      <c r="M7" s="48" t="n">
        <v>0.0415</v>
      </c>
      <c r="N7" s="49" t="n">
        <f aca="false">0.0133+0.0022+0.0072</f>
        <v>0.0227</v>
      </c>
      <c r="O7" s="49" t="n">
        <v>0.07</v>
      </c>
      <c r="P7" s="49" t="n">
        <v>0.1696</v>
      </c>
      <c r="Q7" s="49" t="n">
        <v>0.085</v>
      </c>
      <c r="R7" s="30"/>
      <c r="S7" s="30"/>
      <c r="T7" s="31"/>
      <c r="U7" s="15"/>
      <c r="W7" s="50"/>
      <c r="X7" s="50" t="s">
        <v>32</v>
      </c>
    </row>
    <row r="8" customFormat="false" ht="20.1" hidden="false" customHeight="true" outlineLevel="0" collapsed="false">
      <c r="A8" s="51" t="n">
        <f aca="false">A4</f>
        <v>36617</v>
      </c>
      <c r="B8" s="52"/>
      <c r="C8" s="53"/>
      <c r="D8" s="54" t="n">
        <f aca="false">C8/$Z$3</f>
        <v>0</v>
      </c>
      <c r="E8" s="53"/>
      <c r="F8" s="55"/>
      <c r="G8" s="56"/>
      <c r="H8" s="57" t="n">
        <f aca="false">C8-G8</f>
        <v>0</v>
      </c>
      <c r="I8" s="58" t="n">
        <f aca="false">H8</f>
        <v>0</v>
      </c>
      <c r="J8" s="170"/>
      <c r="K8" s="59"/>
      <c r="L8" s="60"/>
      <c r="M8" s="61" t="n">
        <f aca="false">(IF(H8&lt;0,-H8*$M$7,H8*$M$7))</f>
        <v>0</v>
      </c>
      <c r="N8" s="62" t="n">
        <f aca="false">G8*$N$7</f>
        <v>0</v>
      </c>
      <c r="O8" s="62"/>
      <c r="P8" s="62"/>
      <c r="Q8" s="63" t="n">
        <f aca="false">+G8*$Q$7</f>
        <v>0</v>
      </c>
      <c r="R8" s="64"/>
      <c r="S8" s="64"/>
      <c r="T8" s="171" t="n">
        <v>0</v>
      </c>
      <c r="U8" s="66" t="n">
        <f aca="false">(G8*(J8+K8)+M8+N8+O8+P8+Q8)</f>
        <v>0</v>
      </c>
    </row>
    <row r="9" customFormat="false" ht="20.1" hidden="false" customHeight="true" outlineLevel="0" collapsed="false">
      <c r="A9" s="51" t="n">
        <f aca="false">A8+1</f>
        <v>36618</v>
      </c>
      <c r="B9" s="52"/>
      <c r="C9" s="53"/>
      <c r="D9" s="54" t="n">
        <f aca="false">C9/$Z$3</f>
        <v>0</v>
      </c>
      <c r="E9" s="53"/>
      <c r="F9" s="55"/>
      <c r="G9" s="56"/>
      <c r="H9" s="57" t="n">
        <f aca="false">C9-G9</f>
        <v>0</v>
      </c>
      <c r="I9" s="58" t="n">
        <f aca="false">I8+H9</f>
        <v>0</v>
      </c>
      <c r="J9" s="170"/>
      <c r="K9" s="59"/>
      <c r="L9" s="60"/>
      <c r="M9" s="61" t="n">
        <f aca="false">(IF(H9&lt;0,-H9*$M$7,H9*$M$7))</f>
        <v>0</v>
      </c>
      <c r="N9" s="62" t="n">
        <f aca="false">G9*$N$7</f>
        <v>0</v>
      </c>
      <c r="O9" s="62"/>
      <c r="P9" s="62"/>
      <c r="Q9" s="63" t="n">
        <f aca="false">+G9*$Q$7</f>
        <v>0</v>
      </c>
      <c r="R9" s="68"/>
      <c r="S9" s="68"/>
      <c r="T9" s="171" t="n">
        <v>0</v>
      </c>
      <c r="U9" s="66" t="n">
        <f aca="false">(G9*(J9+K9)+M9+N9+O9+P9+Q9)</f>
        <v>0</v>
      </c>
    </row>
    <row r="10" customFormat="false" ht="20.1" hidden="false" customHeight="true" outlineLevel="0" collapsed="false">
      <c r="A10" s="51" t="n">
        <f aca="false">A9+1</f>
        <v>36619</v>
      </c>
      <c r="B10" s="52"/>
      <c r="C10" s="53"/>
      <c r="D10" s="54" t="n">
        <f aca="false">C10/$Z$3</f>
        <v>0</v>
      </c>
      <c r="E10" s="53"/>
      <c r="F10" s="55"/>
      <c r="G10" s="56"/>
      <c r="H10" s="57" t="n">
        <f aca="false">C10-G10</f>
        <v>0</v>
      </c>
      <c r="I10" s="58" t="n">
        <f aca="false">I9+H10</f>
        <v>0</v>
      </c>
      <c r="J10" s="170"/>
      <c r="K10" s="59"/>
      <c r="L10" s="60"/>
      <c r="M10" s="61" t="n">
        <f aca="false">(IF(H10&lt;0,-H10*$M$7,H10*$M$7))</f>
        <v>0</v>
      </c>
      <c r="N10" s="62" t="n">
        <f aca="false">G10*$N$7</f>
        <v>0</v>
      </c>
      <c r="O10" s="62"/>
      <c r="P10" s="62"/>
      <c r="Q10" s="63" t="n">
        <f aca="false">+G10*$Q$7</f>
        <v>0</v>
      </c>
      <c r="R10" s="68"/>
      <c r="S10" s="68"/>
      <c r="T10" s="171" t="n">
        <v>0</v>
      </c>
      <c r="U10" s="66" t="n">
        <f aca="false">(G10*(J10+K10)+M10+N10+O10+P10+Q10)</f>
        <v>0</v>
      </c>
    </row>
    <row r="11" customFormat="false" ht="20.1" hidden="false" customHeight="true" outlineLevel="0" collapsed="false">
      <c r="A11" s="51" t="n">
        <f aca="false">A10+1</f>
        <v>36620</v>
      </c>
      <c r="B11" s="52" t="n">
        <v>3981</v>
      </c>
      <c r="C11" s="53" t="n">
        <v>3981</v>
      </c>
      <c r="D11" s="54" t="n">
        <f aca="false">C11/$Z$3</f>
        <v>4069.88631716693</v>
      </c>
      <c r="E11" s="53"/>
      <c r="F11" s="55"/>
      <c r="G11" s="69" t="n">
        <v>3981</v>
      </c>
      <c r="H11" s="57" t="n">
        <f aca="false">C11-G11</f>
        <v>0</v>
      </c>
      <c r="I11" s="58" t="n">
        <f aca="false">I10+H11</f>
        <v>0</v>
      </c>
      <c r="J11" s="170" t="n">
        <v>3.09</v>
      </c>
      <c r="K11" s="59" t="n">
        <f aca="false">+$K$7</f>
        <v>0.05</v>
      </c>
      <c r="L11" s="60"/>
      <c r="M11" s="61" t="n">
        <f aca="false">(IF(H11&lt;0,-H11*$M$7,H11*$M$7))</f>
        <v>0</v>
      </c>
      <c r="N11" s="62" t="n">
        <f aca="false">G11*$N$7</f>
        <v>90.3687</v>
      </c>
      <c r="O11" s="62" t="n">
        <f aca="false">+G11*$O$7</f>
        <v>278.67</v>
      </c>
      <c r="P11" s="62"/>
      <c r="Q11" s="63" t="n">
        <f aca="false">+G11*$Q$7</f>
        <v>338.385</v>
      </c>
      <c r="R11" s="68"/>
      <c r="S11" s="68"/>
      <c r="T11" s="171" t="n">
        <f aca="false">+J11+K11+$N$7+$O$7+$Q$7</f>
        <v>3.3177</v>
      </c>
      <c r="U11" s="66" t="n">
        <f aca="false">(G11*(J11+K11)+M11+N11+O11+P11+Q11)</f>
        <v>13207.7637</v>
      </c>
    </row>
    <row r="12" customFormat="false" ht="20.1" hidden="false" customHeight="true" outlineLevel="0" collapsed="false">
      <c r="A12" s="51" t="n">
        <f aca="false">A11+1</f>
        <v>36621</v>
      </c>
      <c r="B12" s="52" t="n">
        <v>2412</v>
      </c>
      <c r="C12" s="53" t="n">
        <v>2412</v>
      </c>
      <c r="D12" s="54" t="n">
        <f aca="false">C12/$Z$3</f>
        <v>2465.85425697227</v>
      </c>
      <c r="E12" s="53"/>
      <c r="F12" s="70"/>
      <c r="G12" s="69" t="n">
        <v>2412</v>
      </c>
      <c r="H12" s="57" t="n">
        <f aca="false">C12-G12</f>
        <v>0</v>
      </c>
      <c r="I12" s="58" t="n">
        <f aca="false">I11+H12</f>
        <v>0</v>
      </c>
      <c r="J12" s="170" t="n">
        <v>3.04</v>
      </c>
      <c r="K12" s="59" t="n">
        <f aca="false">+$K$7</f>
        <v>0.05</v>
      </c>
      <c r="L12" s="60"/>
      <c r="M12" s="61" t="n">
        <f aca="false">(IF(H12&lt;0,-H12*$M$7,H12*$M$7))</f>
        <v>0</v>
      </c>
      <c r="N12" s="62" t="n">
        <f aca="false">G12*$N$7</f>
        <v>54.7524</v>
      </c>
      <c r="O12" s="62" t="n">
        <f aca="false">+G12*$O$7</f>
        <v>168.84</v>
      </c>
      <c r="P12" s="62"/>
      <c r="Q12" s="63" t="n">
        <f aca="false">+G12*$Q$7</f>
        <v>205.02</v>
      </c>
      <c r="R12" s="68"/>
      <c r="S12" s="68"/>
      <c r="T12" s="171" t="n">
        <f aca="false">+J12+K12+$N$7+$O$7+$Q$7</f>
        <v>3.2677</v>
      </c>
      <c r="U12" s="66" t="n">
        <f aca="false">(G12*(J12+K12)+M12+N12+O12+P12+Q12)</f>
        <v>7881.6924</v>
      </c>
    </row>
    <row r="13" customFormat="false" ht="16.9" hidden="false" customHeight="true" outlineLevel="0" collapsed="false">
      <c r="A13" s="51" t="n">
        <f aca="false">A12+1</f>
        <v>36622</v>
      </c>
      <c r="B13" s="71"/>
      <c r="C13" s="72"/>
      <c r="D13" s="73" t="n">
        <f aca="false">C13/$Z$3</f>
        <v>0</v>
      </c>
      <c r="E13" s="74"/>
      <c r="F13" s="75"/>
      <c r="G13" s="76"/>
      <c r="H13" s="71" t="n">
        <f aca="false">C13-G13</f>
        <v>0</v>
      </c>
      <c r="I13" s="58" t="n">
        <f aca="false">I12+H13</f>
        <v>0</v>
      </c>
      <c r="J13" s="170"/>
      <c r="K13" s="59"/>
      <c r="L13" s="60"/>
      <c r="M13" s="77" t="n">
        <f aca="false">(IF(H13&lt;0,-H13*$M$7,H13*$M$7))</f>
        <v>0</v>
      </c>
      <c r="N13" s="78" t="n">
        <f aca="false">G13*$N$7</f>
        <v>0</v>
      </c>
      <c r="O13" s="172"/>
      <c r="P13" s="62"/>
      <c r="Q13" s="63" t="n">
        <f aca="false">+G13*$Q$7</f>
        <v>0</v>
      </c>
      <c r="R13" s="80"/>
      <c r="S13" s="80"/>
      <c r="T13" s="173" t="n">
        <v>0</v>
      </c>
      <c r="U13" s="66" t="n">
        <f aca="false">(G13*(J13+K13)+M13+N13+O13+P13+Q13)</f>
        <v>0</v>
      </c>
    </row>
    <row r="14" customFormat="false" ht="20.1" hidden="false" customHeight="true" outlineLevel="0" collapsed="false">
      <c r="A14" s="51" t="n">
        <f aca="false">A13+1</f>
        <v>36623</v>
      </c>
      <c r="B14" s="83"/>
      <c r="C14" s="84"/>
      <c r="D14" s="85" t="n">
        <f aca="false">C14/$Z$3</f>
        <v>0</v>
      </c>
      <c r="E14" s="84"/>
      <c r="F14" s="86"/>
      <c r="G14" s="87"/>
      <c r="H14" s="88" t="n">
        <f aca="false">C14-G14</f>
        <v>0</v>
      </c>
      <c r="I14" s="58" t="n">
        <f aca="false">I13+H14</f>
        <v>0</v>
      </c>
      <c r="J14" s="170"/>
      <c r="K14" s="89"/>
      <c r="L14" s="60"/>
      <c r="M14" s="90" t="n">
        <f aca="false">(IF(H14&lt;0,-H14*$M$7,H14*$M$7))</f>
        <v>0</v>
      </c>
      <c r="N14" s="62" t="n">
        <f aca="false">G14*$N$7</f>
        <v>0</v>
      </c>
      <c r="O14" s="62"/>
      <c r="P14" s="62"/>
      <c r="Q14" s="63" t="n">
        <f aca="false">+G14*$Q$7</f>
        <v>0</v>
      </c>
      <c r="R14" s="68"/>
      <c r="S14" s="68"/>
      <c r="T14" s="171" t="n">
        <v>0</v>
      </c>
      <c r="U14" s="66" t="n">
        <f aca="false">(G14*(J14+K14)+M14+N14+O14+P14+Q14)</f>
        <v>0</v>
      </c>
    </row>
    <row r="15" customFormat="false" ht="20.1" hidden="false" customHeight="true" outlineLevel="0" collapsed="false">
      <c r="A15" s="51" t="n">
        <f aca="false">A14+1</f>
        <v>36624</v>
      </c>
      <c r="B15" s="52"/>
      <c r="C15" s="53"/>
      <c r="D15" s="54" t="n">
        <f aca="false">C15/$Z$3</f>
        <v>0</v>
      </c>
      <c r="E15" s="53"/>
      <c r="F15" s="55"/>
      <c r="G15" s="56"/>
      <c r="H15" s="57" t="n">
        <f aca="false">C15-G15</f>
        <v>0</v>
      </c>
      <c r="I15" s="58" t="n">
        <f aca="false">I14+H15</f>
        <v>0</v>
      </c>
      <c r="J15" s="170"/>
      <c r="K15" s="59"/>
      <c r="L15" s="60"/>
      <c r="M15" s="91" t="n">
        <f aca="false">(IF(H15&lt;0,-H15*$M$7,H15*$M$7))</f>
        <v>0</v>
      </c>
      <c r="N15" s="62" t="n">
        <f aca="false">G15*$N$7</f>
        <v>0</v>
      </c>
      <c r="O15" s="62"/>
      <c r="P15" s="62"/>
      <c r="Q15" s="63" t="n">
        <f aca="false">+G15*$Q$7</f>
        <v>0</v>
      </c>
      <c r="R15" s="92"/>
      <c r="S15" s="92"/>
      <c r="T15" s="171" t="n">
        <v>0</v>
      </c>
      <c r="U15" s="66" t="n">
        <f aca="false">(G15*(J15+K15)+M15+N15+O15+P15+Q15)</f>
        <v>0</v>
      </c>
    </row>
    <row r="16" customFormat="false" ht="20.1" hidden="false" customHeight="true" outlineLevel="0" collapsed="false">
      <c r="A16" s="51" t="n">
        <f aca="false">A15+1</f>
        <v>36625</v>
      </c>
      <c r="B16" s="52"/>
      <c r="C16" s="53"/>
      <c r="D16" s="85" t="n">
        <f aca="false">C16/$Z$3</f>
        <v>0</v>
      </c>
      <c r="E16" s="53"/>
      <c r="F16" s="55"/>
      <c r="G16" s="56"/>
      <c r="H16" s="57" t="n">
        <f aca="false">C16-G16</f>
        <v>0</v>
      </c>
      <c r="I16" s="58" t="n">
        <f aca="false">I15+H16</f>
        <v>0</v>
      </c>
      <c r="J16" s="170"/>
      <c r="K16" s="59"/>
      <c r="L16" s="60"/>
      <c r="M16" s="91" t="n">
        <f aca="false">(IF(H16&lt;0,-H16*$M$7,H16*$M$7))</f>
        <v>0</v>
      </c>
      <c r="N16" s="62" t="n">
        <f aca="false">G16*$N$7</f>
        <v>0</v>
      </c>
      <c r="O16" s="62"/>
      <c r="P16" s="62"/>
      <c r="Q16" s="63" t="n">
        <f aca="false">+G16*$Q$7</f>
        <v>0</v>
      </c>
      <c r="R16" s="68"/>
      <c r="S16" s="68"/>
      <c r="T16" s="171" t="n">
        <v>0</v>
      </c>
      <c r="U16" s="66" t="n">
        <f aca="false">(G16*(J16+K16)+M16+N16+O16+P16+Q16)</f>
        <v>0</v>
      </c>
    </row>
    <row r="17" customFormat="false" ht="20.1" hidden="false" customHeight="true" outlineLevel="0" collapsed="false">
      <c r="A17" s="51" t="n">
        <f aca="false">A16+1</f>
        <v>36626</v>
      </c>
      <c r="B17" s="52"/>
      <c r="C17" s="53"/>
      <c r="D17" s="85" t="n">
        <f aca="false">C17/$Z$3</f>
        <v>0</v>
      </c>
      <c r="E17" s="53"/>
      <c r="F17" s="55"/>
      <c r="G17" s="56"/>
      <c r="H17" s="57" t="n">
        <f aca="false">C17-G17</f>
        <v>0</v>
      </c>
      <c r="I17" s="58" t="n">
        <f aca="false">I16+H17</f>
        <v>0</v>
      </c>
      <c r="J17" s="170"/>
      <c r="K17" s="59"/>
      <c r="L17" s="60"/>
      <c r="M17" s="91" t="n">
        <f aca="false">(IF(H17&lt;0,-H17*$M$7,H17*$M$7))</f>
        <v>0</v>
      </c>
      <c r="N17" s="62" t="n">
        <f aca="false">G17*$N$7</f>
        <v>0</v>
      </c>
      <c r="O17" s="62"/>
      <c r="P17" s="62"/>
      <c r="Q17" s="63" t="n">
        <f aca="false">+G17*$Q$7</f>
        <v>0</v>
      </c>
      <c r="R17" s="68"/>
      <c r="S17" s="68"/>
      <c r="T17" s="171" t="n">
        <v>0</v>
      </c>
      <c r="U17" s="66" t="n">
        <f aca="false">(G17*(J17+K17)+M17+N17+O17+P17+Q17)</f>
        <v>0</v>
      </c>
    </row>
    <row r="18" customFormat="false" ht="20.1" hidden="false" customHeight="true" outlineLevel="0" collapsed="false">
      <c r="A18" s="51" t="n">
        <f aca="false">A17+1</f>
        <v>36627</v>
      </c>
      <c r="B18" s="52"/>
      <c r="C18" s="53"/>
      <c r="D18" s="85" t="n">
        <f aca="false">C18/$Z$3</f>
        <v>0</v>
      </c>
      <c r="E18" s="53"/>
      <c r="F18" s="55"/>
      <c r="G18" s="56"/>
      <c r="H18" s="57" t="n">
        <f aca="false">C18-G18</f>
        <v>0</v>
      </c>
      <c r="I18" s="58" t="n">
        <f aca="false">I17+H18</f>
        <v>0</v>
      </c>
      <c r="J18" s="170"/>
      <c r="K18" s="59"/>
      <c r="L18" s="60"/>
      <c r="M18" s="91" t="n">
        <f aca="false">(IF(H18&lt;0,-H18*$M$7,H18*$M$7))</f>
        <v>0</v>
      </c>
      <c r="N18" s="62" t="n">
        <f aca="false">G18*$N$7</f>
        <v>0</v>
      </c>
      <c r="O18" s="62"/>
      <c r="P18" s="62"/>
      <c r="Q18" s="63" t="n">
        <f aca="false">+G18*$Q$7</f>
        <v>0</v>
      </c>
      <c r="R18" s="68"/>
      <c r="S18" s="68"/>
      <c r="T18" s="171" t="n">
        <v>0</v>
      </c>
      <c r="U18" s="66" t="n">
        <f aca="false">(G18*(J18+K18)+M18+N18+O18+P18+Q18)</f>
        <v>0</v>
      </c>
    </row>
    <row r="19" customFormat="false" ht="20.1" hidden="false" customHeight="true" outlineLevel="0" collapsed="false">
      <c r="A19" s="51" t="n">
        <f aca="false">A18+1</f>
        <v>36628</v>
      </c>
      <c r="B19" s="52"/>
      <c r="C19" s="53"/>
      <c r="D19" s="85" t="n">
        <f aca="false">C19/$Z$3</f>
        <v>0</v>
      </c>
      <c r="E19" s="53"/>
      <c r="F19" s="55"/>
      <c r="G19" s="56"/>
      <c r="H19" s="57" t="n">
        <f aca="false">C19-G19</f>
        <v>0</v>
      </c>
      <c r="I19" s="58" t="n">
        <f aca="false">I18+H19</f>
        <v>0</v>
      </c>
      <c r="J19" s="170"/>
      <c r="K19" s="93"/>
      <c r="L19" s="60"/>
      <c r="M19" s="91" t="n">
        <f aca="false">(IF(H19&lt;0,-H19*$M$7,H19*$M$7))</f>
        <v>0</v>
      </c>
      <c r="N19" s="62" t="n">
        <f aca="false">G19*$N$7</f>
        <v>0</v>
      </c>
      <c r="O19" s="62"/>
      <c r="P19" s="62"/>
      <c r="Q19" s="63" t="n">
        <f aca="false">+G19*$Q$7</f>
        <v>0</v>
      </c>
      <c r="R19" s="68"/>
      <c r="S19" s="68"/>
      <c r="T19" s="171" t="n">
        <v>0</v>
      </c>
      <c r="U19" s="66" t="n">
        <f aca="false">(G19*(J19+K19)+M19+N19+O19+P19+Q19)</f>
        <v>0</v>
      </c>
    </row>
    <row r="20" customFormat="false" ht="20.1" hidden="false" customHeight="true" outlineLevel="0" collapsed="false">
      <c r="A20" s="51" t="n">
        <f aca="false">A19+1</f>
        <v>36629</v>
      </c>
      <c r="B20" s="52"/>
      <c r="C20" s="53"/>
      <c r="D20" s="85" t="n">
        <f aca="false">C20/$Z$3</f>
        <v>0</v>
      </c>
      <c r="E20" s="53"/>
      <c r="F20" s="55"/>
      <c r="G20" s="56"/>
      <c r="H20" s="57" t="n">
        <f aca="false">C20-G20</f>
        <v>0</v>
      </c>
      <c r="I20" s="58" t="n">
        <f aca="false">I19+H20</f>
        <v>0</v>
      </c>
      <c r="J20" s="170"/>
      <c r="K20" s="59"/>
      <c r="L20" s="60"/>
      <c r="M20" s="91" t="n">
        <f aca="false">(IF(H20&lt;0,-H20*$M$7,H20*$M$7))</f>
        <v>0</v>
      </c>
      <c r="N20" s="62" t="n">
        <f aca="false">G20*$N$7</f>
        <v>0</v>
      </c>
      <c r="O20" s="62"/>
      <c r="P20" s="62"/>
      <c r="Q20" s="63" t="n">
        <f aca="false">+G20*$Q$7</f>
        <v>0</v>
      </c>
      <c r="R20" s="68"/>
      <c r="S20" s="68"/>
      <c r="T20" s="171" t="n">
        <v>0</v>
      </c>
      <c r="U20" s="66" t="n">
        <f aca="false">(G20*(J20+K20)+M20+N20+O20+P20+Q20)</f>
        <v>0</v>
      </c>
    </row>
    <row r="21" customFormat="false" ht="20.1" hidden="false" customHeight="true" outlineLevel="0" collapsed="false">
      <c r="A21" s="51" t="n">
        <f aca="false">A20+1</f>
        <v>36630</v>
      </c>
      <c r="B21" s="52"/>
      <c r="C21" s="53"/>
      <c r="D21" s="85" t="n">
        <f aca="false">C21/$Z$3</f>
        <v>0</v>
      </c>
      <c r="E21" s="53"/>
      <c r="F21" s="55"/>
      <c r="G21" s="56"/>
      <c r="H21" s="57" t="n">
        <f aca="false">C21-G21</f>
        <v>0</v>
      </c>
      <c r="I21" s="58" t="n">
        <f aca="false">I20+H21</f>
        <v>0</v>
      </c>
      <c r="J21" s="170"/>
      <c r="K21" s="59"/>
      <c r="L21" s="60"/>
      <c r="M21" s="91" t="n">
        <f aca="false">(IF(H21&lt;0,-H21*$M$7,H21*$M$7))</f>
        <v>0</v>
      </c>
      <c r="N21" s="62" t="n">
        <f aca="false">G21*$N$7</f>
        <v>0</v>
      </c>
      <c r="O21" s="62"/>
      <c r="P21" s="62"/>
      <c r="Q21" s="63" t="n">
        <f aca="false">+G21*$Q$7</f>
        <v>0</v>
      </c>
      <c r="R21" s="68"/>
      <c r="S21" s="68"/>
      <c r="T21" s="171" t="n">
        <v>0</v>
      </c>
      <c r="U21" s="66" t="n">
        <f aca="false">(G21*(J21+K21)+M21+N21+O21+P21+Q21)</f>
        <v>0</v>
      </c>
    </row>
    <row r="22" customFormat="false" ht="20.1" hidden="false" customHeight="true" outlineLevel="0" collapsed="false">
      <c r="A22" s="51" t="n">
        <f aca="false">A21+1</f>
        <v>36631</v>
      </c>
      <c r="B22" s="52"/>
      <c r="C22" s="53"/>
      <c r="D22" s="85" t="n">
        <f aca="false">C22/$Z$3</f>
        <v>0</v>
      </c>
      <c r="E22" s="53"/>
      <c r="F22" s="55"/>
      <c r="G22" s="56"/>
      <c r="H22" s="57" t="n">
        <f aca="false">C22-G22</f>
        <v>0</v>
      </c>
      <c r="I22" s="58" t="n">
        <f aca="false">I21+H22</f>
        <v>0</v>
      </c>
      <c r="J22" s="170"/>
      <c r="K22" s="59"/>
      <c r="L22" s="60"/>
      <c r="M22" s="91" t="n">
        <f aca="false">(IF(H22&lt;0,-H22*$M$7,H22*$M$7))</f>
        <v>0</v>
      </c>
      <c r="N22" s="62" t="n">
        <f aca="false">G22*$N$7</f>
        <v>0</v>
      </c>
      <c r="O22" s="62"/>
      <c r="P22" s="62"/>
      <c r="Q22" s="63" t="n">
        <f aca="false">+G22*$Q$7</f>
        <v>0</v>
      </c>
      <c r="R22" s="68"/>
      <c r="S22" s="68"/>
      <c r="T22" s="171" t="n">
        <v>0</v>
      </c>
      <c r="U22" s="66" t="n">
        <f aca="false">(G22*(J22+K22)+M22+N22+O22+P22+Q22)</f>
        <v>0</v>
      </c>
    </row>
    <row r="23" customFormat="false" ht="20.1" hidden="false" customHeight="true" outlineLevel="0" collapsed="false">
      <c r="A23" s="51" t="n">
        <f aca="false">A22+1</f>
        <v>36632</v>
      </c>
      <c r="B23" s="52"/>
      <c r="C23" s="53"/>
      <c r="D23" s="85" t="n">
        <f aca="false">C23/$Z$3</f>
        <v>0</v>
      </c>
      <c r="E23" s="53"/>
      <c r="F23" s="55"/>
      <c r="G23" s="56"/>
      <c r="H23" s="57" t="n">
        <f aca="false">C23-G23</f>
        <v>0</v>
      </c>
      <c r="I23" s="58" t="n">
        <f aca="false">I22+H23</f>
        <v>0</v>
      </c>
      <c r="J23" s="170"/>
      <c r="K23" s="59"/>
      <c r="L23" s="60"/>
      <c r="M23" s="91" t="n">
        <f aca="false">(IF(H23&lt;0,-H23*$M$7,H23*$M$7))</f>
        <v>0</v>
      </c>
      <c r="N23" s="62" t="n">
        <f aca="false">G23*$N$7</f>
        <v>0</v>
      </c>
      <c r="O23" s="62"/>
      <c r="P23" s="62"/>
      <c r="Q23" s="63" t="n">
        <f aca="false">+G23*$Q$7</f>
        <v>0</v>
      </c>
      <c r="R23" s="68"/>
      <c r="S23" s="68"/>
      <c r="T23" s="171" t="n">
        <v>0</v>
      </c>
      <c r="U23" s="66" t="n">
        <f aca="false">(G23*(J23+K23)+M23+N23+O23+P23+Q23)</f>
        <v>0</v>
      </c>
    </row>
    <row r="24" customFormat="false" ht="20.1" hidden="false" customHeight="true" outlineLevel="0" collapsed="false">
      <c r="A24" s="51" t="n">
        <f aca="false">A23+1</f>
        <v>36633</v>
      </c>
      <c r="B24" s="52" t="n">
        <v>8000</v>
      </c>
      <c r="C24" s="53" t="n">
        <v>5495</v>
      </c>
      <c r="D24" s="85" t="n">
        <f aca="false">C24/$Z$3</f>
        <v>5617.69035740574</v>
      </c>
      <c r="E24" s="53"/>
      <c r="F24" s="55"/>
      <c r="G24" s="56" t="n">
        <v>7205</v>
      </c>
      <c r="H24" s="57" t="n">
        <f aca="false">C24-G24</f>
        <v>-1710</v>
      </c>
      <c r="I24" s="58" t="n">
        <f aca="false">I23+H24</f>
        <v>-1710</v>
      </c>
      <c r="J24" s="170" t="n">
        <v>3.245</v>
      </c>
      <c r="K24" s="59" t="n">
        <f aca="false">+$K$7</f>
        <v>0.05</v>
      </c>
      <c r="L24" s="60"/>
      <c r="M24" s="91" t="n">
        <f aca="false">(IF(H24&lt;0,-H24*$M$7,H24*$M$7))</f>
        <v>70.965</v>
      </c>
      <c r="N24" s="62" t="n">
        <f aca="false">G24*$N$7</f>
        <v>163.5535</v>
      </c>
      <c r="O24" s="62" t="n">
        <f aca="false">+G24*$O$7</f>
        <v>504.35</v>
      </c>
      <c r="P24" s="62"/>
      <c r="Q24" s="63" t="n">
        <f aca="false">+G24*$Q$7</f>
        <v>612.425</v>
      </c>
      <c r="R24" s="68"/>
      <c r="S24" s="68"/>
      <c r="T24" s="171" t="n">
        <f aca="false">+J24+K24+$N$7+$O$7+$Q$7</f>
        <v>3.4727</v>
      </c>
      <c r="U24" s="66" t="n">
        <f aca="false">(G24*(J24+K24)+M24+N24+O24+P24+Q24)</f>
        <v>25091.7685</v>
      </c>
    </row>
    <row r="25" customFormat="false" ht="20.1" hidden="false" customHeight="true" outlineLevel="0" collapsed="false">
      <c r="A25" s="51" t="n">
        <f aca="false">A24+1</f>
        <v>36634</v>
      </c>
      <c r="B25" s="52" t="n">
        <v>16500</v>
      </c>
      <c r="C25" s="53" t="n">
        <v>12239</v>
      </c>
      <c r="D25" s="85" t="n">
        <f aca="false">C25/$Z$3</f>
        <v>12512.2679316267</v>
      </c>
      <c r="E25" s="53"/>
      <c r="F25" s="55"/>
      <c r="G25" s="56" t="n">
        <v>18265</v>
      </c>
      <c r="H25" s="57" t="n">
        <f aca="false">C25-G25</f>
        <v>-6026</v>
      </c>
      <c r="I25" s="58" t="n">
        <f aca="false">I24+H25</f>
        <v>-7736</v>
      </c>
      <c r="J25" s="170" t="n">
        <v>3.325</v>
      </c>
      <c r="K25" s="59" t="n">
        <f aca="false">+$K$7</f>
        <v>0.05</v>
      </c>
      <c r="L25" s="60"/>
      <c r="M25" s="91" t="n">
        <f aca="false">(IF(H25&lt;0,-H25*$M$7,H25*$M$7))</f>
        <v>250.079</v>
      </c>
      <c r="N25" s="62" t="n">
        <f aca="false">G25*$N$7</f>
        <v>414.6155</v>
      </c>
      <c r="O25" s="62" t="n">
        <f aca="false">+G25*$O$7</f>
        <v>1278.55</v>
      </c>
      <c r="P25" s="62" t="n">
        <f aca="false">P7*5253</f>
        <v>890.9088</v>
      </c>
      <c r="Q25" s="63" t="n">
        <f aca="false">+G25*$Q$7</f>
        <v>1552.525</v>
      </c>
      <c r="R25" s="68"/>
      <c r="S25" s="68"/>
      <c r="T25" s="171" t="n">
        <f aca="false">+J25+K25+$N$7+$O$7+$Q$7</f>
        <v>3.5527</v>
      </c>
      <c r="U25" s="66" t="n">
        <f aca="false">(G25*(J25+K25)+M25+N25+O25+P25+Q25)</f>
        <v>66031.0533</v>
      </c>
    </row>
    <row r="26" customFormat="false" ht="20.1" hidden="false" customHeight="true" outlineLevel="0" collapsed="false">
      <c r="A26" s="51" t="n">
        <f aca="false">A25+1</f>
        <v>36635</v>
      </c>
      <c r="B26" s="52"/>
      <c r="C26" s="53"/>
      <c r="D26" s="85" t="n">
        <f aca="false">C26/$Z$3</f>
        <v>0</v>
      </c>
      <c r="E26" s="53"/>
      <c r="F26" s="55"/>
      <c r="G26" s="56" t="n">
        <v>19</v>
      </c>
      <c r="H26" s="57" t="n">
        <f aca="false">C26-G26</f>
        <v>-19</v>
      </c>
      <c r="I26" s="58" t="n">
        <f aca="false">I25+H26</f>
        <v>-7755</v>
      </c>
      <c r="J26" s="170"/>
      <c r="K26" s="59"/>
      <c r="L26" s="60"/>
      <c r="M26" s="91" t="n">
        <v>0</v>
      </c>
      <c r="N26" s="62" t="n">
        <v>0</v>
      </c>
      <c r="O26" s="62" t="n">
        <f aca="false">((J26/$Z$3)-J26)*G26</f>
        <v>0</v>
      </c>
      <c r="P26" s="62"/>
      <c r="Q26" s="63" t="n">
        <v>0</v>
      </c>
      <c r="R26" s="68"/>
      <c r="S26" s="68"/>
      <c r="T26" s="171" t="n">
        <v>0</v>
      </c>
      <c r="U26" s="66" t="n">
        <f aca="false">(G26*(J26+K26)+M26+N26+O26+P26+Q26)</f>
        <v>0</v>
      </c>
    </row>
    <row r="27" customFormat="false" ht="20.1" hidden="false" customHeight="true" outlineLevel="0" collapsed="false">
      <c r="A27" s="51" t="n">
        <f aca="false">A26+1</f>
        <v>36636</v>
      </c>
      <c r="B27" s="52"/>
      <c r="C27" s="53"/>
      <c r="D27" s="85" t="n">
        <f aca="false">C27/$Z$3</f>
        <v>0</v>
      </c>
      <c r="E27" s="53"/>
      <c r="F27" s="55"/>
      <c r="G27" s="56"/>
      <c r="H27" s="57" t="n">
        <f aca="false">C27-G27</f>
        <v>0</v>
      </c>
      <c r="I27" s="58" t="n">
        <f aca="false">I26+H27</f>
        <v>-7755</v>
      </c>
      <c r="J27" s="170"/>
      <c r="K27" s="59"/>
      <c r="L27" s="60"/>
      <c r="M27" s="91" t="n">
        <f aca="false">(IF(H27&lt;0,-H27*$M$7,H27*$M$7))</f>
        <v>0</v>
      </c>
      <c r="N27" s="62" t="n">
        <f aca="false">G27*$N$7</f>
        <v>0</v>
      </c>
      <c r="O27" s="62"/>
      <c r="P27" s="62"/>
      <c r="Q27" s="63" t="n">
        <f aca="false">+G27*$Q$7</f>
        <v>0</v>
      </c>
      <c r="R27" s="68"/>
      <c r="S27" s="68"/>
      <c r="T27" s="171" t="n">
        <v>0</v>
      </c>
      <c r="U27" s="66" t="n">
        <f aca="false">(G27*(J27+K27)+M27+N27+O27+P27+Q27)</f>
        <v>0</v>
      </c>
    </row>
    <row r="28" customFormat="false" ht="20.1" hidden="false" customHeight="true" outlineLevel="0" collapsed="false">
      <c r="A28" s="51" t="n">
        <f aca="false">A27+1</f>
        <v>36637</v>
      </c>
      <c r="B28" s="52"/>
      <c r="C28" s="53"/>
      <c r="D28" s="85" t="n">
        <f aca="false">C28/$Z$3</f>
        <v>0</v>
      </c>
      <c r="E28" s="94"/>
      <c r="F28" s="55"/>
      <c r="G28" s="56"/>
      <c r="H28" s="57" t="n">
        <f aca="false">C28-G28</f>
        <v>0</v>
      </c>
      <c r="I28" s="58" t="n">
        <f aca="false">I27+H28</f>
        <v>-7755</v>
      </c>
      <c r="J28" s="170"/>
      <c r="K28" s="59"/>
      <c r="L28" s="60"/>
      <c r="M28" s="91" t="n">
        <f aca="false">(IF(H28&lt;0,-H28*$M$7,H28*$M$7))</f>
        <v>0</v>
      </c>
      <c r="N28" s="62" t="n">
        <f aca="false">G28*$N$7</f>
        <v>0</v>
      </c>
      <c r="O28" s="62"/>
      <c r="P28" s="62"/>
      <c r="Q28" s="63" t="n">
        <f aca="false">+G28*$Q$7</f>
        <v>0</v>
      </c>
      <c r="R28" s="68"/>
      <c r="S28" s="68"/>
      <c r="T28" s="171" t="n">
        <v>0</v>
      </c>
      <c r="U28" s="66" t="n">
        <f aca="false">(G28*(J28+K28)+M28+N28+O28+P28+Q28)</f>
        <v>0</v>
      </c>
    </row>
    <row r="29" customFormat="false" ht="20.1" hidden="false" customHeight="true" outlineLevel="0" collapsed="false">
      <c r="A29" s="51" t="n">
        <f aca="false">A28+1</f>
        <v>36638</v>
      </c>
      <c r="B29" s="52"/>
      <c r="C29" s="53"/>
      <c r="D29" s="85" t="n">
        <f aca="false">C29/$Z$3</f>
        <v>0</v>
      </c>
      <c r="E29" s="53"/>
      <c r="F29" s="55"/>
      <c r="G29" s="56"/>
      <c r="H29" s="57" t="n">
        <f aca="false">C29-G29</f>
        <v>0</v>
      </c>
      <c r="I29" s="58" t="n">
        <f aca="false">I28+H29</f>
        <v>-7755</v>
      </c>
      <c r="J29" s="170"/>
      <c r="K29" s="59"/>
      <c r="L29" s="60"/>
      <c r="M29" s="91" t="n">
        <f aca="false">(IF(H29&lt;0,-H29*$M$7,H29*$M$7))</f>
        <v>0</v>
      </c>
      <c r="N29" s="62" t="n">
        <f aca="false">G29*$N$7</f>
        <v>0</v>
      </c>
      <c r="O29" s="62"/>
      <c r="P29" s="62"/>
      <c r="Q29" s="63" t="n">
        <f aca="false">+G29*$Q$7</f>
        <v>0</v>
      </c>
      <c r="R29" s="68"/>
      <c r="S29" s="68"/>
      <c r="T29" s="171" t="n">
        <v>0</v>
      </c>
      <c r="U29" s="66" t="n">
        <f aca="false">(G29*(J29+K29)+M29+N29+O29+P29+Q29)</f>
        <v>0</v>
      </c>
    </row>
    <row r="30" customFormat="false" ht="20.1" hidden="false" customHeight="true" outlineLevel="0" collapsed="false">
      <c r="A30" s="51" t="n">
        <f aca="false">A29+1</f>
        <v>36639</v>
      </c>
      <c r="B30" s="52"/>
      <c r="C30" s="53"/>
      <c r="D30" s="85" t="n">
        <f aca="false">C30/$Z$3</f>
        <v>0</v>
      </c>
      <c r="E30" s="53"/>
      <c r="F30" s="55"/>
      <c r="G30" s="56"/>
      <c r="H30" s="57" t="n">
        <f aca="false">C30-G30</f>
        <v>0</v>
      </c>
      <c r="I30" s="58" t="n">
        <f aca="false">I29+H30</f>
        <v>-7755</v>
      </c>
      <c r="J30" s="170"/>
      <c r="K30" s="59"/>
      <c r="L30" s="60"/>
      <c r="M30" s="91" t="n">
        <f aca="false">(IF(H30&lt;0,-H30*$M$7,H30*$M$7))</f>
        <v>0</v>
      </c>
      <c r="N30" s="62" t="n">
        <f aca="false">G30*$N$7</f>
        <v>0</v>
      </c>
      <c r="O30" s="62"/>
      <c r="P30" s="62"/>
      <c r="Q30" s="63" t="n">
        <f aca="false">+G30*$Q$7</f>
        <v>0</v>
      </c>
      <c r="R30" s="68"/>
      <c r="S30" s="68"/>
      <c r="T30" s="171" t="n">
        <v>0</v>
      </c>
      <c r="U30" s="66" t="n">
        <f aca="false">(G30*(J30+K30)+M30+N30+O30+P30+Q30)</f>
        <v>0</v>
      </c>
    </row>
    <row r="31" customFormat="false" ht="20.1" hidden="false" customHeight="true" outlineLevel="0" collapsed="false">
      <c r="A31" s="51" t="n">
        <f aca="false">A30+1</f>
        <v>36640</v>
      </c>
      <c r="B31" s="52"/>
      <c r="C31" s="53"/>
      <c r="D31" s="85" t="n">
        <f aca="false">C31/$Z$3</f>
        <v>0</v>
      </c>
      <c r="E31" s="53"/>
      <c r="F31" s="55"/>
      <c r="G31" s="56"/>
      <c r="H31" s="57" t="n">
        <f aca="false">C31-G31</f>
        <v>0</v>
      </c>
      <c r="I31" s="58" t="n">
        <f aca="false">I30+H31</f>
        <v>-7755</v>
      </c>
      <c r="J31" s="170"/>
      <c r="K31" s="59"/>
      <c r="L31" s="60"/>
      <c r="M31" s="91" t="n">
        <f aca="false">(IF(H31&lt;0,-H31*$M$7,H31*$M$7))</f>
        <v>0</v>
      </c>
      <c r="N31" s="62" t="n">
        <f aca="false">G31*$N$7</f>
        <v>0</v>
      </c>
      <c r="O31" s="62"/>
      <c r="P31" s="62"/>
      <c r="Q31" s="63" t="n">
        <f aca="false">+G31*$Q$7</f>
        <v>0</v>
      </c>
      <c r="R31" s="68"/>
      <c r="S31" s="68"/>
      <c r="T31" s="171" t="n">
        <v>0</v>
      </c>
      <c r="U31" s="66" t="n">
        <f aca="false">(G31*(J31+K31)+M31+N31+O31+P31+Q31)</f>
        <v>0</v>
      </c>
    </row>
    <row r="32" customFormat="false" ht="20.1" hidden="false" customHeight="true" outlineLevel="0" collapsed="false">
      <c r="A32" s="51" t="n">
        <f aca="false">A31+1</f>
        <v>36641</v>
      </c>
      <c r="B32" s="52"/>
      <c r="C32" s="53"/>
      <c r="D32" s="85" t="n">
        <f aca="false">C32/$Z$3</f>
        <v>0</v>
      </c>
      <c r="E32" s="53"/>
      <c r="F32" s="55"/>
      <c r="G32" s="56"/>
      <c r="H32" s="57" t="n">
        <f aca="false">C32-G32</f>
        <v>0</v>
      </c>
      <c r="I32" s="58" t="n">
        <f aca="false">I31+H32</f>
        <v>-7755</v>
      </c>
      <c r="J32" s="170"/>
      <c r="K32" s="95"/>
      <c r="L32" s="96"/>
      <c r="M32" s="91" t="n">
        <f aca="false">(IF(H32&lt;0,-H32*$M$7,H32*$M$7))</f>
        <v>0</v>
      </c>
      <c r="N32" s="62" t="n">
        <f aca="false">G32*$N$7</f>
        <v>0</v>
      </c>
      <c r="O32" s="62"/>
      <c r="P32" s="62"/>
      <c r="Q32" s="63" t="n">
        <f aca="false">+G32*$Q$7</f>
        <v>0</v>
      </c>
      <c r="R32" s="68"/>
      <c r="S32" s="68"/>
      <c r="T32" s="171" t="n">
        <v>0</v>
      </c>
      <c r="U32" s="66" t="n">
        <f aca="false">(G32*(J32+K32)+M32+N32+O32+P32+Q32)</f>
        <v>0</v>
      </c>
    </row>
    <row r="33" customFormat="false" ht="20.1" hidden="false" customHeight="true" outlineLevel="0" collapsed="false">
      <c r="A33" s="51" t="n">
        <f aca="false">A32+1</f>
        <v>36642</v>
      </c>
      <c r="B33" s="52"/>
      <c r="C33" s="53"/>
      <c r="D33" s="85" t="n">
        <f aca="false">C33/$Z$3</f>
        <v>0</v>
      </c>
      <c r="E33" s="53"/>
      <c r="F33" s="55"/>
      <c r="G33" s="56"/>
      <c r="H33" s="57" t="n">
        <f aca="false">C33-G33</f>
        <v>0</v>
      </c>
      <c r="I33" s="58" t="n">
        <f aca="false">I32+H33</f>
        <v>-7755</v>
      </c>
      <c r="J33" s="170"/>
      <c r="K33" s="59"/>
      <c r="L33" s="60"/>
      <c r="M33" s="91" t="n">
        <f aca="false">(IF(H33&lt;0,-H33*$M$7,H33*$M$7))</f>
        <v>0</v>
      </c>
      <c r="N33" s="62" t="n">
        <f aca="false">G33*$N$7</f>
        <v>0</v>
      </c>
      <c r="O33" s="62"/>
      <c r="P33" s="62"/>
      <c r="Q33" s="63" t="n">
        <f aca="false">+G33*$Q$7</f>
        <v>0</v>
      </c>
      <c r="R33" s="68"/>
      <c r="S33" s="68"/>
      <c r="T33" s="171" t="n">
        <v>0</v>
      </c>
      <c r="U33" s="66" t="n">
        <f aca="false">(G33*(J33+K33)+M33+N33+O33+P33+Q33)</f>
        <v>0</v>
      </c>
    </row>
    <row r="34" customFormat="false" ht="20.1" hidden="false" customHeight="true" outlineLevel="0" collapsed="false">
      <c r="A34" s="51" t="n">
        <f aca="false">A33+1</f>
        <v>36643</v>
      </c>
      <c r="B34" s="52"/>
      <c r="C34" s="53"/>
      <c r="D34" s="85" t="n">
        <f aca="false">C34/$Z$3</f>
        <v>0</v>
      </c>
      <c r="E34" s="53"/>
      <c r="F34" s="55"/>
      <c r="G34" s="56"/>
      <c r="H34" s="57" t="n">
        <f aca="false">C34-G34</f>
        <v>0</v>
      </c>
      <c r="I34" s="58" t="n">
        <f aca="false">I33+H34</f>
        <v>-7755</v>
      </c>
      <c r="J34" s="170"/>
      <c r="K34" s="59"/>
      <c r="L34" s="60"/>
      <c r="M34" s="91" t="n">
        <f aca="false">(IF(H34&lt;0,-H34*$M$7,H34*$M$7))</f>
        <v>0</v>
      </c>
      <c r="N34" s="62" t="n">
        <f aca="false">G34*$N$7</f>
        <v>0</v>
      </c>
      <c r="O34" s="62"/>
      <c r="P34" s="62"/>
      <c r="Q34" s="63" t="n">
        <f aca="false">+G34*$Q$7</f>
        <v>0</v>
      </c>
      <c r="R34" s="68"/>
      <c r="S34" s="68"/>
      <c r="T34" s="171" t="n">
        <v>0</v>
      </c>
      <c r="U34" s="66" t="n">
        <f aca="false">(G34*(J34+K34)+M34+N34+O34+P34+Q34)</f>
        <v>0</v>
      </c>
    </row>
    <row r="35" customFormat="false" ht="20.1" hidden="false" customHeight="true" outlineLevel="0" collapsed="false">
      <c r="A35" s="51" t="n">
        <f aca="false">A34+1</f>
        <v>36644</v>
      </c>
      <c r="B35" s="52"/>
      <c r="C35" s="53"/>
      <c r="D35" s="85" t="n">
        <f aca="false">C35/$Z$3</f>
        <v>0</v>
      </c>
      <c r="E35" s="53"/>
      <c r="F35" s="55"/>
      <c r="G35" s="56"/>
      <c r="H35" s="57" t="n">
        <f aca="false">C35-G35</f>
        <v>0</v>
      </c>
      <c r="I35" s="58" t="n">
        <f aca="false">I34+H35</f>
        <v>-7755</v>
      </c>
      <c r="J35" s="170"/>
      <c r="K35" s="59"/>
      <c r="L35" s="60"/>
      <c r="M35" s="91" t="n">
        <f aca="false">(IF(H35&lt;0,-H35*$M$7,H35*$M$7))</f>
        <v>0</v>
      </c>
      <c r="N35" s="62" t="n">
        <f aca="false">G35*$N$7</f>
        <v>0</v>
      </c>
      <c r="O35" s="62"/>
      <c r="P35" s="62"/>
      <c r="Q35" s="63" t="n">
        <f aca="false">+G35*$Q$7</f>
        <v>0</v>
      </c>
      <c r="R35" s="68"/>
      <c r="S35" s="68"/>
      <c r="T35" s="171" t="n">
        <v>0</v>
      </c>
      <c r="U35" s="66" t="n">
        <f aca="false">(G35*(J35+K35)+M35+N35+O35+P35+Q35)</f>
        <v>0</v>
      </c>
    </row>
    <row r="36" customFormat="false" ht="20.1" hidden="false" customHeight="true" outlineLevel="0" collapsed="false">
      <c r="A36" s="51" t="n">
        <f aca="false">A35+1</f>
        <v>36645</v>
      </c>
      <c r="B36" s="52"/>
      <c r="C36" s="53"/>
      <c r="D36" s="85" t="n">
        <f aca="false">C36/$Z$3</f>
        <v>0</v>
      </c>
      <c r="E36" s="53"/>
      <c r="F36" s="55"/>
      <c r="G36" s="56"/>
      <c r="H36" s="57" t="n">
        <f aca="false">C36-G36</f>
        <v>0</v>
      </c>
      <c r="I36" s="58" t="n">
        <f aca="false">I35+H36</f>
        <v>-7755</v>
      </c>
      <c r="J36" s="170"/>
      <c r="K36" s="59"/>
      <c r="L36" s="60"/>
      <c r="M36" s="91" t="n">
        <f aca="false">(IF(H36&lt;0,-H36*$M$7,H36*$M$7))</f>
        <v>0</v>
      </c>
      <c r="N36" s="62" t="n">
        <f aca="false">G36*$N$7</f>
        <v>0</v>
      </c>
      <c r="O36" s="62"/>
      <c r="P36" s="62"/>
      <c r="Q36" s="63" t="n">
        <f aca="false">+G36*$Q$7</f>
        <v>0</v>
      </c>
      <c r="R36" s="68"/>
      <c r="S36" s="68"/>
      <c r="T36" s="171" t="n">
        <v>0</v>
      </c>
      <c r="U36" s="66" t="n">
        <f aca="false">(G36*(J36+K36)+M36+N36+O36+P36+Q36)</f>
        <v>0</v>
      </c>
    </row>
    <row r="37" customFormat="false" ht="20.1" hidden="false" customHeight="true" outlineLevel="0" collapsed="false">
      <c r="A37" s="51" t="n">
        <f aca="false">A36+1</f>
        <v>36646</v>
      </c>
      <c r="B37" s="52"/>
      <c r="C37" s="53"/>
      <c r="D37" s="85" t="n">
        <f aca="false">C37/$Z$3</f>
        <v>0</v>
      </c>
      <c r="E37" s="53"/>
      <c r="F37" s="55"/>
      <c r="G37" s="56"/>
      <c r="H37" s="57" t="n">
        <f aca="false">C37-G37</f>
        <v>0</v>
      </c>
      <c r="I37" s="58" t="n">
        <f aca="false">I36+H37</f>
        <v>-7755</v>
      </c>
      <c r="J37" s="170"/>
      <c r="K37" s="59"/>
      <c r="L37" s="60"/>
      <c r="M37" s="91" t="n">
        <f aca="false">(IF(H37&lt;0,-H37*$M$7,H37*$M$7))</f>
        <v>0</v>
      </c>
      <c r="N37" s="62" t="n">
        <f aca="false">G37*$N$7</f>
        <v>0</v>
      </c>
      <c r="O37" s="62"/>
      <c r="P37" s="62"/>
      <c r="Q37" s="63" t="n">
        <f aca="false">+G37*$Q$7</f>
        <v>0</v>
      </c>
      <c r="R37" s="68"/>
      <c r="S37" s="68"/>
      <c r="T37" s="171" t="n">
        <v>0</v>
      </c>
      <c r="U37" s="66" t="n">
        <f aca="false">(G37*(J37+K37)+M37+N37+O37+P37+Q37)</f>
        <v>0</v>
      </c>
    </row>
    <row r="38" customFormat="false" ht="20.1" hidden="false" customHeight="true" outlineLevel="0" collapsed="false">
      <c r="A38" s="108"/>
      <c r="B38" s="109"/>
      <c r="C38" s="110"/>
      <c r="D38" s="111"/>
      <c r="E38" s="112"/>
      <c r="F38" s="110"/>
      <c r="G38" s="110"/>
      <c r="H38" s="110"/>
      <c r="I38" s="110"/>
      <c r="J38" s="110"/>
      <c r="K38" s="113"/>
      <c r="L38" s="113"/>
      <c r="M38" s="113"/>
      <c r="N38" s="110"/>
      <c r="O38" s="110"/>
      <c r="P38" s="110"/>
      <c r="Q38" s="110"/>
      <c r="R38" s="114"/>
      <c r="S38" s="114"/>
      <c r="T38" s="115"/>
      <c r="U38" s="110"/>
    </row>
    <row r="39" customFormat="false" ht="20.1" hidden="false" customHeight="true" outlineLevel="0" collapsed="false">
      <c r="A39" s="116" t="s">
        <v>34</v>
      </c>
      <c r="B39" s="117" t="n">
        <f aca="false">SUM(B8:B37)</f>
        <v>30893</v>
      </c>
      <c r="C39" s="118" t="n">
        <f aca="false">SUM(C8:C37)</f>
        <v>24127</v>
      </c>
      <c r="D39" s="119"/>
      <c r="E39" s="120" t="n">
        <f aca="false">SUM(E8:E37)</f>
        <v>0</v>
      </c>
      <c r="F39" s="121" t="n">
        <f aca="false">SUM(F8:F37)</f>
        <v>0</v>
      </c>
      <c r="G39" s="118" t="n">
        <f aca="false">SUM(G8:G37)</f>
        <v>31882</v>
      </c>
      <c r="H39" s="122"/>
      <c r="I39" s="122"/>
      <c r="J39" s="122"/>
      <c r="K39" s="123"/>
      <c r="L39" s="123"/>
      <c r="M39" s="124" t="n">
        <f aca="false">SUM(M8:M37)</f>
        <v>321.044</v>
      </c>
      <c r="N39" s="124" t="n">
        <f aca="false">SUM(N8:N37)</f>
        <v>723.2901</v>
      </c>
      <c r="O39" s="124" t="n">
        <f aca="false">SUM(O8:O37)</f>
        <v>2230.41</v>
      </c>
      <c r="P39" s="124" t="n">
        <f aca="false">SUM(P8:P37)</f>
        <v>890.9088</v>
      </c>
      <c r="Q39" s="124" t="n">
        <f aca="false">SUM(Q8:Q37)</f>
        <v>2708.355</v>
      </c>
      <c r="R39" s="125"/>
      <c r="S39" s="125"/>
      <c r="T39" s="122"/>
      <c r="U39" s="126" t="n">
        <f aca="false">SUM(U8:U37)</f>
        <v>112212.2779</v>
      </c>
    </row>
    <row r="40" customFormat="false" ht="20.1" hidden="false" customHeight="true" outlineLevel="0" collapsed="false">
      <c r="A40" s="127"/>
      <c r="B40" s="128"/>
      <c r="C40" s="128"/>
      <c r="D40" s="128"/>
      <c r="E40" s="129"/>
      <c r="F40" s="129"/>
      <c r="G40" s="129"/>
      <c r="H40" s="129"/>
      <c r="I40" s="129"/>
      <c r="J40" s="129"/>
      <c r="K40" s="129"/>
      <c r="L40" s="129"/>
      <c r="M40" s="128"/>
      <c r="N40" s="129"/>
      <c r="O40" s="129"/>
      <c r="P40" s="129"/>
      <c r="Q40" s="129"/>
      <c r="R40" s="129"/>
      <c r="S40" s="129"/>
      <c r="T40" s="129"/>
      <c r="U40" s="129"/>
    </row>
    <row r="41" customFormat="false" ht="21" hidden="false" customHeight="true" outlineLevel="0" collapsed="false">
      <c r="A41" s="130"/>
      <c r="B41" s="131"/>
      <c r="C41" s="128"/>
      <c r="D41" s="128"/>
      <c r="E41" s="129"/>
      <c r="F41" s="132" t="s">
        <v>35</v>
      </c>
      <c r="G41" s="133" t="n">
        <f aca="false">'Mar 2000'!G42+'Apr 2000'!G39</f>
        <v>32850</v>
      </c>
      <c r="H41" s="134" t="s">
        <v>27</v>
      </c>
      <c r="K41" s="129"/>
      <c r="L41" s="129"/>
      <c r="M41" s="129"/>
      <c r="N41" s="129"/>
      <c r="O41" s="129"/>
      <c r="P41" s="129"/>
      <c r="Q41" s="129"/>
      <c r="R41" s="129"/>
      <c r="S41" s="129"/>
      <c r="T41" s="135" t="s">
        <v>36</v>
      </c>
      <c r="U41" s="136" t="n">
        <v>5854.83</v>
      </c>
      <c r="V41" s="137"/>
    </row>
    <row r="42" customFormat="false" ht="21" hidden="false" customHeight="true" outlineLevel="0" collapsed="false">
      <c r="A42" s="127"/>
      <c r="B42" s="131" t="s">
        <v>37</v>
      </c>
      <c r="C42" s="128"/>
      <c r="D42" s="128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35" t="s">
        <v>38</v>
      </c>
      <c r="U42" s="138" t="n">
        <f aca="false">U39-U43-U44-U45-U46-U47-U48-U54-U55</f>
        <v>104467.4601</v>
      </c>
      <c r="V42" s="139"/>
    </row>
    <row r="43" customFormat="false" ht="21" hidden="false" customHeight="true" outlineLevel="0" collapsed="false">
      <c r="A43" s="127"/>
      <c r="B43" s="140"/>
      <c r="C43" s="141"/>
      <c r="D43" s="141"/>
      <c r="E43" s="142"/>
      <c r="F43" s="142"/>
      <c r="G43" s="142"/>
      <c r="H43" s="142"/>
      <c r="I43" s="140" t="s">
        <v>39</v>
      </c>
      <c r="J43" s="140"/>
      <c r="K43" s="142"/>
      <c r="L43" s="142"/>
      <c r="M43" s="129"/>
      <c r="N43" s="129"/>
      <c r="O43" s="129"/>
      <c r="P43" s="129"/>
      <c r="Q43" s="129"/>
      <c r="R43" s="129"/>
      <c r="S43" s="142"/>
      <c r="T43" s="135" t="s">
        <v>40</v>
      </c>
      <c r="U43" s="138" t="n">
        <f aca="false">(G39*0.05)</f>
        <v>1594.1</v>
      </c>
    </row>
    <row r="44" customFormat="false" ht="21" hidden="false" customHeight="true" outlineLevel="0" collapsed="false">
      <c r="A44" s="127"/>
      <c r="B44" s="140" t="s">
        <v>41</v>
      </c>
      <c r="C44" s="141" t="n">
        <f aca="true">NOW()</f>
        <v>45926.9497136495</v>
      </c>
      <c r="D44" s="141"/>
      <c r="E44" s="142"/>
      <c r="F44" s="142"/>
      <c r="G44" s="142"/>
      <c r="H44" s="142"/>
      <c r="I44" s="142"/>
      <c r="J44" s="142"/>
      <c r="K44" s="140" t="s">
        <v>42</v>
      </c>
      <c r="L44" s="140"/>
      <c r="M44" s="129"/>
      <c r="N44" s="129"/>
      <c r="O44" s="129"/>
      <c r="P44" s="129"/>
      <c r="Q44" s="129"/>
      <c r="R44" s="129"/>
      <c r="S44" s="142"/>
      <c r="T44" s="135" t="s">
        <v>65</v>
      </c>
      <c r="U44" s="138" t="n">
        <v>0</v>
      </c>
      <c r="V44" s="139"/>
    </row>
    <row r="45" customFormat="false" ht="21" hidden="false" customHeight="true" outlineLevel="0" collapsed="false">
      <c r="A45" s="127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29"/>
      <c r="N45" s="129"/>
      <c r="O45" s="129"/>
      <c r="P45" s="129"/>
      <c r="Q45" s="129"/>
      <c r="R45" s="129"/>
      <c r="S45" s="129"/>
      <c r="T45" s="135" t="s">
        <v>66</v>
      </c>
      <c r="U45" s="138" t="n">
        <f aca="false">+M39</f>
        <v>321.044</v>
      </c>
      <c r="V45" s="143"/>
    </row>
    <row r="46" customFormat="false" ht="21" hidden="false" customHeight="true" outlineLevel="0" collapsed="false">
      <c r="D46" s="144"/>
      <c r="E46" s="144"/>
      <c r="F46" s="144"/>
      <c r="G46" s="144"/>
      <c r="H46" s="144"/>
      <c r="I46" s="144"/>
      <c r="J46" s="144"/>
      <c r="K46" s="144"/>
      <c r="T46" s="135" t="s">
        <v>67</v>
      </c>
      <c r="U46" s="145" t="n">
        <f aca="false">+O39</f>
        <v>2230.41</v>
      </c>
      <c r="V46" s="146"/>
    </row>
    <row r="47" customFormat="false" ht="21" hidden="false" customHeight="true" outlineLevel="0" collapsed="false">
      <c r="D47" s="147"/>
      <c r="E47" s="148"/>
      <c r="F47" s="148"/>
      <c r="G47" s="148"/>
      <c r="H47" s="148"/>
      <c r="I47" s="148"/>
      <c r="J47" s="148"/>
      <c r="K47" s="148"/>
      <c r="T47" s="135" t="s">
        <v>68</v>
      </c>
      <c r="U47" s="145" t="n">
        <f aca="false">+P39</f>
        <v>890.9088</v>
      </c>
      <c r="V47" s="146"/>
    </row>
    <row r="48" customFormat="false" ht="21" hidden="false" customHeight="true" outlineLevel="0" collapsed="false">
      <c r="D48" s="147"/>
      <c r="E48" s="148"/>
      <c r="F48" s="148"/>
      <c r="G48" s="148"/>
      <c r="H48" s="148"/>
      <c r="I48" s="148"/>
      <c r="J48" s="148"/>
      <c r="K48" s="148"/>
      <c r="T48" s="135" t="s">
        <v>69</v>
      </c>
      <c r="U48" s="145" t="n">
        <f aca="false">+Q39</f>
        <v>2708.355</v>
      </c>
      <c r="V48" s="146"/>
    </row>
    <row r="49" customFormat="false" ht="21" hidden="false" customHeight="true" outlineLevel="0" collapsed="false">
      <c r="D49" s="147"/>
      <c r="E49" s="148"/>
      <c r="F49" s="148"/>
      <c r="G49" s="148"/>
      <c r="H49" s="148"/>
      <c r="I49" s="148"/>
      <c r="J49" s="148"/>
      <c r="K49" s="148"/>
      <c r="T49" s="135" t="s">
        <v>70</v>
      </c>
      <c r="U49" s="149" t="n">
        <v>0</v>
      </c>
      <c r="V49" s="146"/>
    </row>
    <row r="50" customFormat="false" ht="21" hidden="false" customHeight="true" outlineLevel="0" collapsed="false">
      <c r="D50" s="147"/>
      <c r="E50" s="148"/>
      <c r="F50" s="148"/>
      <c r="G50" s="148"/>
      <c r="H50" s="148"/>
      <c r="I50" s="148"/>
      <c r="J50" s="148"/>
      <c r="K50" s="148"/>
      <c r="T50" s="135" t="s">
        <v>71</v>
      </c>
      <c r="U50" s="149" t="n">
        <v>0</v>
      </c>
      <c r="V50" s="146"/>
    </row>
    <row r="51" customFormat="false" ht="21" hidden="false" customHeight="true" outlineLevel="0" collapsed="false">
      <c r="D51" s="147"/>
      <c r="E51" s="148"/>
      <c r="F51" s="148"/>
      <c r="G51" s="148"/>
      <c r="H51" s="148"/>
      <c r="I51" s="148"/>
      <c r="J51" s="148"/>
      <c r="K51" s="148"/>
      <c r="T51" s="150" t="s">
        <v>48</v>
      </c>
      <c r="U51" s="151" t="n">
        <v>0</v>
      </c>
      <c r="V51" s="146"/>
    </row>
    <row r="52" customFormat="false" ht="21" hidden="false" customHeight="true" outlineLevel="0" collapsed="false">
      <c r="T52" s="152" t="s">
        <v>49</v>
      </c>
      <c r="U52" s="153" t="n">
        <f aca="false">SUM(U41:U51)</f>
        <v>118067.1079</v>
      </c>
      <c r="V52" s="146"/>
    </row>
    <row r="53" customFormat="false" ht="21" hidden="false" customHeight="true" outlineLevel="0" collapsed="false">
      <c r="T53" s="135"/>
      <c r="U53" s="145"/>
      <c r="V53" s="146"/>
    </row>
    <row r="54" customFormat="false" ht="21" hidden="false" customHeight="true" outlineLevel="0" collapsed="false">
      <c r="Q54" s="154" t="s">
        <v>72</v>
      </c>
      <c r="R54" s="129"/>
      <c r="T54" s="135" t="s">
        <v>51</v>
      </c>
      <c r="U54" s="145" t="n">
        <v>0</v>
      </c>
      <c r="V54" s="146"/>
    </row>
    <row r="55" customFormat="false" ht="21" hidden="false" customHeight="true" outlineLevel="0" collapsed="false">
      <c r="Q55" s="154" t="s">
        <v>73</v>
      </c>
      <c r="T55" s="135" t="s">
        <v>53</v>
      </c>
      <c r="U55" s="145" t="n">
        <v>0</v>
      </c>
      <c r="V55" s="146"/>
    </row>
    <row r="56" customFormat="false" ht="16.5" hidden="false" customHeight="false" outlineLevel="0" collapsed="false">
      <c r="Q56" s="154" t="s">
        <v>54</v>
      </c>
      <c r="T56" s="150" t="s">
        <v>55</v>
      </c>
      <c r="U56" s="136" t="n">
        <v>0</v>
      </c>
    </row>
    <row r="57" customFormat="false" ht="21" hidden="false" customHeight="true" outlineLevel="0" collapsed="false">
      <c r="T57" s="16" t="s">
        <v>56</v>
      </c>
      <c r="U57" s="155" t="n">
        <f aca="false">U52+U54+U55+U56</f>
        <v>118067.1079</v>
      </c>
    </row>
    <row r="58" customFormat="false" ht="17.25" hidden="false" customHeight="false" outlineLevel="0" collapsed="false"/>
  </sheetData>
  <mergeCells count="56">
    <mergeCell ref="A1:R1"/>
    <mergeCell ref="S1:T1"/>
    <mergeCell ref="B3:D3"/>
    <mergeCell ref="E3:G3"/>
    <mergeCell ref="H3:I3"/>
    <mergeCell ref="K3:Q3"/>
    <mergeCell ref="R3:T3"/>
    <mergeCell ref="U3:U7"/>
    <mergeCell ref="A4:A6"/>
    <mergeCell ref="B4:B6"/>
    <mergeCell ref="C4:C6"/>
    <mergeCell ref="D4:D6"/>
    <mergeCell ref="E4:E6"/>
    <mergeCell ref="F4:G6"/>
    <mergeCell ref="H4:H6"/>
    <mergeCell ref="I4:I6"/>
    <mergeCell ref="J4:J6"/>
    <mergeCell ref="K4:K6"/>
    <mergeCell ref="L4:L6"/>
    <mergeCell ref="M4:M6"/>
    <mergeCell ref="N4:Q4"/>
    <mergeCell ref="R4:S7"/>
    <mergeCell ref="T4:T7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20:S20"/>
    <mergeCell ref="R21:S21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R31:S31"/>
    <mergeCell ref="R32:S32"/>
    <mergeCell ref="R33:S33"/>
    <mergeCell ref="R34:S34"/>
    <mergeCell ref="R35:S35"/>
    <mergeCell ref="R36:S36"/>
    <mergeCell ref="R37:S37"/>
    <mergeCell ref="R38:S38"/>
    <mergeCell ref="R39:S39"/>
    <mergeCell ref="D46:K46"/>
  </mergeCells>
  <printOptions headings="false" gridLines="false" gridLinesSet="true" horizontalCentered="false" verticalCentered="false"/>
  <pageMargins left="0.35" right="0.309722222222222" top="0.370138888888889" bottom="0.3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59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7" topLeftCell="Q31" activePane="bottomRight" state="frozen"/>
      <selection pane="topLeft" activeCell="A1" activeCellId="0" sqref="A1"/>
      <selection pane="topRight" activeCell="Q1" activeCellId="0" sqref="Q1"/>
      <selection pane="bottomLeft" activeCell="A31" activeCellId="0" sqref="A31"/>
      <selection pane="bottomRight" activeCell="N36" activeCellId="0" sqref="N36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4" min="2" style="2" width="13.99"/>
    <col collapsed="false" customWidth="true" hidden="false" outlineLevel="0" max="5" min="5" style="2" width="14.14"/>
    <col collapsed="false" customWidth="true" hidden="false" outlineLevel="0" max="6" min="6" style="2" width="13.7"/>
    <col collapsed="false" customWidth="true" hidden="false" outlineLevel="0" max="7" min="7" style="2" width="13.85"/>
    <col collapsed="false" customWidth="true" hidden="false" outlineLevel="0" max="8" min="8" style="2" width="13.7"/>
    <col collapsed="false" customWidth="true" hidden="false" outlineLevel="0" max="10" min="9" style="2" width="14.28"/>
    <col collapsed="false" customWidth="true" hidden="false" outlineLevel="0" max="11" min="11" style="2" width="15.7"/>
    <col collapsed="false" customWidth="true" hidden="false" outlineLevel="0" max="12" min="12" style="2" width="4.7"/>
    <col collapsed="false" customWidth="true" hidden="false" outlineLevel="0" max="13" min="13" style="2" width="15.13"/>
    <col collapsed="false" customWidth="true" hidden="false" outlineLevel="0" max="15" min="14" style="2" width="15.99"/>
    <col collapsed="false" customWidth="true" hidden="false" outlineLevel="0" max="16" min="16" style="2" width="14.7"/>
    <col collapsed="false" customWidth="true" hidden="false" outlineLevel="0" max="20" min="17" style="2" width="16.99"/>
    <col collapsed="false" customWidth="true" hidden="false" outlineLevel="0" max="21" min="21" style="2" width="16.84"/>
    <col collapsed="false" customWidth="true" hidden="false" outlineLevel="0" max="22" min="22" style="2" width="18.56"/>
    <col collapsed="false" customWidth="true" hidden="false" outlineLevel="0" max="23" min="23" style="2" width="15.13"/>
    <col collapsed="false" customWidth="true" hidden="false" outlineLevel="0" max="24" min="24" style="2" width="16.84"/>
    <col collapsed="false" customWidth="true" hidden="false" outlineLevel="0" max="25" min="25" style="2" width="24.85"/>
    <col collapsed="false" customWidth="true" hidden="false" outlineLevel="0" max="26" min="26" style="2" width="24.7"/>
    <col collapsed="false" customWidth="false" hidden="false" outlineLevel="0" max="29" min="27" style="2" width="9.14"/>
    <col collapsed="false" customWidth="true" hidden="false" outlineLevel="0" max="30" min="30" style="2" width="10.41"/>
    <col collapsed="false" customWidth="true" hidden="false" outlineLevel="0" max="31" min="31" style="2" width="11.28"/>
    <col collapsed="false" customWidth="false" hidden="false" outlineLevel="0" max="257" min="32" style="2" width="9.14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 t="n">
        <f aca="false">A4</f>
        <v>36647</v>
      </c>
      <c r="X1" s="4"/>
      <c r="Y1" s="5"/>
      <c r="Z1" s="5"/>
    </row>
    <row r="2" customFormat="false" ht="17.25" hidden="false" customHeight="false" outlineLevel="0" collapsed="false">
      <c r="A2" s="6"/>
      <c r="B2" s="7"/>
      <c r="C2" s="7"/>
      <c r="D2" s="7"/>
      <c r="E2" s="7"/>
      <c r="F2" s="7"/>
      <c r="G2" s="7"/>
      <c r="H2" s="7"/>
      <c r="I2" s="7"/>
      <c r="J2" s="160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  <c r="X2" s="8"/>
      <c r="Y2" s="9"/>
    </row>
    <row r="3" customFormat="false" ht="15.75" hidden="false" customHeight="true" outlineLevel="0" collapsed="false">
      <c r="A3" s="10"/>
      <c r="B3" s="11" t="s">
        <v>1</v>
      </c>
      <c r="C3" s="11"/>
      <c r="D3" s="11"/>
      <c r="E3" s="12" t="s">
        <v>2</v>
      </c>
      <c r="F3" s="12"/>
      <c r="G3" s="12"/>
      <c r="H3" s="161" t="s">
        <v>3</v>
      </c>
      <c r="I3" s="161"/>
      <c r="J3" s="162"/>
      <c r="K3" s="163" t="s">
        <v>4</v>
      </c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4" t="s">
        <v>5</v>
      </c>
      <c r="W3" s="14"/>
      <c r="X3" s="14"/>
      <c r="Y3" s="15" t="s">
        <v>6</v>
      </c>
      <c r="AC3" s="16" t="s">
        <v>7</v>
      </c>
      <c r="AD3" s="17" t="n">
        <v>0.97816</v>
      </c>
      <c r="AE3" s="18" t="s">
        <v>57</v>
      </c>
    </row>
    <row r="4" customFormat="false" ht="18" hidden="false" customHeight="true" outlineLevel="0" collapsed="false">
      <c r="A4" s="19" t="n">
        <v>36647</v>
      </c>
      <c r="B4" s="20" t="s">
        <v>9</v>
      </c>
      <c r="C4" s="20" t="s">
        <v>10</v>
      </c>
      <c r="D4" s="21" t="s">
        <v>58</v>
      </c>
      <c r="E4" s="22" t="s">
        <v>12</v>
      </c>
      <c r="F4" s="23" t="s">
        <v>13</v>
      </c>
      <c r="G4" s="23"/>
      <c r="H4" s="24" t="s">
        <v>14</v>
      </c>
      <c r="I4" s="25" t="s">
        <v>15</v>
      </c>
      <c r="J4" s="26" t="s">
        <v>59</v>
      </c>
      <c r="K4" s="26" t="s">
        <v>60</v>
      </c>
      <c r="L4" s="27"/>
      <c r="M4" s="28" t="s">
        <v>74</v>
      </c>
      <c r="N4" s="28" t="s">
        <v>75</v>
      </c>
      <c r="O4" s="28" t="s">
        <v>76</v>
      </c>
      <c r="P4" s="28" t="s">
        <v>77</v>
      </c>
      <c r="Q4" s="174" t="s">
        <v>78</v>
      </c>
      <c r="R4" s="174"/>
      <c r="S4" s="174"/>
      <c r="T4" s="174"/>
      <c r="U4" s="175" t="s">
        <v>79</v>
      </c>
      <c r="V4" s="30" t="s">
        <v>19</v>
      </c>
      <c r="W4" s="30"/>
      <c r="X4" s="31" t="s">
        <v>80</v>
      </c>
      <c r="Y4" s="15"/>
      <c r="AC4" s="16" t="s">
        <v>21</v>
      </c>
      <c r="AD4" s="32" t="n">
        <v>0.05</v>
      </c>
    </row>
    <row r="5" customFormat="false" ht="17.25" hidden="false" customHeight="true" outlineLevel="0" collapsed="false">
      <c r="A5" s="19"/>
      <c r="B5" s="20"/>
      <c r="C5" s="20"/>
      <c r="D5" s="21"/>
      <c r="E5" s="22"/>
      <c r="F5" s="23"/>
      <c r="G5" s="23"/>
      <c r="H5" s="24"/>
      <c r="I5" s="25"/>
      <c r="J5" s="26"/>
      <c r="K5" s="26"/>
      <c r="L5" s="27"/>
      <c r="M5" s="28"/>
      <c r="N5" s="28"/>
      <c r="O5" s="28"/>
      <c r="P5" s="28"/>
      <c r="Q5" s="164" t="s">
        <v>81</v>
      </c>
      <c r="R5" s="165" t="s">
        <v>82</v>
      </c>
      <c r="S5" s="165" t="s">
        <v>82</v>
      </c>
      <c r="T5" s="166" t="s">
        <v>82</v>
      </c>
      <c r="U5" s="176" t="s">
        <v>23</v>
      </c>
      <c r="V5" s="30"/>
      <c r="W5" s="30"/>
      <c r="X5" s="31"/>
      <c r="Y5" s="15"/>
      <c r="AC5" s="16" t="s">
        <v>24</v>
      </c>
      <c r="AD5" s="32" t="n">
        <v>0.03</v>
      </c>
    </row>
    <row r="6" customFormat="false" ht="16.5" hidden="false" customHeight="true" outlineLevel="0" collapsed="false">
      <c r="A6" s="19"/>
      <c r="B6" s="20"/>
      <c r="C6" s="20"/>
      <c r="D6" s="21"/>
      <c r="E6" s="22"/>
      <c r="F6" s="23"/>
      <c r="G6" s="23"/>
      <c r="H6" s="24"/>
      <c r="I6" s="25"/>
      <c r="J6" s="26"/>
      <c r="K6" s="26"/>
      <c r="L6" s="27"/>
      <c r="M6" s="28"/>
      <c r="N6" s="28"/>
      <c r="O6" s="28"/>
      <c r="P6" s="28"/>
      <c r="Q6" s="177" t="s">
        <v>83</v>
      </c>
      <c r="R6" s="178" t="s">
        <v>22</v>
      </c>
      <c r="S6" s="178" t="s">
        <v>23</v>
      </c>
      <c r="T6" s="178" t="s">
        <v>64</v>
      </c>
      <c r="U6" s="36" t="n">
        <v>40000</v>
      </c>
      <c r="V6" s="30"/>
      <c r="W6" s="30"/>
      <c r="X6" s="31"/>
      <c r="Y6" s="15"/>
      <c r="AA6" s="37" t="s">
        <v>25</v>
      </c>
      <c r="AB6" s="16"/>
    </row>
    <row r="7" customFormat="false" ht="15" hidden="false" customHeight="true" outlineLevel="0" collapsed="false">
      <c r="A7" s="38" t="s">
        <v>26</v>
      </c>
      <c r="B7" s="39" t="s">
        <v>27</v>
      </c>
      <c r="C7" s="40" t="s">
        <v>27</v>
      </c>
      <c r="D7" s="41" t="s">
        <v>27</v>
      </c>
      <c r="E7" s="42" t="s">
        <v>27</v>
      </c>
      <c r="F7" s="43" t="s">
        <v>28</v>
      </c>
      <c r="G7" s="44" t="s">
        <v>29</v>
      </c>
      <c r="H7" s="45" t="s">
        <v>30</v>
      </c>
      <c r="I7" s="40" t="s">
        <v>30</v>
      </c>
      <c r="J7" s="46" t="s">
        <v>31</v>
      </c>
      <c r="K7" s="48" t="n">
        <v>0.05</v>
      </c>
      <c r="L7" s="47"/>
      <c r="M7" s="48"/>
      <c r="N7" s="48"/>
      <c r="O7" s="48"/>
      <c r="P7" s="48" t="n">
        <v>0.0415</v>
      </c>
      <c r="Q7" s="49" t="s">
        <v>84</v>
      </c>
      <c r="R7" s="49" t="n">
        <f aca="false">-(0.0133+0.0022+0.0072)</f>
        <v>-0.0227</v>
      </c>
      <c r="S7" s="49" t="n">
        <v>-0.03</v>
      </c>
      <c r="T7" s="179" t="n">
        <v>-0.1696</v>
      </c>
      <c r="U7" s="49" t="n">
        <f aca="false">2.8932</f>
        <v>2.8932</v>
      </c>
      <c r="V7" s="30"/>
      <c r="W7" s="30"/>
      <c r="X7" s="31"/>
      <c r="Y7" s="15"/>
      <c r="AA7" s="50"/>
      <c r="AB7" s="50" t="s">
        <v>32</v>
      </c>
    </row>
    <row r="8" customFormat="false" ht="20.1" hidden="false" customHeight="true" outlineLevel="0" collapsed="false">
      <c r="A8" s="51" t="n">
        <f aca="false">A4</f>
        <v>36647</v>
      </c>
      <c r="B8" s="52"/>
      <c r="C8" s="53"/>
      <c r="D8" s="54" t="n">
        <f aca="false">C8/$AD$3</f>
        <v>0</v>
      </c>
      <c r="E8" s="53"/>
      <c r="F8" s="55"/>
      <c r="G8" s="56"/>
      <c r="H8" s="57" t="n">
        <f aca="false">C8-G8</f>
        <v>0</v>
      </c>
      <c r="I8" s="58" t="n">
        <f aca="false">H8</f>
        <v>0</v>
      </c>
      <c r="J8" s="170"/>
      <c r="K8" s="59"/>
      <c r="L8" s="60"/>
      <c r="M8" s="180" t="n">
        <f aca="false">ROUND((+J8/+$AD$3)-J8,4)</f>
        <v>0</v>
      </c>
      <c r="N8" s="181" t="n">
        <f aca="false">+M8*G8</f>
        <v>0</v>
      </c>
      <c r="O8" s="181" t="n">
        <f aca="false">+$N$42*G8</f>
        <v>0</v>
      </c>
      <c r="P8" s="61" t="n">
        <f aca="false">(IF(H8&lt;0,-H8*$P$7,H8*$P$7))</f>
        <v>0</v>
      </c>
      <c r="Q8" s="182" t="n">
        <v>0</v>
      </c>
      <c r="R8" s="183" t="n">
        <f aca="false">Q8*$R$7</f>
        <v>-0</v>
      </c>
      <c r="S8" s="62" t="n">
        <f aca="false">Q8*$S$7</f>
        <v>-0</v>
      </c>
      <c r="T8" s="62"/>
      <c r="U8" s="63" t="n">
        <f aca="false">+U6*U7/31</f>
        <v>3733.16129032258</v>
      </c>
      <c r="V8" s="64"/>
      <c r="W8" s="64"/>
      <c r="X8" s="184" t="n">
        <f aca="false">+J8+K8</f>
        <v>0</v>
      </c>
      <c r="Y8" s="66" t="n">
        <f aca="false">(G8*(J8+K8)+O8+P8+R8+S8+T8+U8)</f>
        <v>3733.16129032258</v>
      </c>
    </row>
    <row r="9" customFormat="false" ht="20.1" hidden="false" customHeight="true" outlineLevel="0" collapsed="false">
      <c r="A9" s="51" t="n">
        <f aca="false">A8+1</f>
        <v>36648</v>
      </c>
      <c r="B9" s="52"/>
      <c r="C9" s="53"/>
      <c r="D9" s="54" t="n">
        <f aca="false">C9/$AD$3</f>
        <v>0</v>
      </c>
      <c r="E9" s="53"/>
      <c r="F9" s="55"/>
      <c r="G9" s="56"/>
      <c r="H9" s="57" t="n">
        <f aca="false">C9-G9</f>
        <v>0</v>
      </c>
      <c r="I9" s="58" t="n">
        <f aca="false">I8+H9</f>
        <v>0</v>
      </c>
      <c r="J9" s="170"/>
      <c r="K9" s="59"/>
      <c r="L9" s="60"/>
      <c r="M9" s="180" t="n">
        <f aca="false">ROUND((+J9/+$AD$3)-J9,4)</f>
        <v>0</v>
      </c>
      <c r="N9" s="181" t="n">
        <f aca="false">+M9*G9</f>
        <v>0</v>
      </c>
      <c r="O9" s="181" t="n">
        <f aca="false">+$N$42*G9</f>
        <v>0</v>
      </c>
      <c r="P9" s="61" t="n">
        <f aca="false">(IF(H9&lt;0,-H9*$P$7,H9*$P$7))</f>
        <v>0</v>
      </c>
      <c r="Q9" s="182" t="n">
        <v>0</v>
      </c>
      <c r="R9" s="183" t="n">
        <f aca="false">Q9*$R$7</f>
        <v>-0</v>
      </c>
      <c r="S9" s="62" t="n">
        <f aca="false">Q9*$S$7</f>
        <v>-0</v>
      </c>
      <c r="T9" s="63"/>
      <c r="U9" s="63" t="n">
        <f aca="false">($U$6*$U$7)/31</f>
        <v>3733.16129032258</v>
      </c>
      <c r="V9" s="68"/>
      <c r="W9" s="68"/>
      <c r="X9" s="184" t="n">
        <f aca="false">+J9+K9</f>
        <v>0</v>
      </c>
      <c r="Y9" s="66" t="n">
        <f aca="false">(G9*(J9+K9)+O9+P9+R9+S9+T9+U9)</f>
        <v>3733.16129032258</v>
      </c>
    </row>
    <row r="10" customFormat="false" ht="20.1" hidden="false" customHeight="true" outlineLevel="0" collapsed="false">
      <c r="A10" s="51" t="n">
        <f aca="false">A9+1</f>
        <v>36649</v>
      </c>
      <c r="B10" s="52"/>
      <c r="C10" s="53"/>
      <c r="D10" s="54" t="n">
        <f aca="false">C10/$AD$3</f>
        <v>0</v>
      </c>
      <c r="E10" s="53"/>
      <c r="F10" s="55"/>
      <c r="G10" s="56"/>
      <c r="H10" s="57" t="n">
        <f aca="false">C10-G10</f>
        <v>0</v>
      </c>
      <c r="I10" s="58" t="n">
        <f aca="false">I9+H10</f>
        <v>0</v>
      </c>
      <c r="J10" s="170"/>
      <c r="K10" s="59"/>
      <c r="L10" s="60"/>
      <c r="M10" s="180" t="n">
        <f aca="false">ROUND((+J10/+$AD$3)-J10,4)</f>
        <v>0</v>
      </c>
      <c r="N10" s="181" t="n">
        <f aca="false">+M10*G10</f>
        <v>0</v>
      </c>
      <c r="O10" s="181" t="n">
        <f aca="false">+$N$42*G10</f>
        <v>0</v>
      </c>
      <c r="P10" s="61" t="n">
        <f aca="false">(IF(H10&lt;0,-H10*$P$7,H10*$P$7))</f>
        <v>0</v>
      </c>
      <c r="Q10" s="182" t="n">
        <v>0</v>
      </c>
      <c r="R10" s="183" t="n">
        <f aca="false">Q10*$R$7</f>
        <v>-0</v>
      </c>
      <c r="S10" s="62" t="n">
        <f aca="false">Q10*$S$7</f>
        <v>-0</v>
      </c>
      <c r="T10" s="62"/>
      <c r="U10" s="63" t="n">
        <f aca="false">($U$6*$U$7)/31</f>
        <v>3733.16129032258</v>
      </c>
      <c r="V10" s="68"/>
      <c r="W10" s="68"/>
      <c r="X10" s="184" t="n">
        <f aca="false">+J10+K10</f>
        <v>0</v>
      </c>
      <c r="Y10" s="66" t="n">
        <f aca="false">(G10*(J10+K10)+O10+P10+R10+S10+T10+U10)</f>
        <v>3733.16129032258</v>
      </c>
    </row>
    <row r="11" customFormat="false" ht="20.1" hidden="false" customHeight="true" outlineLevel="0" collapsed="false">
      <c r="A11" s="51" t="n">
        <f aca="false">A10+1</f>
        <v>36650</v>
      </c>
      <c r="B11" s="52" t="n">
        <v>20500</v>
      </c>
      <c r="C11" s="53" t="n">
        <v>20500</v>
      </c>
      <c r="D11" s="54" t="n">
        <f aca="false">C11/$AD$3</f>
        <v>20957.7165289932</v>
      </c>
      <c r="E11" s="53"/>
      <c r="F11" s="55"/>
      <c r="G11" s="69" t="n">
        <v>20415</v>
      </c>
      <c r="H11" s="57" t="n">
        <f aca="false">C11-G11</f>
        <v>85</v>
      </c>
      <c r="I11" s="58" t="n">
        <f aca="false">I10+H11</f>
        <v>85</v>
      </c>
      <c r="J11" s="170" t="n">
        <v>3.325</v>
      </c>
      <c r="K11" s="59" t="n">
        <f aca="false">+$K$7</f>
        <v>0.05</v>
      </c>
      <c r="L11" s="60"/>
      <c r="M11" s="180" t="n">
        <f aca="false">ROUND((+J11/+$AD$3)-J11,4)</f>
        <v>0.0742</v>
      </c>
      <c r="N11" s="181" t="n">
        <f aca="false">ROUND(+M11*G11,2)</f>
        <v>1514.79</v>
      </c>
      <c r="O11" s="181" t="n">
        <f aca="false">+$N$42*G11</f>
        <v>1559.706</v>
      </c>
      <c r="P11" s="61" t="n">
        <f aca="false">(IF(H11&lt;0,-H11*$P$7,H11*$P$7))</f>
        <v>3.5275</v>
      </c>
      <c r="Q11" s="182" t="n">
        <v>0</v>
      </c>
      <c r="R11" s="183" t="n">
        <f aca="false">Q11*$R$7</f>
        <v>-0</v>
      </c>
      <c r="S11" s="62" t="n">
        <f aca="false">Q11*$S$7</f>
        <v>-0</v>
      </c>
      <c r="T11" s="62"/>
      <c r="U11" s="63" t="n">
        <f aca="false">($U$6*$U$7)/31</f>
        <v>3733.16129032258</v>
      </c>
      <c r="V11" s="68"/>
      <c r="W11" s="68"/>
      <c r="X11" s="184" t="n">
        <f aca="false">+J11+K11+$N$42</f>
        <v>3.4514</v>
      </c>
      <c r="Y11" s="66" t="n">
        <f aca="false">(G11*(J11+K11)+O11+P11+R11+S11+T11+U11)</f>
        <v>74197.0197903226</v>
      </c>
    </row>
    <row r="12" customFormat="false" ht="20.1" hidden="false" customHeight="true" outlineLevel="0" collapsed="false">
      <c r="A12" s="51" t="n">
        <f aca="false">A11+1</f>
        <v>36651</v>
      </c>
      <c r="B12" s="52" t="n">
        <v>40000</v>
      </c>
      <c r="C12" s="53" t="n">
        <v>40000</v>
      </c>
      <c r="D12" s="54" t="n">
        <f aca="false">C12/$AD$3</f>
        <v>40893.1054224258</v>
      </c>
      <c r="E12" s="53"/>
      <c r="F12" s="70"/>
      <c r="G12" s="69" t="n">
        <v>39510</v>
      </c>
      <c r="H12" s="57" t="n">
        <f aca="false">C12-G12</f>
        <v>490</v>
      </c>
      <c r="I12" s="58" t="n">
        <f aca="false">I11+H12</f>
        <v>575</v>
      </c>
      <c r="J12" s="170" t="n">
        <v>3.245</v>
      </c>
      <c r="K12" s="59" t="n">
        <f aca="false">+$K$7</f>
        <v>0.05</v>
      </c>
      <c r="L12" s="60"/>
      <c r="M12" s="180" t="n">
        <f aca="false">ROUND((+J12/+$AD$3)-J12,4)</f>
        <v>0.0725</v>
      </c>
      <c r="N12" s="181" t="n">
        <f aca="false">+M12*G12</f>
        <v>2864.475</v>
      </c>
      <c r="O12" s="181" t="n">
        <f aca="false">+$N$42*G12</f>
        <v>3018.564</v>
      </c>
      <c r="P12" s="61" t="n">
        <f aca="false">(IF(H12&lt;0,-H12*$P$7,H12*$P$7))</f>
        <v>20.335</v>
      </c>
      <c r="Q12" s="182" t="n">
        <v>0</v>
      </c>
      <c r="R12" s="183" t="n">
        <f aca="false">Q12*$R$7</f>
        <v>-0</v>
      </c>
      <c r="S12" s="62" t="n">
        <f aca="false">Q12*$S$7</f>
        <v>-0</v>
      </c>
      <c r="T12" s="62"/>
      <c r="U12" s="63" t="n">
        <f aca="false">($U$6*$U$7)/31</f>
        <v>3733.16129032258</v>
      </c>
      <c r="V12" s="68"/>
      <c r="W12" s="68"/>
      <c r="X12" s="184" t="n">
        <f aca="false">+J12+K12+$N$42</f>
        <v>3.3714</v>
      </c>
      <c r="Y12" s="66" t="n">
        <f aca="false">(G12*(J12+K12)+O12+P12+R12+S12+T12+U12)</f>
        <v>136957.510290323</v>
      </c>
    </row>
    <row r="13" customFormat="false" ht="16.9" hidden="false" customHeight="true" outlineLevel="0" collapsed="false">
      <c r="A13" s="51" t="n">
        <f aca="false">A12+1</f>
        <v>36652</v>
      </c>
      <c r="B13" s="71" t="n">
        <v>36000</v>
      </c>
      <c r="C13" s="72" t="n">
        <v>36000</v>
      </c>
      <c r="D13" s="73" t="n">
        <f aca="false">C13/$AD$3</f>
        <v>36803.7948801832</v>
      </c>
      <c r="E13" s="74"/>
      <c r="F13" s="75"/>
      <c r="G13" s="76" t="n">
        <v>35565</v>
      </c>
      <c r="H13" s="71" t="n">
        <f aca="false">C13-G13</f>
        <v>435</v>
      </c>
      <c r="I13" s="58" t="n">
        <f aca="false">I12+H13</f>
        <v>1010</v>
      </c>
      <c r="J13" s="170" t="n">
        <v>3.275</v>
      </c>
      <c r="K13" s="59" t="n">
        <f aca="false">+$K$7</f>
        <v>0.05</v>
      </c>
      <c r="L13" s="60"/>
      <c r="M13" s="180" t="n">
        <f aca="false">ROUND((+J13/+$AD$3)-J13,4)</f>
        <v>0.0731</v>
      </c>
      <c r="N13" s="181" t="n">
        <f aca="false">+M13*G13</f>
        <v>2599.8015</v>
      </c>
      <c r="O13" s="181" t="n">
        <f aca="false">+$N$42*G13</f>
        <v>2717.166</v>
      </c>
      <c r="P13" s="77" t="n">
        <f aca="false">(IF(H13&lt;0,-H13*$P$7,H13*$P$7))</f>
        <v>18.0525</v>
      </c>
      <c r="Q13" s="182" t="n">
        <v>0</v>
      </c>
      <c r="R13" s="183" t="n">
        <f aca="false">Q13*$R$7</f>
        <v>-0</v>
      </c>
      <c r="S13" s="62" t="n">
        <f aca="false">Q13*$S$7</f>
        <v>-0</v>
      </c>
      <c r="T13" s="62"/>
      <c r="U13" s="63" t="n">
        <f aca="false">($U$6*$U$7)/31</f>
        <v>3733.16129032258</v>
      </c>
      <c r="V13" s="80"/>
      <c r="W13" s="80"/>
      <c r="X13" s="184" t="n">
        <f aca="false">+J13+K13+$N$42</f>
        <v>3.4014</v>
      </c>
      <c r="Y13" s="66" t="n">
        <f aca="false">(G13*(J13+K13)+O13+P13+R13+S13+T13+U13)</f>
        <v>124722.004790323</v>
      </c>
    </row>
    <row r="14" customFormat="false" ht="20.1" hidden="false" customHeight="true" outlineLevel="0" collapsed="false">
      <c r="A14" s="51" t="n">
        <f aca="false">A13+1</f>
        <v>36653</v>
      </c>
      <c r="B14" s="83" t="n">
        <v>33500</v>
      </c>
      <c r="C14" s="84" t="n">
        <v>33500</v>
      </c>
      <c r="D14" s="85" t="n">
        <f aca="false">C14/$AD$3</f>
        <v>34247.9757912816</v>
      </c>
      <c r="E14" s="84"/>
      <c r="F14" s="86"/>
      <c r="G14" s="87" t="n">
        <v>32882</v>
      </c>
      <c r="H14" s="88" t="n">
        <f aca="false">C14-G14</f>
        <v>618</v>
      </c>
      <c r="I14" s="58" t="n">
        <f aca="false">I13+H14</f>
        <v>1628</v>
      </c>
      <c r="J14" s="170" t="n">
        <v>3.275</v>
      </c>
      <c r="K14" s="59" t="n">
        <f aca="false">+$K$7</f>
        <v>0.05</v>
      </c>
      <c r="L14" s="60"/>
      <c r="M14" s="180" t="n">
        <f aca="false">ROUND((+J14/+$AD$3)-J14,4)</f>
        <v>0.0731</v>
      </c>
      <c r="N14" s="181" t="n">
        <f aca="false">+M14*G14</f>
        <v>2403.6742</v>
      </c>
      <c r="O14" s="181" t="n">
        <f aca="false">+$N$42*G14</f>
        <v>2512.1848</v>
      </c>
      <c r="P14" s="90" t="n">
        <f aca="false">(IF(H14&lt;0,-H14*$P$7,H14*$P$7))</f>
        <v>25.647</v>
      </c>
      <c r="Q14" s="182" t="n">
        <v>6457</v>
      </c>
      <c r="R14" s="183" t="n">
        <f aca="false">Q14*$R$7</f>
        <v>-146.5739</v>
      </c>
      <c r="S14" s="62" t="n">
        <f aca="false">Q14*$S$7</f>
        <v>-193.71</v>
      </c>
      <c r="T14" s="62"/>
      <c r="U14" s="63" t="n">
        <f aca="false">($U$6*$U$7)/31</f>
        <v>3733.16129032258</v>
      </c>
      <c r="V14" s="68"/>
      <c r="W14" s="68"/>
      <c r="X14" s="184" t="n">
        <f aca="false">+J14+K14+$N$42</f>
        <v>3.4014</v>
      </c>
      <c r="Y14" s="66" t="n">
        <f aca="false">(G14*(J14+K14)+O14+P14+R14+S14+T14+U14)</f>
        <v>115263.359190323</v>
      </c>
    </row>
    <row r="15" customFormat="false" ht="20.1" hidden="false" customHeight="true" outlineLevel="0" collapsed="false">
      <c r="A15" s="51" t="n">
        <f aca="false">A14+1</f>
        <v>36654</v>
      </c>
      <c r="B15" s="52" t="n">
        <v>28500</v>
      </c>
      <c r="C15" s="53" t="n">
        <v>28500</v>
      </c>
      <c r="D15" s="54" t="n">
        <f aca="false">C15/$AD$3</f>
        <v>29136.3376134784</v>
      </c>
      <c r="E15" s="53"/>
      <c r="F15" s="55"/>
      <c r="G15" s="56" t="n">
        <v>27624</v>
      </c>
      <c r="H15" s="57" t="n">
        <f aca="false">C15-G15</f>
        <v>876</v>
      </c>
      <c r="I15" s="58" t="n">
        <f aca="false">I14+H15</f>
        <v>2504</v>
      </c>
      <c r="J15" s="170" t="n">
        <v>3.275</v>
      </c>
      <c r="K15" s="59" t="n">
        <f aca="false">+$K$7</f>
        <v>0.05</v>
      </c>
      <c r="L15" s="60"/>
      <c r="M15" s="180" t="n">
        <f aca="false">ROUND((+J15/+$AD$3)-J15,4)</f>
        <v>0.0731</v>
      </c>
      <c r="N15" s="181" t="n">
        <f aca="false">+M15*G15</f>
        <v>2019.3144</v>
      </c>
      <c r="O15" s="181" t="n">
        <f aca="false">+$N$42*G15</f>
        <v>2110.4736</v>
      </c>
      <c r="P15" s="91" t="n">
        <f aca="false">(IF(H15&lt;0,-H15*$P$7,H15*$P$7))</f>
        <v>36.354</v>
      </c>
      <c r="Q15" s="182" t="n">
        <v>10923</v>
      </c>
      <c r="R15" s="183" t="n">
        <f aca="false">Q15*$R$7</f>
        <v>-247.9521</v>
      </c>
      <c r="S15" s="62" t="n">
        <f aca="false">Q15*$S$7</f>
        <v>-327.69</v>
      </c>
      <c r="T15" s="62"/>
      <c r="U15" s="63" t="n">
        <f aca="false">($U$6*$U$7)/31</f>
        <v>3733.16129032258</v>
      </c>
      <c r="V15" s="92"/>
      <c r="W15" s="92"/>
      <c r="X15" s="184" t="n">
        <f aca="false">+J15+K15+$N$42</f>
        <v>3.4014</v>
      </c>
      <c r="Y15" s="66" t="n">
        <f aca="false">(G15*(J15+K15)+O15+P15+R15+S15+T15+U15)</f>
        <v>97154.1467903226</v>
      </c>
    </row>
    <row r="16" customFormat="false" ht="20.1" hidden="false" customHeight="true" outlineLevel="0" collapsed="false">
      <c r="A16" s="51" t="n">
        <f aca="false">A15+1</f>
        <v>36655</v>
      </c>
      <c r="B16" s="52" t="n">
        <v>29000</v>
      </c>
      <c r="C16" s="53" t="n">
        <v>29000</v>
      </c>
      <c r="D16" s="85" t="n">
        <f aca="false">C16/$AD$3</f>
        <v>29647.5014312587</v>
      </c>
      <c r="E16" s="53"/>
      <c r="F16" s="55"/>
      <c r="G16" s="56" t="n">
        <v>28335</v>
      </c>
      <c r="H16" s="57" t="n">
        <f aca="false">C16-G16</f>
        <v>665</v>
      </c>
      <c r="I16" s="58" t="n">
        <f aca="false">I15+H16</f>
        <v>3169</v>
      </c>
      <c r="J16" s="170" t="n">
        <v>3.28</v>
      </c>
      <c r="K16" s="59" t="n">
        <f aca="false">+$K$7</f>
        <v>0.05</v>
      </c>
      <c r="L16" s="60"/>
      <c r="M16" s="180" t="n">
        <f aca="false">ROUND((+J16/+$AD$3)-J16,4)</f>
        <v>0.0732</v>
      </c>
      <c r="N16" s="181" t="n">
        <f aca="false">+M16*G16</f>
        <v>2074.122</v>
      </c>
      <c r="O16" s="181" t="n">
        <f aca="false">+$N$42*G16</f>
        <v>2164.794</v>
      </c>
      <c r="P16" s="91" t="n">
        <f aca="false">(IF(H16&lt;0,-H16*$P$7,H16*$P$7))</f>
        <v>27.5975</v>
      </c>
      <c r="Q16" s="182" t="n">
        <v>5916</v>
      </c>
      <c r="R16" s="183" t="n">
        <f aca="false">Q16*$R$7</f>
        <v>-134.2932</v>
      </c>
      <c r="S16" s="62" t="n">
        <f aca="false">Q16*$S$7</f>
        <v>-177.48</v>
      </c>
      <c r="T16" s="62"/>
      <c r="U16" s="63" t="n">
        <f aca="false">($U$6*$U$7)/31</f>
        <v>3733.16129032258</v>
      </c>
      <c r="V16" s="68"/>
      <c r="W16" s="68"/>
      <c r="X16" s="184" t="n">
        <f aca="false">+J16+K16+$N$42</f>
        <v>3.4064</v>
      </c>
      <c r="Y16" s="66" t="n">
        <f aca="false">(G16*(J16+K16)+O16+P16+R16+S16+T16+U16)</f>
        <v>99969.3295903226</v>
      </c>
    </row>
    <row r="17" customFormat="false" ht="20.1" hidden="false" customHeight="true" outlineLevel="0" collapsed="false">
      <c r="A17" s="51" t="n">
        <f aca="false">A16+1</f>
        <v>36656</v>
      </c>
      <c r="B17" s="52" t="n">
        <v>8600</v>
      </c>
      <c r="C17" s="53" t="n">
        <v>8600</v>
      </c>
      <c r="D17" s="85" t="n">
        <f aca="false">C17/$AD$3</f>
        <v>8792.01766582154</v>
      </c>
      <c r="E17" s="53"/>
      <c r="F17" s="55"/>
      <c r="G17" s="56" t="n">
        <v>8572</v>
      </c>
      <c r="H17" s="57" t="n">
        <f aca="false">C17-G17</f>
        <v>28</v>
      </c>
      <c r="I17" s="58" t="n">
        <f aca="false">I16+H17</f>
        <v>3197</v>
      </c>
      <c r="J17" s="170" t="n">
        <v>3.39</v>
      </c>
      <c r="K17" s="59" t="n">
        <f aca="false">+$K$7</f>
        <v>0.05</v>
      </c>
      <c r="L17" s="60"/>
      <c r="M17" s="180" t="n">
        <f aca="false">ROUND((+J17/+$AD$3)-J17,4)</f>
        <v>0.0757</v>
      </c>
      <c r="N17" s="181" t="n">
        <f aca="false">+M17*G17</f>
        <v>648.9004</v>
      </c>
      <c r="O17" s="181" t="n">
        <f aca="false">+$N$42*G17</f>
        <v>654.9008</v>
      </c>
      <c r="P17" s="91" t="n">
        <f aca="false">(IF(H17&lt;0,-H17*$P$7,H17*$P$7))</f>
        <v>1.162</v>
      </c>
      <c r="Q17" s="182" t="n">
        <v>497</v>
      </c>
      <c r="R17" s="183" t="n">
        <f aca="false">Q17*$R$7</f>
        <v>-11.2819</v>
      </c>
      <c r="S17" s="62" t="n">
        <f aca="false">Q17*$S$7</f>
        <v>-14.91</v>
      </c>
      <c r="T17" s="62"/>
      <c r="U17" s="63" t="n">
        <f aca="false">($U$6*$U$7)/31</f>
        <v>3733.16129032258</v>
      </c>
      <c r="V17" s="68"/>
      <c r="W17" s="68"/>
      <c r="X17" s="184" t="n">
        <f aca="false">+J17+K17+$N$42</f>
        <v>3.5164</v>
      </c>
      <c r="Y17" s="66" t="n">
        <f aca="false">(G17*(J17+K17)+O17+P17+R17+S17+T17+U17)</f>
        <v>33850.7121903226</v>
      </c>
    </row>
    <row r="18" customFormat="false" ht="20.1" hidden="false" customHeight="true" outlineLevel="0" collapsed="false">
      <c r="A18" s="51" t="n">
        <f aca="false">A17+1</f>
        <v>36657</v>
      </c>
      <c r="B18" s="52" t="n">
        <v>5503</v>
      </c>
      <c r="C18" s="53" t="n">
        <v>5503</v>
      </c>
      <c r="D18" s="85" t="n">
        <f aca="false">C18/$AD$3</f>
        <v>5625.86897849023</v>
      </c>
      <c r="E18" s="53"/>
      <c r="F18" s="55"/>
      <c r="G18" s="56" t="n">
        <v>5503</v>
      </c>
      <c r="H18" s="57" t="n">
        <f aca="false">C18-G18</f>
        <v>0</v>
      </c>
      <c r="I18" s="58" t="n">
        <f aca="false">I17+H18</f>
        <v>3197</v>
      </c>
      <c r="J18" s="170" t="n">
        <v>3.35</v>
      </c>
      <c r="K18" s="59" t="n">
        <f aca="false">+$K$7</f>
        <v>0.05</v>
      </c>
      <c r="L18" s="60"/>
      <c r="M18" s="180" t="n">
        <f aca="false">ROUND((+J18/+$AD$3)-J18,4)</f>
        <v>0.0748</v>
      </c>
      <c r="N18" s="181" t="n">
        <f aca="false">+M18*G18</f>
        <v>411.6244</v>
      </c>
      <c r="O18" s="181" t="n">
        <f aca="false">+$N$42*G18</f>
        <v>420.4292</v>
      </c>
      <c r="P18" s="91" t="n">
        <f aca="false">(IF(H18&lt;0,-H18*$P$7,H18*$P$7))</f>
        <v>0</v>
      </c>
      <c r="Q18" s="182" t="n">
        <v>5272</v>
      </c>
      <c r="R18" s="183" t="n">
        <f aca="false">Q18*$R$7</f>
        <v>-119.6744</v>
      </c>
      <c r="S18" s="62" t="n">
        <f aca="false">Q18*$S$7</f>
        <v>-158.16</v>
      </c>
      <c r="T18" s="62"/>
      <c r="U18" s="63" t="n">
        <f aca="false">($U$6*$U$7)/31</f>
        <v>3733.16129032258</v>
      </c>
      <c r="V18" s="68"/>
      <c r="W18" s="68"/>
      <c r="X18" s="184" t="n">
        <f aca="false">+J18+K18+$N$42</f>
        <v>3.4764</v>
      </c>
      <c r="Y18" s="66" t="n">
        <f aca="false">(G18*(J18+K18)+O18+P18+R18+S18+T18+U18)</f>
        <v>22585.9560903226</v>
      </c>
    </row>
    <row r="19" customFormat="false" ht="20.1" hidden="false" customHeight="true" outlineLevel="0" collapsed="false">
      <c r="A19" s="51" t="n">
        <f aca="false">A18+1</f>
        <v>36658</v>
      </c>
      <c r="B19" s="52" t="n">
        <v>32702</v>
      </c>
      <c r="C19" s="53" t="n">
        <v>32702</v>
      </c>
      <c r="D19" s="85" t="n">
        <f aca="false">C19/$AD$3</f>
        <v>33432.1583381042</v>
      </c>
      <c r="E19" s="53"/>
      <c r="F19" s="55"/>
      <c r="G19" s="56" t="n">
        <v>32537</v>
      </c>
      <c r="H19" s="57" t="n">
        <f aca="false">C19-G19</f>
        <v>165</v>
      </c>
      <c r="I19" s="58" t="n">
        <f aca="false">I18+H19</f>
        <v>3362</v>
      </c>
      <c r="J19" s="170" t="n">
        <v>3.51</v>
      </c>
      <c r="K19" s="59" t="n">
        <f aca="false">+$K$7</f>
        <v>0.05</v>
      </c>
      <c r="L19" s="60"/>
      <c r="M19" s="180" t="n">
        <f aca="false">ROUND((+J19/+$AD$3)-J19,4)</f>
        <v>0.0784</v>
      </c>
      <c r="N19" s="181" t="n">
        <f aca="false">+M19*G19</f>
        <v>2550.9008</v>
      </c>
      <c r="O19" s="181" t="n">
        <f aca="false">+$N$42*G19</f>
        <v>2485.8268</v>
      </c>
      <c r="P19" s="91" t="n">
        <f aca="false">(IF(H19&lt;0,-H19*$P$7,H19*$P$7))</f>
        <v>6.8475</v>
      </c>
      <c r="Q19" s="182" t="n">
        <f aca="false">7510-47</f>
        <v>7463</v>
      </c>
      <c r="R19" s="183" t="n">
        <f aca="false">Q19*$R$7</f>
        <v>-169.4101</v>
      </c>
      <c r="S19" s="62" t="n">
        <f aca="false">Q19*$S$7</f>
        <v>-223.89</v>
      </c>
      <c r="T19" s="62"/>
      <c r="U19" s="63" t="n">
        <f aca="false">($U$6*$U$7)/31</f>
        <v>3733.16129032258</v>
      </c>
      <c r="V19" s="68"/>
      <c r="W19" s="68"/>
      <c r="X19" s="184" t="n">
        <f aca="false">+J19+K19+$N$42</f>
        <v>3.6364</v>
      </c>
      <c r="Y19" s="66" t="n">
        <f aca="false">(G19*(J19+K19)+O19+P19+R19+S19+T19+U19)</f>
        <v>121664.255490323</v>
      </c>
    </row>
    <row r="20" customFormat="false" ht="20.1" hidden="false" customHeight="true" outlineLevel="0" collapsed="false">
      <c r="A20" s="51" t="n">
        <f aca="false">A19+1</f>
        <v>36659</v>
      </c>
      <c r="B20" s="52" t="n">
        <v>20403</v>
      </c>
      <c r="C20" s="53" t="n">
        <v>20403</v>
      </c>
      <c r="D20" s="85" t="n">
        <f aca="false">C20/$AD$3</f>
        <v>20858.5507483438</v>
      </c>
      <c r="E20" s="53"/>
      <c r="F20" s="55"/>
      <c r="G20" s="56" t="n">
        <v>20403</v>
      </c>
      <c r="H20" s="57" t="n">
        <f aca="false">C20-G20</f>
        <v>0</v>
      </c>
      <c r="I20" s="58" t="n">
        <f aca="false">I19+H20</f>
        <v>3362</v>
      </c>
      <c r="J20" s="170" t="n">
        <v>3.495</v>
      </c>
      <c r="K20" s="59" t="n">
        <f aca="false">+$K$7</f>
        <v>0.05</v>
      </c>
      <c r="L20" s="60"/>
      <c r="M20" s="180" t="n">
        <f aca="false">ROUND((+J20/+$AD$3)-J20,4)</f>
        <v>0.078</v>
      </c>
      <c r="N20" s="181" t="n">
        <f aca="false">+M20*G20</f>
        <v>1591.434</v>
      </c>
      <c r="O20" s="181" t="n">
        <f aca="false">+$N$42*G20</f>
        <v>1558.7892</v>
      </c>
      <c r="P20" s="91" t="n">
        <f aca="false">(IF(H20&lt;0,-H20*$P$7,H20*$P$7))</f>
        <v>0</v>
      </c>
      <c r="Q20" s="182" t="n">
        <v>0</v>
      </c>
      <c r="R20" s="183" t="n">
        <f aca="false">Q20*$R$7</f>
        <v>-0</v>
      </c>
      <c r="S20" s="62" t="n">
        <f aca="false">Q20*$S$7</f>
        <v>-0</v>
      </c>
      <c r="T20" s="62"/>
      <c r="U20" s="63" t="n">
        <f aca="false">($U$6*$U$7)/31</f>
        <v>3733.16129032258</v>
      </c>
      <c r="V20" s="68"/>
      <c r="W20" s="68"/>
      <c r="X20" s="184" t="n">
        <f aca="false">+J20+K20+$N$42</f>
        <v>3.6214</v>
      </c>
      <c r="Y20" s="66" t="n">
        <f aca="false">(G20*(J20+K20)+O20+P20+R20+S20+T20+U20)</f>
        <v>77620.5854903226</v>
      </c>
    </row>
    <row r="21" customFormat="false" ht="20.1" hidden="false" customHeight="true" outlineLevel="0" collapsed="false">
      <c r="A21" s="51" t="n">
        <f aca="false">A20+1</f>
        <v>36660</v>
      </c>
      <c r="B21" s="52"/>
      <c r="C21" s="53"/>
      <c r="D21" s="85" t="n">
        <f aca="false">C21/$AD$3</f>
        <v>0</v>
      </c>
      <c r="E21" s="53"/>
      <c r="F21" s="55"/>
      <c r="G21" s="56"/>
      <c r="H21" s="57" t="n">
        <f aca="false">C21-G21</f>
        <v>0</v>
      </c>
      <c r="I21" s="58" t="n">
        <f aca="false">I20+H21</f>
        <v>3362</v>
      </c>
      <c r="J21" s="170"/>
      <c r="K21" s="59"/>
      <c r="L21" s="60"/>
      <c r="M21" s="180" t="n">
        <f aca="false">ROUND((+J21/+$AD$3)-J21,4)</f>
        <v>0</v>
      </c>
      <c r="N21" s="181" t="n">
        <f aca="false">+M21*G21</f>
        <v>0</v>
      </c>
      <c r="O21" s="181" t="n">
        <f aca="false">+$N$42*G21</f>
        <v>0</v>
      </c>
      <c r="P21" s="91" t="n">
        <f aca="false">(IF(H21&lt;0,-H21*$P$7,H21*$P$7))</f>
        <v>0</v>
      </c>
      <c r="Q21" s="182" t="n">
        <v>0</v>
      </c>
      <c r="R21" s="183" t="n">
        <f aca="false">Q21*$R$7</f>
        <v>-0</v>
      </c>
      <c r="S21" s="62" t="n">
        <f aca="false">Q21*$S$7</f>
        <v>-0</v>
      </c>
      <c r="T21" s="62"/>
      <c r="U21" s="63" t="n">
        <f aca="false">($U$6*$U$7)/31</f>
        <v>3733.16129032258</v>
      </c>
      <c r="V21" s="68"/>
      <c r="W21" s="68"/>
      <c r="X21" s="184" t="n">
        <f aca="false">+J21+K21</f>
        <v>0</v>
      </c>
      <c r="Y21" s="66" t="n">
        <f aca="false">(G21*(J21+K21)+O21+P21+R21+S21+T21+U21)</f>
        <v>3733.16129032258</v>
      </c>
    </row>
    <row r="22" customFormat="false" ht="20.1" hidden="false" customHeight="true" outlineLevel="0" collapsed="false">
      <c r="A22" s="51" t="n">
        <f aca="false">A21+1</f>
        <v>36661</v>
      </c>
      <c r="B22" s="52"/>
      <c r="C22" s="53"/>
      <c r="D22" s="85" t="n">
        <f aca="false">C22/$AD$3</f>
        <v>0</v>
      </c>
      <c r="E22" s="53"/>
      <c r="F22" s="55"/>
      <c r="G22" s="56"/>
      <c r="H22" s="57" t="n">
        <f aca="false">C22-G22</f>
        <v>0</v>
      </c>
      <c r="I22" s="58" t="n">
        <f aca="false">I21+H22</f>
        <v>3362</v>
      </c>
      <c r="J22" s="170"/>
      <c r="K22" s="59"/>
      <c r="L22" s="60"/>
      <c r="M22" s="180" t="n">
        <f aca="false">ROUND((+J22/+$AD$3)-J22,4)</f>
        <v>0</v>
      </c>
      <c r="N22" s="181" t="n">
        <f aca="false">+M22*G22</f>
        <v>0</v>
      </c>
      <c r="O22" s="181" t="n">
        <f aca="false">+$N$42*G22</f>
        <v>0</v>
      </c>
      <c r="P22" s="91" t="n">
        <f aca="false">(IF(H22&lt;0,-H22*$P$7,H22*$P$7))</f>
        <v>0</v>
      </c>
      <c r="Q22" s="182" t="n">
        <v>5000</v>
      </c>
      <c r="R22" s="183" t="n">
        <f aca="false">Q22*$R$7</f>
        <v>-113.5</v>
      </c>
      <c r="S22" s="62" t="n">
        <f aca="false">Q22*$S$7</f>
        <v>-150</v>
      </c>
      <c r="T22" s="62"/>
      <c r="U22" s="63" t="n">
        <f aca="false">($U$6*$U$7)/31</f>
        <v>3733.16129032258</v>
      </c>
      <c r="V22" s="68"/>
      <c r="W22" s="68"/>
      <c r="X22" s="184" t="n">
        <f aca="false">+J22+K22</f>
        <v>0</v>
      </c>
      <c r="Y22" s="66" t="n">
        <f aca="false">(G22*(J22+K22)+O22+P22+R22+S22+T22+U22)</f>
        <v>3469.66129032258</v>
      </c>
    </row>
    <row r="23" customFormat="false" ht="20.1" hidden="false" customHeight="true" outlineLevel="0" collapsed="false">
      <c r="A23" s="51" t="n">
        <f aca="false">A22+1</f>
        <v>36662</v>
      </c>
      <c r="B23" s="52"/>
      <c r="C23" s="53"/>
      <c r="D23" s="85" t="n">
        <f aca="false">C23/$AD$3</f>
        <v>0</v>
      </c>
      <c r="E23" s="53"/>
      <c r="F23" s="55"/>
      <c r="G23" s="56"/>
      <c r="H23" s="57" t="n">
        <f aca="false">C23-G23</f>
        <v>0</v>
      </c>
      <c r="I23" s="58" t="n">
        <f aca="false">I22+H23</f>
        <v>3362</v>
      </c>
      <c r="J23" s="170"/>
      <c r="K23" s="59"/>
      <c r="L23" s="60"/>
      <c r="M23" s="180" t="n">
        <f aca="false">ROUND((+J23/+$AD$3)-J23,4)</f>
        <v>0</v>
      </c>
      <c r="N23" s="181" t="n">
        <f aca="false">+M23*G23</f>
        <v>0</v>
      </c>
      <c r="O23" s="181" t="n">
        <f aca="false">+$N$42*G23</f>
        <v>0</v>
      </c>
      <c r="P23" s="91" t="n">
        <f aca="false">(IF(H23&lt;0,-H23*$P$7,H23*$P$7))</f>
        <v>0</v>
      </c>
      <c r="Q23" s="182" t="n">
        <v>0</v>
      </c>
      <c r="R23" s="183" t="n">
        <f aca="false">Q23*$R$7</f>
        <v>-0</v>
      </c>
      <c r="S23" s="62" t="n">
        <f aca="false">Q23*$S$7</f>
        <v>-0</v>
      </c>
      <c r="T23" s="62"/>
      <c r="U23" s="63" t="n">
        <f aca="false">($U$6*$U$7)/31</f>
        <v>3733.16129032258</v>
      </c>
      <c r="V23" s="68"/>
      <c r="W23" s="68"/>
      <c r="X23" s="184" t="n">
        <f aca="false">+J23+K23</f>
        <v>0</v>
      </c>
      <c r="Y23" s="66" t="n">
        <f aca="false">(G23*(J23+K23)+O23+P23+R23+S23+T23+U23)</f>
        <v>3733.16129032258</v>
      </c>
    </row>
    <row r="24" customFormat="false" ht="20.1" hidden="false" customHeight="true" outlineLevel="0" collapsed="false">
      <c r="A24" s="51" t="n">
        <f aca="false">A23+1</f>
        <v>36663</v>
      </c>
      <c r="B24" s="52"/>
      <c r="C24" s="53"/>
      <c r="D24" s="85" t="n">
        <f aca="false">C24/$AD$3</f>
        <v>0</v>
      </c>
      <c r="E24" s="53"/>
      <c r="F24" s="55"/>
      <c r="G24" s="56"/>
      <c r="H24" s="57" t="n">
        <f aca="false">C24-G24</f>
        <v>0</v>
      </c>
      <c r="I24" s="58" t="n">
        <f aca="false">I23+H24</f>
        <v>3362</v>
      </c>
      <c r="J24" s="170"/>
      <c r="K24" s="59"/>
      <c r="L24" s="60"/>
      <c r="M24" s="180" t="n">
        <f aca="false">ROUND((+J24/+$AD$3)-J24,4)</f>
        <v>0</v>
      </c>
      <c r="N24" s="181" t="n">
        <f aca="false">+M24*G24</f>
        <v>0</v>
      </c>
      <c r="O24" s="181" t="n">
        <f aca="false">+$N$42*G24</f>
        <v>0</v>
      </c>
      <c r="P24" s="91" t="n">
        <f aca="false">(IF(H24&lt;0,-H24*$P$7,H24*$P$7))</f>
        <v>0</v>
      </c>
      <c r="Q24" s="182" t="n">
        <v>0</v>
      </c>
      <c r="R24" s="183" t="n">
        <f aca="false">Q24*$R$7</f>
        <v>-0</v>
      </c>
      <c r="S24" s="62" t="n">
        <f aca="false">Q24*$S$7</f>
        <v>-0</v>
      </c>
      <c r="T24" s="62"/>
      <c r="U24" s="63" t="n">
        <f aca="false">($U$6*$U$7)/31</f>
        <v>3733.16129032258</v>
      </c>
      <c r="V24" s="68"/>
      <c r="W24" s="68"/>
      <c r="X24" s="184" t="n">
        <f aca="false">+J24+K24</f>
        <v>0</v>
      </c>
      <c r="Y24" s="66" t="n">
        <f aca="false">(G24*(J24+K24)+O24+P24+R24+S24+T24+U24)</f>
        <v>3733.16129032258</v>
      </c>
    </row>
    <row r="25" customFormat="false" ht="20.1" hidden="false" customHeight="true" outlineLevel="0" collapsed="false">
      <c r="A25" s="51" t="n">
        <f aca="false">A24+1</f>
        <v>36664</v>
      </c>
      <c r="B25" s="52" t="n">
        <v>37544</v>
      </c>
      <c r="C25" s="53" t="n">
        <v>37544</v>
      </c>
      <c r="D25" s="85" t="n">
        <f aca="false">C25/$AD$3</f>
        <v>38382.2687494888</v>
      </c>
      <c r="E25" s="53"/>
      <c r="F25" s="55"/>
      <c r="G25" s="56" t="n">
        <v>37544</v>
      </c>
      <c r="H25" s="57" t="n">
        <f aca="false">C25-G25</f>
        <v>0</v>
      </c>
      <c r="I25" s="58" t="n">
        <f aca="false">I24+H25</f>
        <v>3362</v>
      </c>
      <c r="J25" s="170" t="n">
        <v>3.635</v>
      </c>
      <c r="K25" s="59" t="n">
        <f aca="false">+$K$7</f>
        <v>0.05</v>
      </c>
      <c r="L25" s="60"/>
      <c r="M25" s="180" t="n">
        <f aca="false">ROUND((+J25/+$AD$3)-J25,4)</f>
        <v>0.0812</v>
      </c>
      <c r="N25" s="181" t="n">
        <f aca="false">+M25*G25</f>
        <v>3048.5728</v>
      </c>
      <c r="O25" s="181" t="n">
        <f aca="false">+$N$42*G25</f>
        <v>2868.3616</v>
      </c>
      <c r="P25" s="91" t="n">
        <f aca="false">(IF(H25&lt;0,-H25*$P$7,H25*$P$7))</f>
        <v>0</v>
      </c>
      <c r="Q25" s="182" t="n">
        <v>0</v>
      </c>
      <c r="R25" s="183" t="n">
        <f aca="false">Q25*$R$7</f>
        <v>-0</v>
      </c>
      <c r="S25" s="62" t="n">
        <f aca="false">Q25*$S$7</f>
        <v>-0</v>
      </c>
      <c r="T25" s="62"/>
      <c r="U25" s="63" t="n">
        <f aca="false">($U$6*$U$7)/31</f>
        <v>3733.16129032258</v>
      </c>
      <c r="V25" s="68"/>
      <c r="W25" s="68"/>
      <c r="X25" s="184" t="n">
        <f aca="false">+J25+K25+$N$42</f>
        <v>3.7614</v>
      </c>
      <c r="Y25" s="66" t="n">
        <f aca="false">(G25*(J25+K25)+O25+P25+R25+S25+T25+U25)</f>
        <v>144951.162890323</v>
      </c>
    </row>
    <row r="26" customFormat="false" ht="20.1" hidden="false" customHeight="true" outlineLevel="0" collapsed="false">
      <c r="A26" s="51" t="n">
        <f aca="false">A25+1</f>
        <v>36665</v>
      </c>
      <c r="B26" s="52"/>
      <c r="C26" s="53"/>
      <c r="D26" s="85" t="n">
        <f aca="false">C26/$AD$3</f>
        <v>0</v>
      </c>
      <c r="E26" s="53"/>
      <c r="F26" s="55"/>
      <c r="G26" s="56"/>
      <c r="H26" s="57" t="n">
        <f aca="false">C26-G26</f>
        <v>0</v>
      </c>
      <c r="I26" s="58" t="n">
        <f aca="false">I25+H26</f>
        <v>3362</v>
      </c>
      <c r="J26" s="170"/>
      <c r="K26" s="59"/>
      <c r="L26" s="60"/>
      <c r="M26" s="180" t="n">
        <f aca="false">ROUND((+J26/+$AD$3)-J26,4)</f>
        <v>0</v>
      </c>
      <c r="N26" s="181" t="n">
        <f aca="false">+M26*G26</f>
        <v>0</v>
      </c>
      <c r="O26" s="181" t="n">
        <f aca="false">+$N$42*G26</f>
        <v>0</v>
      </c>
      <c r="P26" s="91" t="n">
        <v>0</v>
      </c>
      <c r="Q26" s="182" t="n">
        <v>0</v>
      </c>
      <c r="R26" s="183" t="n">
        <f aca="false">Q26*$R$7</f>
        <v>-0</v>
      </c>
      <c r="S26" s="62" t="n">
        <f aca="false">Q26*$S$7</f>
        <v>-0</v>
      </c>
      <c r="T26" s="62"/>
      <c r="U26" s="63" t="n">
        <f aca="false">($U$6*$U$7)/31</f>
        <v>3733.16129032258</v>
      </c>
      <c r="V26" s="68"/>
      <c r="W26" s="68"/>
      <c r="X26" s="184" t="n">
        <f aca="false">+J26+K26</f>
        <v>0</v>
      </c>
      <c r="Y26" s="66" t="n">
        <f aca="false">(G26*(J26+K26)+O26+P26+R26+S26+T26+U26)</f>
        <v>3733.16129032258</v>
      </c>
    </row>
    <row r="27" customFormat="false" ht="20.1" hidden="false" customHeight="true" outlineLevel="0" collapsed="false">
      <c r="A27" s="51" t="n">
        <f aca="false">A26+1</f>
        <v>36666</v>
      </c>
      <c r="B27" s="52"/>
      <c r="C27" s="53"/>
      <c r="D27" s="85" t="n">
        <f aca="false">C27/$AD$3</f>
        <v>0</v>
      </c>
      <c r="E27" s="53"/>
      <c r="F27" s="55"/>
      <c r="G27" s="56"/>
      <c r="H27" s="57" t="n">
        <f aca="false">C27-G27</f>
        <v>0</v>
      </c>
      <c r="I27" s="58" t="n">
        <f aca="false">I26+H27</f>
        <v>3362</v>
      </c>
      <c r="J27" s="170"/>
      <c r="K27" s="59"/>
      <c r="L27" s="60"/>
      <c r="M27" s="180" t="n">
        <f aca="false">ROUND((+J27/+$AD$3)-J27,4)</f>
        <v>0</v>
      </c>
      <c r="N27" s="181" t="n">
        <f aca="false">+M27*G27</f>
        <v>0</v>
      </c>
      <c r="O27" s="181" t="n">
        <f aca="false">+$N$42*G27</f>
        <v>0</v>
      </c>
      <c r="P27" s="91" t="n">
        <f aca="false">(IF(H27&lt;0,-H27*$P$7,H27*$P$7))</f>
        <v>0</v>
      </c>
      <c r="Q27" s="182" t="n">
        <v>0</v>
      </c>
      <c r="R27" s="183" t="n">
        <f aca="false">Q27*$R$7</f>
        <v>-0</v>
      </c>
      <c r="S27" s="62" t="n">
        <f aca="false">Q27*$S$7</f>
        <v>-0</v>
      </c>
      <c r="T27" s="62"/>
      <c r="U27" s="63" t="n">
        <f aca="false">($U$6*$U$7)/31</f>
        <v>3733.16129032258</v>
      </c>
      <c r="V27" s="68"/>
      <c r="W27" s="68"/>
      <c r="X27" s="184" t="n">
        <f aca="false">+J27+K27</f>
        <v>0</v>
      </c>
      <c r="Y27" s="66" t="n">
        <f aca="false">(G27*(J27+K27)+O27+P27+R27+S27+T27+U27)</f>
        <v>3733.16129032258</v>
      </c>
    </row>
    <row r="28" customFormat="false" ht="20.1" hidden="false" customHeight="true" outlineLevel="0" collapsed="false">
      <c r="A28" s="51" t="n">
        <f aca="false">A27+1</f>
        <v>36667</v>
      </c>
      <c r="B28" s="52"/>
      <c r="C28" s="53"/>
      <c r="D28" s="85" t="n">
        <f aca="false">C28/$AD$3</f>
        <v>0</v>
      </c>
      <c r="E28" s="94"/>
      <c r="F28" s="55"/>
      <c r="G28" s="56"/>
      <c r="H28" s="57" t="n">
        <f aca="false">C28-G28</f>
        <v>0</v>
      </c>
      <c r="I28" s="58" t="n">
        <f aca="false">I27+H28</f>
        <v>3362</v>
      </c>
      <c r="J28" s="170"/>
      <c r="K28" s="59"/>
      <c r="L28" s="60"/>
      <c r="M28" s="180" t="n">
        <f aca="false">ROUND((+J28/+$AD$3)-J28,4)</f>
        <v>0</v>
      </c>
      <c r="N28" s="181" t="n">
        <f aca="false">+M28*G28</f>
        <v>0</v>
      </c>
      <c r="O28" s="181" t="n">
        <f aca="false">+$N$42*G28</f>
        <v>0</v>
      </c>
      <c r="P28" s="91" t="n">
        <f aca="false">(IF(H28&lt;0,-H28*$P$7,H28*$P$7))</f>
        <v>0</v>
      </c>
      <c r="Q28" s="182" t="n">
        <v>0</v>
      </c>
      <c r="R28" s="183" t="n">
        <f aca="false">Q28*$R$7</f>
        <v>-0</v>
      </c>
      <c r="S28" s="62" t="n">
        <f aca="false">Q28*$S$7</f>
        <v>-0</v>
      </c>
      <c r="T28" s="62"/>
      <c r="U28" s="63" t="n">
        <f aca="false">($U$6*$U$7)/31</f>
        <v>3733.16129032258</v>
      </c>
      <c r="V28" s="68"/>
      <c r="W28" s="68"/>
      <c r="X28" s="184" t="n">
        <f aca="false">+J28+K28</f>
        <v>0</v>
      </c>
      <c r="Y28" s="66" t="n">
        <f aca="false">(G28*(J28+K28)+O28+P28+R28+S28+T28+U28)</f>
        <v>3733.16129032258</v>
      </c>
    </row>
    <row r="29" customFormat="false" ht="20.1" hidden="false" customHeight="true" outlineLevel="0" collapsed="false">
      <c r="A29" s="51" t="n">
        <f aca="false">A28+1</f>
        <v>36668</v>
      </c>
      <c r="B29" s="52"/>
      <c r="C29" s="53"/>
      <c r="D29" s="85" t="n">
        <f aca="false">C29/$AD$3</f>
        <v>0</v>
      </c>
      <c r="E29" s="53"/>
      <c r="F29" s="55"/>
      <c r="G29" s="56"/>
      <c r="H29" s="57" t="n">
        <f aca="false">C29-G29</f>
        <v>0</v>
      </c>
      <c r="I29" s="58" t="n">
        <f aca="false">I28+H29</f>
        <v>3362</v>
      </c>
      <c r="J29" s="170"/>
      <c r="K29" s="59"/>
      <c r="L29" s="60"/>
      <c r="M29" s="180" t="n">
        <f aca="false">ROUND((+J29/+$AD$3)-J29,4)</f>
        <v>0</v>
      </c>
      <c r="N29" s="181" t="n">
        <f aca="false">+M29*G29</f>
        <v>0</v>
      </c>
      <c r="O29" s="181" t="n">
        <f aca="false">+$N$42*G29</f>
        <v>0</v>
      </c>
      <c r="P29" s="91" t="n">
        <f aca="false">(IF(H29&lt;0,-H29*$P$7,H29*$P$7))</f>
        <v>0</v>
      </c>
      <c r="Q29" s="182" t="n">
        <v>0</v>
      </c>
      <c r="R29" s="183" t="n">
        <f aca="false">Q29*$R$7</f>
        <v>-0</v>
      </c>
      <c r="S29" s="62" t="n">
        <f aca="false">Q29*$S$7</f>
        <v>-0</v>
      </c>
      <c r="T29" s="62"/>
      <c r="U29" s="63" t="n">
        <f aca="false">($U$6*$U$7)/31</f>
        <v>3733.16129032258</v>
      </c>
      <c r="V29" s="68"/>
      <c r="W29" s="68"/>
      <c r="X29" s="184" t="n">
        <f aca="false">+J29+K29</f>
        <v>0</v>
      </c>
      <c r="Y29" s="66" t="n">
        <f aca="false">(G29*(J29+K29)+O29+P29+R29+S29+T29+U29)</f>
        <v>3733.16129032258</v>
      </c>
    </row>
    <row r="30" customFormat="false" ht="20.1" hidden="false" customHeight="true" outlineLevel="0" collapsed="false">
      <c r="A30" s="51" t="n">
        <f aca="false">A29+1</f>
        <v>36669</v>
      </c>
      <c r="B30" s="52"/>
      <c r="C30" s="53"/>
      <c r="D30" s="85" t="n">
        <f aca="false">C30/$AD$3</f>
        <v>0</v>
      </c>
      <c r="E30" s="53"/>
      <c r="F30" s="55"/>
      <c r="G30" s="56"/>
      <c r="H30" s="57" t="n">
        <f aca="false">C30-G30</f>
        <v>0</v>
      </c>
      <c r="I30" s="58" t="n">
        <f aca="false">I29+H30</f>
        <v>3362</v>
      </c>
      <c r="J30" s="170"/>
      <c r="K30" s="59"/>
      <c r="L30" s="60"/>
      <c r="M30" s="180" t="n">
        <f aca="false">ROUND((+J30/+$AD$3)-J30,4)</f>
        <v>0</v>
      </c>
      <c r="N30" s="181" t="n">
        <f aca="false">+M30*G30</f>
        <v>0</v>
      </c>
      <c r="O30" s="181" t="n">
        <f aca="false">+$N$42*G30</f>
        <v>0</v>
      </c>
      <c r="P30" s="91" t="n">
        <f aca="false">(IF(H30&lt;0,-H30*$P$7,H30*$P$7))</f>
        <v>0</v>
      </c>
      <c r="Q30" s="182" t="n">
        <v>0</v>
      </c>
      <c r="R30" s="183" t="n">
        <f aca="false">Q30*$R$7</f>
        <v>-0</v>
      </c>
      <c r="S30" s="62" t="n">
        <f aca="false">Q30*$S$7</f>
        <v>-0</v>
      </c>
      <c r="T30" s="62"/>
      <c r="U30" s="63" t="n">
        <f aca="false">($U$6*$U$7)/31</f>
        <v>3733.16129032258</v>
      </c>
      <c r="V30" s="68"/>
      <c r="W30" s="68"/>
      <c r="X30" s="184" t="n">
        <f aca="false">+J30+K30</f>
        <v>0</v>
      </c>
      <c r="Y30" s="66" t="n">
        <f aca="false">(G30*(J30+K30)+O30+P30+R30+S30+T30+U30)</f>
        <v>3733.16129032258</v>
      </c>
    </row>
    <row r="31" customFormat="false" ht="20.1" hidden="false" customHeight="true" outlineLevel="0" collapsed="false">
      <c r="A31" s="51" t="n">
        <f aca="false">A30+1</f>
        <v>36670</v>
      </c>
      <c r="B31" s="52" t="n">
        <v>19590</v>
      </c>
      <c r="C31" s="53" t="n">
        <v>19590</v>
      </c>
      <c r="D31" s="85" t="n">
        <f aca="false">C31/$AD$3</f>
        <v>20027.398380633</v>
      </c>
      <c r="E31" s="53"/>
      <c r="F31" s="55"/>
      <c r="G31" s="56" t="n">
        <v>19590</v>
      </c>
      <c r="H31" s="57" t="n">
        <f aca="false">C31-G31</f>
        <v>0</v>
      </c>
      <c r="I31" s="58" t="n">
        <f aca="false">I30+H31</f>
        <v>3362</v>
      </c>
      <c r="J31" s="170" t="n">
        <v>3.98</v>
      </c>
      <c r="K31" s="59" t="n">
        <f aca="false">+$K$7</f>
        <v>0.05</v>
      </c>
      <c r="L31" s="60"/>
      <c r="M31" s="180" t="n">
        <f aca="false">ROUND((+J31/+$AD$3)-J31,4)</f>
        <v>0.0889</v>
      </c>
      <c r="N31" s="181" t="n">
        <f aca="false">+M31*G31</f>
        <v>1741.551</v>
      </c>
      <c r="O31" s="181" t="n">
        <f aca="false">+$N$42*G31</f>
        <v>1496.676</v>
      </c>
      <c r="P31" s="91" t="n">
        <f aca="false">(IF(H31&lt;0,-H31*$P$7,H31*$P$7))</f>
        <v>0</v>
      </c>
      <c r="Q31" s="182" t="n">
        <v>0</v>
      </c>
      <c r="R31" s="183" t="n">
        <f aca="false">Q31*$R$7</f>
        <v>-0</v>
      </c>
      <c r="S31" s="62" t="n">
        <f aca="false">Q31*$S$7</f>
        <v>-0</v>
      </c>
      <c r="T31" s="62"/>
      <c r="U31" s="63" t="n">
        <f aca="false">($U$6*$U$7)/31</f>
        <v>3733.16129032258</v>
      </c>
      <c r="V31" s="68"/>
      <c r="W31" s="68"/>
      <c r="X31" s="184" t="n">
        <f aca="false">+J31+K31+$N$42</f>
        <v>4.1064</v>
      </c>
      <c r="Y31" s="66" t="n">
        <f aca="false">(G31*(J31+K31)+O31+P31+R31+S31+T31+U31)</f>
        <v>84177.5372903226</v>
      </c>
    </row>
    <row r="32" customFormat="false" ht="20.1" hidden="false" customHeight="true" outlineLevel="0" collapsed="false">
      <c r="A32" s="51" t="n">
        <f aca="false">A31+1</f>
        <v>36671</v>
      </c>
      <c r="B32" s="52"/>
      <c r="C32" s="53"/>
      <c r="D32" s="85" t="n">
        <f aca="false">C32/$AD$3</f>
        <v>0</v>
      </c>
      <c r="E32" s="53"/>
      <c r="F32" s="55"/>
      <c r="G32" s="56"/>
      <c r="H32" s="57" t="n">
        <f aca="false">C32-G32</f>
        <v>0</v>
      </c>
      <c r="I32" s="58" t="n">
        <f aca="false">I31+H32</f>
        <v>3362</v>
      </c>
      <c r="J32" s="170"/>
      <c r="K32" s="95"/>
      <c r="L32" s="96"/>
      <c r="M32" s="180" t="n">
        <f aca="false">ROUND((+J32/+$AD$3)-J32,4)</f>
        <v>0</v>
      </c>
      <c r="N32" s="181" t="n">
        <f aca="false">+M32*G32</f>
        <v>0</v>
      </c>
      <c r="O32" s="181" t="n">
        <f aca="false">+$N$42*G32</f>
        <v>0</v>
      </c>
      <c r="P32" s="91" t="n">
        <f aca="false">(IF(H32&lt;0,-H32*$P$7,H32*$P$7))</f>
        <v>0</v>
      </c>
      <c r="Q32" s="182" t="n">
        <v>0</v>
      </c>
      <c r="R32" s="183" t="n">
        <f aca="false">Q32*$R$7</f>
        <v>-0</v>
      </c>
      <c r="S32" s="62" t="n">
        <f aca="false">Q32*$S$7</f>
        <v>-0</v>
      </c>
      <c r="T32" s="62"/>
      <c r="U32" s="63" t="n">
        <f aca="false">($U$6*$U$7)/31</f>
        <v>3733.16129032258</v>
      </c>
      <c r="V32" s="68"/>
      <c r="W32" s="68"/>
      <c r="X32" s="184" t="n">
        <f aca="false">+J32+K32</f>
        <v>0</v>
      </c>
      <c r="Y32" s="66" t="n">
        <f aca="false">(G32*(J32+K32)+O32+P32+R32+S32+T32+U32)</f>
        <v>3733.16129032258</v>
      </c>
    </row>
    <row r="33" customFormat="false" ht="20.1" hidden="false" customHeight="true" outlineLevel="0" collapsed="false">
      <c r="A33" s="51" t="n">
        <f aca="false">A32+1</f>
        <v>36672</v>
      </c>
      <c r="B33" s="52" t="n">
        <v>4858</v>
      </c>
      <c r="C33" s="53" t="n">
        <v>4858</v>
      </c>
      <c r="D33" s="85" t="n">
        <f aca="false">C33/$AD$3</f>
        <v>4966.46765355361</v>
      </c>
      <c r="E33" s="53"/>
      <c r="F33" s="55"/>
      <c r="G33" s="56" t="n">
        <v>4858</v>
      </c>
      <c r="H33" s="57" t="n">
        <f aca="false">C33-G33</f>
        <v>0</v>
      </c>
      <c r="I33" s="58" t="n">
        <f aca="false">I32+H33</f>
        <v>3362</v>
      </c>
      <c r="J33" s="170" t="n">
        <v>4.31</v>
      </c>
      <c r="K33" s="59" t="n">
        <f aca="false">+$K$7</f>
        <v>0.05</v>
      </c>
      <c r="L33" s="60"/>
      <c r="M33" s="180" t="n">
        <f aca="false">ROUND((+J33/+$AD$3)-J33,4)</f>
        <v>0.0962</v>
      </c>
      <c r="N33" s="181" t="n">
        <f aca="false">+M33*G33</f>
        <v>467.3396</v>
      </c>
      <c r="O33" s="181" t="n">
        <f aca="false">+$N$42*G33</f>
        <v>371.1512</v>
      </c>
      <c r="P33" s="91" t="n">
        <f aca="false">(IF(H33&lt;0,-H33*$P$7,H33*$P$7))</f>
        <v>0</v>
      </c>
      <c r="Q33" s="182" t="n">
        <v>0</v>
      </c>
      <c r="R33" s="183" t="n">
        <f aca="false">Q33*$R$7</f>
        <v>-0</v>
      </c>
      <c r="S33" s="62" t="n">
        <f aca="false">Q33*$S$7</f>
        <v>-0</v>
      </c>
      <c r="T33" s="62"/>
      <c r="U33" s="63" t="n">
        <f aca="false">($U$6*$U$7)/31</f>
        <v>3733.16129032258</v>
      </c>
      <c r="V33" s="68"/>
      <c r="W33" s="68"/>
      <c r="X33" s="184" t="n">
        <f aca="false">+J33+K33</f>
        <v>4.36</v>
      </c>
      <c r="Y33" s="66" t="n">
        <f aca="false">(G33*(J33+K33)+O33+P33+R33+S33+T33+U33)</f>
        <v>25285.1924903226</v>
      </c>
    </row>
    <row r="34" customFormat="false" ht="20.1" hidden="false" customHeight="true" outlineLevel="0" collapsed="false">
      <c r="A34" s="51" t="n">
        <f aca="false">A33+1</f>
        <v>36673</v>
      </c>
      <c r="B34" s="52"/>
      <c r="C34" s="53"/>
      <c r="D34" s="85" t="n">
        <f aca="false">C34/$AD$3</f>
        <v>0</v>
      </c>
      <c r="E34" s="53"/>
      <c r="F34" s="55"/>
      <c r="G34" s="56"/>
      <c r="H34" s="57" t="n">
        <f aca="false">C34-G34</f>
        <v>0</v>
      </c>
      <c r="I34" s="58" t="n">
        <f aca="false">I33+H34</f>
        <v>3362</v>
      </c>
      <c r="J34" s="170"/>
      <c r="K34" s="59"/>
      <c r="L34" s="60"/>
      <c r="M34" s="180" t="n">
        <f aca="false">ROUND((+J34/+$AD$3)-J34,4)</f>
        <v>0</v>
      </c>
      <c r="N34" s="181" t="n">
        <f aca="false">+M34*G34</f>
        <v>0</v>
      </c>
      <c r="O34" s="181" t="n">
        <f aca="false">+$N$42*G34</f>
        <v>0</v>
      </c>
      <c r="P34" s="91" t="n">
        <f aca="false">(IF(H34&lt;0,-H34*$P$7,H34*$P$7))</f>
        <v>0</v>
      </c>
      <c r="Q34" s="182" t="n">
        <v>0</v>
      </c>
      <c r="R34" s="183" t="n">
        <f aca="false">Q34*$R$7</f>
        <v>-0</v>
      </c>
      <c r="S34" s="62" t="n">
        <f aca="false">Q34*$S$7</f>
        <v>-0</v>
      </c>
      <c r="T34" s="62"/>
      <c r="U34" s="63" t="n">
        <f aca="false">($U$6*$U$7)/31</f>
        <v>3733.16129032258</v>
      </c>
      <c r="V34" s="68"/>
      <c r="W34" s="68"/>
      <c r="X34" s="184" t="n">
        <f aca="false">+J34+K34</f>
        <v>0</v>
      </c>
      <c r="Y34" s="66" t="n">
        <f aca="false">(G34*(J34+K34)+O34+P34+R34+S34+T34+U34)</f>
        <v>3733.16129032258</v>
      </c>
    </row>
    <row r="35" customFormat="false" ht="20.1" hidden="false" customHeight="true" outlineLevel="0" collapsed="false">
      <c r="A35" s="51" t="n">
        <f aca="false">A34+1</f>
        <v>36674</v>
      </c>
      <c r="B35" s="52"/>
      <c r="C35" s="53"/>
      <c r="D35" s="85" t="n">
        <f aca="false">C35/$AD$3</f>
        <v>0</v>
      </c>
      <c r="E35" s="53"/>
      <c r="F35" s="55"/>
      <c r="G35" s="56"/>
      <c r="H35" s="57" t="n">
        <f aca="false">C35-G35</f>
        <v>0</v>
      </c>
      <c r="I35" s="58" t="n">
        <f aca="false">I34+H35</f>
        <v>3362</v>
      </c>
      <c r="J35" s="170"/>
      <c r="K35" s="59"/>
      <c r="L35" s="60"/>
      <c r="M35" s="180" t="n">
        <f aca="false">ROUND((+J35/+$AD$3)-J35,4)</f>
        <v>0</v>
      </c>
      <c r="N35" s="181" t="n">
        <f aca="false">+M35*G35</f>
        <v>0</v>
      </c>
      <c r="O35" s="181" t="n">
        <f aca="false">+$N$42*G35</f>
        <v>0</v>
      </c>
      <c r="P35" s="91" t="n">
        <f aca="false">(IF(H35&lt;0,-H35*$P$7,H35*$P$7))</f>
        <v>0</v>
      </c>
      <c r="Q35" s="182" t="n">
        <v>0</v>
      </c>
      <c r="R35" s="183" t="n">
        <f aca="false">Q35*$R$7</f>
        <v>-0</v>
      </c>
      <c r="S35" s="62" t="n">
        <f aca="false">Q35*$S$7</f>
        <v>-0</v>
      </c>
      <c r="T35" s="62"/>
      <c r="U35" s="63" t="n">
        <f aca="false">($U$6*$U$7)/31</f>
        <v>3733.16129032258</v>
      </c>
      <c r="V35" s="68"/>
      <c r="W35" s="68"/>
      <c r="X35" s="184" t="n">
        <f aca="false">+J35+K35</f>
        <v>0</v>
      </c>
      <c r="Y35" s="66" t="n">
        <f aca="false">(G35*(J35+K35)+O35+P35+R35+S35+T35+U35)</f>
        <v>3733.16129032258</v>
      </c>
    </row>
    <row r="36" customFormat="false" ht="20.1" hidden="false" customHeight="true" outlineLevel="0" collapsed="false">
      <c r="A36" s="51" t="n">
        <f aca="false">A35+1</f>
        <v>36675</v>
      </c>
      <c r="B36" s="52"/>
      <c r="C36" s="53"/>
      <c r="D36" s="85" t="n">
        <f aca="false">C36/$AD$3</f>
        <v>0</v>
      </c>
      <c r="E36" s="53"/>
      <c r="F36" s="55"/>
      <c r="G36" s="56"/>
      <c r="H36" s="57" t="n">
        <f aca="false">C36-G36</f>
        <v>0</v>
      </c>
      <c r="I36" s="58" t="n">
        <f aca="false">I35+H36</f>
        <v>3362</v>
      </c>
      <c r="J36" s="170"/>
      <c r="K36" s="59"/>
      <c r="L36" s="60"/>
      <c r="M36" s="180" t="n">
        <f aca="false">ROUND((+J36/+$AD$3)-J36,4)</f>
        <v>0</v>
      </c>
      <c r="N36" s="181" t="n">
        <f aca="false">+M36*G36</f>
        <v>0</v>
      </c>
      <c r="O36" s="181" t="n">
        <f aca="false">+$N$42*G36</f>
        <v>0</v>
      </c>
      <c r="P36" s="91" t="n">
        <f aca="false">(IF(H36&lt;0,-H36*$P$7,H36*$P$7))</f>
        <v>0</v>
      </c>
      <c r="Q36" s="182" t="n">
        <v>0</v>
      </c>
      <c r="R36" s="183" t="n">
        <f aca="false">Q36*$R$7</f>
        <v>-0</v>
      </c>
      <c r="S36" s="62" t="n">
        <f aca="false">Q36*$S$7</f>
        <v>-0</v>
      </c>
      <c r="T36" s="62"/>
      <c r="U36" s="63" t="n">
        <f aca="false">($U$6*$U$7)/31</f>
        <v>3733.16129032258</v>
      </c>
      <c r="V36" s="68"/>
      <c r="W36" s="68"/>
      <c r="X36" s="184" t="n">
        <f aca="false">+J36+K36</f>
        <v>0</v>
      </c>
      <c r="Y36" s="66" t="n">
        <f aca="false">(G36*(J36+K36)+O36+P36+R36+S36+T36+U36)</f>
        <v>3733.16129032258</v>
      </c>
    </row>
    <row r="37" customFormat="false" ht="20.1" hidden="false" customHeight="true" outlineLevel="0" collapsed="false">
      <c r="A37" s="51" t="n">
        <f aca="false">A36+1</f>
        <v>36676</v>
      </c>
      <c r="B37" s="52"/>
      <c r="C37" s="53"/>
      <c r="D37" s="85" t="n">
        <f aca="false">C37/$AD$3</f>
        <v>0</v>
      </c>
      <c r="E37" s="53"/>
      <c r="F37" s="55"/>
      <c r="G37" s="56"/>
      <c r="H37" s="57" t="n">
        <f aca="false">C37-G37</f>
        <v>0</v>
      </c>
      <c r="I37" s="58" t="n">
        <f aca="false">I36+H37</f>
        <v>3362</v>
      </c>
      <c r="J37" s="170"/>
      <c r="K37" s="59"/>
      <c r="L37" s="60"/>
      <c r="M37" s="180" t="n">
        <f aca="false">ROUND((+J37/+$AD$3)-J37,4)</f>
        <v>0</v>
      </c>
      <c r="N37" s="181" t="n">
        <f aca="false">+M37*G37</f>
        <v>0</v>
      </c>
      <c r="O37" s="181" t="n">
        <f aca="false">+$N$42*G37</f>
        <v>0</v>
      </c>
      <c r="P37" s="91" t="n">
        <f aca="false">(IF(H37&lt;0,-H37*$P$7,H37*$P$7))</f>
        <v>0</v>
      </c>
      <c r="Q37" s="182" t="n">
        <v>0</v>
      </c>
      <c r="R37" s="183" t="n">
        <f aca="false">Q37*$R$7</f>
        <v>-0</v>
      </c>
      <c r="S37" s="62" t="n">
        <f aca="false">Q37*$S$7</f>
        <v>-0</v>
      </c>
      <c r="T37" s="62"/>
      <c r="U37" s="63" t="n">
        <f aca="false">($U$6*$U$7)/31</f>
        <v>3733.16129032258</v>
      </c>
      <c r="V37" s="68"/>
      <c r="W37" s="68"/>
      <c r="X37" s="184" t="n">
        <f aca="false">+J37+K37</f>
        <v>0</v>
      </c>
      <c r="Y37" s="66" t="n">
        <f aca="false">(G37*(J37+K37)+O37+P37+R37+S37+T37+U37)</f>
        <v>3733.16129032258</v>
      </c>
    </row>
    <row r="38" customFormat="false" ht="20.1" hidden="false" customHeight="true" outlineLevel="0" collapsed="false">
      <c r="A38" s="51" t="n">
        <f aca="false">A37+1</f>
        <v>36677</v>
      </c>
      <c r="B38" s="52"/>
      <c r="C38" s="53"/>
      <c r="D38" s="85" t="n">
        <f aca="false">C38/$AD$3</f>
        <v>0</v>
      </c>
      <c r="E38" s="53"/>
      <c r="F38" s="55"/>
      <c r="G38" s="56"/>
      <c r="H38" s="57" t="n">
        <f aca="false">C38-G38</f>
        <v>0</v>
      </c>
      <c r="I38" s="58" t="n">
        <f aca="false">I36+H38</f>
        <v>3362</v>
      </c>
      <c r="J38" s="170"/>
      <c r="K38" s="59"/>
      <c r="L38" s="60"/>
      <c r="M38" s="180" t="n">
        <f aca="false">ROUND((+J38/+$AD$3)-J38,4)</f>
        <v>0</v>
      </c>
      <c r="N38" s="181" t="n">
        <f aca="false">+M38*G38</f>
        <v>0</v>
      </c>
      <c r="O38" s="181" t="n">
        <f aca="false">+$N$42*G38</f>
        <v>0</v>
      </c>
      <c r="P38" s="91" t="n">
        <f aca="false">(IF(H38&lt;0,-H38*$P$7,H38*$P$7))</f>
        <v>0</v>
      </c>
      <c r="Q38" s="182" t="n">
        <v>0</v>
      </c>
      <c r="R38" s="183" t="n">
        <f aca="false">Q38*$R$7</f>
        <v>-0</v>
      </c>
      <c r="S38" s="62" t="n">
        <f aca="false">Q38*$S$7</f>
        <v>-0</v>
      </c>
      <c r="T38" s="62"/>
      <c r="U38" s="63" t="n">
        <f aca="false">($U$6*$U$7)/31</f>
        <v>3733.16129032258</v>
      </c>
      <c r="V38" s="68"/>
      <c r="W38" s="68"/>
      <c r="X38" s="184" t="n">
        <f aca="false">+J38+K38</f>
        <v>0</v>
      </c>
      <c r="Y38" s="66" t="n">
        <f aca="false">(G38*(J38+K38)+O38+P38+R38+S38+T38+U38)</f>
        <v>3733.16129032258</v>
      </c>
    </row>
    <row r="39" customFormat="false" ht="20.1" hidden="false" customHeight="true" outlineLevel="0" collapsed="false">
      <c r="A39" s="108"/>
      <c r="B39" s="109"/>
      <c r="C39" s="110"/>
      <c r="D39" s="111"/>
      <c r="E39" s="112"/>
      <c r="F39" s="110"/>
      <c r="G39" s="110"/>
      <c r="H39" s="110"/>
      <c r="I39" s="110"/>
      <c r="J39" s="110"/>
      <c r="K39" s="113"/>
      <c r="L39" s="113"/>
      <c r="M39" s="113"/>
      <c r="N39" s="113"/>
      <c r="O39" s="113"/>
      <c r="P39" s="113"/>
      <c r="Q39" s="110"/>
      <c r="R39" s="110"/>
      <c r="S39" s="110"/>
      <c r="T39" s="110"/>
      <c r="U39" s="110"/>
      <c r="V39" s="114"/>
      <c r="W39" s="114"/>
      <c r="X39" s="115"/>
      <c r="Y39" s="110"/>
    </row>
    <row r="40" customFormat="false" ht="20.1" hidden="false" customHeight="true" outlineLevel="0" collapsed="false">
      <c r="A40" s="116" t="s">
        <v>34</v>
      </c>
      <c r="B40" s="117" t="n">
        <f aca="false">SUM(B8:B38)</f>
        <v>316700</v>
      </c>
      <c r="C40" s="118" t="n">
        <f aca="false">SUM(C8:C38)</f>
        <v>316700</v>
      </c>
      <c r="D40" s="118" t="n">
        <f aca="false">SUM(D8:D38)</f>
        <v>323771.162182056</v>
      </c>
      <c r="E40" s="120" t="n">
        <f aca="false">SUM(E8:E38)</f>
        <v>0</v>
      </c>
      <c r="F40" s="121" t="n">
        <f aca="false">SUM(F8:F38)</f>
        <v>0</v>
      </c>
      <c r="G40" s="118" t="n">
        <f aca="false">SUM(G8:G38)</f>
        <v>313338</v>
      </c>
      <c r="H40" s="122"/>
      <c r="I40" s="122"/>
      <c r="J40" s="122"/>
      <c r="K40" s="123"/>
      <c r="L40" s="123"/>
      <c r="M40" s="123"/>
      <c r="N40" s="124" t="n">
        <f aca="false">SUM(N8:N38)</f>
        <v>23936.5001</v>
      </c>
      <c r="O40" s="124" t="n">
        <f aca="false">SUM(O8:O38)</f>
        <v>23939.0232</v>
      </c>
      <c r="P40" s="124" t="n">
        <f aca="false">SUM(P8:P38)</f>
        <v>139.523</v>
      </c>
      <c r="Q40" s="185" t="n">
        <f aca="false">SUM(Q8:Q38)</f>
        <v>41528</v>
      </c>
      <c r="R40" s="185" t="n">
        <f aca="false">SUM(R8:R38)</f>
        <v>-942.6856</v>
      </c>
      <c r="S40" s="124" t="n">
        <f aca="false">SUM(S8:S38)</f>
        <v>-1245.84</v>
      </c>
      <c r="T40" s="124" t="n">
        <f aca="false">SUM(T8:T38)</f>
        <v>0</v>
      </c>
      <c r="U40" s="124" t="n">
        <f aca="false">SUM(U8:U38)</f>
        <v>115728</v>
      </c>
      <c r="V40" s="125"/>
      <c r="W40" s="125"/>
      <c r="X40" s="122"/>
      <c r="Y40" s="126" t="n">
        <f aca="false">SUM(Y8:Y38)</f>
        <v>1225332.1756</v>
      </c>
    </row>
    <row r="41" customFormat="false" ht="20.1" hidden="false" customHeight="true" outlineLevel="0" collapsed="false">
      <c r="A41" s="127"/>
      <c r="B41" s="128"/>
      <c r="C41" s="128"/>
      <c r="D41" s="128"/>
      <c r="E41" s="129"/>
      <c r="F41" s="129"/>
      <c r="G41" s="129"/>
      <c r="H41" s="129"/>
      <c r="I41" s="129"/>
      <c r="J41" s="129"/>
      <c r="K41" s="129"/>
      <c r="L41" s="129"/>
      <c r="M41" s="128" t="s">
        <v>85</v>
      </c>
      <c r="P41" s="128"/>
      <c r="Q41" s="129"/>
      <c r="R41" s="129"/>
      <c r="S41" s="129"/>
      <c r="T41" s="129"/>
      <c r="U41" s="129"/>
      <c r="V41" s="129"/>
      <c r="W41" s="129"/>
      <c r="X41" s="129"/>
      <c r="Y41" s="129"/>
    </row>
    <row r="42" customFormat="false" ht="21" hidden="false" customHeight="true" outlineLevel="0" collapsed="false">
      <c r="A42" s="130"/>
      <c r="B42" s="131"/>
      <c r="C42" s="128"/>
      <c r="D42" s="128"/>
      <c r="E42" s="129"/>
      <c r="F42" s="132" t="s">
        <v>35</v>
      </c>
      <c r="G42" s="133" t="n">
        <f aca="false">'Apr 2000'!G41+'MAY 2000'!G40</f>
        <v>346188</v>
      </c>
      <c r="H42" s="134" t="s">
        <v>27</v>
      </c>
      <c r="K42" s="129"/>
      <c r="L42" s="129"/>
      <c r="M42" s="132" t="s">
        <v>86</v>
      </c>
      <c r="N42" s="186" t="n">
        <f aca="false">ROUND(+N40/G40,4)</f>
        <v>0.0764</v>
      </c>
      <c r="O42" s="187"/>
      <c r="P42" s="129"/>
      <c r="Q42" s="129"/>
      <c r="R42" s="129"/>
      <c r="S42" s="129" t="s">
        <v>87</v>
      </c>
      <c r="U42" s="129"/>
      <c r="V42" s="129"/>
      <c r="W42" s="129"/>
      <c r="X42" s="135" t="s">
        <v>36</v>
      </c>
      <c r="Y42" s="136" t="n">
        <v>5854.83</v>
      </c>
      <c r="Z42" s="137"/>
    </row>
    <row r="43" customFormat="false" ht="21" hidden="false" customHeight="true" outlineLevel="0" collapsed="false">
      <c r="A43" s="127"/>
      <c r="B43" s="131" t="s">
        <v>37</v>
      </c>
      <c r="C43" s="128"/>
      <c r="D43" s="128"/>
      <c r="E43" s="129"/>
      <c r="F43" s="129"/>
      <c r="G43" s="129"/>
      <c r="H43" s="129"/>
      <c r="I43" s="129"/>
      <c r="J43" s="129"/>
      <c r="K43" s="129"/>
      <c r="L43" s="129"/>
      <c r="O43" s="129"/>
      <c r="P43" s="129"/>
      <c r="Q43" s="129"/>
      <c r="R43" s="129"/>
      <c r="S43" s="129"/>
      <c r="T43" s="129"/>
      <c r="U43" s="129"/>
      <c r="V43" s="129"/>
      <c r="W43" s="129"/>
      <c r="X43" s="135" t="s">
        <v>38</v>
      </c>
      <c r="Y43" s="138" t="n">
        <f aca="false">Y40-Y44-Y45-Y46-Y47-Y48-Y49-Y50-Y53</f>
        <v>1072047.255</v>
      </c>
      <c r="Z43" s="139"/>
    </row>
    <row r="44" customFormat="false" ht="21" hidden="false" customHeight="true" outlineLevel="0" collapsed="false">
      <c r="A44" s="127"/>
      <c r="B44" s="140"/>
      <c r="C44" s="141"/>
      <c r="D44" s="141"/>
      <c r="E44" s="142"/>
      <c r="F44" s="142"/>
      <c r="G44" s="142"/>
      <c r="H44" s="142"/>
      <c r="I44" s="140" t="s">
        <v>39</v>
      </c>
      <c r="J44" s="140"/>
      <c r="K44" s="142"/>
      <c r="L44" s="142"/>
      <c r="M44" s="142"/>
      <c r="N44" s="142"/>
      <c r="O44" s="142"/>
      <c r="P44" s="129"/>
      <c r="Q44" s="129"/>
      <c r="R44" s="129"/>
      <c r="S44" s="129"/>
      <c r="T44" s="129"/>
      <c r="U44" s="129"/>
      <c r="V44" s="129"/>
      <c r="W44" s="142"/>
      <c r="X44" s="135" t="s">
        <v>40</v>
      </c>
      <c r="Y44" s="138" t="n">
        <f aca="false">(G40*0.05)</f>
        <v>15666.9</v>
      </c>
    </row>
    <row r="45" customFormat="false" ht="21" hidden="false" customHeight="true" outlineLevel="0" collapsed="false">
      <c r="A45" s="127"/>
      <c r="B45" s="140" t="s">
        <v>41</v>
      </c>
      <c r="C45" s="141" t="n">
        <f aca="true">NOW()</f>
        <v>45926.9497136996</v>
      </c>
      <c r="D45" s="141"/>
      <c r="E45" s="142"/>
      <c r="F45" s="142"/>
      <c r="G45" s="142"/>
      <c r="H45" s="142"/>
      <c r="I45" s="142"/>
      <c r="J45" s="142"/>
      <c r="K45" s="140" t="s">
        <v>42</v>
      </c>
      <c r="L45" s="140"/>
      <c r="M45" s="140"/>
      <c r="N45" s="140"/>
      <c r="O45" s="140"/>
      <c r="P45" s="129"/>
      <c r="Q45" s="129"/>
      <c r="R45" s="129"/>
      <c r="S45" s="129"/>
      <c r="T45" s="129"/>
      <c r="U45" s="129"/>
      <c r="V45" s="129"/>
      <c r="W45" s="142"/>
      <c r="X45" s="135" t="s">
        <v>65</v>
      </c>
      <c r="Y45" s="138" t="n">
        <v>0</v>
      </c>
      <c r="Z45" s="139"/>
    </row>
    <row r="46" customFormat="false" ht="21" hidden="false" customHeight="true" outlineLevel="0" collapsed="false">
      <c r="A46" s="127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29"/>
      <c r="Q46" s="129"/>
      <c r="R46" s="129"/>
      <c r="S46" s="129"/>
      <c r="T46" s="129"/>
      <c r="U46" s="129"/>
      <c r="V46" s="129"/>
      <c r="W46" s="129"/>
      <c r="X46" s="135" t="s">
        <v>66</v>
      </c>
      <c r="Y46" s="138" t="n">
        <f aca="false">+P40</f>
        <v>139.523</v>
      </c>
      <c r="Z46" s="143"/>
    </row>
    <row r="47" customFormat="false" ht="21" hidden="false" customHeight="true" outlineLevel="0" collapsed="false">
      <c r="A47" s="127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29"/>
      <c r="Q47" s="129"/>
      <c r="R47" s="129"/>
      <c r="S47" s="129"/>
      <c r="T47" s="129"/>
      <c r="U47" s="129"/>
      <c r="V47" s="129"/>
      <c r="W47" s="129"/>
      <c r="X47" s="135" t="s">
        <v>67</v>
      </c>
      <c r="Y47" s="138" t="n">
        <f aca="false">+O40</f>
        <v>23939.0232</v>
      </c>
      <c r="Z47" s="143"/>
    </row>
    <row r="48" customFormat="false" ht="21" hidden="false" customHeight="true" outlineLevel="0" collapsed="false">
      <c r="D48" s="144"/>
      <c r="E48" s="144"/>
      <c r="F48" s="144"/>
      <c r="G48" s="144"/>
      <c r="H48" s="144"/>
      <c r="I48" s="144"/>
      <c r="J48" s="144"/>
      <c r="K48" s="144"/>
      <c r="X48" s="135" t="s">
        <v>88</v>
      </c>
      <c r="Y48" s="145" t="n">
        <f aca="false">+R40</f>
        <v>-942.6856</v>
      </c>
      <c r="Z48" s="146"/>
    </row>
    <row r="49" customFormat="false" ht="21" hidden="false" customHeight="true" outlineLevel="0" collapsed="false">
      <c r="D49" s="144"/>
      <c r="E49" s="144"/>
      <c r="F49" s="144"/>
      <c r="G49" s="144"/>
      <c r="H49" s="144"/>
      <c r="I49" s="144"/>
      <c r="J49" s="144"/>
      <c r="K49" s="144"/>
      <c r="X49" s="135" t="s">
        <v>89</v>
      </c>
      <c r="Y49" s="145" t="n">
        <f aca="false">+S40</f>
        <v>-1245.84</v>
      </c>
      <c r="Z49" s="146"/>
    </row>
    <row r="50" customFormat="false" ht="21" hidden="false" customHeight="true" outlineLevel="0" collapsed="false">
      <c r="D50" s="147"/>
      <c r="E50" s="148"/>
      <c r="F50" s="148"/>
      <c r="G50" s="148"/>
      <c r="H50" s="148"/>
      <c r="I50" s="148"/>
      <c r="J50" s="148"/>
      <c r="K50" s="148"/>
      <c r="X50" s="135" t="s">
        <v>90</v>
      </c>
      <c r="Y50" s="145" t="n">
        <f aca="false">+T40</f>
        <v>0</v>
      </c>
      <c r="Z50" s="146"/>
    </row>
    <row r="51" customFormat="false" ht="21" hidden="false" customHeight="true" outlineLevel="0" collapsed="false">
      <c r="X51" s="152" t="s">
        <v>91</v>
      </c>
      <c r="Y51" s="153" t="n">
        <f aca="false">SUM(Y42:Y50)</f>
        <v>1115459.0056</v>
      </c>
      <c r="Z51" s="146"/>
    </row>
    <row r="52" customFormat="false" ht="21" hidden="false" customHeight="true" outlineLevel="0" collapsed="false">
      <c r="X52" s="152"/>
      <c r="Y52" s="153"/>
      <c r="Z52" s="146"/>
    </row>
    <row r="53" customFormat="false" ht="21" hidden="false" customHeight="true" outlineLevel="0" collapsed="false">
      <c r="X53" s="135" t="s">
        <v>92</v>
      </c>
      <c r="Y53" s="145" t="n">
        <f aca="false">+U40</f>
        <v>115728</v>
      </c>
      <c r="Z53" s="146"/>
    </row>
    <row r="54" customFormat="false" ht="21" hidden="false" customHeight="true" outlineLevel="0" collapsed="false">
      <c r="X54" s="135"/>
      <c r="Y54" s="145"/>
      <c r="Z54" s="146"/>
    </row>
    <row r="55" customFormat="false" ht="21" hidden="false" customHeight="true" outlineLevel="0" collapsed="false">
      <c r="U55" s="154" t="s">
        <v>72</v>
      </c>
      <c r="V55" s="129"/>
      <c r="X55" s="135" t="s">
        <v>51</v>
      </c>
      <c r="Y55" s="145" t="n">
        <v>0</v>
      </c>
      <c r="Z55" s="146"/>
    </row>
    <row r="56" customFormat="false" ht="21" hidden="false" customHeight="true" outlineLevel="0" collapsed="false">
      <c r="U56" s="154" t="s">
        <v>73</v>
      </c>
      <c r="X56" s="135" t="s">
        <v>53</v>
      </c>
      <c r="Y56" s="145" t="n">
        <v>0</v>
      </c>
      <c r="Z56" s="146"/>
    </row>
    <row r="57" customFormat="false" ht="16.5" hidden="false" customHeight="false" outlineLevel="0" collapsed="false">
      <c r="U57" s="154" t="s">
        <v>54</v>
      </c>
      <c r="X57" s="150" t="s">
        <v>55</v>
      </c>
      <c r="Y57" s="136" t="n">
        <v>0</v>
      </c>
    </row>
    <row r="58" customFormat="false" ht="21" hidden="false" customHeight="true" outlineLevel="0" collapsed="false">
      <c r="X58" s="16" t="s">
        <v>93</v>
      </c>
      <c r="Y58" s="155" t="n">
        <f aca="false">Y51+Y53+Y55+Y56+Y57</f>
        <v>1231187.0056</v>
      </c>
    </row>
    <row r="59" customFormat="false" ht="17.25" hidden="false" customHeight="false" outlineLevel="0" collapsed="false"/>
  </sheetData>
  <mergeCells count="61">
    <mergeCell ref="A1:V1"/>
    <mergeCell ref="W1:X1"/>
    <mergeCell ref="B3:D3"/>
    <mergeCell ref="E3:G3"/>
    <mergeCell ref="H3:I3"/>
    <mergeCell ref="K3:U3"/>
    <mergeCell ref="V3:X3"/>
    <mergeCell ref="Y3:Y7"/>
    <mergeCell ref="A4:A6"/>
    <mergeCell ref="B4:B6"/>
    <mergeCell ref="C4:C6"/>
    <mergeCell ref="D4:D6"/>
    <mergeCell ref="E4:E6"/>
    <mergeCell ref="F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T4"/>
    <mergeCell ref="V4:W7"/>
    <mergeCell ref="X4:X7"/>
    <mergeCell ref="V8:W8"/>
    <mergeCell ref="V9:W9"/>
    <mergeCell ref="V10:W10"/>
    <mergeCell ref="V11:W11"/>
    <mergeCell ref="V12:W12"/>
    <mergeCell ref="V13:W13"/>
    <mergeCell ref="V14:W14"/>
    <mergeCell ref="V15:W15"/>
    <mergeCell ref="V16:W16"/>
    <mergeCell ref="V17:W17"/>
    <mergeCell ref="V18:W18"/>
    <mergeCell ref="V19:W19"/>
    <mergeCell ref="V20:W20"/>
    <mergeCell ref="V21:W21"/>
    <mergeCell ref="V22:W22"/>
    <mergeCell ref="V23:W23"/>
    <mergeCell ref="V24:W24"/>
    <mergeCell ref="V25:W25"/>
    <mergeCell ref="V26:W26"/>
    <mergeCell ref="V27:W27"/>
    <mergeCell ref="V28:W28"/>
    <mergeCell ref="V29:W29"/>
    <mergeCell ref="V30:W30"/>
    <mergeCell ref="V31:W31"/>
    <mergeCell ref="V32:W32"/>
    <mergeCell ref="V33:W33"/>
    <mergeCell ref="V34:W34"/>
    <mergeCell ref="V35:W35"/>
    <mergeCell ref="V36:W36"/>
    <mergeCell ref="V37:W37"/>
    <mergeCell ref="V38:W38"/>
    <mergeCell ref="V39:W39"/>
    <mergeCell ref="V40:W40"/>
    <mergeCell ref="D48:K48"/>
    <mergeCell ref="D49:K49"/>
  </mergeCells>
  <printOptions headings="false" gridLines="false" gridLinesSet="true" horizontalCentered="false" verticalCentered="false"/>
  <pageMargins left="0.35" right="0.309722222222222" top="0.370138888888889" bottom="0.3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5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B8" activeCellId="0" sqref="B8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4" min="2" style="2" width="13.99"/>
    <col collapsed="false" customWidth="true" hidden="false" outlineLevel="0" max="5" min="5" style="2" width="14.14"/>
    <col collapsed="false" customWidth="true" hidden="false" outlineLevel="0" max="6" min="6" style="2" width="13.7"/>
    <col collapsed="false" customWidth="true" hidden="false" outlineLevel="0" max="7" min="7" style="2" width="13.85"/>
    <col collapsed="false" customWidth="true" hidden="false" outlineLevel="0" max="8" min="8" style="2" width="13.7"/>
    <col collapsed="false" customWidth="true" hidden="false" outlineLevel="0" max="9" min="9" style="2" width="14.28"/>
    <col collapsed="false" customWidth="true" hidden="false" outlineLevel="0" max="10" min="10" style="2" width="15.7"/>
    <col collapsed="false" customWidth="true" hidden="false" outlineLevel="0" max="11" min="11" style="2" width="4.7"/>
    <col collapsed="false" customWidth="true" hidden="false" outlineLevel="0" max="12" min="12" style="2" width="14.7"/>
    <col collapsed="false" customWidth="true" hidden="false" outlineLevel="0" max="13" min="13" style="2" width="16.99"/>
    <col collapsed="false" customWidth="true" hidden="false" outlineLevel="0" max="14" min="14" style="2" width="16.84"/>
    <col collapsed="false" customWidth="true" hidden="false" outlineLevel="0" max="15" min="15" style="2" width="18.56"/>
    <col collapsed="false" customWidth="true" hidden="false" outlineLevel="0" max="16" min="16" style="2" width="15.13"/>
    <col collapsed="false" customWidth="true" hidden="false" outlineLevel="0" max="17" min="17" style="2" width="16.84"/>
    <col collapsed="false" customWidth="true" hidden="false" outlineLevel="0" max="18" min="18" style="2" width="24.85"/>
    <col collapsed="false" customWidth="true" hidden="false" outlineLevel="0" max="19" min="19" style="2" width="24.7"/>
    <col collapsed="false" customWidth="false" hidden="false" outlineLevel="0" max="22" min="20" style="2" width="9.14"/>
    <col collapsed="false" customWidth="true" hidden="false" outlineLevel="0" max="23" min="23" style="2" width="9.41"/>
    <col collapsed="false" customWidth="true" hidden="false" outlineLevel="0" max="24" min="24" style="2" width="11.28"/>
    <col collapsed="false" customWidth="false" hidden="false" outlineLevel="0" max="257" min="25" style="2" width="9.14"/>
  </cols>
  <sheetData>
    <row r="1" customFormat="false" ht="22.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 t="n">
        <f aca="false">A4</f>
        <v>117610</v>
      </c>
      <c r="Q1" s="4"/>
      <c r="R1" s="5"/>
      <c r="S1" s="5"/>
    </row>
    <row r="2" customFormat="false" ht="17.25" hidden="false" customHeight="false" outlineLevel="0" collapsed="false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8"/>
      <c r="Q2" s="8"/>
      <c r="R2" s="9"/>
    </row>
    <row r="3" customFormat="false" ht="15.75" hidden="false" customHeight="true" outlineLevel="0" collapsed="false">
      <c r="A3" s="10"/>
      <c r="B3" s="11" t="s">
        <v>1</v>
      </c>
      <c r="C3" s="11"/>
      <c r="D3" s="11"/>
      <c r="E3" s="12" t="s">
        <v>2</v>
      </c>
      <c r="F3" s="12"/>
      <c r="G3" s="12"/>
      <c r="H3" s="13" t="s">
        <v>3</v>
      </c>
      <c r="I3" s="13"/>
      <c r="J3" s="13" t="s">
        <v>4</v>
      </c>
      <c r="K3" s="13"/>
      <c r="L3" s="13"/>
      <c r="M3" s="13"/>
      <c r="N3" s="13"/>
      <c r="O3" s="14" t="s">
        <v>5</v>
      </c>
      <c r="P3" s="14"/>
      <c r="Q3" s="14"/>
      <c r="R3" s="15" t="s">
        <v>6</v>
      </c>
      <c r="V3" s="16" t="s">
        <v>7</v>
      </c>
      <c r="W3" s="17" t="n">
        <v>0.97884</v>
      </c>
      <c r="X3" s="18" t="s">
        <v>8</v>
      </c>
    </row>
    <row r="4" customFormat="false" ht="18" hidden="false" customHeight="true" outlineLevel="0" collapsed="false">
      <c r="A4" s="19" t="n">
        <v>117610</v>
      </c>
      <c r="B4" s="20" t="s">
        <v>9</v>
      </c>
      <c r="C4" s="20" t="s">
        <v>10</v>
      </c>
      <c r="D4" s="21" t="s">
        <v>11</v>
      </c>
      <c r="E4" s="22" t="s">
        <v>12</v>
      </c>
      <c r="F4" s="23" t="s">
        <v>13</v>
      </c>
      <c r="G4" s="23"/>
      <c r="H4" s="24" t="s">
        <v>14</v>
      </c>
      <c r="I4" s="25" t="s">
        <v>15</v>
      </c>
      <c r="J4" s="26" t="s">
        <v>16</v>
      </c>
      <c r="K4" s="27"/>
      <c r="L4" s="28" t="s">
        <v>17</v>
      </c>
      <c r="M4" s="29" t="s">
        <v>18</v>
      </c>
      <c r="N4" s="29"/>
      <c r="O4" s="30" t="s">
        <v>19</v>
      </c>
      <c r="P4" s="30"/>
      <c r="Q4" s="31" t="s">
        <v>20</v>
      </c>
      <c r="R4" s="15"/>
      <c r="V4" s="16" t="s">
        <v>21</v>
      </c>
      <c r="W4" s="32" t="n">
        <v>0.05</v>
      </c>
    </row>
    <row r="5" customFormat="false" ht="17.25" hidden="false" customHeight="true" outlineLevel="0" collapsed="false">
      <c r="A5" s="19"/>
      <c r="B5" s="20"/>
      <c r="C5" s="20"/>
      <c r="D5" s="21"/>
      <c r="E5" s="22"/>
      <c r="F5" s="23"/>
      <c r="G5" s="23"/>
      <c r="H5" s="24"/>
      <c r="I5" s="25"/>
      <c r="J5" s="26"/>
      <c r="K5" s="27"/>
      <c r="L5" s="28"/>
      <c r="M5" s="33" t="s">
        <v>22</v>
      </c>
      <c r="N5" s="34" t="s">
        <v>23</v>
      </c>
      <c r="O5" s="30"/>
      <c r="P5" s="30"/>
      <c r="Q5" s="31"/>
      <c r="R5" s="15"/>
      <c r="V5" s="16" t="s">
        <v>24</v>
      </c>
      <c r="W5" s="32" t="n">
        <v>0.03</v>
      </c>
    </row>
    <row r="6" customFormat="false" ht="16.5" hidden="false" customHeight="true" outlineLevel="0" collapsed="false">
      <c r="A6" s="19"/>
      <c r="B6" s="20"/>
      <c r="C6" s="20"/>
      <c r="D6" s="21"/>
      <c r="E6" s="22"/>
      <c r="F6" s="23"/>
      <c r="G6" s="23"/>
      <c r="H6" s="24"/>
      <c r="I6" s="25"/>
      <c r="J6" s="26"/>
      <c r="K6" s="27"/>
      <c r="L6" s="28"/>
      <c r="M6" s="35"/>
      <c r="N6" s="36" t="n">
        <v>40000</v>
      </c>
      <c r="O6" s="30"/>
      <c r="P6" s="30"/>
      <c r="Q6" s="31"/>
      <c r="R6" s="15"/>
      <c r="T6" s="37" t="s">
        <v>25</v>
      </c>
      <c r="U6" s="16"/>
    </row>
    <row r="7" customFormat="false" ht="15" hidden="false" customHeight="true" outlineLevel="0" collapsed="false">
      <c r="A7" s="38" t="s">
        <v>26</v>
      </c>
      <c r="B7" s="39" t="s">
        <v>27</v>
      </c>
      <c r="C7" s="40" t="s">
        <v>27</v>
      </c>
      <c r="D7" s="41" t="s">
        <v>27</v>
      </c>
      <c r="E7" s="42" t="s">
        <v>27</v>
      </c>
      <c r="F7" s="43" t="s">
        <v>28</v>
      </c>
      <c r="G7" s="44" t="s">
        <v>29</v>
      </c>
      <c r="H7" s="45" t="s">
        <v>30</v>
      </c>
      <c r="I7" s="40" t="s">
        <v>30</v>
      </c>
      <c r="J7" s="46" t="s">
        <v>31</v>
      </c>
      <c r="K7" s="47"/>
      <c r="L7" s="48" t="n">
        <v>0.0415</v>
      </c>
      <c r="M7" s="49" t="n">
        <v>0.0154</v>
      </c>
      <c r="N7" s="188" t="n">
        <f aca="false">2.8932</f>
        <v>2.8932</v>
      </c>
      <c r="O7" s="30"/>
      <c r="P7" s="30"/>
      <c r="Q7" s="31"/>
      <c r="R7" s="15"/>
      <c r="T7" s="50"/>
      <c r="U7" s="50" t="s">
        <v>32</v>
      </c>
    </row>
    <row r="8" customFormat="false" ht="20.1" hidden="false" customHeight="true" outlineLevel="0" collapsed="false">
      <c r="A8" s="51" t="n">
        <f aca="false">A4</f>
        <v>117610</v>
      </c>
      <c r="B8" s="52"/>
      <c r="C8" s="53"/>
      <c r="D8" s="54" t="n">
        <f aca="false">C8/$W$3</f>
        <v>0</v>
      </c>
      <c r="E8" s="53"/>
      <c r="F8" s="55"/>
      <c r="G8" s="56"/>
      <c r="H8" s="57" t="n">
        <f aca="false">C8-G8</f>
        <v>0</v>
      </c>
      <c r="I8" s="58" t="n">
        <f aca="false">H8</f>
        <v>0</v>
      </c>
      <c r="J8" s="59"/>
      <c r="K8" s="60"/>
      <c r="L8" s="61" t="n">
        <f aca="false">(IF(H8&lt;0,-H8*$L$7,H8*$L$7))</f>
        <v>0</v>
      </c>
      <c r="M8" s="62" t="n">
        <f aca="false">G8*$M$7</f>
        <v>0</v>
      </c>
      <c r="N8" s="63" t="n">
        <f aca="false">(N6*N7)/31</f>
        <v>3733.16129032258</v>
      </c>
      <c r="O8" s="64"/>
      <c r="P8" s="64"/>
      <c r="Q8" s="65" t="s">
        <v>33</v>
      </c>
      <c r="R8" s="66" t="n">
        <f aca="false">G8*J8+L8+M8+N8</f>
        <v>3733.16129032258</v>
      </c>
    </row>
    <row r="9" customFormat="false" ht="20.1" hidden="false" customHeight="true" outlineLevel="0" collapsed="false">
      <c r="A9" s="51" t="n">
        <f aca="false">A8+1</f>
        <v>117611</v>
      </c>
      <c r="B9" s="52"/>
      <c r="C9" s="53"/>
      <c r="D9" s="54" t="n">
        <f aca="false">C9/$W$3</f>
        <v>0</v>
      </c>
      <c r="E9" s="53"/>
      <c r="F9" s="55"/>
      <c r="G9" s="56"/>
      <c r="H9" s="57" t="n">
        <f aca="false">C9-G9</f>
        <v>0</v>
      </c>
      <c r="I9" s="58" t="n">
        <f aca="false">I8+H9</f>
        <v>0</v>
      </c>
      <c r="J9" s="59" t="n">
        <v>3</v>
      </c>
      <c r="K9" s="60"/>
      <c r="L9" s="61" t="n">
        <f aca="false">(IF(H9&lt;0,-H9*$L$7,H9*$L$7))</f>
        <v>0</v>
      </c>
      <c r="M9" s="62" t="n">
        <f aca="false">G9*$M$7</f>
        <v>0</v>
      </c>
      <c r="N9" s="67" t="n">
        <f aca="false">N8</f>
        <v>3733.16129032258</v>
      </c>
      <c r="O9" s="68"/>
      <c r="P9" s="68"/>
      <c r="Q9" s="65" t="s">
        <v>33</v>
      </c>
      <c r="R9" s="66" t="n">
        <f aca="false">G9*J9+L9+M9+N9</f>
        <v>3733.16129032258</v>
      </c>
    </row>
    <row r="10" customFormat="false" ht="20.1" hidden="false" customHeight="true" outlineLevel="0" collapsed="false">
      <c r="A10" s="51" t="n">
        <f aca="false">A9+1</f>
        <v>117612</v>
      </c>
      <c r="B10" s="52"/>
      <c r="C10" s="53"/>
      <c r="D10" s="54" t="n">
        <f aca="false">C10/$W$3</f>
        <v>0</v>
      </c>
      <c r="E10" s="53"/>
      <c r="F10" s="55"/>
      <c r="G10" s="56"/>
      <c r="H10" s="57" t="n">
        <f aca="false">C10-G10</f>
        <v>0</v>
      </c>
      <c r="I10" s="58" t="n">
        <f aca="false">I9+H10</f>
        <v>0</v>
      </c>
      <c r="J10" s="59"/>
      <c r="K10" s="60"/>
      <c r="L10" s="61" t="n">
        <f aca="false">(IF(H10&lt;0,-H10*$L$7,H10*$L$7))</f>
        <v>0</v>
      </c>
      <c r="M10" s="62" t="n">
        <f aca="false">G10*$M$7</f>
        <v>0</v>
      </c>
      <c r="N10" s="67" t="n">
        <f aca="false">N9</f>
        <v>3733.16129032258</v>
      </c>
      <c r="O10" s="68"/>
      <c r="P10" s="68"/>
      <c r="Q10" s="65" t="s">
        <v>33</v>
      </c>
      <c r="R10" s="66" t="n">
        <f aca="false">G10*J10+L10+M10+N10</f>
        <v>3733.16129032258</v>
      </c>
    </row>
    <row r="11" customFormat="false" ht="20.1" hidden="false" customHeight="true" outlineLevel="0" collapsed="false">
      <c r="A11" s="51" t="n">
        <f aca="false">A10+1</f>
        <v>117613</v>
      </c>
      <c r="B11" s="52"/>
      <c r="C11" s="53"/>
      <c r="D11" s="54" t="n">
        <f aca="false">C11/$W$3</f>
        <v>0</v>
      </c>
      <c r="E11" s="53"/>
      <c r="F11" s="55"/>
      <c r="G11" s="69"/>
      <c r="H11" s="57" t="n">
        <f aca="false">C11-G11</f>
        <v>0</v>
      </c>
      <c r="I11" s="58" t="n">
        <f aca="false">I10+H11</f>
        <v>0</v>
      </c>
      <c r="J11" s="59"/>
      <c r="K11" s="60"/>
      <c r="L11" s="61" t="n">
        <f aca="false">(IF(H11&lt;0,-H11*$L$7,H11*$L$7))</f>
        <v>0</v>
      </c>
      <c r="M11" s="62" t="n">
        <f aca="false">G11*$M$7</f>
        <v>0</v>
      </c>
      <c r="N11" s="67" t="n">
        <f aca="false">N10</f>
        <v>3733.16129032258</v>
      </c>
      <c r="O11" s="68"/>
      <c r="P11" s="68"/>
      <c r="Q11" s="65" t="s">
        <v>33</v>
      </c>
      <c r="R11" s="66" t="n">
        <f aca="false">G11*J11+L11+M11+N11</f>
        <v>3733.16129032258</v>
      </c>
    </row>
    <row r="12" customFormat="false" ht="20.1" hidden="false" customHeight="true" outlineLevel="0" collapsed="false">
      <c r="A12" s="51" t="n">
        <f aca="false">A11+1</f>
        <v>117614</v>
      </c>
      <c r="B12" s="52"/>
      <c r="C12" s="53"/>
      <c r="D12" s="54" t="n">
        <f aca="false">C12/$W$3</f>
        <v>0</v>
      </c>
      <c r="E12" s="53"/>
      <c r="F12" s="70"/>
      <c r="G12" s="69"/>
      <c r="H12" s="57" t="n">
        <f aca="false">C12-G12</f>
        <v>0</v>
      </c>
      <c r="I12" s="58" t="n">
        <f aca="false">I11+H12</f>
        <v>0</v>
      </c>
      <c r="J12" s="59"/>
      <c r="K12" s="60"/>
      <c r="L12" s="61" t="n">
        <f aca="false">(IF(H12&lt;0,-H12*$L$7,H12*$L$7))</f>
        <v>0</v>
      </c>
      <c r="M12" s="62" t="n">
        <f aca="false">G12*$M$7</f>
        <v>0</v>
      </c>
      <c r="N12" s="67" t="n">
        <f aca="false">N11</f>
        <v>3733.16129032258</v>
      </c>
      <c r="O12" s="68"/>
      <c r="P12" s="68"/>
      <c r="Q12" s="65" t="s">
        <v>33</v>
      </c>
      <c r="R12" s="66" t="n">
        <f aca="false">G12*J12+L12+M12+N12</f>
        <v>3733.16129032258</v>
      </c>
    </row>
    <row r="13" customFormat="false" ht="16.9" hidden="false" customHeight="true" outlineLevel="0" collapsed="false">
      <c r="A13" s="51" t="n">
        <f aca="false">A12+1</f>
        <v>117615</v>
      </c>
      <c r="B13" s="71"/>
      <c r="C13" s="72"/>
      <c r="D13" s="73" t="n">
        <f aca="false">C13/$W$3</f>
        <v>0</v>
      </c>
      <c r="E13" s="74"/>
      <c r="F13" s="75"/>
      <c r="G13" s="76"/>
      <c r="H13" s="71" t="n">
        <f aca="false">C13-G13</f>
        <v>0</v>
      </c>
      <c r="I13" s="58" t="n">
        <f aca="false">I12+H13</f>
        <v>0</v>
      </c>
      <c r="J13" s="59"/>
      <c r="K13" s="60"/>
      <c r="L13" s="77" t="n">
        <f aca="false">(IF(H13&lt;0,-H13*$L$7,H13*$L$7))</f>
        <v>0</v>
      </c>
      <c r="M13" s="78" t="n">
        <f aca="false">G13*$M$7</f>
        <v>0</v>
      </c>
      <c r="N13" s="79" t="n">
        <f aca="false">N12</f>
        <v>3733.16129032258</v>
      </c>
      <c r="O13" s="80"/>
      <c r="P13" s="80"/>
      <c r="Q13" s="81" t="s">
        <v>33</v>
      </c>
      <c r="R13" s="82" t="n">
        <f aca="false">G13*J13+L13+M13+N13</f>
        <v>3733.16129032258</v>
      </c>
    </row>
    <row r="14" customFormat="false" ht="20.1" hidden="false" customHeight="true" outlineLevel="0" collapsed="false">
      <c r="A14" s="51" t="n">
        <f aca="false">A13+1</f>
        <v>117616</v>
      </c>
      <c r="B14" s="83"/>
      <c r="C14" s="84"/>
      <c r="D14" s="85" t="n">
        <f aca="false">C14/$W$3</f>
        <v>0</v>
      </c>
      <c r="E14" s="84"/>
      <c r="F14" s="86"/>
      <c r="G14" s="87"/>
      <c r="H14" s="88" t="n">
        <f aca="false">C14-G14</f>
        <v>0</v>
      </c>
      <c r="I14" s="58" t="n">
        <f aca="false">I13+H14</f>
        <v>0</v>
      </c>
      <c r="J14" s="89"/>
      <c r="K14" s="60"/>
      <c r="L14" s="90" t="n">
        <f aca="false">(IF(H14&lt;0,-H14*$L$7,H14*$L$7))</f>
        <v>0</v>
      </c>
      <c r="M14" s="62" t="n">
        <f aca="false">G14*$M$7</f>
        <v>0</v>
      </c>
      <c r="N14" s="67" t="n">
        <f aca="false">N13</f>
        <v>3733.16129032258</v>
      </c>
      <c r="O14" s="68"/>
      <c r="P14" s="68"/>
      <c r="Q14" s="65" t="s">
        <v>33</v>
      </c>
      <c r="R14" s="66" t="n">
        <f aca="false">G14*J14+L14+M14+N14</f>
        <v>3733.16129032258</v>
      </c>
    </row>
    <row r="15" customFormat="false" ht="20.1" hidden="false" customHeight="true" outlineLevel="0" collapsed="false">
      <c r="A15" s="51" t="n">
        <f aca="false">A14+1</f>
        <v>117617</v>
      </c>
      <c r="B15" s="52"/>
      <c r="C15" s="53"/>
      <c r="D15" s="54" t="n">
        <f aca="false">C15/$W$3</f>
        <v>0</v>
      </c>
      <c r="E15" s="53"/>
      <c r="F15" s="55"/>
      <c r="G15" s="56"/>
      <c r="H15" s="57" t="n">
        <f aca="false">C15-G15</f>
        <v>0</v>
      </c>
      <c r="I15" s="58" t="n">
        <f aca="false">I14+H15</f>
        <v>0</v>
      </c>
      <c r="J15" s="59"/>
      <c r="K15" s="60"/>
      <c r="L15" s="91" t="n">
        <f aca="false">(IF(H15&lt;0,-H15*$L$7,H15*$L$7))</f>
        <v>0</v>
      </c>
      <c r="M15" s="62" t="n">
        <f aca="false">G15*$M$7</f>
        <v>0</v>
      </c>
      <c r="N15" s="67" t="n">
        <f aca="false">N14</f>
        <v>3733.16129032258</v>
      </c>
      <c r="O15" s="92"/>
      <c r="P15" s="92"/>
      <c r="Q15" s="65" t="s">
        <v>33</v>
      </c>
      <c r="R15" s="66" t="n">
        <f aca="false">G15*J15+L15+M15+N15</f>
        <v>3733.16129032258</v>
      </c>
    </row>
    <row r="16" customFormat="false" ht="20.1" hidden="false" customHeight="true" outlineLevel="0" collapsed="false">
      <c r="A16" s="51" t="n">
        <f aca="false">A15+1</f>
        <v>117618</v>
      </c>
      <c r="B16" s="52"/>
      <c r="C16" s="53"/>
      <c r="D16" s="85" t="n">
        <f aca="false">C16/$W$3</f>
        <v>0</v>
      </c>
      <c r="E16" s="53"/>
      <c r="F16" s="55"/>
      <c r="G16" s="56"/>
      <c r="H16" s="57" t="n">
        <f aca="false">C16-G16</f>
        <v>0</v>
      </c>
      <c r="I16" s="58" t="n">
        <f aca="false">I15+H16</f>
        <v>0</v>
      </c>
      <c r="J16" s="59"/>
      <c r="K16" s="60"/>
      <c r="L16" s="91" t="n">
        <f aca="false">(IF(H16&lt;0,-H16*$L$7,H16*$L$7))</f>
        <v>0</v>
      </c>
      <c r="M16" s="62" t="n">
        <f aca="false">G16*$M$7</f>
        <v>0</v>
      </c>
      <c r="N16" s="67" t="n">
        <f aca="false">N15</f>
        <v>3733.16129032258</v>
      </c>
      <c r="O16" s="68"/>
      <c r="P16" s="68"/>
      <c r="Q16" s="65" t="s">
        <v>33</v>
      </c>
      <c r="R16" s="66" t="n">
        <f aca="false">G16*J16+L16+M16+N16</f>
        <v>3733.16129032258</v>
      </c>
    </row>
    <row r="17" customFormat="false" ht="20.1" hidden="false" customHeight="true" outlineLevel="0" collapsed="false">
      <c r="A17" s="51" t="n">
        <f aca="false">A16+1</f>
        <v>117619</v>
      </c>
      <c r="B17" s="52"/>
      <c r="C17" s="53"/>
      <c r="D17" s="85" t="n">
        <f aca="false">C17/$W$3</f>
        <v>0</v>
      </c>
      <c r="E17" s="53"/>
      <c r="F17" s="55"/>
      <c r="G17" s="56"/>
      <c r="H17" s="57" t="n">
        <f aca="false">C17-G17</f>
        <v>0</v>
      </c>
      <c r="I17" s="58" t="n">
        <f aca="false">I16+H17</f>
        <v>0</v>
      </c>
      <c r="J17" s="59"/>
      <c r="K17" s="60"/>
      <c r="L17" s="91" t="n">
        <f aca="false">(IF(H17&lt;0,-H17*$L$7,H17*$L$7))</f>
        <v>0</v>
      </c>
      <c r="M17" s="62" t="n">
        <f aca="false">G17*$M$7</f>
        <v>0</v>
      </c>
      <c r="N17" s="67" t="n">
        <f aca="false">N16</f>
        <v>3733.16129032258</v>
      </c>
      <c r="O17" s="68"/>
      <c r="P17" s="68"/>
      <c r="Q17" s="65" t="s">
        <v>33</v>
      </c>
      <c r="R17" s="66" t="n">
        <f aca="false">G17*J17+L17+M17+N17</f>
        <v>3733.16129032258</v>
      </c>
    </row>
    <row r="18" customFormat="false" ht="20.1" hidden="false" customHeight="true" outlineLevel="0" collapsed="false">
      <c r="A18" s="51" t="n">
        <f aca="false">A17+1</f>
        <v>117620</v>
      </c>
      <c r="B18" s="52"/>
      <c r="C18" s="53"/>
      <c r="D18" s="85" t="n">
        <f aca="false">C18/$W$3</f>
        <v>0</v>
      </c>
      <c r="E18" s="53"/>
      <c r="F18" s="55"/>
      <c r="G18" s="56"/>
      <c r="H18" s="57" t="n">
        <f aca="false">C18-G18</f>
        <v>0</v>
      </c>
      <c r="I18" s="58" t="n">
        <f aca="false">I17+H18</f>
        <v>0</v>
      </c>
      <c r="J18" s="59"/>
      <c r="K18" s="60"/>
      <c r="L18" s="91" t="n">
        <f aca="false">(IF(H18&lt;0,-H18*$L$7,H18*$L$7))</f>
        <v>0</v>
      </c>
      <c r="M18" s="62" t="n">
        <f aca="false">G18*$M$7</f>
        <v>0</v>
      </c>
      <c r="N18" s="67" t="n">
        <f aca="false">N17</f>
        <v>3733.16129032258</v>
      </c>
      <c r="O18" s="68"/>
      <c r="P18" s="68"/>
      <c r="Q18" s="65" t="s">
        <v>33</v>
      </c>
      <c r="R18" s="66" t="n">
        <f aca="false">G18*J18+L18+M18+N18</f>
        <v>3733.16129032258</v>
      </c>
    </row>
    <row r="19" customFormat="false" ht="20.1" hidden="false" customHeight="true" outlineLevel="0" collapsed="false">
      <c r="A19" s="51" t="n">
        <f aca="false">A18+1</f>
        <v>117621</v>
      </c>
      <c r="B19" s="52"/>
      <c r="C19" s="53"/>
      <c r="D19" s="85" t="n">
        <f aca="false">C19/$W$3</f>
        <v>0</v>
      </c>
      <c r="E19" s="53"/>
      <c r="F19" s="55"/>
      <c r="G19" s="56"/>
      <c r="H19" s="57" t="n">
        <f aca="false">C19-G19</f>
        <v>0</v>
      </c>
      <c r="I19" s="58" t="n">
        <f aca="false">I18+H19</f>
        <v>0</v>
      </c>
      <c r="J19" s="93"/>
      <c r="K19" s="60"/>
      <c r="L19" s="91" t="n">
        <f aca="false">(IF(H19&lt;0,-H19*$L$7,H19*$L$7))</f>
        <v>0</v>
      </c>
      <c r="M19" s="62" t="n">
        <f aca="false">G19*$M$7</f>
        <v>0</v>
      </c>
      <c r="N19" s="67" t="n">
        <f aca="false">N18</f>
        <v>3733.16129032258</v>
      </c>
      <c r="O19" s="68"/>
      <c r="P19" s="68"/>
      <c r="Q19" s="65" t="s">
        <v>33</v>
      </c>
      <c r="R19" s="66" t="n">
        <f aca="false">G19*J19+L19+M19+N19</f>
        <v>3733.16129032258</v>
      </c>
    </row>
    <row r="20" customFormat="false" ht="20.1" hidden="false" customHeight="true" outlineLevel="0" collapsed="false">
      <c r="A20" s="51" t="n">
        <f aca="false">A19+1</f>
        <v>117622</v>
      </c>
      <c r="B20" s="52"/>
      <c r="C20" s="53"/>
      <c r="D20" s="85" t="n">
        <f aca="false">C20/$W$3</f>
        <v>0</v>
      </c>
      <c r="E20" s="53"/>
      <c r="F20" s="55"/>
      <c r="G20" s="56"/>
      <c r="H20" s="57" t="n">
        <f aca="false">C20-G20</f>
        <v>0</v>
      </c>
      <c r="I20" s="58" t="n">
        <f aca="false">I19+H20</f>
        <v>0</v>
      </c>
      <c r="J20" s="59"/>
      <c r="K20" s="60"/>
      <c r="L20" s="91" t="n">
        <f aca="false">(IF(H20&lt;0,-H20*$L$7,H20*$L$7))</f>
        <v>0</v>
      </c>
      <c r="M20" s="62" t="n">
        <f aca="false">G20*$M$7</f>
        <v>0</v>
      </c>
      <c r="N20" s="67" t="n">
        <f aca="false">N19</f>
        <v>3733.16129032258</v>
      </c>
      <c r="O20" s="68"/>
      <c r="P20" s="68"/>
      <c r="Q20" s="65" t="s">
        <v>33</v>
      </c>
      <c r="R20" s="66" t="n">
        <f aca="false">G20*J20+L20+M20+N20</f>
        <v>3733.16129032258</v>
      </c>
    </row>
    <row r="21" customFormat="false" ht="20.1" hidden="false" customHeight="true" outlineLevel="0" collapsed="false">
      <c r="A21" s="51" t="n">
        <f aca="false">A20+1</f>
        <v>117623</v>
      </c>
      <c r="B21" s="52"/>
      <c r="C21" s="53"/>
      <c r="D21" s="85" t="n">
        <f aca="false">C21/$W$3</f>
        <v>0</v>
      </c>
      <c r="E21" s="53"/>
      <c r="F21" s="55"/>
      <c r="G21" s="56"/>
      <c r="H21" s="57" t="n">
        <f aca="false">C21-G21</f>
        <v>0</v>
      </c>
      <c r="I21" s="58" t="n">
        <f aca="false">I20+H21</f>
        <v>0</v>
      </c>
      <c r="J21" s="59"/>
      <c r="K21" s="60"/>
      <c r="L21" s="91" t="n">
        <f aca="false">(IF(H21&lt;0,-H21*$L$7,H21*$L$7))</f>
        <v>0</v>
      </c>
      <c r="M21" s="62" t="n">
        <f aca="false">G21*$M$7</f>
        <v>0</v>
      </c>
      <c r="N21" s="67" t="n">
        <f aca="false">N20</f>
        <v>3733.16129032258</v>
      </c>
      <c r="O21" s="68"/>
      <c r="P21" s="68"/>
      <c r="Q21" s="65" t="s">
        <v>33</v>
      </c>
      <c r="R21" s="66" t="n">
        <f aca="false">G21*J21+L21+M21+N21</f>
        <v>3733.16129032258</v>
      </c>
    </row>
    <row r="22" customFormat="false" ht="20.1" hidden="false" customHeight="true" outlineLevel="0" collapsed="false">
      <c r="A22" s="51" t="n">
        <f aca="false">A21+1</f>
        <v>117624</v>
      </c>
      <c r="B22" s="52"/>
      <c r="C22" s="53"/>
      <c r="D22" s="85" t="n">
        <f aca="false">C22/$W$3</f>
        <v>0</v>
      </c>
      <c r="E22" s="53"/>
      <c r="F22" s="55"/>
      <c r="G22" s="56"/>
      <c r="H22" s="57" t="n">
        <f aca="false">C22-G22</f>
        <v>0</v>
      </c>
      <c r="I22" s="58" t="n">
        <f aca="false">I21+H22</f>
        <v>0</v>
      </c>
      <c r="J22" s="59"/>
      <c r="K22" s="60"/>
      <c r="L22" s="91" t="n">
        <f aca="false">(IF(H22&lt;0,-H22*$L$7,H22*$L$7))</f>
        <v>0</v>
      </c>
      <c r="M22" s="62" t="n">
        <f aca="false">G22*$M$7</f>
        <v>0</v>
      </c>
      <c r="N22" s="67" t="n">
        <f aca="false">N21</f>
        <v>3733.16129032258</v>
      </c>
      <c r="O22" s="68"/>
      <c r="P22" s="68"/>
      <c r="Q22" s="65" t="s">
        <v>33</v>
      </c>
      <c r="R22" s="66" t="n">
        <f aca="false">G22*J22+L22+M22+N22</f>
        <v>3733.16129032258</v>
      </c>
    </row>
    <row r="23" customFormat="false" ht="20.1" hidden="false" customHeight="true" outlineLevel="0" collapsed="false">
      <c r="A23" s="51" t="n">
        <f aca="false">A22+1</f>
        <v>117625</v>
      </c>
      <c r="B23" s="52"/>
      <c r="C23" s="53"/>
      <c r="D23" s="85" t="n">
        <f aca="false">C23/$W$3</f>
        <v>0</v>
      </c>
      <c r="E23" s="53"/>
      <c r="F23" s="55"/>
      <c r="G23" s="56"/>
      <c r="H23" s="57" t="n">
        <f aca="false">C23-G23</f>
        <v>0</v>
      </c>
      <c r="I23" s="58" t="n">
        <f aca="false">I22+H23</f>
        <v>0</v>
      </c>
      <c r="J23" s="59"/>
      <c r="K23" s="60"/>
      <c r="L23" s="91" t="n">
        <f aca="false">(IF(H23&lt;0,-H23*$L$7,H23*$L$7))</f>
        <v>0</v>
      </c>
      <c r="M23" s="62" t="n">
        <f aca="false">G23*$M$7</f>
        <v>0</v>
      </c>
      <c r="N23" s="67" t="n">
        <f aca="false">N22</f>
        <v>3733.16129032258</v>
      </c>
      <c r="O23" s="68"/>
      <c r="P23" s="68"/>
      <c r="Q23" s="65" t="s">
        <v>33</v>
      </c>
      <c r="R23" s="66" t="n">
        <f aca="false">G23*J23+L23+M23+N23</f>
        <v>3733.16129032258</v>
      </c>
    </row>
    <row r="24" customFormat="false" ht="20.1" hidden="false" customHeight="true" outlineLevel="0" collapsed="false">
      <c r="A24" s="51" t="n">
        <f aca="false">A23+1</f>
        <v>117626</v>
      </c>
      <c r="B24" s="52"/>
      <c r="C24" s="53"/>
      <c r="D24" s="85" t="n">
        <f aca="false">C24/$W$3</f>
        <v>0</v>
      </c>
      <c r="E24" s="53"/>
      <c r="F24" s="55"/>
      <c r="G24" s="56"/>
      <c r="H24" s="57" t="n">
        <f aca="false">C24-G24</f>
        <v>0</v>
      </c>
      <c r="I24" s="58" t="n">
        <f aca="false">I23+H24</f>
        <v>0</v>
      </c>
      <c r="J24" s="59"/>
      <c r="K24" s="60"/>
      <c r="L24" s="91" t="n">
        <f aca="false">(IF(H24&lt;0,-H24*$L$7,H24*$L$7))</f>
        <v>0</v>
      </c>
      <c r="M24" s="62" t="n">
        <f aca="false">G24*$M$7</f>
        <v>0</v>
      </c>
      <c r="N24" s="67" t="n">
        <f aca="false">N23</f>
        <v>3733.16129032258</v>
      </c>
      <c r="O24" s="68"/>
      <c r="P24" s="68"/>
      <c r="Q24" s="65" t="s">
        <v>33</v>
      </c>
      <c r="R24" s="66" t="n">
        <f aca="false">G24*J24+L24+M24+N24</f>
        <v>3733.16129032258</v>
      </c>
    </row>
    <row r="25" customFormat="false" ht="20.1" hidden="false" customHeight="true" outlineLevel="0" collapsed="false">
      <c r="A25" s="51" t="n">
        <f aca="false">A24+1</f>
        <v>117627</v>
      </c>
      <c r="B25" s="52"/>
      <c r="C25" s="53"/>
      <c r="D25" s="85" t="n">
        <f aca="false">C25/$W$3</f>
        <v>0</v>
      </c>
      <c r="E25" s="53"/>
      <c r="F25" s="55"/>
      <c r="G25" s="56"/>
      <c r="H25" s="57" t="n">
        <f aca="false">C25-G25</f>
        <v>0</v>
      </c>
      <c r="I25" s="58" t="n">
        <f aca="false">I24+H25</f>
        <v>0</v>
      </c>
      <c r="J25" s="59"/>
      <c r="K25" s="60"/>
      <c r="L25" s="91" t="n">
        <f aca="false">(IF(H25&lt;0,-H25*$L$7,H25*$L$7))</f>
        <v>0</v>
      </c>
      <c r="M25" s="62" t="n">
        <f aca="false">G25*$M$7</f>
        <v>0</v>
      </c>
      <c r="N25" s="67" t="n">
        <f aca="false">N24</f>
        <v>3733.16129032258</v>
      </c>
      <c r="O25" s="68"/>
      <c r="P25" s="68"/>
      <c r="Q25" s="65" t="s">
        <v>33</v>
      </c>
      <c r="R25" s="66" t="n">
        <f aca="false">G25*J25+L25+M25+N25</f>
        <v>3733.16129032258</v>
      </c>
    </row>
    <row r="26" customFormat="false" ht="20.1" hidden="false" customHeight="true" outlineLevel="0" collapsed="false">
      <c r="A26" s="51" t="n">
        <f aca="false">A25+1</f>
        <v>117628</v>
      </c>
      <c r="B26" s="52"/>
      <c r="C26" s="53"/>
      <c r="D26" s="85" t="n">
        <f aca="false">C26/$W$3</f>
        <v>0</v>
      </c>
      <c r="E26" s="53"/>
      <c r="F26" s="55"/>
      <c r="G26" s="56"/>
      <c r="H26" s="57" t="n">
        <f aca="false">C26-G26</f>
        <v>0</v>
      </c>
      <c r="I26" s="58" t="n">
        <f aca="false">I25+H26</f>
        <v>0</v>
      </c>
      <c r="J26" s="59"/>
      <c r="K26" s="60"/>
      <c r="L26" s="91" t="n">
        <f aca="false">(IF(H26&lt;0,-H26*$L$7,H26*$L$7))</f>
        <v>0</v>
      </c>
      <c r="M26" s="62" t="n">
        <f aca="false">G26*$M$7</f>
        <v>0</v>
      </c>
      <c r="N26" s="67" t="n">
        <f aca="false">N25</f>
        <v>3733.16129032258</v>
      </c>
      <c r="O26" s="68"/>
      <c r="P26" s="68"/>
      <c r="Q26" s="65" t="s">
        <v>33</v>
      </c>
      <c r="R26" s="66" t="n">
        <f aca="false">G26*J26+L26+M26+N26</f>
        <v>3733.16129032258</v>
      </c>
    </row>
    <row r="27" customFormat="false" ht="20.1" hidden="false" customHeight="true" outlineLevel="0" collapsed="false">
      <c r="A27" s="51" t="n">
        <f aca="false">A26+1</f>
        <v>117629</v>
      </c>
      <c r="B27" s="52"/>
      <c r="C27" s="53"/>
      <c r="D27" s="85" t="n">
        <f aca="false">C27/$W$3</f>
        <v>0</v>
      </c>
      <c r="E27" s="53"/>
      <c r="F27" s="55"/>
      <c r="G27" s="56"/>
      <c r="H27" s="57" t="n">
        <f aca="false">C27-G27</f>
        <v>0</v>
      </c>
      <c r="I27" s="58" t="n">
        <f aca="false">I26+H27</f>
        <v>0</v>
      </c>
      <c r="J27" s="59"/>
      <c r="K27" s="60"/>
      <c r="L27" s="91" t="n">
        <f aca="false">(IF(H27&lt;0,-H27*$L$7,H27*$L$7))</f>
        <v>0</v>
      </c>
      <c r="M27" s="62" t="n">
        <f aca="false">G27*$M$7</f>
        <v>0</v>
      </c>
      <c r="N27" s="67" t="n">
        <f aca="false">N26</f>
        <v>3733.16129032258</v>
      </c>
      <c r="O27" s="68"/>
      <c r="P27" s="68"/>
      <c r="Q27" s="65" t="s">
        <v>33</v>
      </c>
      <c r="R27" s="66" t="n">
        <f aca="false">G27*J27+L27+M27+N27</f>
        <v>3733.16129032258</v>
      </c>
    </row>
    <row r="28" customFormat="false" ht="20.1" hidden="false" customHeight="true" outlineLevel="0" collapsed="false">
      <c r="A28" s="51" t="n">
        <f aca="false">A27+1</f>
        <v>117630</v>
      </c>
      <c r="B28" s="52"/>
      <c r="C28" s="53"/>
      <c r="D28" s="85" t="n">
        <f aca="false">C28/$W$3</f>
        <v>0</v>
      </c>
      <c r="E28" s="94"/>
      <c r="F28" s="55"/>
      <c r="G28" s="56"/>
      <c r="H28" s="57" t="n">
        <f aca="false">C28-G28</f>
        <v>0</v>
      </c>
      <c r="I28" s="58" t="n">
        <f aca="false">I27+H28</f>
        <v>0</v>
      </c>
      <c r="J28" s="59"/>
      <c r="K28" s="60"/>
      <c r="L28" s="91" t="n">
        <f aca="false">(IF(H28&lt;0,-H28*$L$7,H28*$L$7))</f>
        <v>0</v>
      </c>
      <c r="M28" s="62" t="n">
        <f aca="false">G28*$M$7</f>
        <v>0</v>
      </c>
      <c r="N28" s="67" t="n">
        <f aca="false">N27</f>
        <v>3733.16129032258</v>
      </c>
      <c r="O28" s="68"/>
      <c r="P28" s="68"/>
      <c r="Q28" s="65" t="s">
        <v>33</v>
      </c>
      <c r="R28" s="66" t="n">
        <f aca="false">G28*J28+L28+M28+N28</f>
        <v>3733.16129032258</v>
      </c>
    </row>
    <row r="29" customFormat="false" ht="20.1" hidden="false" customHeight="true" outlineLevel="0" collapsed="false">
      <c r="A29" s="51" t="n">
        <f aca="false">A28+1</f>
        <v>117631</v>
      </c>
      <c r="B29" s="52"/>
      <c r="C29" s="53"/>
      <c r="D29" s="85" t="n">
        <f aca="false">C29/$W$3</f>
        <v>0</v>
      </c>
      <c r="E29" s="53"/>
      <c r="F29" s="55"/>
      <c r="G29" s="56"/>
      <c r="H29" s="57" t="n">
        <f aca="false">C29-G29</f>
        <v>0</v>
      </c>
      <c r="I29" s="58" t="n">
        <f aca="false">I28+H29</f>
        <v>0</v>
      </c>
      <c r="J29" s="59"/>
      <c r="K29" s="60"/>
      <c r="L29" s="91" t="n">
        <f aca="false">(IF(H29&lt;0,-H29*$L$7,H29*$L$7))</f>
        <v>0</v>
      </c>
      <c r="M29" s="62" t="n">
        <f aca="false">G29*$M$7</f>
        <v>0</v>
      </c>
      <c r="N29" s="67" t="n">
        <f aca="false">N28</f>
        <v>3733.16129032258</v>
      </c>
      <c r="O29" s="68"/>
      <c r="P29" s="68"/>
      <c r="Q29" s="65" t="s">
        <v>33</v>
      </c>
      <c r="R29" s="66" t="n">
        <f aca="false">G29*J29+L29+M29+N29</f>
        <v>3733.16129032258</v>
      </c>
    </row>
    <row r="30" customFormat="false" ht="20.1" hidden="false" customHeight="true" outlineLevel="0" collapsed="false">
      <c r="A30" s="51" t="n">
        <f aca="false">A29+1</f>
        <v>117632</v>
      </c>
      <c r="B30" s="52"/>
      <c r="C30" s="53"/>
      <c r="D30" s="85" t="n">
        <f aca="false">C30/$W$3</f>
        <v>0</v>
      </c>
      <c r="E30" s="53"/>
      <c r="F30" s="55"/>
      <c r="G30" s="56"/>
      <c r="H30" s="57" t="n">
        <f aca="false">C30-G30</f>
        <v>0</v>
      </c>
      <c r="I30" s="58" t="n">
        <f aca="false">I29+H30</f>
        <v>0</v>
      </c>
      <c r="J30" s="59"/>
      <c r="K30" s="60"/>
      <c r="L30" s="91" t="n">
        <f aca="false">(IF(H30&lt;0,-H30*$L$7,H30*$L$7))</f>
        <v>0</v>
      </c>
      <c r="M30" s="62" t="n">
        <f aca="false">G30*$M$7</f>
        <v>0</v>
      </c>
      <c r="N30" s="67" t="n">
        <f aca="false">N29</f>
        <v>3733.16129032258</v>
      </c>
      <c r="O30" s="68"/>
      <c r="P30" s="68"/>
      <c r="Q30" s="65" t="s">
        <v>33</v>
      </c>
      <c r="R30" s="66" t="n">
        <f aca="false">G30*J30+L30+M30+N30</f>
        <v>3733.16129032258</v>
      </c>
    </row>
    <row r="31" customFormat="false" ht="20.1" hidden="false" customHeight="true" outlineLevel="0" collapsed="false">
      <c r="A31" s="51" t="n">
        <f aca="false">A30+1</f>
        <v>117633</v>
      </c>
      <c r="B31" s="52"/>
      <c r="C31" s="53"/>
      <c r="D31" s="85" t="n">
        <f aca="false">C31/$W$3</f>
        <v>0</v>
      </c>
      <c r="E31" s="53"/>
      <c r="F31" s="55"/>
      <c r="G31" s="56"/>
      <c r="H31" s="57" t="n">
        <f aca="false">C31-G31</f>
        <v>0</v>
      </c>
      <c r="I31" s="58" t="n">
        <f aca="false">I30+H31</f>
        <v>0</v>
      </c>
      <c r="J31" s="59"/>
      <c r="K31" s="60"/>
      <c r="L31" s="91" t="n">
        <f aca="false">(IF(H31&lt;0,-H31*$L$7,H31*$L$7))</f>
        <v>0</v>
      </c>
      <c r="M31" s="62" t="n">
        <f aca="false">G31*$M$7</f>
        <v>0</v>
      </c>
      <c r="N31" s="67" t="n">
        <f aca="false">N30</f>
        <v>3733.16129032258</v>
      </c>
      <c r="O31" s="68"/>
      <c r="P31" s="68"/>
      <c r="Q31" s="65" t="s">
        <v>33</v>
      </c>
      <c r="R31" s="66" t="n">
        <f aca="false">G31*J31+L31+M31+N31</f>
        <v>3733.16129032258</v>
      </c>
    </row>
    <row r="32" customFormat="false" ht="20.1" hidden="false" customHeight="true" outlineLevel="0" collapsed="false">
      <c r="A32" s="51" t="n">
        <f aca="false">A31+1</f>
        <v>117634</v>
      </c>
      <c r="B32" s="52"/>
      <c r="C32" s="53"/>
      <c r="D32" s="85" t="n">
        <f aca="false">C32/$W$3</f>
        <v>0</v>
      </c>
      <c r="E32" s="53"/>
      <c r="F32" s="55"/>
      <c r="G32" s="56"/>
      <c r="H32" s="57" t="n">
        <f aca="false">C32-G32</f>
        <v>0</v>
      </c>
      <c r="I32" s="58" t="n">
        <f aca="false">I31+H32</f>
        <v>0</v>
      </c>
      <c r="J32" s="95"/>
      <c r="K32" s="96"/>
      <c r="L32" s="91" t="n">
        <f aca="false">(IF(H32&lt;0,-H32*$L$7,H32*$L$7))</f>
        <v>0</v>
      </c>
      <c r="M32" s="62" t="n">
        <f aca="false">G32*$M$7</f>
        <v>0</v>
      </c>
      <c r="N32" s="67" t="n">
        <f aca="false">N31</f>
        <v>3733.16129032258</v>
      </c>
      <c r="O32" s="68"/>
      <c r="P32" s="68"/>
      <c r="Q32" s="65" t="s">
        <v>33</v>
      </c>
      <c r="R32" s="66" t="n">
        <f aca="false">G32*J32+L32+M32+N32</f>
        <v>3733.16129032258</v>
      </c>
    </row>
    <row r="33" customFormat="false" ht="20.1" hidden="false" customHeight="true" outlineLevel="0" collapsed="false">
      <c r="A33" s="51" t="n">
        <f aca="false">A32+1</f>
        <v>117635</v>
      </c>
      <c r="B33" s="52"/>
      <c r="C33" s="53"/>
      <c r="D33" s="85" t="n">
        <f aca="false">C33/$W$3</f>
        <v>0</v>
      </c>
      <c r="E33" s="53"/>
      <c r="F33" s="55"/>
      <c r="G33" s="56"/>
      <c r="H33" s="57" t="n">
        <f aca="false">C33-G33</f>
        <v>0</v>
      </c>
      <c r="I33" s="58" t="n">
        <f aca="false">I32+H33</f>
        <v>0</v>
      </c>
      <c r="J33" s="59"/>
      <c r="K33" s="60"/>
      <c r="L33" s="91" t="n">
        <f aca="false">(IF(H33&lt;0,-H33*$L$7,H33*$L$7))</f>
        <v>0</v>
      </c>
      <c r="M33" s="62" t="n">
        <f aca="false">G33*$M$7</f>
        <v>0</v>
      </c>
      <c r="N33" s="67" t="n">
        <f aca="false">N32</f>
        <v>3733.16129032258</v>
      </c>
      <c r="O33" s="68"/>
      <c r="P33" s="68"/>
      <c r="Q33" s="65" t="s">
        <v>33</v>
      </c>
      <c r="R33" s="66" t="n">
        <f aca="false">G33*J33+L33+M33+N33</f>
        <v>3733.16129032258</v>
      </c>
    </row>
    <row r="34" customFormat="false" ht="20.1" hidden="false" customHeight="true" outlineLevel="0" collapsed="false">
      <c r="A34" s="51" t="n">
        <f aca="false">A33+1</f>
        <v>117636</v>
      </c>
      <c r="B34" s="52"/>
      <c r="C34" s="53"/>
      <c r="D34" s="85" t="n">
        <f aca="false">C34/$W$3</f>
        <v>0</v>
      </c>
      <c r="E34" s="53"/>
      <c r="F34" s="55"/>
      <c r="G34" s="56"/>
      <c r="H34" s="57" t="n">
        <f aca="false">C34-G34</f>
        <v>0</v>
      </c>
      <c r="I34" s="58" t="n">
        <f aca="false">I33+H34</f>
        <v>0</v>
      </c>
      <c r="J34" s="59"/>
      <c r="K34" s="60"/>
      <c r="L34" s="91" t="n">
        <f aca="false">(IF(H34&lt;0,-H34*$L$7,H34*$L$7))</f>
        <v>0</v>
      </c>
      <c r="M34" s="62" t="n">
        <f aca="false">G34*$M$7</f>
        <v>0</v>
      </c>
      <c r="N34" s="67" t="n">
        <f aca="false">N33</f>
        <v>3733.16129032258</v>
      </c>
      <c r="O34" s="68"/>
      <c r="P34" s="68"/>
      <c r="Q34" s="65" t="s">
        <v>33</v>
      </c>
      <c r="R34" s="66" t="n">
        <f aca="false">G34*J34+L34+M34+N34</f>
        <v>3733.16129032258</v>
      </c>
    </row>
    <row r="35" customFormat="false" ht="20.1" hidden="false" customHeight="true" outlineLevel="0" collapsed="false">
      <c r="A35" s="51" t="n">
        <f aca="false">A34+1</f>
        <v>117637</v>
      </c>
      <c r="B35" s="52"/>
      <c r="C35" s="53"/>
      <c r="D35" s="85" t="n">
        <f aca="false">C35/$W$3</f>
        <v>0</v>
      </c>
      <c r="E35" s="53"/>
      <c r="F35" s="55"/>
      <c r="G35" s="56"/>
      <c r="H35" s="57" t="n">
        <f aca="false">C35-G35</f>
        <v>0</v>
      </c>
      <c r="I35" s="58" t="n">
        <f aca="false">I34+H35</f>
        <v>0</v>
      </c>
      <c r="J35" s="59"/>
      <c r="K35" s="60"/>
      <c r="L35" s="91" t="n">
        <f aca="false">(IF(H35&lt;0,-H35*$L$7,H35*$L$7))</f>
        <v>0</v>
      </c>
      <c r="M35" s="62" t="n">
        <f aca="false">G35*$M$7</f>
        <v>0</v>
      </c>
      <c r="N35" s="67" t="n">
        <f aca="false">N34</f>
        <v>3733.16129032258</v>
      </c>
      <c r="O35" s="68"/>
      <c r="P35" s="68"/>
      <c r="Q35" s="65" t="s">
        <v>33</v>
      </c>
      <c r="R35" s="66" t="n">
        <f aca="false">G35*J35+L35+M35+N35</f>
        <v>3733.16129032258</v>
      </c>
    </row>
    <row r="36" customFormat="false" ht="20.1" hidden="false" customHeight="true" outlineLevel="0" collapsed="false">
      <c r="A36" s="51" t="n">
        <f aca="false">A35+1</f>
        <v>117638</v>
      </c>
      <c r="B36" s="52"/>
      <c r="C36" s="53"/>
      <c r="D36" s="85" t="n">
        <f aca="false">C36/$W$3</f>
        <v>0</v>
      </c>
      <c r="E36" s="53"/>
      <c r="F36" s="55"/>
      <c r="G36" s="56"/>
      <c r="H36" s="57" t="n">
        <f aca="false">C36-G36</f>
        <v>0</v>
      </c>
      <c r="I36" s="58" t="n">
        <f aca="false">I35+H36</f>
        <v>0</v>
      </c>
      <c r="J36" s="59"/>
      <c r="K36" s="60"/>
      <c r="L36" s="91" t="n">
        <f aca="false">(IF(H36&lt;0,-H36*$L$7,H36*$L$7))</f>
        <v>0</v>
      </c>
      <c r="M36" s="62" t="n">
        <f aca="false">G36*$M$7</f>
        <v>0</v>
      </c>
      <c r="N36" s="67" t="n">
        <f aca="false">N35</f>
        <v>3733.16129032258</v>
      </c>
      <c r="O36" s="68"/>
      <c r="P36" s="68"/>
      <c r="Q36" s="65" t="s">
        <v>33</v>
      </c>
      <c r="R36" s="66" t="n">
        <f aca="false">G36*J36+L36+M36+N36</f>
        <v>3733.16129032258</v>
      </c>
    </row>
    <row r="37" customFormat="false" ht="20.1" hidden="false" customHeight="true" outlineLevel="0" collapsed="false">
      <c r="A37" s="51" t="n">
        <f aca="false">A36+1</f>
        <v>117639</v>
      </c>
      <c r="B37" s="52"/>
      <c r="C37" s="53"/>
      <c r="D37" s="85" t="n">
        <f aca="false">C37/$W$3</f>
        <v>0</v>
      </c>
      <c r="E37" s="53"/>
      <c r="F37" s="55"/>
      <c r="G37" s="56"/>
      <c r="H37" s="57" t="n">
        <f aca="false">C37-G37</f>
        <v>0</v>
      </c>
      <c r="I37" s="58" t="n">
        <f aca="false">I36+H37</f>
        <v>0</v>
      </c>
      <c r="J37" s="59"/>
      <c r="K37" s="60"/>
      <c r="L37" s="91" t="n">
        <f aca="false">(IF(H37&lt;0,-H37*$L$7,H37*$L$7))</f>
        <v>0</v>
      </c>
      <c r="M37" s="62" t="n">
        <f aca="false">G37*$M$7</f>
        <v>0</v>
      </c>
      <c r="N37" s="67" t="n">
        <f aca="false">N36</f>
        <v>3733.16129032258</v>
      </c>
      <c r="O37" s="68"/>
      <c r="P37" s="68"/>
      <c r="Q37" s="65" t="s">
        <v>33</v>
      </c>
      <c r="R37" s="66" t="n">
        <f aca="false">G37*J37+L37+M37+N37</f>
        <v>3733.16129032258</v>
      </c>
    </row>
    <row r="38" customFormat="false" ht="20.1" hidden="false" customHeight="true" outlineLevel="0" collapsed="false">
      <c r="A38" s="51" t="n">
        <f aca="false">A37+1</f>
        <v>117640</v>
      </c>
      <c r="B38" s="97"/>
      <c r="C38" s="98"/>
      <c r="D38" s="73" t="n">
        <f aca="false">C38/$W$3</f>
        <v>0</v>
      </c>
      <c r="E38" s="98"/>
      <c r="F38" s="99"/>
      <c r="G38" s="100"/>
      <c r="H38" s="101" t="n">
        <f aca="false">C38-G38</f>
        <v>0</v>
      </c>
      <c r="I38" s="102" t="n">
        <f aca="false">I37+H38</f>
        <v>0</v>
      </c>
      <c r="J38" s="103"/>
      <c r="K38" s="60"/>
      <c r="L38" s="104" t="n">
        <f aca="false">(IF(H38&lt;0,-H38*$L$7,H38*$L$7))</f>
        <v>0</v>
      </c>
      <c r="M38" s="105" t="n">
        <f aca="false">G38*$M$7</f>
        <v>0</v>
      </c>
      <c r="N38" s="67" t="n">
        <f aca="false">N37</f>
        <v>3733.16129032258</v>
      </c>
      <c r="O38" s="106"/>
      <c r="P38" s="106"/>
      <c r="Q38" s="107" t="s">
        <v>33</v>
      </c>
      <c r="R38" s="66" t="n">
        <f aca="false">G38*J38+L38+M38+N38</f>
        <v>3733.16129032258</v>
      </c>
    </row>
    <row r="39" customFormat="false" ht="20.1" hidden="false" customHeight="true" outlineLevel="0" collapsed="false">
      <c r="A39" s="108"/>
      <c r="B39" s="109"/>
      <c r="C39" s="110"/>
      <c r="D39" s="111"/>
      <c r="E39" s="112"/>
      <c r="F39" s="110"/>
      <c r="G39" s="110"/>
      <c r="H39" s="110"/>
      <c r="I39" s="110"/>
      <c r="J39" s="113"/>
      <c r="K39" s="113"/>
      <c r="L39" s="113"/>
      <c r="M39" s="110"/>
      <c r="N39" s="110"/>
      <c r="O39" s="114"/>
      <c r="P39" s="114"/>
      <c r="Q39" s="115"/>
      <c r="R39" s="110"/>
    </row>
    <row r="40" customFormat="false" ht="20.1" hidden="false" customHeight="true" outlineLevel="0" collapsed="false">
      <c r="A40" s="116" t="s">
        <v>34</v>
      </c>
      <c r="B40" s="117" t="n">
        <f aca="false">SUM(B8:B38)</f>
        <v>0</v>
      </c>
      <c r="C40" s="118" t="n">
        <f aca="false">SUM(C8:C38)</f>
        <v>0</v>
      </c>
      <c r="D40" s="119"/>
      <c r="E40" s="120" t="n">
        <f aca="false">SUM(E8:E38)</f>
        <v>0</v>
      </c>
      <c r="F40" s="121" t="n">
        <f aca="false">SUM(F8:F38)</f>
        <v>0</v>
      </c>
      <c r="G40" s="118" t="n">
        <f aca="false">SUM(G8:G38)</f>
        <v>0</v>
      </c>
      <c r="H40" s="122"/>
      <c r="I40" s="122"/>
      <c r="J40" s="123"/>
      <c r="K40" s="123"/>
      <c r="L40" s="124" t="n">
        <f aca="false">SUM(L8:L38)</f>
        <v>0</v>
      </c>
      <c r="M40" s="124" t="n">
        <f aca="false">SUM(M8:M38)</f>
        <v>0</v>
      </c>
      <c r="N40" s="124" t="n">
        <f aca="false">N6*N7</f>
        <v>115728</v>
      </c>
      <c r="O40" s="125"/>
      <c r="P40" s="125"/>
      <c r="Q40" s="122"/>
      <c r="R40" s="126" t="n">
        <f aca="false">SUM(R8:R38)</f>
        <v>115728</v>
      </c>
    </row>
    <row r="41" customFormat="false" ht="20.1" hidden="false" customHeight="true" outlineLevel="0" collapsed="false">
      <c r="A41" s="127"/>
      <c r="B41" s="128"/>
      <c r="C41" s="128"/>
      <c r="D41" s="128"/>
      <c r="E41" s="129"/>
      <c r="F41" s="129"/>
      <c r="G41" s="129"/>
      <c r="H41" s="129"/>
      <c r="I41" s="129"/>
      <c r="J41" s="129"/>
      <c r="K41" s="129"/>
      <c r="L41" s="128"/>
      <c r="M41" s="129"/>
      <c r="N41" s="129"/>
      <c r="O41" s="129"/>
      <c r="P41" s="129"/>
      <c r="Q41" s="129"/>
      <c r="R41" s="129"/>
    </row>
    <row r="42" customFormat="false" ht="21" hidden="false" customHeight="true" outlineLevel="0" collapsed="false">
      <c r="A42" s="130"/>
      <c r="B42" s="131"/>
      <c r="C42" s="128"/>
      <c r="D42" s="128"/>
      <c r="E42" s="129"/>
      <c r="F42" s="132" t="s">
        <v>35</v>
      </c>
      <c r="G42" s="133" t="s">
        <v>94</v>
      </c>
      <c r="H42" s="134" t="s">
        <v>27</v>
      </c>
      <c r="J42" s="129"/>
      <c r="K42" s="129"/>
      <c r="L42" s="129"/>
      <c r="M42" s="129"/>
      <c r="N42" s="129"/>
      <c r="O42" s="129"/>
      <c r="P42" s="129"/>
      <c r="Q42" s="135" t="s">
        <v>36</v>
      </c>
      <c r="R42" s="136" t="n">
        <v>5854.83</v>
      </c>
      <c r="S42" s="137"/>
    </row>
    <row r="43" customFormat="false" ht="21" hidden="false" customHeight="true" outlineLevel="0" collapsed="false">
      <c r="A43" s="127"/>
      <c r="B43" s="131" t="s">
        <v>37</v>
      </c>
      <c r="C43" s="128"/>
      <c r="D43" s="128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35" t="s">
        <v>38</v>
      </c>
      <c r="R43" s="138" t="n">
        <f aca="false">R40-R44-R45-R46-R47-R53-R54</f>
        <v>0</v>
      </c>
      <c r="S43" s="139"/>
    </row>
    <row r="44" customFormat="false" ht="21" hidden="false" customHeight="true" outlineLevel="0" collapsed="false">
      <c r="A44" s="127"/>
      <c r="B44" s="140"/>
      <c r="C44" s="141"/>
      <c r="D44" s="141"/>
      <c r="E44" s="142"/>
      <c r="F44" s="142"/>
      <c r="G44" s="142"/>
      <c r="H44" s="142"/>
      <c r="I44" s="140" t="s">
        <v>39</v>
      </c>
      <c r="J44" s="142"/>
      <c r="K44" s="142"/>
      <c r="L44" s="129"/>
      <c r="M44" s="129"/>
      <c r="N44" s="129"/>
      <c r="O44" s="129"/>
      <c r="P44" s="142"/>
      <c r="Q44" s="135" t="s">
        <v>40</v>
      </c>
      <c r="R44" s="138" t="n">
        <f aca="false">(G40*0.03)</f>
        <v>0</v>
      </c>
      <c r="S44" s="139"/>
    </row>
    <row r="45" customFormat="false" ht="21" hidden="false" customHeight="true" outlineLevel="0" collapsed="false">
      <c r="A45" s="127"/>
      <c r="B45" s="140" t="s">
        <v>41</v>
      </c>
      <c r="C45" s="141" t="n">
        <f aca="true">NOW()</f>
        <v>45926.9497137472</v>
      </c>
      <c r="D45" s="141"/>
      <c r="E45" s="142"/>
      <c r="F45" s="142"/>
      <c r="G45" s="142"/>
      <c r="H45" s="142"/>
      <c r="I45" s="142"/>
      <c r="J45" s="140" t="s">
        <v>42</v>
      </c>
      <c r="K45" s="140"/>
      <c r="L45" s="129"/>
      <c r="M45" s="129"/>
      <c r="N45" s="129"/>
      <c r="O45" s="129"/>
      <c r="P45" s="142"/>
      <c r="Q45" s="135" t="s">
        <v>43</v>
      </c>
      <c r="R45" s="138" t="n">
        <v>0</v>
      </c>
      <c r="S45" s="139"/>
    </row>
    <row r="46" customFormat="false" ht="21" hidden="false" customHeight="true" outlineLevel="0" collapsed="false">
      <c r="A46" s="127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29"/>
      <c r="M46" s="129"/>
      <c r="N46" s="129"/>
      <c r="O46" s="129"/>
      <c r="P46" s="129"/>
      <c r="Q46" s="135" t="s">
        <v>44</v>
      </c>
      <c r="R46" s="138" t="n">
        <v>0</v>
      </c>
      <c r="S46" s="143"/>
    </row>
    <row r="47" customFormat="false" ht="21" hidden="false" customHeight="true" outlineLevel="0" collapsed="false">
      <c r="D47" s="144"/>
      <c r="E47" s="144"/>
      <c r="F47" s="144"/>
      <c r="G47" s="144"/>
      <c r="H47" s="144"/>
      <c r="I47" s="144"/>
      <c r="J47" s="144"/>
      <c r="Q47" s="135" t="s">
        <v>45</v>
      </c>
      <c r="R47" s="145" t="n">
        <f aca="false">L40</f>
        <v>0</v>
      </c>
      <c r="S47" s="146"/>
    </row>
    <row r="48" customFormat="false" ht="21" hidden="false" customHeight="true" outlineLevel="0" collapsed="false">
      <c r="D48" s="147"/>
      <c r="E48" s="148"/>
      <c r="F48" s="148"/>
      <c r="G48" s="148"/>
      <c r="H48" s="148"/>
      <c r="I48" s="148"/>
      <c r="J48" s="148"/>
      <c r="Q48" s="135" t="s">
        <v>46</v>
      </c>
      <c r="R48" s="149" t="n">
        <v>0</v>
      </c>
      <c r="S48" s="146"/>
    </row>
    <row r="49" customFormat="false" ht="21" hidden="false" customHeight="true" outlineLevel="0" collapsed="false">
      <c r="D49" s="147"/>
      <c r="E49" s="148"/>
      <c r="F49" s="148"/>
      <c r="G49" s="148"/>
      <c r="H49" s="148"/>
      <c r="I49" s="148"/>
      <c r="J49" s="148"/>
      <c r="Q49" s="135" t="s">
        <v>47</v>
      </c>
      <c r="R49" s="149" t="n">
        <v>0</v>
      </c>
      <c r="S49" s="146"/>
    </row>
    <row r="50" customFormat="false" ht="21" hidden="false" customHeight="true" outlineLevel="0" collapsed="false">
      <c r="D50" s="147"/>
      <c r="E50" s="148"/>
      <c r="F50" s="148"/>
      <c r="G50" s="148"/>
      <c r="H50" s="148"/>
      <c r="I50" s="148"/>
      <c r="J50" s="148"/>
      <c r="Q50" s="150" t="s">
        <v>48</v>
      </c>
      <c r="R50" s="151" t="n">
        <v>0</v>
      </c>
      <c r="S50" s="146"/>
    </row>
    <row r="51" customFormat="false" ht="21" hidden="false" customHeight="true" outlineLevel="0" collapsed="false">
      <c r="Q51" s="152" t="s">
        <v>49</v>
      </c>
      <c r="R51" s="153" t="n">
        <f aca="false">SUM(R42:R50)</f>
        <v>5854.83</v>
      </c>
      <c r="S51" s="146"/>
    </row>
    <row r="52" customFormat="false" ht="21" hidden="false" customHeight="true" outlineLevel="0" collapsed="false">
      <c r="Q52" s="135"/>
      <c r="R52" s="145"/>
      <c r="S52" s="146"/>
    </row>
    <row r="53" customFormat="false" ht="21" hidden="false" customHeight="true" outlineLevel="0" collapsed="false">
      <c r="N53" s="154" t="s">
        <v>50</v>
      </c>
      <c r="O53" s="129"/>
      <c r="Q53" s="135" t="s">
        <v>51</v>
      </c>
      <c r="R53" s="145" t="n">
        <f aca="false">N40</f>
        <v>115728</v>
      </c>
      <c r="S53" s="146"/>
    </row>
    <row r="54" customFormat="false" ht="21" hidden="false" customHeight="true" outlineLevel="0" collapsed="false">
      <c r="N54" s="154" t="s">
        <v>52</v>
      </c>
      <c r="Q54" s="135" t="s">
        <v>53</v>
      </c>
      <c r="R54" s="145" t="n">
        <f aca="false">G40*0.0154</f>
        <v>0</v>
      </c>
      <c r="S54" s="146"/>
    </row>
    <row r="55" customFormat="false" ht="16.5" hidden="false" customHeight="false" outlineLevel="0" collapsed="false">
      <c r="N55" s="154" t="s">
        <v>54</v>
      </c>
      <c r="Q55" s="150" t="s">
        <v>55</v>
      </c>
      <c r="R55" s="136" t="n">
        <v>0</v>
      </c>
    </row>
    <row r="56" customFormat="false" ht="21" hidden="false" customHeight="true" outlineLevel="0" collapsed="false">
      <c r="Q56" s="16" t="s">
        <v>56</v>
      </c>
      <c r="R56" s="155" t="n">
        <f aca="false">R51+R53+R54+R55</f>
        <v>121582.83</v>
      </c>
    </row>
    <row r="57" customFormat="false" ht="17.25" hidden="false" customHeight="false" outlineLevel="0" collapsed="false"/>
  </sheetData>
  <mergeCells count="56">
    <mergeCell ref="A1:O1"/>
    <mergeCell ref="P1:Q1"/>
    <mergeCell ref="B3:D3"/>
    <mergeCell ref="E3:G3"/>
    <mergeCell ref="H3:I3"/>
    <mergeCell ref="J3:N3"/>
    <mergeCell ref="O3:Q3"/>
    <mergeCell ref="R3:R7"/>
    <mergeCell ref="A4:A6"/>
    <mergeCell ref="B4:B6"/>
    <mergeCell ref="C4:C6"/>
    <mergeCell ref="D4:D6"/>
    <mergeCell ref="E4:E6"/>
    <mergeCell ref="F4:G6"/>
    <mergeCell ref="H4:H6"/>
    <mergeCell ref="I4:I6"/>
    <mergeCell ref="J4:J6"/>
    <mergeCell ref="K4:K6"/>
    <mergeCell ref="L4:L6"/>
    <mergeCell ref="M4:N4"/>
    <mergeCell ref="O4:P7"/>
    <mergeCell ref="Q4:Q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39:P39"/>
    <mergeCell ref="O40:P40"/>
    <mergeCell ref="D47:J47"/>
  </mergeCells>
  <printOptions headings="false" gridLines="false" gridLinesSet="true" horizontalCentered="false" verticalCentered="false"/>
  <pageMargins left="0.35" right="0.309722222222222" top="0.370138888888889" bottom="0.3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2000-02-10T17:12:25Z</dcterms:created>
  <dc:creator>System Service</dc:creator>
  <dc:description/>
  <dc:language>en-US</dc:language>
  <cp:lastModifiedBy>jvesela</cp:lastModifiedBy>
  <cp:lastPrinted>2000-05-30T10:53:13Z</cp:lastPrinted>
  <cp:revision>0</cp:revision>
  <dc:subject/>
  <dc:title/>
</cp:coreProperties>
</file>