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Financials QTR" sheetId="7" state="visible" r:id="rId9"/>
    <sheet name="Cash-Int-Trans" sheetId="8" state="visible" r:id="rId10"/>
    <sheet name="Amort" sheetId="9" state="visible" r:id="rId11"/>
    <sheet name="Shares" sheetId="10" state="visible" r:id="rId12"/>
    <sheet name="MPR Raptor" sheetId="11" state="visible" r:id="rId13"/>
  </sheets>
  <externalReferences>
    <externalReference r:id="rId14"/>
  </externalReferences>
  <definedNames>
    <definedName function="false" hidden="false" localSheetId="7" name="_xlnm.Print_Area" vbProcedure="false">'Cash-Int-Trans'!$A$1:$F$164</definedName>
    <definedName function="false" hidden="false" localSheetId="10" name="_xlnm.Print_Titles" vbProcedure="false">'MPR Raptor'!$A:$A</definedName>
    <definedName function="false" hidden="false" localSheetId="3" name="_xlnm.Print_Area" vbProcedure="false">'Private Values'!$A$2:$AH$174</definedName>
    <definedName function="false" hidden="false" localSheetId="3" name="_xlnm.Print_Titles" vbProcedure="false">'Private Values'!$A:$A,'Private Values'!$2:$3</definedName>
    <definedName function="false" hidden="false" localSheetId="9" name="_xlnm.Print_Area" vbProcedure="false">Shares!$A$1:$E$30</definedName>
    <definedName function="false" hidden="false" localSheetId="2" name="_xlnm.Print_Area" vbProcedure="false">'Stock Prices'!$A$1:$L$180</definedName>
    <definedName function="false" hidden="false" localSheetId="2" name="_xlnm.Print_Titles" vbProcedure="false">'Stock Prices'!$1:$4</definedName>
    <definedName function="false" hidden="false" localSheetId="0" name="_xlnm.Print_Area" vbProcedure="false">Summary!$A$1:$F$25</definedName>
    <definedName function="false" hidden="false" name="acpw" vbProcedure="false">'Stock Prices'!$D$5:$D$376</definedName>
    <definedName function="false" hidden="false" name="Amort" vbProcedure="false">Amort!$A$10:$G$20</definedName>
    <definedName function="false" hidden="false" name="avci" vbProcedure="false">'Stock Prices'!$C$5:$C$376</definedName>
    <definedName function="false" hidden="false" name="caplg" vbProcedure="false">'Stock Prices'!$E$5:$E$376</definedName>
    <definedName function="false" hidden="false" name="cesiv" vbProcedure="false">'Stock Prices'!$L$5:$L$376</definedName>
    <definedName function="false" hidden="false" name="ene" vbProcedure="false">'Stock Prices'!$A$5:$B$376</definedName>
    <definedName function="false" hidden="false" name="kwk" vbProcedure="false">'Stock Prices'!$K$5:$K$376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Prices'!$J$5:$J$376</definedName>
    <definedName function="false" hidden="false" name="Privates" vbProcedure="false">'Private Values'!$A$4:$AH$375</definedName>
    <definedName function="false" hidden="false" name="prs" vbProcedure="false">'Stock Prices'!$E$5:$E$376</definedName>
    <definedName function="false" hidden="false" name="qsri" vbProcedure="false">'Stock Prices'!$F$5:$F$376</definedName>
    <definedName function="false" hidden="false" name="StkPrices" vbProcedure="false">'Stock Prices'!$A$5:$L$376</definedName>
    <definedName function="false" hidden="false" name="ttene" vbProcedure="false">'Stock Prices'!$I$5:$I$376</definedName>
    <definedName function="false" hidden="false" name="wcrzo" vbProcedure="false">'Stock Prices'!$G$5:$G$376</definedName>
    <definedName function="false" hidden="false" name="wtten" vbProcedure="false">'Stock Prices'!$H$5:$H$376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-112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10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27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79</xdr:col>
                <xdr:colOff>-13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12</xdr:rowOff>
              </xdr:from>
              <xdr:to>
                <xdr:col>91</xdr:col>
                <xdr:colOff>56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-30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gmckillo:
</t>
        </r>
        <r>
          <rPr>
            <sz val="8"/>
            <color rgb="FF000000"/>
            <rFont val="Tahoma"/>
            <family val="0"/>
          </rPr>
          <t xml:space="preserve">5.2 - per S. Ayala, recvd share verification fron RAC, addl 3,603 from below market warrant, warrant was part of hedge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13</xdr:row>
                <xdr:rowOff>11</xdr:rowOff>
              </xdr:from>
              <xdr:to>
                <xdr:col>9</xdr:col>
                <xdr:colOff>17</xdr:colOff>
                <xdr:row>17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</xdr:colOff>
                <xdr:row>11</xdr:row>
                <xdr:rowOff>12</xdr:rowOff>
              </xdr:from>
              <xdr:to>
                <xdr:col>11</xdr:col>
                <xdr:colOff>110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14</xdr:row>
                <xdr:rowOff>12</xdr:rowOff>
              </xdr:from>
              <xdr:to>
                <xdr:col>11</xdr:col>
                <xdr:colOff>117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<sst xmlns="http://schemas.openxmlformats.org/spreadsheetml/2006/main" count="1847" uniqueCount="588">
  <si>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</si>
  <si>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</si>
  <si>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</si>
  <si>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</si>
  <si>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</si>
  <si>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</si>
  <si>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</si>
  <si>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</si>
  <si>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</si>
  <si>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</si>
  <si>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</si>
  <si>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</si>
  <si>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</si>
  <si>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</si>
  <si>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</si>
  <si>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</si>
  <si>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</si>
  <si>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</si>
  <si>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</si>
  <si>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</si>
  <si>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</si>
  <si>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</si>
  <si>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</si>
  <si>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</si>
  <si>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</si>
  <si>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</si>
  <si>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</si>
  <si>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</si>
  <si>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</si>
  <si>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</si>
  <si>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</si>
  <si>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</si>
  <si>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</si>
  <si>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</si>
  <si>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</si>
  <si>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</si>
  <si>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</si>
  <si>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</si>
  <si>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</si>
  <si>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</si>
  <si>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</si>
  <si>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</si>
  <si>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</si>
  <si>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</si>
  <si>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</si>
  <si>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</si>
  <si>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</si>
  <si>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</si>
  <si>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</si>
  <si>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</si>
  <si>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</si>
  <si>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</si>
  <si>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</si>
  <si>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</si>
  <si>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</si>
  <si>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</si>
  <si>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</si>
  <si>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</si>
  <si>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</si>
  <si>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</si>
  <si>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</si>
  <si>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</si>
  <si>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</si>
  <si>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</si>
  <si>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</si>
  <si>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</si>
  <si>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</si>
  <si>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</si>
  <si>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</si>
  <si>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</si>
  <si>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</si>
  <si>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</si>
  <si>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</si>
  <si>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</si>
  <si>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</si>
  <si>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</si>
  <si>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</si>
  <si>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</si>
  <si>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</si>
  <si>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</si>
  <si>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</si>
  <si>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</si>
  <si>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</si>
  <si>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</si>
  <si>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</si>
  <si>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</si>
  <si>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</si>
  <si>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</si>
  <si>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</si>
  <si>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</si>
  <si>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</si>
  <si>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</si>
  <si>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</si>
  <si>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</si>
  <si>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</si>
  <si>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</si>
  <si>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</si>
  <si>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</si>
  <si>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</si>
  <si>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</si>
  <si>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</si>
  <si>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Asset value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</si>
  <si>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</si>
  <si>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</si>
  <si>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</si>
  <si>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</si>
  <si>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</si>
  <si>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</si>
  <si>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</si>
  <si>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</si>
  <si>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</si>
  <si>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</si>
  <si>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</si>
  <si>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</si>
  <si>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</si>
  <si>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</si>
  <si>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</si>
  <si>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</si>
  <si>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</si>
  <si>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</si>
  <si>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</si>
  <si>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</si>
  <si>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</si>
  <si>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</si>
  <si>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</si>
  <si>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</si>
  <si>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</si>
  <si>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</si>
  <si>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</si>
  <si>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</si>
  <si>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</si>
  <si>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</si>
  <si>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</si>
  <si>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</si>
  <si>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</si>
  <si>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</si>
  <si>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</si>
  <si>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</si>
  <si>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</si>
  <si>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</si>
  <si>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</si>
  <si>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</si>
  <si>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</si>
  <si>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</si>
  <si>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</si>
  <si>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</si>
  <si>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</si>
  <si>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</si>
  <si>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</si>
  <si>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</si>
  <si>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</si>
  <si>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</si>
  <si>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</si>
  <si>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</si>
  <si>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</si>
  <si>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</si>
  <si>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</si>
  <si>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</si>
  <si>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</si>
  <si>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</si>
  <si>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</si>
  <si>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</si>
  <si>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</si>
  <si>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</si>
  <si>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</si>
  <si>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</si>
  <si>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</si>
  <si>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</si>
  <si>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</si>
  <si>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</si>
  <si>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</si>
  <si>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</si>
  <si>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</si>
  <si>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</si>
  <si>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</si>
  <si>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</si>
  <si>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Reserve for Shares</t>
  </si>
  <si>
    <t xml:space="preserve">Original Balance Sheet</t>
  </si>
  <si>
    <t xml:space="preserve">Total Balance Sheet Footing</t>
  </si>
  <si>
    <t xml:space="preserve">Unrealized Gains / (Losses)</t>
  </si>
  <si>
    <t xml:space="preserve">Original Notional</t>
  </si>
  <si>
    <t xml:space="preserve">Plus:  Put Exposure  </t>
  </si>
  <si>
    <t xml:space="preserve">Realized Gains / (Losses)</t>
  </si>
  <si>
    <t xml:space="preserve">Existing Notional</t>
  </si>
  <si>
    <t xml:space="preserve">                               </t>
  </si>
  <si>
    <t xml:space="preserve">X Strike</t>
  </si>
  <si>
    <t xml:space="preserve">     Subtotal</t>
  </si>
  <si>
    <t xml:space="preserve">Net Gain/(Loss)</t>
  </si>
  <si>
    <t xml:space="preserve">f</t>
  </si>
  <si>
    <t xml:space="preserve">Less:  Put premium received</t>
  </si>
  <si>
    <t xml:space="preserve">Remaining Notional</t>
  </si>
  <si>
    <t xml:space="preserve">Credit Analysis</t>
  </si>
  <si>
    <t xml:space="preserve">X  Required capitalization percentage</t>
  </si>
  <si>
    <t xml:space="preserve">Initial Credit Capacity</t>
  </si>
  <si>
    <t xml:space="preserve">Required Third Party Capitalization</t>
  </si>
  <si>
    <t xml:space="preserve">     LJMII Capital</t>
  </si>
  <si>
    <t xml:space="preserve">Actual Third Party Capitalization</t>
  </si>
  <si>
    <t xml:space="preserve">     Initial Discount on Enron Shares</t>
  </si>
  <si>
    <t xml:space="preserve">Equity Rollforward (Check)</t>
  </si>
  <si>
    <t xml:space="preserve">     Result</t>
  </si>
  <si>
    <t xml:space="preserve">Total Initial Credit Capacity</t>
  </si>
  <si>
    <t xml:space="preserve">Capital</t>
  </si>
  <si>
    <t xml:space="preserve">     LJM</t>
  </si>
  <si>
    <t xml:space="preserve">Days in Period</t>
  </si>
  <si>
    <t xml:space="preserve">Plus:  Talon Earnings (1)</t>
  </si>
  <si>
    <t xml:space="preserve">     ENE</t>
  </si>
  <si>
    <t xml:space="preserve">Initial</t>
  </si>
  <si>
    <t xml:space="preserve">          ENE share gain (loss) from $70.50</t>
  </si>
  <si>
    <t xml:space="preserve">I/S</t>
  </si>
  <si>
    <t xml:space="preserve">          ENE shares not included above</t>
  </si>
  <si>
    <t xml:space="preserve">Plus Income(Loss)</t>
  </si>
  <si>
    <t xml:space="preserve">Days O/S</t>
  </si>
  <si>
    <t xml:space="preserve">          Additional LJMII Capital</t>
  </si>
  <si>
    <t xml:space="preserve">Less Distributions</t>
  </si>
  <si>
    <t xml:space="preserve">Less:  Discount Amortization</t>
  </si>
  <si>
    <t xml:space="preserve">Current Equity</t>
  </si>
  <si>
    <t xml:space="preserve">          March ENE Shares</t>
  </si>
  <si>
    <t xml:space="preserve">     Ending LJM Capital</t>
  </si>
  <si>
    <t xml:space="preserve">          Distribution to LJMII</t>
  </si>
  <si>
    <t xml:space="preserve">     Ending ENE Capital</t>
  </si>
  <si>
    <t xml:space="preserve">Total Credit Capacity</t>
  </si>
  <si>
    <t xml:space="preserve">(1) Put at $81 per share and Call at $116 included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</si>
  <si>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</si>
  <si>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</si>
  <si>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</si>
  <si>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</si>
  <si>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</si>
  <si>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</si>
  <si>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For the period ending 9/11/00 to</t>
  </si>
  <si>
    <t xml:space="preserve">to</t>
  </si>
  <si>
    <t xml:space="preserve">Discount Amortization - Jedi Shares</t>
  </si>
  <si>
    <t xml:space="preserve">Collar Gains / (Losses) Jedi Shares</t>
  </si>
  <si>
    <t xml:space="preserve">Unrealized Gains / (Losses) Derivative</t>
  </si>
  <si>
    <t xml:space="preserve">Changes to: </t>
  </si>
  <si>
    <t xml:space="preserve">Enron Jedi Shares</t>
  </si>
  <si>
    <t xml:space="preserve">ENE Share Derivative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</si>
  <si>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</si>
  <si>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</si>
  <si>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</si>
  <si>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</si>
  <si>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</si>
  <si>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</si>
  <si>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</si>
  <si>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</si>
  <si>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</si>
  <si>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</si>
  <si>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</si>
  <si>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</si>
  <si>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</si>
  <si>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</si>
  <si>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</si>
  <si>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</si>
  <si>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</si>
  <si>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</si>
  <si>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</si>
  <si>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</si>
  <si>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</si>
  <si>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</si>
  <si>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</si>
  <si>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</si>
  <si>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</si>
  <si>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</si>
  <si>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</si>
  <si>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</si>
  <si>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</si>
  <si>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</si>
  <si>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</si>
  <si>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</si>
  <si>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</si>
  <si>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</si>
  <si>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</si>
  <si>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</si>
  <si>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</si>
  <si>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</si>
  <si>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</si>
  <si>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</si>
  <si>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</si>
  <si>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</si>
  <si>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</si>
  <si>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</si>
  <si>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</si>
  <si>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</si>
  <si>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</si>
  <si>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</si>
  <si>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</si>
  <si>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ENE Shares</t>
  </si>
  <si>
    <t xml:space="preserve">Devx and Invasion</t>
  </si>
  <si>
    <t xml:space="preserve">Paradigm and Active</t>
  </si>
  <si>
    <t xml:space="preserve">Active</t>
  </si>
  <si>
    <t xml:space="preserve">3 Tec and Carrizo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</si>
  <si>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</si>
  <si>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</si>
  <si>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</si>
  <si>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</si>
  <si>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</si>
  <si>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</si>
  <si>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</si>
  <si>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</si>
  <si>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</si>
  <si>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</si>
  <si>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</si>
  <si>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</si>
  <si>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</si>
  <si>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</si>
  <si>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</si>
  <si>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</si>
  <si>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</si>
  <si>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</si>
  <si>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</si>
  <si>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</si>
  <si>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</si>
  <si>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</si>
  <si>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</si>
  <si>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</si>
  <si>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</si>
  <si>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</si>
  <si>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</si>
  <si>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</si>
  <si>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</si>
  <si>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</si>
  <si>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</si>
  <si>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</si>
  <si>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</si>
  <si>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</si>
  <si>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</si>
  <si>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</si>
  <si>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</si>
  <si>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</si>
  <si>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</si>
  <si>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</si>
  <si>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</si>
  <si>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</si>
  <si>
    <t xml:space="preserve">New ENE Shares</t>
  </si>
  <si>
    <t xml:space="preserve">Total Shares</t>
  </si>
  <si>
    <t xml:space="preserve">R 1 Shares</t>
  </si>
  <si>
    <t xml:space="preserve">R1 Cost</t>
  </si>
  <si>
    <t xml:space="preserve">Raptor 1</t>
  </si>
  <si>
    <t xml:space="preserve">Raptor 2</t>
  </si>
  <si>
    <t xml:space="preserve">Raptor 4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</si>
  <si>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</si>
  <si>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</si>
  <si>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</si>
  <si>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</si>
  <si>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</si>
  <si>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</si>
  <si>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</si>
  <si>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</si>
  <si>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</si>
  <si>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</si>
  <si>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</si>
  <si>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</si>
  <si>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</si>
  <si>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</si>
  <si>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</si>
  <si>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</si>
  <si>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</si>
  <si>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</si>
  <si>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</si>
  <si>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</si>
  <si>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</si>
  <si>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</si>
  <si>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</si>
  <si>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</si>
  <si>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</si>
  <si>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Funding</t>
  </si>
  <si>
    <t xml:space="preserve">Structured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</si>
  <si>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</si>
  <si>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</si>
  <si>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</si>
  <si>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</si>
  <si>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</si>
  <si>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</si>
  <si>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</si>
  <si>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</si>
  <si>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</si>
  <si>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</si>
  <si>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</si>
  <si>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</si>
  <si>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</si>
  <si>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</si>
  <si>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</si>
  <si>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</si>
  <si>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</si>
  <si>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</si>
  <si>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</si>
  <si>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</si>
  <si>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</si>
  <si>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</si>
  <si>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</si>
  <si>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</si>
  <si>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</si>
  <si>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</si>
  <si>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</si>
  <si>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</si>
  <si>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</si>
  <si>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Partner</t>
  </si>
  <si>
    <t xml:space="preserve">Do Not Delete</t>
  </si>
  <si>
    <t xml:space="preserve">Vehicle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</si>
  <si>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</si>
  <si>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</si>
  <si>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</si>
  <si>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</si>
  <si>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</si>
  <si>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</si>
  <si>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</si>
  <si>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</si>
  <si>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</si>
  <si>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</si>
  <si>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</si>
  <si>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</si>
  <si>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</si>
  <si>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</si>
  <si>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</si>
  <si>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</si>
  <si>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</si>
  <si>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</si>
  <si>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</si>
  <si>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</si>
  <si>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</si>
  <si>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</si>
  <si>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</si>
  <si>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</si>
  <si>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</si>
  <si>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</si>
  <si>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</si>
  <si>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</si>
  <si>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</si>
  <si>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</si>
  <si>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</si>
  <si>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</si>
  <si>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</si>
  <si>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- Raptor - EPI</t>
  </si>
  <si>
    <t xml:space="preserve">Hickey</t>
  </si>
  <si>
    <t xml:space="preserve">713-853-3195</t>
  </si>
  <si>
    <t xml:space="preserve">Avici EBS Raptor I</t>
  </si>
  <si>
    <t xml:space="preserve">US;AVCI</t>
  </si>
  <si>
    <t xml:space="preserve">Network Equipment</t>
  </si>
  <si>
    <t xml:space="preserve">Raptor</t>
  </si>
  <si>
    <t xml:space="preserve">N</t>
  </si>
  <si>
    <t xml:space="preserve">Enron Raptor I - EBS Public Total</t>
  </si>
  <si>
    <t xml:space="preserve">EBS - Raptor - EPI Total</t>
  </si>
  <si>
    <t xml:space="preserve">Enron Raptor I - Priv. Equity Partnerships</t>
  </si>
  <si>
    <t xml:space="preserve">Energy Capital Resources Raptor</t>
  </si>
  <si>
    <t xml:space="preserve">S. Josey</t>
  </si>
  <si>
    <t xml:space="preserve">713-853-0321</t>
  </si>
  <si>
    <t xml:space="preserve">Ameritex Raptor I</t>
  </si>
  <si>
    <t xml:space="preserve">Energy Capital Resources</t>
  </si>
  <si>
    <t xml:space="preserve">Partnership</t>
  </si>
  <si>
    <t xml:space="preserve">JEDI I</t>
  </si>
  <si>
    <t xml:space="preserve">J. Thompson</t>
  </si>
  <si>
    <t xml:space="preserve">713-853-3019</t>
  </si>
  <si>
    <t xml:space="preserve">Juniper Raptor I</t>
  </si>
  <si>
    <t xml:space="preserve">Condor I - Energy Capital Resources</t>
  </si>
  <si>
    <t xml:space="preserve">JEDI II</t>
  </si>
  <si>
    <t xml:space="preserve">Juniper Exposure Raptor I</t>
  </si>
  <si>
    <t xml:space="preserve">Texland Raptor I</t>
  </si>
  <si>
    <t xml:space="preserve">Texland Exposure Raptor I</t>
  </si>
  <si>
    <t xml:space="preserve">Vastar Raptor I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</si>
  <si>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</si>
  <si>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</si>
  <si>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</si>
  <si>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</si>
  <si>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</si>
  <si>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</si>
  <si>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</si>
  <si>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</si>
  <si>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</si>
  <si>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</si>
  <si>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</si>
  <si>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</si>
  <si>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</si>
  <si>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 - EPI</t>
  </si>
  <si>
    <t xml:space="preserve">Enerson</t>
  </si>
  <si>
    <t xml:space="preserve">713-853-1788</t>
  </si>
  <si>
    <t xml:space="preserve">Oconto Falls Common Raptor I</t>
  </si>
  <si>
    <t xml:space="preserve">Paper</t>
  </si>
  <si>
    <t xml:space="preserve">Oconto Falls IPC Raptor I</t>
  </si>
  <si>
    <t xml:space="preserve">Paper Raptor - EPI Total</t>
  </si>
  <si>
    <t xml:space="preserve">Enron Raptor I - US Public</t>
  </si>
  <si>
    <t xml:space="preserve">Principal Investing - Raptor - EPI</t>
  </si>
  <si>
    <t xml:space="preserve">Kuykendall</t>
  </si>
  <si>
    <t xml:space="preserve">713-853-3995</t>
  </si>
  <si>
    <t xml:space="preserve">Active Power Raptor I</t>
  </si>
  <si>
    <t xml:space="preserve">US;ACPW</t>
  </si>
  <si>
    <t xml:space="preserve">Condor I - Principal Investing</t>
  </si>
  <si>
    <t xml:space="preserve">Enron Raptor I - US Public Total</t>
  </si>
  <si>
    <t xml:space="preserve">Principal Investing - Raptor - EPI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</si>
  <si>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</si>
  <si>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</si>
  <si>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</si>
  <si>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</si>
  <si>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</si>
  <si>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</si>
  <si>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</si>
  <si>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</si>
  <si>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</si>
  <si>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</si>
  <si>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</si>
  <si>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</si>
  <si>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</si>
  <si>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</si>
  <si>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</si>
  <si>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</si>
  <si>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Financing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</si>
  <si>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</si>
  <si>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</si>
  <si>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</si>
  <si>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</si>
  <si>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</si>
  <si>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</si>
  <si>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Condor II - Energy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</si>
  <si>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</si>
  <si>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</si>
  <si>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</si>
  <si>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Convertible - Private</t>
  </si>
  <si>
    <t xml:space="preserve">Special Assets - Raptor - EPI</t>
  </si>
  <si>
    <t xml:space="preserve">Venoco Convertible Raptor I</t>
  </si>
  <si>
    <t xml:space="preserve">Condor I - Special Assets</t>
  </si>
  <si>
    <t xml:space="preserve">Convertible</t>
  </si>
  <si>
    <t xml:space="preserve">Convertible Preferred</t>
  </si>
  <si>
    <t xml:space="preserve">Condor</t>
  </si>
  <si>
    <t xml:space="preserve">Enron Raptor I - Convertible - Private Total</t>
  </si>
  <si>
    <t xml:space="preserve">Amerada Hess Exposure Raptor I</t>
  </si>
  <si>
    <t xml:space="preserve">Special Assets</t>
  </si>
  <si>
    <t xml:space="preserve">City Forest IPC Raptor I</t>
  </si>
  <si>
    <t xml:space="preserve">Private </t>
  </si>
  <si>
    <t xml:space="preserve">LTD. Partnership</t>
  </si>
  <si>
    <t xml:space="preserve">Enron Raptor I - US Private</t>
  </si>
  <si>
    <t xml:space="preserve">Morris</t>
  </si>
  <si>
    <t xml:space="preserve">713-345-7134</t>
  </si>
  <si>
    <t xml:space="preserve">Basic Energy CFPC Raptor I</t>
  </si>
  <si>
    <t xml:space="preserve">Basic Energy Preferred Raptor I</t>
  </si>
  <si>
    <t xml:space="preserve">WB Oil &amp; Gas Raptor I</t>
  </si>
  <si>
    <t xml:space="preserve">Heartland Steel Common Raptor I</t>
  </si>
  <si>
    <t xml:space="preserve">Heartland Steel Common Condor Raptor I</t>
  </si>
  <si>
    <t xml:space="preserve">Steel</t>
  </si>
  <si>
    <t xml:space="preserve">Condor/Raptor</t>
  </si>
  <si>
    <t xml:space="preserve">Enron Raptor I - US Private Total</t>
  </si>
  <si>
    <t xml:space="preserve">Paradigm Common Raptor I</t>
  </si>
  <si>
    <t xml:space="preserve">US;PGEO</t>
  </si>
  <si>
    <t xml:space="preserve">Enserco</t>
  </si>
  <si>
    <t xml:space="preserve">DevX Energy Common Raptor I</t>
  </si>
  <si>
    <t xml:space="preserve">Johnson</t>
  </si>
  <si>
    <t xml:space="preserve">713-853-9453</t>
  </si>
  <si>
    <t xml:space="preserve">Catalytica Common Raptor I</t>
  </si>
  <si>
    <t xml:space="preserve">US;CESI</t>
  </si>
  <si>
    <t xml:space="preserve">Condor II - Special Assets</t>
  </si>
  <si>
    <t xml:space="preserve">Enron Raptor I - US Structured Credit-Book</t>
  </si>
  <si>
    <t xml:space="preserve">Meier</t>
  </si>
  <si>
    <t xml:space="preserve">713-345-8961</t>
  </si>
  <si>
    <t xml:space="preserve">Ecogas Loan Raptor I</t>
  </si>
  <si>
    <t xml:space="preserve">LSI Preferred (AIM) Raptor I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</si>
  <si>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</si>
  <si>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</si>
  <si>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</si>
  <si>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</si>
  <si>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Enron Raptor I - US Structured Credit-Book Total</t>
  </si>
  <si>
    <t xml:space="preserve">Enron Raptor I - US Structured Credit-Book RA</t>
  </si>
  <si>
    <t xml:space="preserve">Heartland Contingent Construction Loan Raptor I</t>
  </si>
  <si>
    <t xml:space="preserve">Hughes Rawls Loan Raptor I</t>
  </si>
  <si>
    <t xml:space="preserve">Hughes Rawls Note Raptor I</t>
  </si>
  <si>
    <t xml:space="preserve">Industrial Holdings Raptor I</t>
  </si>
  <si>
    <t xml:space="preserve">Enron Raptor I - US Structured Credit-Book RA Total</t>
  </si>
  <si>
    <t xml:space="preserve">Enron Raptor I - Warrants - Private</t>
  </si>
  <si>
    <t xml:space="preserve">Hornbeck-Leevac Warrants Raptor I</t>
  </si>
  <si>
    <t xml:space="preserve">Heartland Steel Warrants Raptor I</t>
  </si>
  <si>
    <t xml:space="preserve">LSI Warrants (AIM) Raptor I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</si>
  <si>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</si>
  <si>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</si>
  <si>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</si>
  <si>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</si>
  <si>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3TEC Warrants Raptor I</t>
  </si>
  <si>
    <t xml:space="preserve">Enron Raptor I - Warrants - Public Total</t>
  </si>
  <si>
    <t xml:space="preserve">Enron Raptor II - Total Return Swap</t>
  </si>
  <si>
    <t xml:space="preserve">Hanover Compressor Raptor II TRS</t>
  </si>
  <si>
    <t xml:space="preserve">Enron Raptor II - Total Return Swap Total</t>
  </si>
  <si>
    <t xml:space="preserve">Enron Raptor II - US Public</t>
  </si>
  <si>
    <t xml:space="preserve">Hanover Compressor Common Raptor II</t>
  </si>
  <si>
    <t xml:space="preserve">N/A</t>
  </si>
  <si>
    <t xml:space="preserve">Hanover Compressor Common Raptor II Offset</t>
  </si>
  <si>
    <t xml:space="preserve">Enron Raptor II - US Public Total</t>
  </si>
  <si>
    <t xml:space="preserve">Special Assets - Raptor - EPI Total</t>
  </si>
  <si>
    <t xml:space="preserve">Enron Raptor II - EGF SLP - Total Return Swap</t>
  </si>
  <si>
    <t xml:space="preserve">Special Assets EGF Raptor - EPI</t>
  </si>
  <si>
    <t xml:space="preserve">Hanover Compressor EGF Raptor II TRS</t>
  </si>
  <si>
    <t xml:space="preserve">Enron Raptor II - EGF SLP - Total Return Swap Total</t>
  </si>
  <si>
    <t xml:space="preserve">Special Assets EGF Raptor - EPI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</si>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</sst>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0.00000%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3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3" fillId="0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4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4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4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1" fillId="0" borderId="2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29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4" fontId="13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/>
      <sheetData sheetId="1">
        <row r="2">
          <cell r="I2">
            <v>36976</v>
          </cell>
        </row>
        <row r="3">
          <cell r="B3">
            <v>37134</v>
          </cell>
          <cell r="C3">
            <v>0</v>
          </cell>
        </row>
        <row r="3">
          <cell r="H3">
            <v>38338200.2157992</v>
          </cell>
        </row>
        <row r="5">
          <cell r="B5">
            <v>34.99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3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+'Stock Prices'!A378</f>
        <v>37134</v>
      </c>
      <c r="D5" s="10" t="s">
        <v>3</v>
      </c>
      <c r="E5" s="11" t="n">
        <f aca="false">+C5-1</f>
        <v>37133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Position'!T78</f>
        <v>-536551679.044649</v>
      </c>
      <c r="D12" s="16" t="n">
        <f aca="false">+'Daily Position'!S78</f>
        <v>-126932303.763066</v>
      </c>
      <c r="E12" s="16" t="n">
        <f aca="false">+C12-D12</f>
        <v>-409619375.281583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-341168.358417153</v>
      </c>
      <c r="D13" s="17" t="n">
        <f aca="false">+D15-D12</f>
        <v>0</v>
      </c>
      <c r="E13" s="17" t="n">
        <f aca="false">+E15-E12</f>
        <v>-341168.358417153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Position'!R78</f>
        <v>-536892847.403066</v>
      </c>
      <c r="D15" s="18" t="n">
        <f aca="false">+'Daily Position'!Q78</f>
        <v>-126932303.763066</v>
      </c>
      <c r="E15" s="18" t="n">
        <f aca="false">+C15-D15</f>
        <v>-409960543.64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37600803.3930501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ROUND(+Financials!I39,2)</f>
        <v>-370176609.8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Position'!I78</f>
        <v>766318323.93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3" min="3" style="0" width="12.37"/>
    <col collapsed="false" customWidth="true" hidden="false" outlineLevel="0" max="4" min="4" style="0" width="14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208" t="s">
        <v>315</v>
      </c>
      <c r="E1" s="14" t="s">
        <v>316</v>
      </c>
    </row>
    <row r="2" customFormat="false" ht="15.75" hidden="false" customHeight="false" outlineLevel="0" collapsed="false">
      <c r="A2" s="7" t="s">
        <v>317</v>
      </c>
      <c r="C2" s="75"/>
      <c r="D2" s="25" t="n">
        <f aca="false">+Financials!I5</f>
        <v>34.99</v>
      </c>
      <c r="F2" s="188"/>
    </row>
    <row r="3" customFormat="false" ht="15.75" hidden="false" customHeight="false" outlineLevel="0" collapsed="false">
      <c r="A3" s="0" t="s">
        <v>318</v>
      </c>
      <c r="B3" s="26" t="n">
        <v>50000000</v>
      </c>
      <c r="D3" s="59" t="n">
        <f aca="false">B3*D2</f>
        <v>1749500000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319</v>
      </c>
      <c r="D4" s="17" t="n">
        <f aca="false">1400000000+1027000000+500000</f>
        <v>2427500000</v>
      </c>
      <c r="E4" s="158" t="n">
        <f aca="false">ROUND(D4/D2+0.49,0)</f>
        <v>69376965</v>
      </c>
    </row>
    <row r="5" customFormat="false" ht="15.75" hidden="false" customHeight="false" outlineLevel="0" collapsed="false">
      <c r="A5" s="0" t="s">
        <v>320</v>
      </c>
      <c r="D5" s="16" t="n">
        <f aca="false">D3-D4</f>
        <v>-678000000</v>
      </c>
      <c r="E5" s="188" t="n">
        <f aca="false">E3-E4</f>
        <v>-19376965</v>
      </c>
    </row>
    <row r="6" customFormat="false" ht="15.75" hidden="false" customHeight="false" outlineLevel="0" collapsed="false">
      <c r="A6" s="0" t="s">
        <v>321</v>
      </c>
      <c r="D6" s="25"/>
    </row>
    <row r="7" customFormat="false" ht="15.75" hidden="false" customHeight="false" outlineLevel="0" collapsed="false">
      <c r="A7" s="0" t="s">
        <v>322</v>
      </c>
      <c r="B7" s="26" t="n">
        <v>3876755</v>
      </c>
      <c r="D7" s="16" t="n">
        <f aca="false">+B7*D2</f>
        <v>135647657.45</v>
      </c>
      <c r="E7" s="26" t="n">
        <v>3876755</v>
      </c>
    </row>
    <row r="8" customFormat="false" ht="15.75" hidden="false" customHeight="false" outlineLevel="0" collapsed="false">
      <c r="A8" s="0" t="s">
        <v>323</v>
      </c>
      <c r="B8" s="26" t="n">
        <v>7809790</v>
      </c>
      <c r="D8" s="16" t="n">
        <f aca="false">+B8*D2</f>
        <v>273264552.1</v>
      </c>
      <c r="E8" s="26" t="n">
        <v>7809790</v>
      </c>
    </row>
    <row r="9" customFormat="false" ht="15.75" hidden="false" customHeight="false" outlineLevel="0" collapsed="false">
      <c r="A9" s="0" t="s">
        <v>324</v>
      </c>
      <c r="B9" s="26" t="n">
        <v>6326045</v>
      </c>
      <c r="D9" s="17" t="n">
        <f aca="false">+B9*D2</f>
        <v>221348314.55</v>
      </c>
      <c r="E9" s="158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264</v>
      </c>
      <c r="D11" s="18" t="n">
        <f aca="false">D5-SUM(D7:D9)</f>
        <v>-1308260524.1</v>
      </c>
      <c r="E11" s="209" t="n">
        <f aca="false">E5-SUM(E7:E9)</f>
        <v>-37389555</v>
      </c>
    </row>
    <row r="12" customFormat="false" ht="16.5" hidden="false" customHeight="false" outlineLevel="0" collapsed="false">
      <c r="A12" s="26"/>
      <c r="D12" s="79"/>
      <c r="E12" s="188"/>
      <c r="F12" s="26"/>
    </row>
    <row r="13" customFormat="false" ht="15.75" hidden="false" customHeight="false" outlineLevel="0" collapsed="false">
      <c r="D13" s="59"/>
      <c r="E13" s="75"/>
      <c r="F13" s="26"/>
    </row>
    <row r="14" customFormat="false" ht="15.75" hidden="false" customHeight="false" outlineLevel="0" collapsed="false">
      <c r="A14" s="0" t="s">
        <v>325</v>
      </c>
      <c r="B14" s="26" t="n">
        <f aca="false">IF(E11&gt;0,B7,IF((B9+B8)&gt;-E11,B7,IF(-E11&gt;(+B9+B8+B7),0,IF(D2&lt;50,0,(+B9+B8+B7+E11)))))</f>
        <v>0</v>
      </c>
      <c r="C14" s="26" t="n">
        <f aca="false">+Financials!D14</f>
        <v>3739175</v>
      </c>
      <c r="D14" s="26" t="n">
        <f aca="false">+B14+C14</f>
        <v>3739175</v>
      </c>
      <c r="E14" s="188"/>
      <c r="F14" s="26"/>
    </row>
    <row r="17" customFormat="false" ht="15.75" hidden="false" customHeight="false" outlineLevel="0" collapsed="false">
      <c r="A17" s="0" t="s">
        <v>326</v>
      </c>
      <c r="B17" s="26" t="n">
        <f aca="false">+Financials!D15+Financials!D14</f>
        <v>7615930</v>
      </c>
      <c r="C17" s="25" t="n">
        <f aca="false">+Financials!E15</f>
        <v>70.5</v>
      </c>
      <c r="D17" s="16" t="n">
        <f aca="false">+Financials!B15+Financials!B14</f>
        <v>536923065</v>
      </c>
    </row>
    <row r="18" customFormat="false" ht="15.75" hidden="false" customHeight="false" outlineLevel="0" collapsed="false">
      <c r="A18" s="0" t="s">
        <v>327</v>
      </c>
      <c r="D18" s="16" t="n">
        <f aca="false">+Financials!B17</f>
        <v>-186923065</v>
      </c>
      <c r="E18" s="210" t="n">
        <f aca="false">-D18/D17</f>
        <v>0.348137521341163</v>
      </c>
    </row>
    <row r="19" customFormat="false" ht="15.75" hidden="false" customHeight="false" outlineLevel="0" collapsed="false">
      <c r="D19" s="16" t="n">
        <f aca="false">+D17+D18</f>
        <v>350000000</v>
      </c>
    </row>
    <row r="20" customFormat="false" ht="15.75" hidden="false" customHeight="false" outlineLevel="0" collapsed="false">
      <c r="A20" s="0" t="s">
        <v>328</v>
      </c>
      <c r="D20" s="16" t="n">
        <f aca="false">+Financials!I15</f>
        <v>89266029.1308501</v>
      </c>
      <c r="E20" s="210" t="n">
        <f aca="false">(+Financials!A35)/Financials!A38</f>
        <v>0.477554918815664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329</v>
      </c>
      <c r="D21" s="16" t="n">
        <f aca="false">+D19+D20</f>
        <v>439266029.13085</v>
      </c>
      <c r="E21" s="210" t="n">
        <f aca="false">+D21/D17</f>
        <v>0.818117264399603</v>
      </c>
    </row>
    <row r="22" customFormat="false" ht="15.75" hidden="false" customHeight="false" outlineLevel="0" collapsed="false">
      <c r="D22" s="16"/>
    </row>
    <row r="23" customFormat="false" ht="15.75" hidden="false" customHeight="false" outlineLevel="0" collapsed="false">
      <c r="A23" s="0" t="s">
        <v>330</v>
      </c>
      <c r="B23" s="26" t="n">
        <f aca="false">+D14</f>
        <v>3739175</v>
      </c>
      <c r="C23" s="25" t="n">
        <f aca="false">+C17</f>
        <v>70.5</v>
      </c>
      <c r="D23" s="16" t="n">
        <f aca="false">+B23*C23</f>
        <v>263611837.5</v>
      </c>
    </row>
    <row r="24" customFormat="false" ht="15.75" hidden="false" customHeight="false" outlineLevel="0" collapsed="false">
      <c r="A24" s="0" t="s">
        <v>327</v>
      </c>
      <c r="D24" s="16" t="n">
        <f aca="false">D18/D17*D23</f>
        <v>-91773171.7034394</v>
      </c>
      <c r="E24" s="210" t="n">
        <f aca="false">-D24/D23</f>
        <v>0.348137521341163</v>
      </c>
    </row>
    <row r="25" customFormat="false" ht="15.75" hidden="false" customHeight="false" outlineLevel="0" collapsed="false">
      <c r="D25" s="16" t="n">
        <f aca="false">+D23+D24</f>
        <v>171838665.796561</v>
      </c>
    </row>
    <row r="26" customFormat="false" ht="15.75" hidden="false" customHeight="false" outlineLevel="0" collapsed="false">
      <c r="A26" s="0" t="s">
        <v>328</v>
      </c>
      <c r="D26" s="16" t="n">
        <f aca="false">-D24*E20</f>
        <v>43826729.562292</v>
      </c>
      <c r="E26" s="210" t="n">
        <f aca="false">+E20</f>
        <v>0.477554918815664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331</v>
      </c>
      <c r="D27" s="16" t="n">
        <f aca="false">+D25+D26</f>
        <v>215665395.358853</v>
      </c>
      <c r="E27" s="210" t="n">
        <f aca="false">+D27/D23</f>
        <v>0.818117264399603</v>
      </c>
    </row>
    <row r="28" customFormat="false" ht="15.75" hidden="false" customHeight="false" outlineLevel="0" collapsed="false">
      <c r="A28" s="0" t="s">
        <v>42</v>
      </c>
      <c r="D28" s="211" t="n">
        <f aca="false">+Financials!M11-D27</f>
        <v>0</v>
      </c>
      <c r="E28" s="210"/>
    </row>
    <row r="29" customFormat="false" ht="15.75" hidden="false" customHeight="false" outlineLevel="0" collapsed="false">
      <c r="D29" s="16"/>
    </row>
    <row r="30" customFormat="false" ht="15.75" hidden="false" customHeight="false" outlineLevel="0" collapsed="false">
      <c r="A30" s="0" t="s">
        <v>176</v>
      </c>
      <c r="B30" s="26" t="n">
        <f aca="false">+B17-B23</f>
        <v>3876755</v>
      </c>
      <c r="D30" s="16" t="n">
        <f aca="false">+D21-D27</f>
        <v>223600633.771997</v>
      </c>
    </row>
    <row r="33" customFormat="false" ht="15.75" hidden="false" customHeight="false" outlineLevel="0" collapsed="false">
      <c r="A33" s="0" t="s">
        <v>332</v>
      </c>
    </row>
    <row r="34" customFormat="false" ht="15.75" hidden="false" customHeight="false" outlineLevel="0" collapsed="false">
      <c r="B34" s="26" t="s">
        <v>333</v>
      </c>
      <c r="C34" s="0" t="s">
        <v>334</v>
      </c>
      <c r="D34" s="0" t="s">
        <v>335</v>
      </c>
    </row>
    <row r="35" customFormat="false" ht="15.75" hidden="false" customHeight="false" outlineLevel="0" collapsed="false">
      <c r="A35" s="0" t="s">
        <v>336</v>
      </c>
      <c r="B35" s="26" t="n">
        <v>3876755</v>
      </c>
      <c r="C35" s="0" t="n">
        <v>0</v>
      </c>
      <c r="D35" s="0" t="n">
        <v>0</v>
      </c>
    </row>
    <row r="36" customFormat="false" ht="15.75" hidden="false" customHeight="false" outlineLevel="0" collapsed="false">
      <c r="A36" s="0" t="s">
        <v>337</v>
      </c>
      <c r="B36" s="26" t="n">
        <v>7809790</v>
      </c>
      <c r="C36" s="0" t="n">
        <v>0</v>
      </c>
      <c r="D36" s="0" t="n">
        <v>0</v>
      </c>
    </row>
    <row r="37" customFormat="false" ht="15.75" hidden="false" customHeight="false" outlineLevel="0" collapsed="false">
      <c r="A37" s="0" t="s">
        <v>338</v>
      </c>
      <c r="B37" s="26" t="n">
        <v>6326045</v>
      </c>
      <c r="C37" s="0" t="n">
        <v>0</v>
      </c>
      <c r="D37" s="0" t="n">
        <v>0</v>
      </c>
    </row>
    <row r="39" customFormat="false" ht="15.75" hidden="false" customHeight="false" outlineLevel="0" collapsed="false">
      <c r="A39" s="0" t="s">
        <v>6</v>
      </c>
      <c r="B39" s="26" t="n">
        <f aca="false">SUM(B35:B38)</f>
        <v>18012590</v>
      </c>
      <c r="C39" s="26" t="n">
        <f aca="false">SUM(C35:C38)</f>
        <v>0</v>
      </c>
      <c r="D39" s="26" t="n">
        <f aca="false">SUM(D35:D38)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7.24"/>
    <col collapsed="false" customWidth="true" hidden="false" outlineLevel="0" max="2" min="2" style="0" width="31.87"/>
    <col collapsed="false" customWidth="true" hidden="false" outlineLevel="0" max="3" min="3" style="0" width="11.24"/>
    <col collapsed="false" customWidth="true" hidden="true" outlineLevel="0" max="4" min="4" style="0" width="12.12"/>
    <col collapsed="false" customWidth="true" hidden="false" outlineLevel="0" max="5" min="5" style="0" width="36.62"/>
    <col collapsed="false" customWidth="true" hidden="false" outlineLevel="0" max="6" min="6" style="0" width="8.62"/>
    <col collapsed="false" customWidth="true" hidden="false" outlineLevel="0" max="7" min="7" style="0" width="27.86"/>
    <col collapsed="false" customWidth="true" hidden="true" outlineLevel="0" max="8" min="8" style="0" width="8.74"/>
    <col collapsed="false" customWidth="true" hidden="true" outlineLevel="0" max="9" min="9" style="0" width="15.99"/>
    <col collapsed="false" customWidth="true" hidden="false" outlineLevel="0" max="10" min="10" style="0" width="11.87"/>
    <col collapsed="false" customWidth="true" hidden="true" outlineLevel="0" max="11" min="11" style="0" width="13.11"/>
    <col collapsed="false" customWidth="true" hidden="true" outlineLevel="0" max="13" min="12" style="0" width="7.11"/>
    <col collapsed="false" customWidth="true" hidden="true" outlineLevel="0" max="14" min="14" style="0" width="6.12"/>
    <col collapsed="false" customWidth="true" hidden="true" outlineLevel="0" max="15" min="15" style="0" width="13.11"/>
    <col collapsed="false" customWidth="true" hidden="true" outlineLevel="0" max="16" min="16" style="0" width="12.24"/>
    <col collapsed="false" customWidth="true" hidden="true" outlineLevel="0" max="17" min="17" style="0" width="10.99"/>
    <col collapsed="false" customWidth="true" hidden="true" outlineLevel="0" max="18" min="18" style="0" width="7.11"/>
    <col collapsed="false" customWidth="true" hidden="true" outlineLevel="0" max="19" min="19" style="0" width="11.49"/>
    <col collapsed="false" customWidth="true" hidden="true" outlineLevel="0" max="20" min="20" style="0" width="11.24"/>
    <col collapsed="false" customWidth="true" hidden="false" outlineLevel="0" max="21" min="21" style="0" width="14.49"/>
    <col collapsed="false" customWidth="true" hidden="true" outlineLevel="0" max="22" min="22" style="0" width="15.99"/>
    <col collapsed="false" customWidth="true" hidden="true" outlineLevel="0" max="23" min="23" style="0" width="13.62"/>
    <col collapsed="false" customWidth="true" hidden="true" outlineLevel="0" max="24" min="24" style="0" width="5.99"/>
    <col collapsed="false" customWidth="true" hidden="true" outlineLevel="0" max="25" min="25" style="0" width="13.62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49"/>
    <col collapsed="false" customWidth="true" hidden="false" outlineLevel="0" max="30" min="30" style="0" width="11.87"/>
    <col collapsed="false" customWidth="true" hidden="false" outlineLevel="0" max="31" min="31" style="0" width="10.62"/>
    <col collapsed="false" customWidth="true" hidden="false" outlineLevel="0" max="32" min="32" style="0" width="12.86"/>
    <col collapsed="false" customWidth="true" hidden="false" outlineLevel="0" max="33" min="33" style="0" width="9.62"/>
    <col collapsed="false" customWidth="true" hidden="false" outlineLevel="0" max="34" min="34" style="0" width="14.12"/>
    <col collapsed="false" customWidth="true" hidden="false" outlineLevel="0" max="35" min="35" style="0" width="10.62"/>
    <col collapsed="false" customWidth="true" hidden="false" outlineLevel="0" max="36" min="36" style="0" width="13.62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49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49"/>
    <col collapsed="false" customWidth="true" hidden="true" outlineLevel="0" max="43" min="43" style="0" width="12.86"/>
    <col collapsed="false" customWidth="true" hidden="true" outlineLevel="0" max="44" min="44" style="0" width="13.99"/>
    <col collapsed="false" customWidth="true" hidden="true" outlineLevel="0" max="45" min="45" style="0" width="16.87"/>
    <col collapsed="false" customWidth="true" hidden="true" outlineLevel="0" max="46" min="46" style="0" width="14.12"/>
    <col collapsed="false" customWidth="true" hidden="true" outlineLevel="0" max="47" min="47" style="0" width="10.62"/>
    <col collapsed="false" customWidth="true" hidden="true" outlineLevel="0" max="48" min="48" style="0" width="13.62"/>
    <col collapsed="false" customWidth="true" hidden="true" outlineLevel="0" max="49" min="49" style="0" width="9.62"/>
    <col collapsed="false" customWidth="true" hidden="true" outlineLevel="0" max="50" min="50" style="0" width="14.99"/>
    <col collapsed="false" customWidth="true" hidden="true" outlineLevel="0" max="51" min="51" style="0" width="10.62"/>
    <col collapsed="false" customWidth="true" hidden="true" outlineLevel="0" max="52" min="52" style="0" width="14.49"/>
    <col collapsed="false" customWidth="true" hidden="true" outlineLevel="0" max="53" min="53" style="0" width="9.62"/>
    <col collapsed="false" customWidth="true" hidden="false" outlineLevel="0" max="55" min="55" style="0" width="12.12"/>
    <col collapsed="false" customWidth="true" hidden="true" outlineLevel="0" max="56" min="56" style="0" width="13.62"/>
    <col collapsed="false" customWidth="true" hidden="true" outlineLevel="0" max="57" min="57" style="0" width="10.62"/>
    <col collapsed="false" customWidth="true" hidden="true" outlineLevel="0" max="58" min="58" style="0" width="13.11"/>
    <col collapsed="false" customWidth="true" hidden="true" outlineLevel="0" max="59" min="59" style="0" width="9.62"/>
    <col collapsed="false" customWidth="true" hidden="true" outlineLevel="0" max="60" min="60" style="0" width="13.62"/>
    <col collapsed="false" customWidth="true" hidden="true" outlineLevel="0" max="61" min="61" style="0" width="10.62"/>
    <col collapsed="false" customWidth="true" hidden="true" outlineLevel="0" max="62" min="62" style="0" width="13.11"/>
    <col collapsed="false" customWidth="true" hidden="true" outlineLevel="0" max="63" min="63" style="0" width="9.62"/>
    <col collapsed="false" customWidth="true" hidden="true" outlineLevel="0" max="64" min="64" style="0" width="13.99"/>
    <col collapsed="false" customWidth="true" hidden="true" outlineLevel="0" max="65" min="65" style="0" width="9.86"/>
    <col collapsed="false" customWidth="true" hidden="true" outlineLevel="0" max="66" min="66" style="0" width="15.86"/>
    <col collapsed="false" customWidth="true" hidden="true" outlineLevel="0" max="67" min="67" style="0" width="11.99"/>
    <col collapsed="false" customWidth="true" hidden="true" outlineLevel="0" max="68" min="68" style="0" width="13.11"/>
    <col collapsed="false" customWidth="true" hidden="true" outlineLevel="0" max="69" min="69" style="0" width="10.74"/>
    <col collapsed="false" customWidth="true" hidden="true" outlineLevel="0" max="70" min="70" style="0" width="12.24"/>
    <col collapsed="false" customWidth="true" hidden="true" outlineLevel="0" max="71" min="71" style="0" width="9.12"/>
    <col collapsed="false" customWidth="true" hidden="true" outlineLevel="0" max="72" min="72" style="0" width="10.37"/>
    <col collapsed="false" customWidth="true" hidden="true" outlineLevel="0" max="73" min="73" style="0" width="15.74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74"/>
    <col collapsed="false" customWidth="true" hidden="true" outlineLevel="0" max="78" min="78" style="0" width="13.11"/>
    <col collapsed="false" customWidth="true" hidden="false" outlineLevel="0" max="79" min="79" style="0" width="13.62"/>
    <col collapsed="false" customWidth="true" hidden="true" outlineLevel="0" max="80" min="80" style="0" width="13.62"/>
    <col collapsed="false" customWidth="true" hidden="true" outlineLevel="0" max="84" min="81" style="0" width="11.49"/>
    <col collapsed="false" customWidth="true" hidden="true" outlineLevel="0" max="85" min="85" style="0" width="13.62"/>
    <col collapsed="false" customWidth="true" hidden="true" outlineLevel="0" max="86" min="86" style="0" width="10.62"/>
    <col collapsed="false" customWidth="true" hidden="true" outlineLevel="0" max="87" min="87" style="0" width="13.11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212"/>
      <c r="B1" s="212"/>
      <c r="C1" s="212"/>
      <c r="D1" s="212"/>
      <c r="E1" s="212"/>
      <c r="F1" s="212"/>
      <c r="G1" s="212"/>
      <c r="H1" s="212"/>
      <c r="I1" s="213"/>
      <c r="J1" s="214" t="s">
        <v>339</v>
      </c>
      <c r="K1" s="214" t="s">
        <v>340</v>
      </c>
      <c r="L1" s="215"/>
      <c r="M1" s="214"/>
      <c r="N1" s="216"/>
      <c r="O1" s="215" t="s">
        <v>341</v>
      </c>
      <c r="P1" s="215" t="s">
        <v>342</v>
      </c>
      <c r="Q1" s="215" t="s">
        <v>343</v>
      </c>
      <c r="R1" s="215" t="s">
        <v>344</v>
      </c>
      <c r="S1" s="215"/>
      <c r="T1" s="215"/>
      <c r="U1" s="217" t="s">
        <v>341</v>
      </c>
      <c r="V1" s="215" t="s">
        <v>105</v>
      </c>
      <c r="W1" s="215"/>
      <c r="X1" s="218"/>
      <c r="Y1" s="215"/>
      <c r="Z1" s="218"/>
      <c r="AA1" s="218"/>
      <c r="AB1" s="218"/>
      <c r="AC1" s="217" t="s">
        <v>345</v>
      </c>
      <c r="AD1" s="216" t="s">
        <v>346</v>
      </c>
      <c r="AE1" s="216"/>
      <c r="AF1" s="216"/>
      <c r="AG1" s="216"/>
      <c r="AH1" s="216"/>
      <c r="AI1" s="216"/>
      <c r="AJ1" s="216"/>
      <c r="AK1" s="216"/>
      <c r="AL1" s="219"/>
      <c r="AM1" s="218"/>
      <c r="AN1" s="219"/>
      <c r="AO1" s="218"/>
      <c r="AP1" s="218"/>
      <c r="AQ1" s="218" t="s">
        <v>347</v>
      </c>
      <c r="AR1" s="216"/>
      <c r="AS1" s="215" t="s">
        <v>341</v>
      </c>
      <c r="AT1" s="216" t="s">
        <v>348</v>
      </c>
      <c r="AU1" s="216"/>
      <c r="AV1" s="216"/>
      <c r="AW1" s="216"/>
      <c r="AX1" s="216"/>
      <c r="AY1" s="216"/>
      <c r="AZ1" s="216"/>
      <c r="BA1" s="216"/>
      <c r="BB1" s="218" t="s">
        <v>339</v>
      </c>
      <c r="BC1" s="218" t="s">
        <v>340</v>
      </c>
      <c r="BD1" s="216" t="s">
        <v>349</v>
      </c>
      <c r="BE1" s="216"/>
      <c r="BF1" s="216"/>
      <c r="BG1" s="216"/>
      <c r="BH1" s="216"/>
      <c r="BI1" s="216"/>
      <c r="BJ1" s="216"/>
      <c r="BK1" s="216"/>
      <c r="BL1" s="218" t="s">
        <v>340</v>
      </c>
      <c r="BM1" s="218" t="s">
        <v>350</v>
      </c>
      <c r="BN1" s="218" t="s">
        <v>351</v>
      </c>
      <c r="BO1" s="218" t="s">
        <v>352</v>
      </c>
      <c r="BP1" s="218"/>
      <c r="BQ1" s="215"/>
      <c r="BR1" s="214"/>
      <c r="BS1" s="218"/>
      <c r="BT1" s="218" t="s">
        <v>353</v>
      </c>
      <c r="BU1" s="220" t="s">
        <v>354</v>
      </c>
      <c r="BV1" s="218"/>
      <c r="BW1" s="218" t="s">
        <v>353</v>
      </c>
      <c r="BX1" s="218" t="s">
        <v>355</v>
      </c>
      <c r="BY1" s="215"/>
      <c r="BZ1" s="215"/>
      <c r="CA1" s="215"/>
      <c r="CB1" s="215"/>
      <c r="CC1" s="215"/>
      <c r="CD1" s="215"/>
      <c r="CE1" s="215"/>
      <c r="CF1" s="215"/>
      <c r="CG1" s="218" t="s">
        <v>356</v>
      </c>
      <c r="CH1" s="218"/>
      <c r="CI1" s="218"/>
      <c r="CJ1" s="218"/>
      <c r="CK1" s="214" t="s">
        <v>357</v>
      </c>
      <c r="CL1" s="214" t="s">
        <v>358</v>
      </c>
    </row>
    <row r="2" customFormat="false" ht="15.75" hidden="false" customHeight="false" outlineLevel="0" collapsed="false">
      <c r="A2" s="221"/>
      <c r="B2" s="221"/>
      <c r="C2" s="221" t="s">
        <v>359</v>
      </c>
      <c r="D2" s="221"/>
      <c r="E2" s="221"/>
      <c r="F2" s="221"/>
      <c r="G2" s="221"/>
      <c r="H2" s="221" t="s">
        <v>360</v>
      </c>
      <c r="I2" s="222"/>
      <c r="J2" s="223" t="s">
        <v>361</v>
      </c>
      <c r="K2" s="223" t="s">
        <v>361</v>
      </c>
      <c r="L2" s="224"/>
      <c r="M2" s="223" t="s">
        <v>362</v>
      </c>
      <c r="N2" s="225"/>
      <c r="O2" s="224" t="s">
        <v>37</v>
      </c>
      <c r="P2" s="224" t="s">
        <v>363</v>
      </c>
      <c r="Q2" s="224" t="s">
        <v>363</v>
      </c>
      <c r="R2" s="224" t="s">
        <v>364</v>
      </c>
      <c r="S2" s="224"/>
      <c r="T2" s="224" t="s">
        <v>365</v>
      </c>
      <c r="U2" s="226" t="s">
        <v>37</v>
      </c>
      <c r="V2" s="224" t="s">
        <v>366</v>
      </c>
      <c r="W2" s="224" t="s">
        <v>367</v>
      </c>
      <c r="X2" s="224" t="s">
        <v>368</v>
      </c>
      <c r="Y2" s="224" t="s">
        <v>170</v>
      </c>
      <c r="Z2" s="224" t="s">
        <v>367</v>
      </c>
      <c r="AA2" s="224" t="s">
        <v>368</v>
      </c>
      <c r="AB2" s="224" t="s">
        <v>170</v>
      </c>
      <c r="AC2" s="226" t="s">
        <v>341</v>
      </c>
      <c r="AD2" s="225" t="s">
        <v>369</v>
      </c>
      <c r="AE2" s="225"/>
      <c r="AF2" s="225"/>
      <c r="AG2" s="225"/>
      <c r="AH2" s="227" t="s">
        <v>370</v>
      </c>
      <c r="AI2" s="227"/>
      <c r="AJ2" s="227"/>
      <c r="AK2" s="227"/>
      <c r="AL2" s="228" t="n">
        <v>36525</v>
      </c>
      <c r="AM2" s="224" t="s">
        <v>371</v>
      </c>
      <c r="AN2" s="224" t="s">
        <v>372</v>
      </c>
      <c r="AO2" s="224" t="s">
        <v>373</v>
      </c>
      <c r="AP2" s="224" t="s">
        <v>374</v>
      </c>
      <c r="AQ2" s="224" t="s">
        <v>375</v>
      </c>
      <c r="AR2" s="225" t="s">
        <v>376</v>
      </c>
      <c r="AS2" s="224" t="s">
        <v>37</v>
      </c>
      <c r="AT2" s="225" t="s">
        <v>377</v>
      </c>
      <c r="AU2" s="225"/>
      <c r="AV2" s="225"/>
      <c r="AW2" s="225"/>
      <c r="AX2" s="225" t="s">
        <v>372</v>
      </c>
      <c r="AY2" s="225"/>
      <c r="AZ2" s="225"/>
      <c r="BA2" s="225"/>
      <c r="BB2" s="224" t="s">
        <v>375</v>
      </c>
      <c r="BC2" s="224" t="s">
        <v>375</v>
      </c>
      <c r="BD2" s="225" t="s">
        <v>377</v>
      </c>
      <c r="BE2" s="225"/>
      <c r="BF2" s="225"/>
      <c r="BG2" s="225"/>
      <c r="BH2" s="225" t="s">
        <v>372</v>
      </c>
      <c r="BI2" s="225"/>
      <c r="BJ2" s="225"/>
      <c r="BK2" s="225"/>
      <c r="BL2" s="224" t="s">
        <v>374</v>
      </c>
      <c r="BM2" s="224" t="s">
        <v>378</v>
      </c>
      <c r="BN2" s="224" t="s">
        <v>379</v>
      </c>
      <c r="BO2" s="224" t="s">
        <v>380</v>
      </c>
      <c r="BP2" s="229" t="s">
        <v>340</v>
      </c>
      <c r="BQ2" s="224" t="s">
        <v>381</v>
      </c>
      <c r="BR2" s="223" t="s">
        <v>33</v>
      </c>
      <c r="BS2" s="224" t="s">
        <v>382</v>
      </c>
      <c r="BT2" s="224" t="s">
        <v>358</v>
      </c>
      <c r="BU2" s="230" t="s">
        <v>383</v>
      </c>
      <c r="BV2" s="229" t="s">
        <v>384</v>
      </c>
      <c r="BW2" s="224" t="s">
        <v>375</v>
      </c>
      <c r="BX2" s="224" t="s">
        <v>375</v>
      </c>
      <c r="BY2" s="224" t="s">
        <v>369</v>
      </c>
      <c r="BZ2" s="224" t="s">
        <v>377</v>
      </c>
      <c r="CA2" s="224" t="s">
        <v>370</v>
      </c>
      <c r="CB2" s="224" t="s">
        <v>372</v>
      </c>
      <c r="CC2" s="224" t="s">
        <v>369</v>
      </c>
      <c r="CD2" s="224" t="s">
        <v>377</v>
      </c>
      <c r="CE2" s="224" t="s">
        <v>370</v>
      </c>
      <c r="CF2" s="224" t="s">
        <v>372</v>
      </c>
      <c r="CG2" s="225" t="s">
        <v>385</v>
      </c>
      <c r="CH2" s="225"/>
      <c r="CI2" s="225"/>
      <c r="CJ2" s="225"/>
      <c r="CK2" s="223" t="s">
        <v>386</v>
      </c>
      <c r="CL2" s="223" t="s">
        <v>357</v>
      </c>
    </row>
    <row r="3" customFormat="false" ht="15.75" hidden="false" customHeight="false" outlineLevel="0" collapsed="false">
      <c r="A3" s="231" t="s">
        <v>387</v>
      </c>
      <c r="B3" s="231" t="s">
        <v>388</v>
      </c>
      <c r="C3" s="231" t="s">
        <v>389</v>
      </c>
      <c r="D3" s="231" t="s">
        <v>390</v>
      </c>
      <c r="E3" s="231" t="s">
        <v>367</v>
      </c>
      <c r="F3" s="231" t="s">
        <v>30</v>
      </c>
      <c r="G3" s="231" t="s">
        <v>362</v>
      </c>
      <c r="H3" s="231" t="s">
        <v>391</v>
      </c>
      <c r="I3" s="232" t="s">
        <v>382</v>
      </c>
      <c r="J3" s="233" t="s">
        <v>392</v>
      </c>
      <c r="K3" s="233" t="s">
        <v>392</v>
      </c>
      <c r="L3" s="234" t="s">
        <v>373</v>
      </c>
      <c r="M3" s="233" t="s">
        <v>393</v>
      </c>
      <c r="N3" s="233" t="s">
        <v>376</v>
      </c>
      <c r="O3" s="234" t="s">
        <v>394</v>
      </c>
      <c r="P3" s="234" t="s">
        <v>394</v>
      </c>
      <c r="Q3" s="234" t="s">
        <v>394</v>
      </c>
      <c r="R3" s="235" t="s">
        <v>395</v>
      </c>
      <c r="S3" s="235" t="s">
        <v>396</v>
      </c>
      <c r="T3" s="235" t="s">
        <v>397</v>
      </c>
      <c r="U3" s="236" t="n">
        <v>37134</v>
      </c>
      <c r="V3" s="235" t="s">
        <v>398</v>
      </c>
      <c r="W3" s="235" t="s">
        <v>6</v>
      </c>
      <c r="X3" s="235" t="s">
        <v>6</v>
      </c>
      <c r="Y3" s="235" t="s">
        <v>6</v>
      </c>
      <c r="Z3" s="235" t="s">
        <v>399</v>
      </c>
      <c r="AA3" s="235" t="s">
        <v>399</v>
      </c>
      <c r="AB3" s="235" t="s">
        <v>399</v>
      </c>
      <c r="AC3" s="236" t="s">
        <v>37</v>
      </c>
      <c r="AD3" s="237" t="s">
        <v>400</v>
      </c>
      <c r="AE3" s="237" t="s">
        <v>401</v>
      </c>
      <c r="AF3" s="237" t="s">
        <v>402</v>
      </c>
      <c r="AG3" s="237" t="s">
        <v>403</v>
      </c>
      <c r="AH3" s="238" t="s">
        <v>400</v>
      </c>
      <c r="AI3" s="237" t="s">
        <v>401</v>
      </c>
      <c r="AJ3" s="237" t="s">
        <v>402</v>
      </c>
      <c r="AK3" s="239" t="s">
        <v>403</v>
      </c>
      <c r="AL3" s="237" t="s">
        <v>404</v>
      </c>
      <c r="AM3" s="235" t="s">
        <v>405</v>
      </c>
      <c r="AN3" s="235" t="s">
        <v>406</v>
      </c>
      <c r="AO3" s="235" t="s">
        <v>407</v>
      </c>
      <c r="AP3" s="235" t="s">
        <v>405</v>
      </c>
      <c r="AQ3" s="235" t="s">
        <v>408</v>
      </c>
      <c r="AR3" s="240" t="s">
        <v>407</v>
      </c>
      <c r="AS3" s="234" t="s">
        <v>409</v>
      </c>
      <c r="AT3" s="237" t="s">
        <v>400</v>
      </c>
      <c r="AU3" s="237" t="s">
        <v>401</v>
      </c>
      <c r="AV3" s="237" t="s">
        <v>402</v>
      </c>
      <c r="AW3" s="237" t="s">
        <v>403</v>
      </c>
      <c r="AX3" s="237" t="s">
        <v>400</v>
      </c>
      <c r="AY3" s="237" t="s">
        <v>401</v>
      </c>
      <c r="AZ3" s="237" t="s">
        <v>402</v>
      </c>
      <c r="BA3" s="237" t="s">
        <v>403</v>
      </c>
      <c r="BB3" s="234" t="s">
        <v>394</v>
      </c>
      <c r="BC3" s="234" t="s">
        <v>394</v>
      </c>
      <c r="BD3" s="237" t="s">
        <v>400</v>
      </c>
      <c r="BE3" s="237" t="s">
        <v>401</v>
      </c>
      <c r="BF3" s="237" t="s">
        <v>402</v>
      </c>
      <c r="BG3" s="237" t="s">
        <v>403</v>
      </c>
      <c r="BH3" s="237" t="s">
        <v>400</v>
      </c>
      <c r="BI3" s="237" t="s">
        <v>401</v>
      </c>
      <c r="BJ3" s="237" t="s">
        <v>402</v>
      </c>
      <c r="BK3" s="237" t="s">
        <v>403</v>
      </c>
      <c r="BL3" s="235" t="s">
        <v>405</v>
      </c>
      <c r="BM3" s="235" t="s">
        <v>410</v>
      </c>
      <c r="BN3" s="235" t="s">
        <v>411</v>
      </c>
      <c r="BO3" s="235" t="s">
        <v>412</v>
      </c>
      <c r="BP3" s="237" t="s">
        <v>402</v>
      </c>
      <c r="BQ3" s="234" t="s">
        <v>394</v>
      </c>
      <c r="BR3" s="233" t="s">
        <v>413</v>
      </c>
      <c r="BS3" s="234" t="s">
        <v>391</v>
      </c>
      <c r="BT3" s="234" t="s">
        <v>406</v>
      </c>
      <c r="BU3" s="241" t="s">
        <v>414</v>
      </c>
      <c r="BV3" s="237" t="s">
        <v>415</v>
      </c>
      <c r="BW3" s="234" t="s">
        <v>416</v>
      </c>
      <c r="BX3" s="234" t="s">
        <v>416</v>
      </c>
      <c r="BY3" s="234" t="s">
        <v>364</v>
      </c>
      <c r="BZ3" s="234" t="s">
        <v>364</v>
      </c>
      <c r="CA3" s="234" t="s">
        <v>364</v>
      </c>
      <c r="CB3" s="234" t="s">
        <v>364</v>
      </c>
      <c r="CC3" s="234" t="s">
        <v>417</v>
      </c>
      <c r="CD3" s="234" t="s">
        <v>417</v>
      </c>
      <c r="CE3" s="234" t="s">
        <v>417</v>
      </c>
      <c r="CF3" s="234" t="s">
        <v>417</v>
      </c>
      <c r="CG3" s="237" t="s">
        <v>400</v>
      </c>
      <c r="CH3" s="237" t="s">
        <v>401</v>
      </c>
      <c r="CI3" s="237" t="s">
        <v>402</v>
      </c>
      <c r="CJ3" s="237" t="s">
        <v>403</v>
      </c>
      <c r="CK3" s="233" t="s">
        <v>393</v>
      </c>
      <c r="CL3" s="233" t="s">
        <v>393</v>
      </c>
    </row>
    <row r="4" customFormat="false" ht="15.75" hidden="false" customHeight="false" outlineLevel="3" collapsed="false">
      <c r="A4" s="63" t="s">
        <v>418</v>
      </c>
      <c r="B4" s="63" t="s">
        <v>419</v>
      </c>
      <c r="C4" s="63" t="s">
        <v>420</v>
      </c>
      <c r="D4" s="63" t="s">
        <v>421</v>
      </c>
      <c r="E4" s="63" t="s">
        <v>422</v>
      </c>
      <c r="F4" s="63" t="s">
        <v>423</v>
      </c>
      <c r="G4" s="63" t="s">
        <v>424</v>
      </c>
      <c r="H4" s="63" t="s">
        <v>102</v>
      </c>
      <c r="I4" s="242" t="s">
        <v>425</v>
      </c>
      <c r="J4" s="243" t="n">
        <v>1</v>
      </c>
      <c r="K4" s="244" t="n">
        <v>1</v>
      </c>
      <c r="L4" s="245" t="n">
        <v>0</v>
      </c>
      <c r="M4" s="246" t="n">
        <v>0</v>
      </c>
      <c r="N4" s="246" t="n">
        <v>1</v>
      </c>
      <c r="O4" s="245" t="n">
        <v>0</v>
      </c>
      <c r="P4" s="247" t="n">
        <v>0</v>
      </c>
      <c r="Q4" s="248" t="n">
        <v>0</v>
      </c>
      <c r="R4" s="248" t="n">
        <v>0</v>
      </c>
      <c r="S4" s="249" t="n">
        <v>1</v>
      </c>
      <c r="T4" s="248" t="n">
        <v>0</v>
      </c>
      <c r="U4" s="250" t="n">
        <v>0</v>
      </c>
      <c r="V4" s="245" t="s">
        <v>426</v>
      </c>
      <c r="W4" s="245" t="n">
        <v>0</v>
      </c>
      <c r="X4" s="245" t="n">
        <v>0</v>
      </c>
      <c r="Y4" s="245" t="n">
        <v>0</v>
      </c>
      <c r="Z4" s="245" t="n">
        <v>0</v>
      </c>
      <c r="AA4" s="245" t="n">
        <v>0</v>
      </c>
      <c r="AB4" s="245" t="n">
        <v>0</v>
      </c>
      <c r="AC4" s="250" t="n">
        <v>0</v>
      </c>
      <c r="AD4" s="245" t="n">
        <v>0</v>
      </c>
      <c r="AE4" s="245" t="n">
        <v>0</v>
      </c>
      <c r="AF4" s="245" t="n">
        <v>0</v>
      </c>
      <c r="AG4" s="245" t="n">
        <v>0</v>
      </c>
      <c r="AH4" s="251" t="n">
        <v>0</v>
      </c>
      <c r="AI4" s="245" t="n">
        <v>0</v>
      </c>
      <c r="AJ4" s="245" t="n">
        <v>0</v>
      </c>
      <c r="AK4" s="252" t="n">
        <v>0</v>
      </c>
      <c r="AL4" s="253" t="n">
        <v>0</v>
      </c>
      <c r="AM4" s="245" t="n">
        <v>5407002.88</v>
      </c>
      <c r="AN4" s="246" t="n">
        <v>0</v>
      </c>
      <c r="AO4" s="253" t="n">
        <v>0</v>
      </c>
      <c r="AP4" s="245" t="n">
        <v>0</v>
      </c>
      <c r="AQ4" s="254" t="n">
        <v>1</v>
      </c>
      <c r="AR4" s="245" t="n">
        <v>0</v>
      </c>
      <c r="AS4" s="245" t="n">
        <v>0</v>
      </c>
      <c r="AT4" s="245" t="n">
        <v>0</v>
      </c>
      <c r="AU4" s="245" t="n">
        <v>0</v>
      </c>
      <c r="AV4" s="245" t="n">
        <v>0</v>
      </c>
      <c r="AW4" s="245" t="n">
        <v>0</v>
      </c>
      <c r="AX4" s="245" t="n">
        <v>0</v>
      </c>
      <c r="AY4" s="245" t="n">
        <v>0</v>
      </c>
      <c r="AZ4" s="245" t="n">
        <v>0</v>
      </c>
      <c r="BA4" s="245" t="n">
        <v>0</v>
      </c>
      <c r="BB4" s="245" t="s">
        <v>423</v>
      </c>
      <c r="BC4" s="245" t="s">
        <v>423</v>
      </c>
      <c r="BD4" s="245" t="n">
        <v>0</v>
      </c>
      <c r="BE4" s="245" t="n">
        <v>0</v>
      </c>
      <c r="BF4" s="245" t="n">
        <v>0</v>
      </c>
      <c r="BG4" s="245" t="n">
        <v>0</v>
      </c>
      <c r="BH4" s="245" t="n">
        <v>0</v>
      </c>
      <c r="BI4" s="245" t="n">
        <v>0</v>
      </c>
      <c r="BJ4" s="245" t="n">
        <v>0</v>
      </c>
      <c r="BK4" s="245" t="n">
        <v>0</v>
      </c>
      <c r="BL4" s="245" t="n">
        <v>0</v>
      </c>
      <c r="BM4" s="245" t="s">
        <v>427</v>
      </c>
      <c r="BN4" s="245" t="n">
        <v>0</v>
      </c>
      <c r="BO4" s="255" t="b">
        <f aca="false">FALSE()</f>
        <v>0</v>
      </c>
      <c r="BP4" s="255" t="n">
        <v>0</v>
      </c>
      <c r="BQ4" s="256" t="n">
        <v>0</v>
      </c>
      <c r="BR4" s="246" t="n">
        <v>0</v>
      </c>
      <c r="BS4" s="257" t="n">
        <v>81</v>
      </c>
      <c r="BT4" s="246" t="n">
        <v>0</v>
      </c>
      <c r="BU4" s="258" t="n">
        <v>0</v>
      </c>
      <c r="BV4" s="246" t="n">
        <v>180</v>
      </c>
      <c r="BW4" s="259" t="n">
        <v>0</v>
      </c>
      <c r="BX4" s="259" t="n">
        <v>0</v>
      </c>
      <c r="BY4" s="255" t="n">
        <v>0</v>
      </c>
      <c r="BZ4" s="255" t="n">
        <v>0</v>
      </c>
      <c r="CA4" s="255" t="n">
        <v>0</v>
      </c>
      <c r="CB4" s="255" t="n">
        <v>-5407002.88</v>
      </c>
      <c r="CC4" s="255" t="n">
        <v>0</v>
      </c>
      <c r="CD4" s="255" t="n">
        <v>0</v>
      </c>
      <c r="CE4" s="255" t="n">
        <v>0</v>
      </c>
      <c r="CF4" s="255" t="n">
        <v>0</v>
      </c>
      <c r="CG4" s="255" t="n">
        <v>0</v>
      </c>
      <c r="CH4" s="255" t="n">
        <v>0</v>
      </c>
      <c r="CI4" s="255" t="n">
        <v>0</v>
      </c>
      <c r="CJ4" s="255" t="n">
        <v>0</v>
      </c>
      <c r="CK4" s="246" t="n">
        <v>0</v>
      </c>
      <c r="CL4" s="246" t="n">
        <v>0</v>
      </c>
    </row>
    <row r="5" customFormat="false" ht="20.1" hidden="false" customHeight="true" outlineLevel="2" collapsed="false">
      <c r="A5" s="260" t="s">
        <v>428</v>
      </c>
      <c r="B5" s="261"/>
      <c r="C5" s="261"/>
      <c r="D5" s="261"/>
      <c r="E5" s="261"/>
      <c r="F5" s="261"/>
      <c r="G5" s="261"/>
      <c r="H5" s="261"/>
      <c r="I5" s="262"/>
      <c r="J5" s="263"/>
      <c r="K5" s="264"/>
      <c r="L5" s="265"/>
      <c r="M5" s="266"/>
      <c r="N5" s="266"/>
      <c r="O5" s="265"/>
      <c r="P5" s="267"/>
      <c r="Q5" s="268"/>
      <c r="R5" s="268" t="n">
        <v>0</v>
      </c>
      <c r="S5" s="269" t="n">
        <v>1</v>
      </c>
      <c r="T5" s="268" t="n">
        <v>0</v>
      </c>
      <c r="U5" s="270" t="n">
        <v>0</v>
      </c>
      <c r="V5" s="265"/>
      <c r="W5" s="265" t="n">
        <v>0</v>
      </c>
      <c r="X5" s="265" t="n">
        <v>0</v>
      </c>
      <c r="Y5" s="265" t="n">
        <v>0</v>
      </c>
      <c r="Z5" s="265" t="n">
        <v>0</v>
      </c>
      <c r="AA5" s="265" t="n">
        <v>0</v>
      </c>
      <c r="AB5" s="265" t="n">
        <v>0</v>
      </c>
      <c r="AC5" s="270" t="n">
        <v>0</v>
      </c>
      <c r="AD5" s="265" t="n">
        <v>0</v>
      </c>
      <c r="AE5" s="265" t="n">
        <v>0</v>
      </c>
      <c r="AF5" s="265" t="n">
        <v>0</v>
      </c>
      <c r="AG5" s="265" t="n">
        <v>0</v>
      </c>
      <c r="AH5" s="271" t="n">
        <v>0</v>
      </c>
      <c r="AI5" s="265" t="n">
        <v>0</v>
      </c>
      <c r="AJ5" s="265" t="n">
        <v>0</v>
      </c>
      <c r="AK5" s="272" t="n">
        <v>0</v>
      </c>
      <c r="AL5" s="273"/>
      <c r="AM5" s="265" t="n">
        <v>5407002.88</v>
      </c>
      <c r="AN5" s="266"/>
      <c r="AO5" s="273"/>
      <c r="AP5" s="265" t="n">
        <v>0</v>
      </c>
      <c r="AQ5" s="274"/>
      <c r="AR5" s="265"/>
      <c r="AS5" s="265"/>
      <c r="AT5" s="265" t="n">
        <v>0</v>
      </c>
      <c r="AU5" s="265" t="n">
        <v>0</v>
      </c>
      <c r="AV5" s="265" t="n">
        <v>0</v>
      </c>
      <c r="AW5" s="265" t="n">
        <v>0</v>
      </c>
      <c r="AX5" s="265" t="n">
        <v>0</v>
      </c>
      <c r="AY5" s="265" t="n">
        <v>0</v>
      </c>
      <c r="AZ5" s="265" t="n">
        <v>0</v>
      </c>
      <c r="BA5" s="265" t="n">
        <v>0</v>
      </c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75"/>
      <c r="BR5" s="266"/>
      <c r="BS5" s="276"/>
      <c r="BT5" s="266"/>
      <c r="BU5" s="277"/>
      <c r="BV5" s="266"/>
      <c r="BW5" s="278"/>
      <c r="BX5" s="278"/>
      <c r="BY5" s="265"/>
      <c r="BZ5" s="265"/>
      <c r="CA5" s="265" t="n">
        <v>0</v>
      </c>
      <c r="CB5" s="265"/>
      <c r="CC5" s="265"/>
      <c r="CD5" s="265"/>
      <c r="CE5" s="265"/>
      <c r="CF5" s="265"/>
      <c r="CG5" s="265"/>
      <c r="CH5" s="265"/>
      <c r="CI5" s="265"/>
      <c r="CJ5" s="265"/>
      <c r="CK5" s="266"/>
      <c r="CL5" s="266"/>
    </row>
    <row r="6" customFormat="false" ht="30" hidden="false" customHeight="true" outlineLevel="1" collapsed="false">
      <c r="A6" s="261"/>
      <c r="B6" s="260" t="s">
        <v>429</v>
      </c>
      <c r="C6" s="261"/>
      <c r="D6" s="261"/>
      <c r="E6" s="261"/>
      <c r="F6" s="261"/>
      <c r="G6" s="261"/>
      <c r="H6" s="261"/>
      <c r="I6" s="262"/>
      <c r="J6" s="279"/>
      <c r="K6" s="279"/>
      <c r="L6" s="280"/>
      <c r="M6" s="281"/>
      <c r="N6" s="281"/>
      <c r="O6" s="280"/>
      <c r="P6" s="282"/>
      <c r="Q6" s="283"/>
      <c r="R6" s="283" t="n">
        <v>0</v>
      </c>
      <c r="S6" s="284" t="n">
        <v>1</v>
      </c>
      <c r="T6" s="283" t="n">
        <v>0</v>
      </c>
      <c r="U6" s="285" t="n">
        <v>0</v>
      </c>
      <c r="V6" s="280"/>
      <c r="W6" s="280" t="n">
        <v>0</v>
      </c>
      <c r="X6" s="280" t="n">
        <v>0</v>
      </c>
      <c r="Y6" s="280" t="n">
        <v>0</v>
      </c>
      <c r="Z6" s="280" t="n">
        <v>0</v>
      </c>
      <c r="AA6" s="280" t="n">
        <v>0</v>
      </c>
      <c r="AB6" s="280" t="n">
        <v>0</v>
      </c>
      <c r="AC6" s="285" t="n">
        <v>0</v>
      </c>
      <c r="AD6" s="280" t="n">
        <v>0</v>
      </c>
      <c r="AE6" s="280" t="n">
        <v>0</v>
      </c>
      <c r="AF6" s="280" t="n">
        <v>0</v>
      </c>
      <c r="AG6" s="280" t="n">
        <v>0</v>
      </c>
      <c r="AH6" s="286" t="n">
        <v>0</v>
      </c>
      <c r="AI6" s="280" t="n">
        <v>0</v>
      </c>
      <c r="AJ6" s="280" t="n">
        <v>0</v>
      </c>
      <c r="AK6" s="287" t="n">
        <v>0</v>
      </c>
      <c r="AL6" s="288"/>
      <c r="AM6" s="280" t="n">
        <v>5407002.88</v>
      </c>
      <c r="AN6" s="281"/>
      <c r="AO6" s="288"/>
      <c r="AP6" s="280" t="n">
        <v>0</v>
      </c>
      <c r="AQ6" s="289"/>
      <c r="AR6" s="280"/>
      <c r="AS6" s="280"/>
      <c r="AT6" s="280" t="n">
        <v>0</v>
      </c>
      <c r="AU6" s="280" t="n">
        <v>0</v>
      </c>
      <c r="AV6" s="280" t="n">
        <v>0</v>
      </c>
      <c r="AW6" s="280" t="n">
        <v>0</v>
      </c>
      <c r="AX6" s="280" t="n">
        <v>0</v>
      </c>
      <c r="AY6" s="280" t="n">
        <v>0</v>
      </c>
      <c r="AZ6" s="280" t="n">
        <v>0</v>
      </c>
      <c r="BA6" s="280" t="n">
        <v>0</v>
      </c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90"/>
      <c r="BR6" s="281"/>
      <c r="BS6" s="291"/>
      <c r="BT6" s="281"/>
      <c r="BU6" s="292"/>
      <c r="BV6" s="281"/>
      <c r="BW6" s="293"/>
      <c r="BX6" s="293"/>
      <c r="BY6" s="280"/>
      <c r="BZ6" s="280"/>
      <c r="CA6" s="280" t="n">
        <v>0</v>
      </c>
      <c r="CB6" s="280"/>
      <c r="CC6" s="280"/>
      <c r="CD6" s="280"/>
      <c r="CE6" s="280"/>
      <c r="CF6" s="280"/>
      <c r="CG6" s="280"/>
      <c r="CH6" s="280"/>
      <c r="CI6" s="280"/>
      <c r="CJ6" s="280"/>
      <c r="CK6" s="281"/>
      <c r="CL6" s="281"/>
    </row>
    <row r="7" customFormat="false" ht="15.75" hidden="false" customHeight="false" outlineLevel="3" collapsed="false">
      <c r="A7" s="63" t="s">
        <v>430</v>
      </c>
      <c r="B7" s="63" t="s">
        <v>431</v>
      </c>
      <c r="C7" s="63" t="s">
        <v>432</v>
      </c>
      <c r="D7" s="63" t="s">
        <v>433</v>
      </c>
      <c r="E7" s="63" t="s">
        <v>434</v>
      </c>
      <c r="F7" s="63" t="s">
        <v>435</v>
      </c>
      <c r="G7" s="63" t="s">
        <v>436</v>
      </c>
      <c r="H7" s="63" t="s">
        <v>99</v>
      </c>
      <c r="I7" s="242" t="s">
        <v>425</v>
      </c>
      <c r="J7" s="244" t="n">
        <v>1092426</v>
      </c>
      <c r="K7" s="244" t="n">
        <v>1092426</v>
      </c>
      <c r="L7" s="246" t="n">
        <v>0</v>
      </c>
      <c r="M7" s="246" t="n">
        <v>0</v>
      </c>
      <c r="N7" s="246" t="n">
        <v>1</v>
      </c>
      <c r="O7" s="245" t="n">
        <v>3.3</v>
      </c>
      <c r="P7" s="247" t="n">
        <v>3.45</v>
      </c>
      <c r="Q7" s="247" t="n">
        <v>-0.15</v>
      </c>
      <c r="R7" s="248" t="n">
        <v>0</v>
      </c>
      <c r="S7" s="249" t="n">
        <v>1</v>
      </c>
      <c r="T7" s="248" t="s">
        <v>437</v>
      </c>
      <c r="U7" s="250" t="n">
        <v>3605005.8</v>
      </c>
      <c r="V7" s="245" t="s">
        <v>426</v>
      </c>
      <c r="W7" s="245" t="n">
        <v>0</v>
      </c>
      <c r="X7" s="245" t="n">
        <v>0</v>
      </c>
      <c r="Y7" s="245" t="n">
        <v>0</v>
      </c>
      <c r="Z7" s="245" t="n">
        <v>0</v>
      </c>
      <c r="AA7" s="245" t="n">
        <v>0</v>
      </c>
      <c r="AB7" s="245" t="n">
        <v>0</v>
      </c>
      <c r="AC7" s="250" t="n">
        <v>3768869.7</v>
      </c>
      <c r="AD7" s="245" t="n">
        <v>-163863.9</v>
      </c>
      <c r="AE7" s="245" t="n">
        <v>0</v>
      </c>
      <c r="AF7" s="245" t="n">
        <v>163863.9</v>
      </c>
      <c r="AG7" s="245" t="n">
        <v>0</v>
      </c>
      <c r="AH7" s="251" t="n">
        <v>-5757085.02</v>
      </c>
      <c r="AI7" s="245" t="n">
        <v>0</v>
      </c>
      <c r="AJ7" s="245" t="n">
        <v>5757085.02</v>
      </c>
      <c r="AK7" s="252" t="n">
        <v>0</v>
      </c>
      <c r="AL7" s="253" t="n">
        <v>0</v>
      </c>
      <c r="AM7" s="245" t="n">
        <v>26925615.25</v>
      </c>
      <c r="AN7" s="246" t="n">
        <v>0</v>
      </c>
      <c r="AO7" s="253" t="n">
        <v>0</v>
      </c>
      <c r="AP7" s="245" t="n">
        <v>104012148.25</v>
      </c>
      <c r="AQ7" s="254" t="n">
        <v>1</v>
      </c>
      <c r="AR7" s="245" t="n">
        <v>3605005.8</v>
      </c>
      <c r="AS7" s="245" t="n">
        <v>3.3</v>
      </c>
      <c r="AT7" s="245" t="n">
        <v>-1256289.9</v>
      </c>
      <c r="AU7" s="245" t="n">
        <v>0</v>
      </c>
      <c r="AV7" s="245" t="n">
        <v>1256289.9</v>
      </c>
      <c r="AW7" s="245" t="n">
        <v>0</v>
      </c>
      <c r="AX7" s="245" t="n">
        <v>-23290170.4666667</v>
      </c>
      <c r="AY7" s="245" t="n">
        <v>0</v>
      </c>
      <c r="AZ7" s="245" t="n">
        <v>23290170.4666667</v>
      </c>
      <c r="BA7" s="245" t="n">
        <v>0</v>
      </c>
      <c r="BB7" s="245" t="n">
        <v>3.3</v>
      </c>
      <c r="BC7" s="245" t="n">
        <v>3.45</v>
      </c>
      <c r="BD7" s="245" t="n">
        <v>-1092426</v>
      </c>
      <c r="BE7" s="245" t="n">
        <v>0</v>
      </c>
      <c r="BF7" s="245" t="n">
        <v>1092426</v>
      </c>
      <c r="BG7" s="245" t="n">
        <v>0</v>
      </c>
      <c r="BH7" s="245" t="n">
        <v>-23126306.5666667</v>
      </c>
      <c r="BI7" s="245" t="n">
        <v>0</v>
      </c>
      <c r="BJ7" s="245" t="n">
        <v>23126306.5666667</v>
      </c>
      <c r="BK7" s="245" t="n">
        <v>0</v>
      </c>
      <c r="BL7" s="245" t="n">
        <v>104012148.25</v>
      </c>
      <c r="BM7" s="245" t="s">
        <v>438</v>
      </c>
      <c r="BN7" s="245" t="n">
        <v>0</v>
      </c>
      <c r="BO7" s="255" t="b">
        <f aca="false">FALSE()</f>
        <v>0</v>
      </c>
      <c r="BP7" s="255" t="n">
        <v>5593221.12</v>
      </c>
      <c r="BQ7" s="247" t="n">
        <v>3</v>
      </c>
      <c r="BR7" s="246" t="n">
        <v>0</v>
      </c>
      <c r="BS7" s="257" t="n">
        <v>60</v>
      </c>
      <c r="BT7" s="246" t="n">
        <v>-163863.9</v>
      </c>
      <c r="BU7" s="258" t="n">
        <v>0</v>
      </c>
      <c r="BV7" s="246" t="n">
        <v>76</v>
      </c>
      <c r="BW7" s="259" t="n">
        <v>3.3</v>
      </c>
      <c r="BX7" s="259" t="n">
        <v>0</v>
      </c>
      <c r="BY7" s="255" t="n">
        <v>0</v>
      </c>
      <c r="BZ7" s="255" t="n">
        <v>0</v>
      </c>
      <c r="CA7" s="255" t="n">
        <v>0</v>
      </c>
      <c r="CB7" s="255" t="n">
        <v>-30438.9833333333</v>
      </c>
      <c r="CC7" s="255" t="n">
        <v>0</v>
      </c>
      <c r="CD7" s="255" t="n">
        <v>0</v>
      </c>
      <c r="CE7" s="255" t="n">
        <v>0</v>
      </c>
      <c r="CF7" s="255" t="n">
        <v>0</v>
      </c>
      <c r="CG7" s="255" t="n">
        <v>-5593221.12</v>
      </c>
      <c r="CH7" s="255" t="n">
        <v>0</v>
      </c>
      <c r="CI7" s="255" t="n">
        <v>5593221.12</v>
      </c>
      <c r="CJ7" s="255" t="n">
        <v>0</v>
      </c>
      <c r="CK7" s="246" t="n">
        <v>0</v>
      </c>
      <c r="CL7" s="246" t="n">
        <v>0</v>
      </c>
    </row>
    <row r="8" customFormat="false" ht="20.1" hidden="false" customHeight="true" outlineLevel="2" collapsed="false">
      <c r="A8" s="261" t="s">
        <v>439</v>
      </c>
      <c r="B8" s="261"/>
      <c r="C8" s="261"/>
      <c r="D8" s="261"/>
      <c r="E8" s="261"/>
      <c r="F8" s="261"/>
      <c r="G8" s="261"/>
      <c r="H8" s="261"/>
      <c r="I8" s="262"/>
      <c r="J8" s="264"/>
      <c r="K8" s="264"/>
      <c r="L8" s="266"/>
      <c r="M8" s="266"/>
      <c r="N8" s="266"/>
      <c r="O8" s="265"/>
      <c r="P8" s="267"/>
      <c r="Q8" s="267"/>
      <c r="R8" s="268" t="n">
        <v>0</v>
      </c>
      <c r="S8" s="269" t="n">
        <v>1</v>
      </c>
      <c r="T8" s="268" t="n">
        <v>0</v>
      </c>
      <c r="U8" s="270" t="n">
        <v>3605005.8</v>
      </c>
      <c r="V8" s="265"/>
      <c r="W8" s="265" t="n">
        <v>0</v>
      </c>
      <c r="X8" s="265" t="n">
        <v>0</v>
      </c>
      <c r="Y8" s="265" t="n">
        <v>0</v>
      </c>
      <c r="Z8" s="265" t="n">
        <v>0</v>
      </c>
      <c r="AA8" s="265" t="n">
        <v>0</v>
      </c>
      <c r="AB8" s="265" t="n">
        <v>0</v>
      </c>
      <c r="AC8" s="270" t="n">
        <v>3768869.7</v>
      </c>
      <c r="AD8" s="265" t="n">
        <v>-163863.9</v>
      </c>
      <c r="AE8" s="265" t="n">
        <v>0</v>
      </c>
      <c r="AF8" s="265" t="n">
        <v>163863.9</v>
      </c>
      <c r="AG8" s="265" t="n">
        <v>0</v>
      </c>
      <c r="AH8" s="271" t="n">
        <v>-5757085.02</v>
      </c>
      <c r="AI8" s="265" t="n">
        <v>0</v>
      </c>
      <c r="AJ8" s="265" t="n">
        <v>5757085.02</v>
      </c>
      <c r="AK8" s="272" t="n">
        <v>0</v>
      </c>
      <c r="AL8" s="273"/>
      <c r="AM8" s="265" t="n">
        <v>26925615.25</v>
      </c>
      <c r="AN8" s="266"/>
      <c r="AO8" s="273"/>
      <c r="AP8" s="265" t="n">
        <v>104012148.25</v>
      </c>
      <c r="AQ8" s="274"/>
      <c r="AR8" s="265"/>
      <c r="AS8" s="265"/>
      <c r="AT8" s="265" t="n">
        <v>-1256289.9</v>
      </c>
      <c r="AU8" s="265" t="n">
        <v>0</v>
      </c>
      <c r="AV8" s="265" t="n">
        <v>1256289.9</v>
      </c>
      <c r="AW8" s="265" t="n">
        <v>0</v>
      </c>
      <c r="AX8" s="265" t="n">
        <v>-23290170.4666667</v>
      </c>
      <c r="AY8" s="265" t="n">
        <v>0</v>
      </c>
      <c r="AZ8" s="265" t="n">
        <v>23290170.4666667</v>
      </c>
      <c r="BA8" s="265" t="n">
        <v>0</v>
      </c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7"/>
      <c r="BR8" s="266"/>
      <c r="BS8" s="276"/>
      <c r="BT8" s="266"/>
      <c r="BU8" s="277"/>
      <c r="BV8" s="266"/>
      <c r="BW8" s="278"/>
      <c r="BX8" s="278"/>
      <c r="BY8" s="265"/>
      <c r="BZ8" s="265"/>
      <c r="CA8" s="265" t="n">
        <v>0</v>
      </c>
      <c r="CB8" s="265"/>
      <c r="CC8" s="265"/>
      <c r="CD8" s="265"/>
      <c r="CE8" s="265"/>
      <c r="CF8" s="265"/>
      <c r="CG8" s="265"/>
      <c r="CH8" s="265"/>
      <c r="CI8" s="265"/>
      <c r="CJ8" s="265"/>
      <c r="CK8" s="266"/>
      <c r="CL8" s="266"/>
    </row>
    <row r="9" customFormat="false" ht="30" hidden="false" customHeight="true" outlineLevel="1" collapsed="false">
      <c r="A9" s="261"/>
      <c r="B9" s="261" t="s">
        <v>440</v>
      </c>
      <c r="C9" s="261"/>
      <c r="D9" s="261"/>
      <c r="E9" s="261"/>
      <c r="F9" s="261"/>
      <c r="G9" s="261"/>
      <c r="H9" s="261"/>
      <c r="I9" s="262"/>
      <c r="J9" s="279"/>
      <c r="K9" s="279"/>
      <c r="L9" s="281"/>
      <c r="M9" s="281"/>
      <c r="N9" s="281"/>
      <c r="O9" s="280"/>
      <c r="P9" s="282"/>
      <c r="Q9" s="282"/>
      <c r="R9" s="283" t="n">
        <v>0</v>
      </c>
      <c r="S9" s="284" t="n">
        <v>1</v>
      </c>
      <c r="T9" s="283" t="n">
        <v>0</v>
      </c>
      <c r="U9" s="285" t="n">
        <v>3605005.8</v>
      </c>
      <c r="V9" s="280"/>
      <c r="W9" s="280" t="n">
        <v>0</v>
      </c>
      <c r="X9" s="280" t="n">
        <v>0</v>
      </c>
      <c r="Y9" s="280" t="n">
        <v>0</v>
      </c>
      <c r="Z9" s="280" t="n">
        <v>0</v>
      </c>
      <c r="AA9" s="280" t="n">
        <v>0</v>
      </c>
      <c r="AB9" s="280" t="n">
        <v>0</v>
      </c>
      <c r="AC9" s="285" t="n">
        <v>3768869.7</v>
      </c>
      <c r="AD9" s="280" t="n">
        <v>-163863.9</v>
      </c>
      <c r="AE9" s="280" t="n">
        <v>0</v>
      </c>
      <c r="AF9" s="280" t="n">
        <v>163863.9</v>
      </c>
      <c r="AG9" s="280" t="n">
        <v>0</v>
      </c>
      <c r="AH9" s="286" t="n">
        <v>-5757085.02</v>
      </c>
      <c r="AI9" s="280" t="n">
        <v>0</v>
      </c>
      <c r="AJ9" s="280" t="n">
        <v>5757085.02</v>
      </c>
      <c r="AK9" s="287" t="n">
        <v>0</v>
      </c>
      <c r="AL9" s="288"/>
      <c r="AM9" s="280" t="n">
        <v>26925615.25</v>
      </c>
      <c r="AN9" s="281"/>
      <c r="AO9" s="288"/>
      <c r="AP9" s="280" t="n">
        <v>104012148.25</v>
      </c>
      <c r="AQ9" s="289"/>
      <c r="AR9" s="280"/>
      <c r="AS9" s="280"/>
      <c r="AT9" s="280" t="n">
        <v>-1256289.9</v>
      </c>
      <c r="AU9" s="280" t="n">
        <v>0</v>
      </c>
      <c r="AV9" s="280" t="n">
        <v>1256289.9</v>
      </c>
      <c r="AW9" s="280" t="n">
        <v>0</v>
      </c>
      <c r="AX9" s="280" t="n">
        <v>-23290170.4666667</v>
      </c>
      <c r="AY9" s="280" t="n">
        <v>0</v>
      </c>
      <c r="AZ9" s="280" t="n">
        <v>23290170.4666667</v>
      </c>
      <c r="BA9" s="280" t="n">
        <v>0</v>
      </c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2"/>
      <c r="BR9" s="281"/>
      <c r="BS9" s="291"/>
      <c r="BT9" s="281"/>
      <c r="BU9" s="292"/>
      <c r="BV9" s="281"/>
      <c r="BW9" s="293"/>
      <c r="BX9" s="293"/>
      <c r="BY9" s="280"/>
      <c r="BZ9" s="280"/>
      <c r="CA9" s="280" t="n">
        <v>0</v>
      </c>
      <c r="CB9" s="280"/>
      <c r="CC9" s="280"/>
      <c r="CD9" s="280"/>
      <c r="CE9" s="280"/>
      <c r="CF9" s="280"/>
      <c r="CG9" s="280"/>
      <c r="CH9" s="280"/>
      <c r="CI9" s="280"/>
      <c r="CJ9" s="280"/>
      <c r="CK9" s="281"/>
      <c r="CL9" s="281"/>
    </row>
    <row r="10" customFormat="false" ht="15.75" hidden="false" customHeight="false" outlineLevel="3" collapsed="false">
      <c r="A10" s="63" t="s">
        <v>441</v>
      </c>
      <c r="B10" s="63" t="s">
        <v>442</v>
      </c>
      <c r="C10" s="63" t="s">
        <v>443</v>
      </c>
      <c r="D10" s="63" t="s">
        <v>444</v>
      </c>
      <c r="E10" s="63" t="s">
        <v>445</v>
      </c>
      <c r="F10" s="63" t="s">
        <v>423</v>
      </c>
      <c r="G10" s="63" t="s">
        <v>446</v>
      </c>
      <c r="H10" s="63" t="s">
        <v>102</v>
      </c>
      <c r="I10" s="242" t="s">
        <v>447</v>
      </c>
      <c r="J10" s="244" t="n">
        <v>1</v>
      </c>
      <c r="K10" s="244" t="n">
        <v>1</v>
      </c>
      <c r="L10" s="246" t="n">
        <v>0</v>
      </c>
      <c r="M10" s="246" t="n">
        <v>0</v>
      </c>
      <c r="N10" s="246" t="n">
        <v>0</v>
      </c>
      <c r="O10" s="245" t="n">
        <v>1381612.61</v>
      </c>
      <c r="P10" s="246" t="n">
        <v>1381612.61</v>
      </c>
      <c r="Q10" s="246" t="n">
        <v>0</v>
      </c>
      <c r="R10" s="248" t="s">
        <v>448</v>
      </c>
      <c r="S10" s="249" t="n">
        <v>1</v>
      </c>
      <c r="T10" s="248" t="s">
        <v>437</v>
      </c>
      <c r="U10" s="250" t="n">
        <v>1381612.61</v>
      </c>
      <c r="V10" s="245" t="s">
        <v>426</v>
      </c>
      <c r="W10" s="245" t="n">
        <v>0</v>
      </c>
      <c r="X10" s="245" t="n">
        <v>0</v>
      </c>
      <c r="Y10" s="245" t="n">
        <v>0</v>
      </c>
      <c r="Z10" s="245" t="n">
        <v>0</v>
      </c>
      <c r="AA10" s="245" t="n">
        <v>0</v>
      </c>
      <c r="AB10" s="245" t="n">
        <v>0</v>
      </c>
      <c r="AC10" s="250" t="n">
        <v>1381612.61</v>
      </c>
      <c r="AD10" s="245" t="n">
        <v>0</v>
      </c>
      <c r="AE10" s="245" t="n">
        <v>0</v>
      </c>
      <c r="AF10" s="245" t="n">
        <v>0</v>
      </c>
      <c r="AG10" s="245" t="n">
        <v>0</v>
      </c>
      <c r="AH10" s="251" t="n">
        <v>0</v>
      </c>
      <c r="AI10" s="245" t="n">
        <v>0</v>
      </c>
      <c r="AJ10" s="245" t="n">
        <v>0</v>
      </c>
      <c r="AK10" s="252" t="n">
        <v>0</v>
      </c>
      <c r="AL10" s="253" t="n">
        <v>0</v>
      </c>
      <c r="AM10" s="245" t="n">
        <v>4663184</v>
      </c>
      <c r="AN10" s="246" t="n">
        <v>0</v>
      </c>
      <c r="AO10" s="253" t="n">
        <v>0</v>
      </c>
      <c r="AP10" s="245" t="n">
        <v>1887724.3</v>
      </c>
      <c r="AQ10" s="254" t="n">
        <v>1</v>
      </c>
      <c r="AR10" s="245" t="n">
        <v>0</v>
      </c>
      <c r="AS10" s="245" t="n">
        <v>1381612.61</v>
      </c>
      <c r="AT10" s="245" t="n">
        <v>0</v>
      </c>
      <c r="AU10" s="245" t="n">
        <v>0</v>
      </c>
      <c r="AV10" s="245" t="n">
        <v>0</v>
      </c>
      <c r="AW10" s="245" t="n">
        <v>0</v>
      </c>
      <c r="AX10" s="245" t="n">
        <v>-3166148.43</v>
      </c>
      <c r="AY10" s="245" t="n">
        <v>0</v>
      </c>
      <c r="AZ10" s="245" t="n">
        <v>3166148.43</v>
      </c>
      <c r="BA10" s="245" t="n">
        <v>0</v>
      </c>
      <c r="BB10" s="245" t="s">
        <v>423</v>
      </c>
      <c r="BC10" s="245" t="s">
        <v>423</v>
      </c>
      <c r="BD10" s="245" t="n">
        <v>0</v>
      </c>
      <c r="BE10" s="245" t="n">
        <v>0</v>
      </c>
      <c r="BF10" s="245" t="n">
        <v>0</v>
      </c>
      <c r="BG10" s="245" t="n">
        <v>0</v>
      </c>
      <c r="BH10" s="245" t="n">
        <v>-3166148.43</v>
      </c>
      <c r="BI10" s="245" t="n">
        <v>0</v>
      </c>
      <c r="BJ10" s="245" t="n">
        <v>3166148.43</v>
      </c>
      <c r="BK10" s="245" t="n">
        <v>0</v>
      </c>
      <c r="BL10" s="245" t="n">
        <v>1887724.3</v>
      </c>
      <c r="BM10" s="245" t="s">
        <v>427</v>
      </c>
      <c r="BN10" s="245" t="n">
        <v>0</v>
      </c>
      <c r="BO10" s="255" t="b">
        <f aca="false">FALSE()</f>
        <v>0</v>
      </c>
      <c r="BP10" s="255" t="n">
        <v>0</v>
      </c>
      <c r="BQ10" s="247" t="n">
        <v>4443788</v>
      </c>
      <c r="BR10" s="246" t="n">
        <v>0</v>
      </c>
      <c r="BS10" s="257" t="n">
        <v>83</v>
      </c>
      <c r="BT10" s="246" t="n">
        <v>0</v>
      </c>
      <c r="BU10" s="258" t="n">
        <v>0</v>
      </c>
      <c r="BV10" s="246" t="n">
        <v>206</v>
      </c>
      <c r="BW10" s="259" t="n">
        <v>0</v>
      </c>
      <c r="BX10" s="259" t="n">
        <v>0</v>
      </c>
      <c r="BY10" s="255" t="n">
        <v>0</v>
      </c>
      <c r="BZ10" s="255" t="n">
        <v>-506111.69</v>
      </c>
      <c r="CA10" s="255" t="n">
        <v>-506111.69</v>
      </c>
      <c r="CB10" s="255" t="n">
        <v>-115422.96</v>
      </c>
      <c r="CC10" s="255" t="n">
        <v>0</v>
      </c>
      <c r="CD10" s="255" t="n">
        <v>0</v>
      </c>
      <c r="CE10" s="255" t="n">
        <v>0</v>
      </c>
      <c r="CF10" s="255" t="n">
        <v>0</v>
      </c>
      <c r="CG10" s="255" t="n">
        <v>0</v>
      </c>
      <c r="CH10" s="255" t="n">
        <v>0</v>
      </c>
      <c r="CI10" s="255" t="n">
        <v>0</v>
      </c>
      <c r="CJ10" s="255" t="n">
        <v>0</v>
      </c>
      <c r="CK10" s="246" t="n">
        <v>0</v>
      </c>
      <c r="CL10" s="246" t="n">
        <v>0</v>
      </c>
    </row>
    <row r="11" customFormat="false" ht="15.75" hidden="false" customHeight="false" outlineLevel="3" collapsed="false">
      <c r="A11" s="63" t="s">
        <v>441</v>
      </c>
      <c r="B11" s="63" t="s">
        <v>442</v>
      </c>
      <c r="C11" s="63" t="s">
        <v>449</v>
      </c>
      <c r="D11" s="63" t="s">
        <v>450</v>
      </c>
      <c r="E11" s="63" t="s">
        <v>451</v>
      </c>
      <c r="F11" s="63" t="s">
        <v>423</v>
      </c>
      <c r="G11" s="63" t="s">
        <v>452</v>
      </c>
      <c r="H11" s="63" t="s">
        <v>102</v>
      </c>
      <c r="I11" s="242" t="s">
        <v>447</v>
      </c>
      <c r="J11" s="244" t="n">
        <v>1</v>
      </c>
      <c r="K11" s="244" t="n">
        <v>1</v>
      </c>
      <c r="L11" s="246" t="n">
        <v>0</v>
      </c>
      <c r="M11" s="246" t="n">
        <v>0</v>
      </c>
      <c r="N11" s="246" t="n">
        <v>0</v>
      </c>
      <c r="O11" s="245" t="n">
        <v>25489125.01</v>
      </c>
      <c r="P11" s="246" t="n">
        <v>25489125.01</v>
      </c>
      <c r="Q11" s="246" t="n">
        <v>0</v>
      </c>
      <c r="R11" s="248" t="s">
        <v>453</v>
      </c>
      <c r="S11" s="294" t="n">
        <v>0.625</v>
      </c>
      <c r="T11" s="248" t="s">
        <v>437</v>
      </c>
      <c r="U11" s="250" t="n">
        <v>25489125.01</v>
      </c>
      <c r="V11" s="245" t="s">
        <v>426</v>
      </c>
      <c r="W11" s="245" t="n">
        <v>0</v>
      </c>
      <c r="X11" s="245" t="n">
        <v>0</v>
      </c>
      <c r="Y11" s="245" t="n">
        <v>0</v>
      </c>
      <c r="Z11" s="245" t="n">
        <v>0</v>
      </c>
      <c r="AA11" s="245" t="n">
        <v>0</v>
      </c>
      <c r="AB11" s="245" t="n">
        <v>0</v>
      </c>
      <c r="AC11" s="250" t="n">
        <v>25489125.01</v>
      </c>
      <c r="AD11" s="245" t="n">
        <v>0</v>
      </c>
      <c r="AE11" s="245" t="n">
        <v>0</v>
      </c>
      <c r="AF11" s="245" t="n">
        <v>0</v>
      </c>
      <c r="AG11" s="245" t="n">
        <v>0</v>
      </c>
      <c r="AH11" s="251" t="n">
        <v>0</v>
      </c>
      <c r="AI11" s="245" t="n">
        <v>0</v>
      </c>
      <c r="AJ11" s="245" t="n">
        <v>0</v>
      </c>
      <c r="AK11" s="252" t="n">
        <v>0</v>
      </c>
      <c r="AL11" s="253" t="n">
        <v>0</v>
      </c>
      <c r="AM11" s="245" t="n">
        <v>21605090</v>
      </c>
      <c r="AN11" s="246" t="n">
        <v>0</v>
      </c>
      <c r="AO11" s="253" t="n">
        <v>0</v>
      </c>
      <c r="AP11" s="245" t="n">
        <v>23523500.01</v>
      </c>
      <c r="AQ11" s="254" t="n">
        <v>1</v>
      </c>
      <c r="AR11" s="245" t="n">
        <v>0</v>
      </c>
      <c r="AS11" s="245" t="n">
        <v>25489125.01</v>
      </c>
      <c r="AT11" s="245" t="n">
        <v>0</v>
      </c>
      <c r="AU11" s="245" t="n">
        <v>0</v>
      </c>
      <c r="AV11" s="245" t="n">
        <v>0</v>
      </c>
      <c r="AW11" s="245" t="n">
        <v>0</v>
      </c>
      <c r="AX11" s="245" t="n">
        <v>-111965</v>
      </c>
      <c r="AY11" s="245" t="n">
        <v>0</v>
      </c>
      <c r="AZ11" s="245" t="n">
        <v>111965</v>
      </c>
      <c r="BA11" s="245" t="n">
        <v>0</v>
      </c>
      <c r="BB11" s="245" t="s">
        <v>423</v>
      </c>
      <c r="BC11" s="245" t="s">
        <v>423</v>
      </c>
      <c r="BD11" s="245" t="n">
        <v>0</v>
      </c>
      <c r="BE11" s="245" t="n">
        <v>0</v>
      </c>
      <c r="BF11" s="245" t="n">
        <v>0</v>
      </c>
      <c r="BG11" s="245" t="n">
        <v>0</v>
      </c>
      <c r="BH11" s="245" t="n">
        <v>-111965</v>
      </c>
      <c r="BI11" s="245" t="n">
        <v>0</v>
      </c>
      <c r="BJ11" s="245" t="n">
        <v>111965</v>
      </c>
      <c r="BK11" s="245" t="n">
        <v>0</v>
      </c>
      <c r="BL11" s="245" t="n">
        <v>23523500.01</v>
      </c>
      <c r="BM11" s="245" t="s">
        <v>427</v>
      </c>
      <c r="BN11" s="245" t="n">
        <v>0</v>
      </c>
      <c r="BO11" s="255" t="b">
        <f aca="false">FALSE()</f>
        <v>0</v>
      </c>
      <c r="BP11" s="255" t="n">
        <v>0</v>
      </c>
      <c r="BQ11" s="247" t="n">
        <v>0</v>
      </c>
      <c r="BR11" s="246" t="n">
        <v>0</v>
      </c>
      <c r="BS11" s="257" t="n">
        <v>83</v>
      </c>
      <c r="BT11" s="246" t="n">
        <v>0</v>
      </c>
      <c r="BU11" s="258" t="n">
        <v>0</v>
      </c>
      <c r="BV11" s="246" t="n">
        <v>239</v>
      </c>
      <c r="BW11" s="259" t="n">
        <v>0</v>
      </c>
      <c r="BX11" s="259" t="n">
        <v>0</v>
      </c>
      <c r="BY11" s="255" t="n">
        <v>0</v>
      </c>
      <c r="BZ11" s="255" t="n">
        <v>0</v>
      </c>
      <c r="CA11" s="255" t="n">
        <v>1965625</v>
      </c>
      <c r="CB11" s="255" t="n">
        <v>3996000.01</v>
      </c>
      <c r="CC11" s="255" t="n">
        <v>0</v>
      </c>
      <c r="CD11" s="255" t="n">
        <v>0</v>
      </c>
      <c r="CE11" s="255" t="n">
        <v>0</v>
      </c>
      <c r="CF11" s="255" t="n">
        <v>0</v>
      </c>
      <c r="CG11" s="255" t="n">
        <v>0</v>
      </c>
      <c r="CH11" s="255" t="n">
        <v>0</v>
      </c>
      <c r="CI11" s="255" t="n">
        <v>0</v>
      </c>
      <c r="CJ11" s="255" t="n">
        <v>0</v>
      </c>
      <c r="CK11" s="246" t="n">
        <v>0</v>
      </c>
      <c r="CL11" s="246" t="n">
        <v>0</v>
      </c>
    </row>
    <row r="12" customFormat="false" ht="15.75" hidden="false" customHeight="false" outlineLevel="3" collapsed="false">
      <c r="A12" s="63" t="s">
        <v>441</v>
      </c>
      <c r="B12" s="63" t="s">
        <v>442</v>
      </c>
      <c r="C12" s="63" t="s">
        <v>449</v>
      </c>
      <c r="D12" s="63" t="s">
        <v>450</v>
      </c>
      <c r="E12" s="63" t="s">
        <v>454</v>
      </c>
      <c r="F12" s="63" t="s">
        <v>423</v>
      </c>
      <c r="G12" s="63" t="s">
        <v>452</v>
      </c>
      <c r="H12" s="63" t="s">
        <v>102</v>
      </c>
      <c r="I12" s="242" t="s">
        <v>447</v>
      </c>
      <c r="J12" s="244" t="n">
        <v>1</v>
      </c>
      <c r="K12" s="244" t="n">
        <v>1</v>
      </c>
      <c r="L12" s="246" t="n">
        <v>0</v>
      </c>
      <c r="M12" s="246" t="n">
        <v>0</v>
      </c>
      <c r="N12" s="246" t="n">
        <v>0</v>
      </c>
      <c r="O12" s="245" t="n">
        <v>0</v>
      </c>
      <c r="P12" s="246" t="n">
        <v>0</v>
      </c>
      <c r="Q12" s="246" t="n">
        <v>0</v>
      </c>
      <c r="R12" s="248" t="n">
        <v>0</v>
      </c>
      <c r="S12" s="294" t="n">
        <v>1</v>
      </c>
      <c r="T12" s="248" t="s">
        <v>437</v>
      </c>
      <c r="U12" s="250" t="n">
        <v>0</v>
      </c>
      <c r="V12" s="245" t="s">
        <v>426</v>
      </c>
      <c r="W12" s="245" t="n">
        <v>0</v>
      </c>
      <c r="X12" s="245" t="n">
        <v>0</v>
      </c>
      <c r="Y12" s="245" t="n">
        <v>0</v>
      </c>
      <c r="Z12" s="245" t="n">
        <v>0</v>
      </c>
      <c r="AA12" s="245" t="n">
        <v>0</v>
      </c>
      <c r="AB12" s="245" t="n">
        <v>0</v>
      </c>
      <c r="AC12" s="250" t="n">
        <v>0</v>
      </c>
      <c r="AD12" s="245" t="n">
        <v>0</v>
      </c>
      <c r="AE12" s="245" t="n">
        <v>0</v>
      </c>
      <c r="AF12" s="245" t="n">
        <v>0</v>
      </c>
      <c r="AG12" s="245" t="n">
        <v>0</v>
      </c>
      <c r="AH12" s="251" t="n">
        <v>0</v>
      </c>
      <c r="AI12" s="245" t="n">
        <v>0</v>
      </c>
      <c r="AJ12" s="245" t="n">
        <v>0</v>
      </c>
      <c r="AK12" s="252" t="n">
        <v>0</v>
      </c>
      <c r="AL12" s="253" t="n">
        <v>0</v>
      </c>
      <c r="AM12" s="245" t="n">
        <v>1954995.27</v>
      </c>
      <c r="AN12" s="246" t="n">
        <v>0</v>
      </c>
      <c r="AO12" s="253" t="n">
        <v>0</v>
      </c>
      <c r="AP12" s="245" t="n">
        <v>0</v>
      </c>
      <c r="AQ12" s="254" t="n">
        <v>1</v>
      </c>
      <c r="AR12" s="245" t="n">
        <v>0</v>
      </c>
      <c r="AS12" s="245" t="n">
        <v>0</v>
      </c>
      <c r="AT12" s="245" t="n">
        <v>0</v>
      </c>
      <c r="AU12" s="245" t="n">
        <v>0</v>
      </c>
      <c r="AV12" s="245" t="n">
        <v>0</v>
      </c>
      <c r="AW12" s="245" t="n">
        <v>0</v>
      </c>
      <c r="AX12" s="245" t="n">
        <v>0</v>
      </c>
      <c r="AY12" s="245" t="n">
        <v>0</v>
      </c>
      <c r="AZ12" s="245" t="n">
        <v>0</v>
      </c>
      <c r="BA12" s="245" t="n">
        <v>0</v>
      </c>
      <c r="BB12" s="245" t="s">
        <v>423</v>
      </c>
      <c r="BC12" s="245" t="s">
        <v>423</v>
      </c>
      <c r="BD12" s="245" t="n">
        <v>0</v>
      </c>
      <c r="BE12" s="245" t="n">
        <v>0</v>
      </c>
      <c r="BF12" s="245" t="n">
        <v>0</v>
      </c>
      <c r="BG12" s="245" t="n">
        <v>0</v>
      </c>
      <c r="BH12" s="245" t="n">
        <v>0</v>
      </c>
      <c r="BI12" s="245" t="n">
        <v>0</v>
      </c>
      <c r="BJ12" s="245" t="n">
        <v>0</v>
      </c>
      <c r="BK12" s="245" t="n">
        <v>0</v>
      </c>
      <c r="BL12" s="245" t="n">
        <v>0</v>
      </c>
      <c r="BM12" s="245" t="s">
        <v>427</v>
      </c>
      <c r="BN12" s="245" t="n">
        <v>0</v>
      </c>
      <c r="BO12" s="255" t="b">
        <f aca="false">FALSE()</f>
        <v>0</v>
      </c>
      <c r="BP12" s="255" t="n">
        <v>0</v>
      </c>
      <c r="BQ12" s="247" t="n">
        <v>0</v>
      </c>
      <c r="BR12" s="246" t="n">
        <v>0</v>
      </c>
      <c r="BS12" s="257" t="n">
        <v>83</v>
      </c>
      <c r="BT12" s="246" t="n">
        <v>0</v>
      </c>
      <c r="BU12" s="258" t="n">
        <v>0</v>
      </c>
      <c r="BV12" s="246" t="n">
        <v>240</v>
      </c>
      <c r="BW12" s="259" t="n">
        <v>0</v>
      </c>
      <c r="BX12" s="259" t="n">
        <v>0</v>
      </c>
      <c r="BY12" s="255" t="n">
        <v>0</v>
      </c>
      <c r="BZ12" s="255" t="n">
        <v>0</v>
      </c>
      <c r="CA12" s="255" t="n">
        <v>0</v>
      </c>
      <c r="CB12" s="255" t="n">
        <v>-1954995.27</v>
      </c>
      <c r="CC12" s="255" t="n">
        <v>0</v>
      </c>
      <c r="CD12" s="255" t="n">
        <v>0</v>
      </c>
      <c r="CE12" s="255" t="n">
        <v>0</v>
      </c>
      <c r="CF12" s="255" t="n">
        <v>0</v>
      </c>
      <c r="CG12" s="255" t="n">
        <v>0</v>
      </c>
      <c r="CH12" s="255" t="n">
        <v>0</v>
      </c>
      <c r="CI12" s="255" t="n">
        <v>0</v>
      </c>
      <c r="CJ12" s="255" t="n">
        <v>0</v>
      </c>
      <c r="CK12" s="246" t="n">
        <v>0</v>
      </c>
      <c r="CL12" s="246" t="n">
        <v>0</v>
      </c>
    </row>
    <row r="13" customFormat="false" ht="15.75" hidden="false" customHeight="false" outlineLevel="3" collapsed="false">
      <c r="A13" s="63" t="s">
        <v>441</v>
      </c>
      <c r="B13" s="63" t="s">
        <v>442</v>
      </c>
      <c r="C13" s="63" t="s">
        <v>449</v>
      </c>
      <c r="D13" s="63" t="s">
        <v>450</v>
      </c>
      <c r="E13" s="63" t="s">
        <v>455</v>
      </c>
      <c r="F13" s="63" t="s">
        <v>423</v>
      </c>
      <c r="G13" s="63" t="s">
        <v>452</v>
      </c>
      <c r="H13" s="63" t="s">
        <v>102</v>
      </c>
      <c r="I13" s="242" t="s">
        <v>447</v>
      </c>
      <c r="J13" s="244" t="n">
        <v>1</v>
      </c>
      <c r="K13" s="244" t="n">
        <v>1</v>
      </c>
      <c r="L13" s="246" t="n">
        <v>0</v>
      </c>
      <c r="M13" s="246" t="n">
        <v>0</v>
      </c>
      <c r="N13" s="246" t="n">
        <v>0</v>
      </c>
      <c r="O13" s="245" t="n">
        <v>9651875</v>
      </c>
      <c r="P13" s="246" t="n">
        <v>9651875</v>
      </c>
      <c r="Q13" s="246" t="n">
        <v>0</v>
      </c>
      <c r="R13" s="248" t="n">
        <v>0</v>
      </c>
      <c r="S13" s="294" t="n">
        <v>0.625</v>
      </c>
      <c r="T13" s="248" t="s">
        <v>437</v>
      </c>
      <c r="U13" s="250" t="n">
        <v>9651875</v>
      </c>
      <c r="V13" s="245" t="s">
        <v>426</v>
      </c>
      <c r="W13" s="245" t="n">
        <v>0</v>
      </c>
      <c r="X13" s="245" t="n">
        <v>0</v>
      </c>
      <c r="Y13" s="245" t="n">
        <v>0</v>
      </c>
      <c r="Z13" s="245" t="n">
        <v>0</v>
      </c>
      <c r="AA13" s="245" t="n">
        <v>0</v>
      </c>
      <c r="AB13" s="245" t="n">
        <v>0</v>
      </c>
      <c r="AC13" s="250" t="n">
        <v>9651875</v>
      </c>
      <c r="AD13" s="245" t="n">
        <v>0</v>
      </c>
      <c r="AE13" s="245" t="n">
        <v>0</v>
      </c>
      <c r="AF13" s="245" t="n">
        <v>0</v>
      </c>
      <c r="AG13" s="245" t="n">
        <v>0</v>
      </c>
      <c r="AH13" s="251" t="n">
        <v>0</v>
      </c>
      <c r="AI13" s="245" t="n">
        <v>0</v>
      </c>
      <c r="AJ13" s="245" t="n">
        <v>0</v>
      </c>
      <c r="AK13" s="252" t="n">
        <v>0</v>
      </c>
      <c r="AL13" s="253" t="n">
        <v>0</v>
      </c>
      <c r="AM13" s="245" t="n">
        <v>9231875</v>
      </c>
      <c r="AN13" s="246" t="n">
        <v>0</v>
      </c>
      <c r="AO13" s="253" t="n">
        <v>0</v>
      </c>
      <c r="AP13" s="245" t="n">
        <v>9651875</v>
      </c>
      <c r="AQ13" s="254" t="n">
        <v>1</v>
      </c>
      <c r="AR13" s="245" t="n">
        <v>0</v>
      </c>
      <c r="AS13" s="245" t="n">
        <v>9651875</v>
      </c>
      <c r="AT13" s="245" t="n">
        <v>0</v>
      </c>
      <c r="AU13" s="245" t="n">
        <v>0</v>
      </c>
      <c r="AV13" s="245" t="n">
        <v>0</v>
      </c>
      <c r="AW13" s="245" t="n">
        <v>0</v>
      </c>
      <c r="AX13" s="245" t="n">
        <v>420000</v>
      </c>
      <c r="AY13" s="245" t="n">
        <v>0</v>
      </c>
      <c r="AZ13" s="245" t="n">
        <v>-420000</v>
      </c>
      <c r="BA13" s="245" t="n">
        <v>0</v>
      </c>
      <c r="BB13" s="245" t="s">
        <v>423</v>
      </c>
      <c r="BC13" s="245" t="s">
        <v>423</v>
      </c>
      <c r="BD13" s="245" t="n">
        <v>0</v>
      </c>
      <c r="BE13" s="245" t="n">
        <v>0</v>
      </c>
      <c r="BF13" s="245" t="n">
        <v>0</v>
      </c>
      <c r="BG13" s="245" t="n">
        <v>0</v>
      </c>
      <c r="BH13" s="245" t="n">
        <v>420000</v>
      </c>
      <c r="BI13" s="245" t="n">
        <v>0</v>
      </c>
      <c r="BJ13" s="245" t="n">
        <v>-420000</v>
      </c>
      <c r="BK13" s="245" t="n">
        <v>0</v>
      </c>
      <c r="BL13" s="245" t="n">
        <v>9651875</v>
      </c>
      <c r="BM13" s="245" t="s">
        <v>427</v>
      </c>
      <c r="BN13" s="245" t="n">
        <v>0</v>
      </c>
      <c r="BO13" s="255" t="b">
        <f aca="false">FALSE()</f>
        <v>0</v>
      </c>
      <c r="BP13" s="255" t="n">
        <v>0</v>
      </c>
      <c r="BQ13" s="247" t="n">
        <v>0</v>
      </c>
      <c r="BR13" s="246" t="n">
        <v>0</v>
      </c>
      <c r="BS13" s="257" t="n">
        <v>83</v>
      </c>
      <c r="BT13" s="246" t="n">
        <v>0</v>
      </c>
      <c r="BU13" s="258" t="n">
        <v>0</v>
      </c>
      <c r="BV13" s="246" t="n">
        <v>259</v>
      </c>
      <c r="BW13" s="259" t="n">
        <v>0</v>
      </c>
      <c r="BX13" s="259" t="n">
        <v>0</v>
      </c>
      <c r="BY13" s="255" t="n">
        <v>0</v>
      </c>
      <c r="BZ13" s="255" t="n">
        <v>0</v>
      </c>
      <c r="CA13" s="255" t="n">
        <v>0</v>
      </c>
      <c r="CB13" s="255" t="n">
        <v>0</v>
      </c>
      <c r="CC13" s="255" t="n">
        <v>0</v>
      </c>
      <c r="CD13" s="255" t="n">
        <v>0</v>
      </c>
      <c r="CE13" s="255" t="n">
        <v>0</v>
      </c>
      <c r="CF13" s="255" t="n">
        <v>0</v>
      </c>
      <c r="CG13" s="255" t="n">
        <v>0</v>
      </c>
      <c r="CH13" s="255" t="n">
        <v>0</v>
      </c>
      <c r="CI13" s="255" t="n">
        <v>0</v>
      </c>
      <c r="CJ13" s="255" t="n">
        <v>0</v>
      </c>
      <c r="CK13" s="246" t="n">
        <v>0</v>
      </c>
      <c r="CL13" s="246" t="n">
        <v>0</v>
      </c>
    </row>
    <row r="14" customFormat="false" ht="15.75" hidden="false" customHeight="false" outlineLevel="3" collapsed="false">
      <c r="A14" s="63" t="s">
        <v>441</v>
      </c>
      <c r="B14" s="63" t="s">
        <v>442</v>
      </c>
      <c r="C14" s="63" t="s">
        <v>449</v>
      </c>
      <c r="D14" s="63" t="s">
        <v>450</v>
      </c>
      <c r="E14" s="63" t="s">
        <v>456</v>
      </c>
      <c r="F14" s="63" t="s">
        <v>423</v>
      </c>
      <c r="G14" s="63" t="s">
        <v>452</v>
      </c>
      <c r="H14" s="63" t="s">
        <v>102</v>
      </c>
      <c r="I14" s="242" t="s">
        <v>447</v>
      </c>
      <c r="J14" s="244" t="n">
        <v>1</v>
      </c>
      <c r="K14" s="244" t="n">
        <v>1</v>
      </c>
      <c r="L14" s="246" t="n">
        <v>0</v>
      </c>
      <c r="M14" s="246" t="n">
        <v>0</v>
      </c>
      <c r="N14" s="246" t="n">
        <v>0</v>
      </c>
      <c r="O14" s="245" t="n">
        <v>1663862.85</v>
      </c>
      <c r="P14" s="246" t="n">
        <v>1663862.85</v>
      </c>
      <c r="Q14" s="246" t="n">
        <v>0</v>
      </c>
      <c r="R14" s="248" t="n">
        <v>0</v>
      </c>
      <c r="S14" s="294" t="n">
        <v>0.625</v>
      </c>
      <c r="T14" s="248" t="s">
        <v>437</v>
      </c>
      <c r="U14" s="250" t="n">
        <v>1663862.85</v>
      </c>
      <c r="V14" s="245" t="s">
        <v>426</v>
      </c>
      <c r="W14" s="245" t="n">
        <v>0</v>
      </c>
      <c r="X14" s="245" t="n">
        <v>0</v>
      </c>
      <c r="Y14" s="245" t="n">
        <v>0</v>
      </c>
      <c r="Z14" s="245" t="n">
        <v>0</v>
      </c>
      <c r="AA14" s="245" t="n">
        <v>0</v>
      </c>
      <c r="AB14" s="245" t="n">
        <v>0</v>
      </c>
      <c r="AC14" s="250" t="n">
        <v>1663862.85</v>
      </c>
      <c r="AD14" s="245" t="n">
        <v>0</v>
      </c>
      <c r="AE14" s="245" t="n">
        <v>0</v>
      </c>
      <c r="AF14" s="245" t="n">
        <v>0</v>
      </c>
      <c r="AG14" s="245" t="n">
        <v>0</v>
      </c>
      <c r="AH14" s="251" t="n">
        <v>0</v>
      </c>
      <c r="AI14" s="245" t="n">
        <v>0</v>
      </c>
      <c r="AJ14" s="245" t="n">
        <v>0</v>
      </c>
      <c r="AK14" s="252" t="n">
        <v>0</v>
      </c>
      <c r="AL14" s="253" t="n">
        <v>0</v>
      </c>
      <c r="AM14" s="245" t="n">
        <v>1663862.85</v>
      </c>
      <c r="AN14" s="246" t="n">
        <v>0</v>
      </c>
      <c r="AO14" s="253" t="n">
        <v>0</v>
      </c>
      <c r="AP14" s="245" t="n">
        <v>1663862.85</v>
      </c>
      <c r="AQ14" s="254" t="n">
        <v>1</v>
      </c>
      <c r="AR14" s="245" t="n">
        <v>0</v>
      </c>
      <c r="AS14" s="245" t="n">
        <v>1663862.85</v>
      </c>
      <c r="AT14" s="245" t="n">
        <v>0</v>
      </c>
      <c r="AU14" s="245" t="n">
        <v>0</v>
      </c>
      <c r="AV14" s="245" t="n">
        <v>0</v>
      </c>
      <c r="AW14" s="245" t="n">
        <v>0</v>
      </c>
      <c r="AX14" s="245" t="n">
        <v>0</v>
      </c>
      <c r="AY14" s="245" t="n">
        <v>0</v>
      </c>
      <c r="AZ14" s="245" t="n">
        <v>0</v>
      </c>
      <c r="BA14" s="245" t="n">
        <v>0</v>
      </c>
      <c r="BB14" s="245" t="s">
        <v>423</v>
      </c>
      <c r="BC14" s="245" t="s">
        <v>423</v>
      </c>
      <c r="BD14" s="245" t="n">
        <v>0</v>
      </c>
      <c r="BE14" s="245" t="n">
        <v>0</v>
      </c>
      <c r="BF14" s="245" t="n">
        <v>0</v>
      </c>
      <c r="BG14" s="245" t="n">
        <v>0</v>
      </c>
      <c r="BH14" s="245" t="n">
        <v>0</v>
      </c>
      <c r="BI14" s="245" t="n">
        <v>0</v>
      </c>
      <c r="BJ14" s="245" t="n">
        <v>0</v>
      </c>
      <c r="BK14" s="245" t="n">
        <v>0</v>
      </c>
      <c r="BL14" s="245" t="n">
        <v>1663862.85</v>
      </c>
      <c r="BM14" s="245" t="s">
        <v>427</v>
      </c>
      <c r="BN14" s="245" t="n">
        <v>0</v>
      </c>
      <c r="BO14" s="255" t="b">
        <f aca="false">FALSE()</f>
        <v>0</v>
      </c>
      <c r="BP14" s="255" t="n">
        <v>0</v>
      </c>
      <c r="BQ14" s="247" t="n">
        <v>0</v>
      </c>
      <c r="BR14" s="246" t="n">
        <v>0</v>
      </c>
      <c r="BS14" s="257" t="n">
        <v>83</v>
      </c>
      <c r="BT14" s="246" t="n">
        <v>0</v>
      </c>
      <c r="BU14" s="258" t="n">
        <v>0</v>
      </c>
      <c r="BV14" s="246" t="n">
        <v>260</v>
      </c>
      <c r="BW14" s="259" t="n">
        <v>0</v>
      </c>
      <c r="BX14" s="259" t="n">
        <v>0</v>
      </c>
      <c r="BY14" s="255" t="n">
        <v>0</v>
      </c>
      <c r="BZ14" s="255" t="n">
        <v>0</v>
      </c>
      <c r="CA14" s="255" t="n">
        <v>0</v>
      </c>
      <c r="CB14" s="255" t="n">
        <v>0</v>
      </c>
      <c r="CC14" s="255" t="n">
        <v>0</v>
      </c>
      <c r="CD14" s="255" t="n">
        <v>0</v>
      </c>
      <c r="CE14" s="255" t="n">
        <v>0</v>
      </c>
      <c r="CF14" s="255" t="n">
        <v>0</v>
      </c>
      <c r="CG14" s="255" t="n">
        <v>0</v>
      </c>
      <c r="CH14" s="255" t="n">
        <v>0</v>
      </c>
      <c r="CI14" s="255" t="n">
        <v>0</v>
      </c>
      <c r="CJ14" s="255" t="n">
        <v>0</v>
      </c>
      <c r="CK14" s="246" t="n">
        <v>0</v>
      </c>
      <c r="CL14" s="246" t="n">
        <v>0</v>
      </c>
    </row>
    <row r="15" customFormat="false" ht="15.75" hidden="false" customHeight="false" outlineLevel="3" collapsed="false">
      <c r="A15" s="63" t="s">
        <v>441</v>
      </c>
      <c r="B15" s="63" t="s">
        <v>442</v>
      </c>
      <c r="C15" s="63" t="s">
        <v>443</v>
      </c>
      <c r="D15" s="63" t="s">
        <v>444</v>
      </c>
      <c r="E15" s="63" t="s">
        <v>457</v>
      </c>
      <c r="F15" s="63" t="s">
        <v>423</v>
      </c>
      <c r="G15" s="63" t="s">
        <v>446</v>
      </c>
      <c r="H15" s="63" t="s">
        <v>102</v>
      </c>
      <c r="I15" s="242" t="s">
        <v>447</v>
      </c>
      <c r="J15" s="244" t="n">
        <v>1</v>
      </c>
      <c r="K15" s="244" t="n">
        <v>1</v>
      </c>
      <c r="L15" s="246" t="n">
        <v>0</v>
      </c>
      <c r="M15" s="246" t="n">
        <v>0</v>
      </c>
      <c r="N15" s="246" t="n">
        <v>0</v>
      </c>
      <c r="O15" s="245" t="n">
        <v>1895268.24</v>
      </c>
      <c r="P15" s="246" t="n">
        <v>1895268.24</v>
      </c>
      <c r="Q15" s="246" t="n">
        <v>0</v>
      </c>
      <c r="R15" s="248" t="s">
        <v>453</v>
      </c>
      <c r="S15" s="294" t="n">
        <v>0.5</v>
      </c>
      <c r="T15" s="248" t="s">
        <v>437</v>
      </c>
      <c r="U15" s="250" t="n">
        <v>1895268.24</v>
      </c>
      <c r="V15" s="245" t="s">
        <v>426</v>
      </c>
      <c r="W15" s="245" t="n">
        <v>0</v>
      </c>
      <c r="X15" s="245" t="n">
        <v>0</v>
      </c>
      <c r="Y15" s="245" t="n">
        <v>0</v>
      </c>
      <c r="Z15" s="245" t="n">
        <v>0</v>
      </c>
      <c r="AA15" s="245" t="n">
        <v>0</v>
      </c>
      <c r="AB15" s="245" t="n">
        <v>0</v>
      </c>
      <c r="AC15" s="250" t="n">
        <v>1895268.24</v>
      </c>
      <c r="AD15" s="245" t="n">
        <v>0</v>
      </c>
      <c r="AE15" s="245" t="n">
        <v>0</v>
      </c>
      <c r="AF15" s="245" t="n">
        <v>0</v>
      </c>
      <c r="AG15" s="245" t="n">
        <v>0</v>
      </c>
      <c r="AH15" s="251" t="n">
        <v>0</v>
      </c>
      <c r="AI15" s="245" t="n">
        <v>0</v>
      </c>
      <c r="AJ15" s="245" t="n">
        <v>0</v>
      </c>
      <c r="AK15" s="252" t="n">
        <v>0</v>
      </c>
      <c r="AL15" s="253" t="n">
        <v>0</v>
      </c>
      <c r="AM15" s="245" t="n">
        <v>230788.389999999</v>
      </c>
      <c r="AN15" s="246" t="n">
        <v>0</v>
      </c>
      <c r="AO15" s="253" t="n">
        <v>0</v>
      </c>
      <c r="AP15" s="245" t="n">
        <v>1895268.24</v>
      </c>
      <c r="AQ15" s="254" t="n">
        <v>1</v>
      </c>
      <c r="AR15" s="245" t="n">
        <v>0</v>
      </c>
      <c r="AS15" s="245" t="n">
        <v>1895268.24</v>
      </c>
      <c r="AT15" s="245" t="n">
        <v>0</v>
      </c>
      <c r="AU15" s="245" t="n">
        <v>0</v>
      </c>
      <c r="AV15" s="245" t="n">
        <v>0</v>
      </c>
      <c r="AW15" s="245" t="n">
        <v>0</v>
      </c>
      <c r="AX15" s="245" t="n">
        <v>0</v>
      </c>
      <c r="AY15" s="245" t="n">
        <v>0</v>
      </c>
      <c r="AZ15" s="245" t="n">
        <v>0</v>
      </c>
      <c r="BA15" s="245" t="n">
        <v>0</v>
      </c>
      <c r="BB15" s="245" t="s">
        <v>423</v>
      </c>
      <c r="BC15" s="245" t="s">
        <v>423</v>
      </c>
      <c r="BD15" s="245" t="n">
        <v>0</v>
      </c>
      <c r="BE15" s="245" t="n">
        <v>0</v>
      </c>
      <c r="BF15" s="245" t="n">
        <v>0</v>
      </c>
      <c r="BG15" s="245" t="n">
        <v>0</v>
      </c>
      <c r="BH15" s="245" t="n">
        <v>0</v>
      </c>
      <c r="BI15" s="245" t="n">
        <v>0</v>
      </c>
      <c r="BJ15" s="245" t="n">
        <v>0</v>
      </c>
      <c r="BK15" s="245" t="n">
        <v>0</v>
      </c>
      <c r="BL15" s="245" t="n">
        <v>1895268.24</v>
      </c>
      <c r="BM15" s="245" t="s">
        <v>427</v>
      </c>
      <c r="BN15" s="245" t="n">
        <v>0</v>
      </c>
      <c r="BO15" s="255" t="b">
        <f aca="false">FALSE()</f>
        <v>0</v>
      </c>
      <c r="BP15" s="255" t="n">
        <v>0</v>
      </c>
      <c r="BQ15" s="247" t="n">
        <v>0</v>
      </c>
      <c r="BR15" s="246" t="n">
        <v>0</v>
      </c>
      <c r="BS15" s="257" t="n">
        <v>83</v>
      </c>
      <c r="BT15" s="246" t="n">
        <v>0</v>
      </c>
      <c r="BU15" s="258" t="n">
        <v>0</v>
      </c>
      <c r="BV15" s="246" t="n">
        <v>262</v>
      </c>
      <c r="BW15" s="259" t="n">
        <v>0</v>
      </c>
      <c r="BX15" s="259" t="n">
        <v>0</v>
      </c>
      <c r="BY15" s="255" t="n">
        <v>0</v>
      </c>
      <c r="BZ15" s="255" t="n">
        <v>0</v>
      </c>
      <c r="CA15" s="255" t="n">
        <v>0</v>
      </c>
      <c r="CB15" s="255" t="n">
        <v>1664479.85</v>
      </c>
      <c r="CC15" s="255" t="n">
        <v>0</v>
      </c>
      <c r="CD15" s="255" t="n">
        <v>0</v>
      </c>
      <c r="CE15" s="255" t="n">
        <v>0</v>
      </c>
      <c r="CF15" s="255" t="n">
        <v>0</v>
      </c>
      <c r="CG15" s="255" t="n">
        <v>0</v>
      </c>
      <c r="CH15" s="255" t="n">
        <v>0</v>
      </c>
      <c r="CI15" s="255" t="n">
        <v>0</v>
      </c>
      <c r="CJ15" s="255" t="n">
        <v>0</v>
      </c>
      <c r="CK15" s="246" t="n">
        <v>0</v>
      </c>
      <c r="CL15" s="246" t="n">
        <v>0</v>
      </c>
    </row>
    <row r="16" customFormat="false" ht="15.75" hidden="false" customHeight="false" outlineLevel="3" collapsed="false">
      <c r="A16" s="63" t="s">
        <v>441</v>
      </c>
      <c r="B16" s="63" t="s">
        <v>442</v>
      </c>
      <c r="C16" s="63" t="s">
        <v>443</v>
      </c>
      <c r="D16" s="63" t="s">
        <v>444</v>
      </c>
      <c r="E16" s="63" t="s">
        <v>458</v>
      </c>
      <c r="F16" s="63" t="s">
        <v>423</v>
      </c>
      <c r="G16" s="63" t="s">
        <v>446</v>
      </c>
      <c r="H16" s="63" t="s">
        <v>102</v>
      </c>
      <c r="I16" s="242" t="s">
        <v>447</v>
      </c>
      <c r="J16" s="244" t="n">
        <v>1</v>
      </c>
      <c r="K16" s="244" t="n">
        <v>1</v>
      </c>
      <c r="L16" s="246" t="n">
        <v>0</v>
      </c>
      <c r="M16" s="246" t="n">
        <v>0</v>
      </c>
      <c r="N16" s="246" t="n">
        <v>0</v>
      </c>
      <c r="O16" s="245" t="n">
        <v>0</v>
      </c>
      <c r="P16" s="246" t="n">
        <v>0</v>
      </c>
      <c r="Q16" s="246" t="n">
        <v>0</v>
      </c>
      <c r="R16" s="248" t="n">
        <v>0</v>
      </c>
      <c r="S16" s="294" t="n">
        <v>1</v>
      </c>
      <c r="T16" s="248" t="s">
        <v>437</v>
      </c>
      <c r="U16" s="250" t="n">
        <v>0</v>
      </c>
      <c r="V16" s="245" t="s">
        <v>426</v>
      </c>
      <c r="W16" s="245" t="n">
        <v>0</v>
      </c>
      <c r="X16" s="245" t="n">
        <v>0</v>
      </c>
      <c r="Y16" s="245" t="n">
        <v>0</v>
      </c>
      <c r="Z16" s="245" t="n">
        <v>0</v>
      </c>
      <c r="AA16" s="245" t="n">
        <v>0</v>
      </c>
      <c r="AB16" s="245" t="n">
        <v>0</v>
      </c>
      <c r="AC16" s="250" t="n">
        <v>0</v>
      </c>
      <c r="AD16" s="245" t="n">
        <v>0</v>
      </c>
      <c r="AE16" s="245" t="n">
        <v>0</v>
      </c>
      <c r="AF16" s="245" t="n">
        <v>0</v>
      </c>
      <c r="AG16" s="245" t="n">
        <v>0</v>
      </c>
      <c r="AH16" s="251" t="n">
        <v>0</v>
      </c>
      <c r="AI16" s="245" t="n">
        <v>0</v>
      </c>
      <c r="AJ16" s="245" t="n">
        <v>0</v>
      </c>
      <c r="AK16" s="252" t="n">
        <v>0</v>
      </c>
      <c r="AL16" s="253" t="n">
        <v>0</v>
      </c>
      <c r="AM16" s="245" t="n">
        <v>400561.36</v>
      </c>
      <c r="AN16" s="246" t="n">
        <v>0</v>
      </c>
      <c r="AO16" s="253" t="n">
        <v>0</v>
      </c>
      <c r="AP16" s="245" t="n">
        <v>0</v>
      </c>
      <c r="AQ16" s="254" t="n">
        <v>1</v>
      </c>
      <c r="AR16" s="245" t="n">
        <v>0</v>
      </c>
      <c r="AS16" s="245" t="n">
        <v>0</v>
      </c>
      <c r="AT16" s="245" t="n">
        <v>0</v>
      </c>
      <c r="AU16" s="245" t="n">
        <v>0</v>
      </c>
      <c r="AV16" s="245" t="n">
        <v>0</v>
      </c>
      <c r="AW16" s="245" t="n">
        <v>0</v>
      </c>
      <c r="AX16" s="245" t="n">
        <v>0</v>
      </c>
      <c r="AY16" s="245" t="n">
        <v>0</v>
      </c>
      <c r="AZ16" s="245" t="n">
        <v>0</v>
      </c>
      <c r="BA16" s="245" t="n">
        <v>0</v>
      </c>
      <c r="BB16" s="245" t="s">
        <v>423</v>
      </c>
      <c r="BC16" s="245" t="s">
        <v>423</v>
      </c>
      <c r="BD16" s="245" t="n">
        <v>0</v>
      </c>
      <c r="BE16" s="245" t="n">
        <v>0</v>
      </c>
      <c r="BF16" s="245" t="n">
        <v>0</v>
      </c>
      <c r="BG16" s="245" t="n">
        <v>0</v>
      </c>
      <c r="BH16" s="245" t="n">
        <v>0</v>
      </c>
      <c r="BI16" s="245" t="n">
        <v>0</v>
      </c>
      <c r="BJ16" s="245" t="n">
        <v>0</v>
      </c>
      <c r="BK16" s="245" t="n">
        <v>0</v>
      </c>
      <c r="BL16" s="245" t="n">
        <v>0</v>
      </c>
      <c r="BM16" s="245" t="s">
        <v>427</v>
      </c>
      <c r="BN16" s="245" t="n">
        <v>0</v>
      </c>
      <c r="BO16" s="255" t="b">
        <f aca="false">FALSE()</f>
        <v>0</v>
      </c>
      <c r="BP16" s="255" t="n">
        <v>0</v>
      </c>
      <c r="BQ16" s="247" t="n">
        <v>0</v>
      </c>
      <c r="BR16" s="246" t="n">
        <v>0</v>
      </c>
      <c r="BS16" s="257" t="n">
        <v>83</v>
      </c>
      <c r="BT16" s="246" t="n">
        <v>0</v>
      </c>
      <c r="BU16" s="258" t="n">
        <v>0</v>
      </c>
      <c r="BV16" s="246" t="n">
        <v>263</v>
      </c>
      <c r="BW16" s="259" t="n">
        <v>0</v>
      </c>
      <c r="BX16" s="259" t="n">
        <v>0</v>
      </c>
      <c r="BY16" s="255" t="n">
        <v>0</v>
      </c>
      <c r="BZ16" s="255" t="n">
        <v>0</v>
      </c>
      <c r="CA16" s="255" t="n">
        <v>0</v>
      </c>
      <c r="CB16" s="255" t="n">
        <v>-400561.36</v>
      </c>
      <c r="CC16" s="255" t="n">
        <v>0</v>
      </c>
      <c r="CD16" s="255" t="n">
        <v>0</v>
      </c>
      <c r="CE16" s="255" t="n">
        <v>0</v>
      </c>
      <c r="CF16" s="255" t="n">
        <v>0</v>
      </c>
      <c r="CG16" s="255" t="n">
        <v>0</v>
      </c>
      <c r="CH16" s="255" t="n">
        <v>0</v>
      </c>
      <c r="CI16" s="255" t="n">
        <v>0</v>
      </c>
      <c r="CJ16" s="255" t="n">
        <v>0</v>
      </c>
      <c r="CK16" s="246" t="n">
        <v>0</v>
      </c>
      <c r="CL16" s="246" t="n">
        <v>0</v>
      </c>
    </row>
    <row r="17" customFormat="false" ht="20.1" hidden="false" customHeight="true" outlineLevel="2" collapsed="false">
      <c r="A17" s="261" t="s">
        <v>459</v>
      </c>
      <c r="B17" s="261"/>
      <c r="C17" s="261"/>
      <c r="D17" s="261"/>
      <c r="E17" s="261"/>
      <c r="F17" s="261"/>
      <c r="G17" s="261"/>
      <c r="H17" s="261"/>
      <c r="I17" s="262"/>
      <c r="J17" s="264"/>
      <c r="K17" s="264"/>
      <c r="L17" s="266"/>
      <c r="M17" s="266"/>
      <c r="N17" s="266"/>
      <c r="O17" s="265"/>
      <c r="P17" s="266"/>
      <c r="Q17" s="266"/>
      <c r="R17" s="268" t="n">
        <v>0</v>
      </c>
      <c r="S17" s="295" t="n">
        <v>5.375</v>
      </c>
      <c r="T17" s="268" t="n">
        <v>0</v>
      </c>
      <c r="U17" s="270" t="n">
        <v>40081743.71</v>
      </c>
      <c r="V17" s="265"/>
      <c r="W17" s="265" t="n">
        <v>0</v>
      </c>
      <c r="X17" s="265" t="n">
        <v>0</v>
      </c>
      <c r="Y17" s="265" t="n">
        <v>0</v>
      </c>
      <c r="Z17" s="265" t="n">
        <v>0</v>
      </c>
      <c r="AA17" s="265" t="n">
        <v>0</v>
      </c>
      <c r="AB17" s="265" t="n">
        <v>0</v>
      </c>
      <c r="AC17" s="270" t="n">
        <v>40081743.71</v>
      </c>
      <c r="AD17" s="265" t="n">
        <v>0</v>
      </c>
      <c r="AE17" s="265" t="n">
        <v>0</v>
      </c>
      <c r="AF17" s="265" t="n">
        <v>0</v>
      </c>
      <c r="AG17" s="265" t="n">
        <v>0</v>
      </c>
      <c r="AH17" s="271" t="n">
        <v>0</v>
      </c>
      <c r="AI17" s="265" t="n">
        <v>0</v>
      </c>
      <c r="AJ17" s="265" t="n">
        <v>0</v>
      </c>
      <c r="AK17" s="272" t="n">
        <v>0</v>
      </c>
      <c r="AL17" s="273"/>
      <c r="AM17" s="265" t="n">
        <v>39750356.87</v>
      </c>
      <c r="AN17" s="266"/>
      <c r="AO17" s="273"/>
      <c r="AP17" s="265" t="n">
        <v>38622230.4</v>
      </c>
      <c r="AQ17" s="274"/>
      <c r="AR17" s="265"/>
      <c r="AS17" s="265"/>
      <c r="AT17" s="265" t="n">
        <v>0</v>
      </c>
      <c r="AU17" s="265" t="n">
        <v>0</v>
      </c>
      <c r="AV17" s="265" t="n">
        <v>0</v>
      </c>
      <c r="AW17" s="265" t="n">
        <v>0</v>
      </c>
      <c r="AX17" s="265" t="n">
        <v>-2858113.43</v>
      </c>
      <c r="AY17" s="265" t="n">
        <v>0</v>
      </c>
      <c r="AZ17" s="265" t="n">
        <v>2858113.43</v>
      </c>
      <c r="BA17" s="265" t="n">
        <v>0</v>
      </c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7"/>
      <c r="BR17" s="266"/>
      <c r="BS17" s="276"/>
      <c r="BT17" s="266"/>
      <c r="BU17" s="277"/>
      <c r="BV17" s="266"/>
      <c r="BW17" s="278"/>
      <c r="BX17" s="278"/>
      <c r="BY17" s="265"/>
      <c r="BZ17" s="265"/>
      <c r="CA17" s="265" t="n">
        <v>1459513.31</v>
      </c>
      <c r="CB17" s="265"/>
      <c r="CC17" s="265"/>
      <c r="CD17" s="265"/>
      <c r="CE17" s="265"/>
      <c r="CF17" s="265"/>
      <c r="CG17" s="265"/>
      <c r="CH17" s="265"/>
      <c r="CI17" s="265"/>
      <c r="CJ17" s="265"/>
      <c r="CK17" s="266"/>
      <c r="CL17" s="266"/>
    </row>
    <row r="18" customFormat="false" ht="30" hidden="false" customHeight="true" outlineLevel="1" collapsed="false">
      <c r="A18" s="261"/>
      <c r="B18" s="261" t="s">
        <v>460</v>
      </c>
      <c r="C18" s="261"/>
      <c r="D18" s="261"/>
      <c r="E18" s="261"/>
      <c r="F18" s="261"/>
      <c r="G18" s="261"/>
      <c r="H18" s="261"/>
      <c r="I18" s="262"/>
      <c r="J18" s="279"/>
      <c r="K18" s="279"/>
      <c r="L18" s="281"/>
      <c r="M18" s="281"/>
      <c r="N18" s="281"/>
      <c r="O18" s="280"/>
      <c r="P18" s="281"/>
      <c r="Q18" s="281"/>
      <c r="R18" s="283" t="n">
        <v>0</v>
      </c>
      <c r="S18" s="296" t="n">
        <v>5.375</v>
      </c>
      <c r="T18" s="283" t="n">
        <v>0</v>
      </c>
      <c r="U18" s="285" t="n">
        <v>40081743.71</v>
      </c>
      <c r="V18" s="280"/>
      <c r="W18" s="280" t="n">
        <v>0</v>
      </c>
      <c r="X18" s="280" t="n">
        <v>0</v>
      </c>
      <c r="Y18" s="280" t="n">
        <v>0</v>
      </c>
      <c r="Z18" s="280" t="n">
        <v>0</v>
      </c>
      <c r="AA18" s="280" t="n">
        <v>0</v>
      </c>
      <c r="AB18" s="280" t="n">
        <v>0</v>
      </c>
      <c r="AC18" s="285" t="n">
        <v>40081743.71</v>
      </c>
      <c r="AD18" s="280" t="n">
        <v>0</v>
      </c>
      <c r="AE18" s="280" t="n">
        <v>0</v>
      </c>
      <c r="AF18" s="280" t="n">
        <v>0</v>
      </c>
      <c r="AG18" s="280" t="n">
        <v>0</v>
      </c>
      <c r="AH18" s="286" t="n">
        <v>0</v>
      </c>
      <c r="AI18" s="280" t="n">
        <v>0</v>
      </c>
      <c r="AJ18" s="280" t="n">
        <v>0</v>
      </c>
      <c r="AK18" s="287" t="n">
        <v>0</v>
      </c>
      <c r="AL18" s="288"/>
      <c r="AM18" s="280" t="n">
        <v>39750356.87</v>
      </c>
      <c r="AN18" s="281"/>
      <c r="AO18" s="288"/>
      <c r="AP18" s="280" t="n">
        <v>38622230.4</v>
      </c>
      <c r="AQ18" s="289"/>
      <c r="AR18" s="280"/>
      <c r="AS18" s="280"/>
      <c r="AT18" s="280" t="n">
        <v>0</v>
      </c>
      <c r="AU18" s="280" t="n">
        <v>0</v>
      </c>
      <c r="AV18" s="280" t="n">
        <v>0</v>
      </c>
      <c r="AW18" s="280" t="n">
        <v>0</v>
      </c>
      <c r="AX18" s="280" t="n">
        <v>-2858113.43</v>
      </c>
      <c r="AY18" s="280" t="n">
        <v>0</v>
      </c>
      <c r="AZ18" s="280" t="n">
        <v>2858113.43</v>
      </c>
      <c r="BA18" s="280" t="n">
        <v>0</v>
      </c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2"/>
      <c r="BR18" s="281"/>
      <c r="BS18" s="291"/>
      <c r="BT18" s="281"/>
      <c r="BU18" s="292"/>
      <c r="BV18" s="281"/>
      <c r="BW18" s="293"/>
      <c r="BX18" s="293"/>
      <c r="BY18" s="280"/>
      <c r="BZ18" s="280"/>
      <c r="CA18" s="280" t="n">
        <v>1459513.31</v>
      </c>
      <c r="CB18" s="280"/>
      <c r="CC18" s="280"/>
      <c r="CD18" s="280"/>
      <c r="CE18" s="280"/>
      <c r="CF18" s="280"/>
      <c r="CG18" s="280"/>
      <c r="CH18" s="280"/>
      <c r="CI18" s="280"/>
      <c r="CJ18" s="280"/>
      <c r="CK18" s="281"/>
      <c r="CL18" s="281"/>
    </row>
    <row r="19" customFormat="false" ht="15.75" hidden="false" customHeight="false" outlineLevel="3" collapsed="false">
      <c r="A19" s="63" t="s">
        <v>461</v>
      </c>
      <c r="B19" s="63" t="s">
        <v>462</v>
      </c>
      <c r="C19" s="63" t="s">
        <v>463</v>
      </c>
      <c r="D19" s="63" t="s">
        <v>464</v>
      </c>
      <c r="E19" s="63" t="s">
        <v>465</v>
      </c>
      <c r="F19" s="63" t="s">
        <v>466</v>
      </c>
      <c r="G19" s="297" t="s">
        <v>467</v>
      </c>
      <c r="H19" s="297" t="s">
        <v>468</v>
      </c>
      <c r="I19" s="242" t="s">
        <v>468</v>
      </c>
      <c r="J19" s="244" t="n">
        <v>0</v>
      </c>
      <c r="K19" s="244" t="n">
        <v>0</v>
      </c>
      <c r="L19" s="246" t="n">
        <v>0.0342883118364814</v>
      </c>
      <c r="M19" s="246" t="n">
        <v>0</v>
      </c>
      <c r="N19" s="246" t="n">
        <v>0.299180712164844</v>
      </c>
      <c r="O19" s="245" t="n">
        <v>1.43235095882812E-006</v>
      </c>
      <c r="P19" s="246" t="n">
        <v>1.43312815745542E-006</v>
      </c>
      <c r="Q19" s="246" t="n">
        <v>-7.77198627293474E-010</v>
      </c>
      <c r="R19" s="248" t="n">
        <v>0</v>
      </c>
      <c r="S19" s="249" t="n">
        <v>1</v>
      </c>
      <c r="T19" s="248" t="s">
        <v>437</v>
      </c>
      <c r="U19" s="250" t="n">
        <v>0</v>
      </c>
      <c r="V19" s="245" t="s">
        <v>426</v>
      </c>
      <c r="W19" s="245" t="n">
        <v>0</v>
      </c>
      <c r="X19" s="245" t="n">
        <v>0</v>
      </c>
      <c r="Y19" s="245" t="n">
        <v>0</v>
      </c>
      <c r="Z19" s="245" t="n">
        <v>0</v>
      </c>
      <c r="AA19" s="245" t="n">
        <v>0</v>
      </c>
      <c r="AB19" s="245" t="n">
        <v>0</v>
      </c>
      <c r="AC19" s="250" t="n">
        <v>0</v>
      </c>
      <c r="AD19" s="245" t="n">
        <v>0</v>
      </c>
      <c r="AE19" s="245" t="n">
        <v>0</v>
      </c>
      <c r="AF19" s="245" t="n">
        <v>0</v>
      </c>
      <c r="AG19" s="245" t="n">
        <v>0</v>
      </c>
      <c r="AH19" s="251" t="n">
        <v>0</v>
      </c>
      <c r="AI19" s="245" t="n">
        <v>0</v>
      </c>
      <c r="AJ19" s="245" t="n">
        <v>0</v>
      </c>
      <c r="AK19" s="252" t="n">
        <v>0</v>
      </c>
      <c r="AL19" s="253" t="n">
        <v>0</v>
      </c>
      <c r="AM19" s="245" t="n">
        <v>127482.447572753</v>
      </c>
      <c r="AN19" s="253" t="n">
        <v>0</v>
      </c>
      <c r="AO19" s="253" t="n">
        <v>0</v>
      </c>
      <c r="AP19" s="245" t="n">
        <v>84870.3860270403</v>
      </c>
      <c r="AQ19" s="254" t="n">
        <v>1</v>
      </c>
      <c r="AR19" s="245" t="n">
        <v>0</v>
      </c>
      <c r="AS19" s="245" t="n">
        <v>16.25</v>
      </c>
      <c r="AT19" s="245" t="n">
        <v>0</v>
      </c>
      <c r="AU19" s="245" t="n">
        <v>0</v>
      </c>
      <c r="AV19" s="245" t="n">
        <v>0</v>
      </c>
      <c r="AW19" s="245" t="n">
        <v>0</v>
      </c>
      <c r="AX19" s="245" t="n">
        <v>-89917.6475727526</v>
      </c>
      <c r="AY19" s="245" t="n">
        <v>0</v>
      </c>
      <c r="AZ19" s="245" t="n">
        <v>89917.6475727526</v>
      </c>
      <c r="BA19" s="245" t="n">
        <v>0</v>
      </c>
      <c r="BB19" s="245" t="n">
        <v>14.73</v>
      </c>
      <c r="BC19" s="245" t="n">
        <v>15</v>
      </c>
      <c r="BD19" s="245" t="n">
        <v>0</v>
      </c>
      <c r="BE19" s="245" t="n">
        <v>0</v>
      </c>
      <c r="BF19" s="245" t="n">
        <v>0</v>
      </c>
      <c r="BG19" s="245" t="n">
        <v>0</v>
      </c>
      <c r="BH19" s="245" t="n">
        <v>-89917.6475727526</v>
      </c>
      <c r="BI19" s="245" t="n">
        <v>0</v>
      </c>
      <c r="BJ19" s="245" t="n">
        <v>89917.6475727526</v>
      </c>
      <c r="BK19" s="245" t="n">
        <v>0</v>
      </c>
      <c r="BL19" s="245" t="n">
        <v>84870.3860270403</v>
      </c>
      <c r="BM19" s="245" t="s">
        <v>438</v>
      </c>
      <c r="BN19" s="245" t="n">
        <v>0</v>
      </c>
      <c r="BO19" s="255" t="b">
        <f aca="false">FALSE()</f>
        <v>0</v>
      </c>
      <c r="BP19" s="255" t="n">
        <v>0</v>
      </c>
      <c r="BQ19" s="246" t="n">
        <v>0</v>
      </c>
      <c r="BR19" s="246" t="n">
        <v>0</v>
      </c>
      <c r="BS19" s="257" t="n">
        <v>42</v>
      </c>
      <c r="BT19" s="246" t="n">
        <v>0</v>
      </c>
      <c r="BU19" s="258" t="n">
        <v>0</v>
      </c>
      <c r="BV19" s="246" t="n">
        <v>318</v>
      </c>
      <c r="BW19" s="259" t="n">
        <v>14.73</v>
      </c>
      <c r="BX19" s="259" t="n">
        <v>14.73</v>
      </c>
      <c r="BY19" s="255" t="n">
        <v>0</v>
      </c>
      <c r="BZ19" s="255" t="n">
        <v>0</v>
      </c>
      <c r="CA19" s="255" t="n">
        <v>0</v>
      </c>
      <c r="CB19" s="255" t="n">
        <v>-37564.8</v>
      </c>
      <c r="CC19" s="255" t="n">
        <v>0</v>
      </c>
      <c r="CD19" s="255" t="n">
        <v>0</v>
      </c>
      <c r="CE19" s="255" t="n">
        <v>0</v>
      </c>
      <c r="CF19" s="255" t="n">
        <v>0</v>
      </c>
      <c r="CG19" s="255" t="n">
        <v>0</v>
      </c>
      <c r="CH19" s="255" t="n">
        <v>0</v>
      </c>
      <c r="CI19" s="255" t="n">
        <v>0</v>
      </c>
      <c r="CJ19" s="255" t="n">
        <v>0</v>
      </c>
      <c r="CK19" s="246" t="n">
        <v>0</v>
      </c>
      <c r="CL19" s="246" t="n">
        <v>0</v>
      </c>
    </row>
    <row r="20" customFormat="false" ht="20.1" hidden="false" customHeight="true" outlineLevel="2" collapsed="false">
      <c r="A20" s="261" t="s">
        <v>469</v>
      </c>
      <c r="B20" s="261"/>
      <c r="C20" s="261"/>
      <c r="D20" s="261"/>
      <c r="E20" s="261"/>
      <c r="F20" s="261"/>
      <c r="G20" s="298"/>
      <c r="H20" s="298"/>
      <c r="I20" s="262"/>
      <c r="J20" s="264"/>
      <c r="K20" s="264"/>
      <c r="L20" s="266"/>
      <c r="M20" s="266"/>
      <c r="N20" s="266"/>
      <c r="O20" s="265"/>
      <c r="P20" s="266"/>
      <c r="Q20" s="266"/>
      <c r="R20" s="268" t="n">
        <v>0</v>
      </c>
      <c r="S20" s="269" t="n">
        <v>1</v>
      </c>
      <c r="T20" s="268" t="n">
        <v>0</v>
      </c>
      <c r="U20" s="270" t="n">
        <v>0</v>
      </c>
      <c r="V20" s="265"/>
      <c r="W20" s="265" t="n">
        <v>0</v>
      </c>
      <c r="X20" s="265" t="n">
        <v>0</v>
      </c>
      <c r="Y20" s="265" t="n">
        <v>0</v>
      </c>
      <c r="Z20" s="265" t="n">
        <v>0</v>
      </c>
      <c r="AA20" s="265" t="n">
        <v>0</v>
      </c>
      <c r="AB20" s="265" t="n">
        <v>0</v>
      </c>
      <c r="AC20" s="270" t="n">
        <v>0</v>
      </c>
      <c r="AD20" s="265" t="n">
        <v>0</v>
      </c>
      <c r="AE20" s="265" t="n">
        <v>0</v>
      </c>
      <c r="AF20" s="265" t="n">
        <v>0</v>
      </c>
      <c r="AG20" s="265" t="n">
        <v>0</v>
      </c>
      <c r="AH20" s="271" t="n">
        <v>0</v>
      </c>
      <c r="AI20" s="265" t="n">
        <v>0</v>
      </c>
      <c r="AJ20" s="265" t="n">
        <v>0</v>
      </c>
      <c r="AK20" s="272" t="n">
        <v>0</v>
      </c>
      <c r="AL20" s="273"/>
      <c r="AM20" s="265" t="n">
        <v>127482.447572753</v>
      </c>
      <c r="AN20" s="273"/>
      <c r="AO20" s="273"/>
      <c r="AP20" s="265" t="n">
        <v>84870.3860270403</v>
      </c>
      <c r="AQ20" s="274"/>
      <c r="AR20" s="265"/>
      <c r="AS20" s="265"/>
      <c r="AT20" s="265" t="n">
        <v>0</v>
      </c>
      <c r="AU20" s="265" t="n">
        <v>0</v>
      </c>
      <c r="AV20" s="265" t="n">
        <v>0</v>
      </c>
      <c r="AW20" s="265" t="n">
        <v>0</v>
      </c>
      <c r="AX20" s="265" t="n">
        <v>-89917.6475727526</v>
      </c>
      <c r="AY20" s="265" t="n">
        <v>0</v>
      </c>
      <c r="AZ20" s="265" t="n">
        <v>89917.6475727526</v>
      </c>
      <c r="BA20" s="265" t="n">
        <v>0</v>
      </c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6"/>
      <c r="BR20" s="266"/>
      <c r="BS20" s="276"/>
      <c r="BT20" s="266"/>
      <c r="BU20" s="277"/>
      <c r="BV20" s="266"/>
      <c r="BW20" s="278"/>
      <c r="BX20" s="278"/>
      <c r="BY20" s="265"/>
      <c r="BZ20" s="265"/>
      <c r="CA20" s="265" t="n">
        <v>0</v>
      </c>
      <c r="CB20" s="265"/>
      <c r="CC20" s="265"/>
      <c r="CD20" s="265"/>
      <c r="CE20" s="265"/>
      <c r="CF20" s="265"/>
      <c r="CG20" s="265"/>
      <c r="CH20" s="265"/>
      <c r="CI20" s="265"/>
      <c r="CJ20" s="265"/>
      <c r="CK20" s="266"/>
      <c r="CL20" s="266"/>
    </row>
    <row r="21" customFormat="false" ht="30" hidden="false" customHeight="true" outlineLevel="1" collapsed="false">
      <c r="A21" s="261"/>
      <c r="B21" s="261" t="s">
        <v>470</v>
      </c>
      <c r="C21" s="261"/>
      <c r="D21" s="261"/>
      <c r="E21" s="261"/>
      <c r="F21" s="261"/>
      <c r="G21" s="298"/>
      <c r="H21" s="298"/>
      <c r="I21" s="262"/>
      <c r="J21" s="279"/>
      <c r="K21" s="279"/>
      <c r="L21" s="281"/>
      <c r="M21" s="281"/>
      <c r="N21" s="281"/>
      <c r="O21" s="280"/>
      <c r="P21" s="281"/>
      <c r="Q21" s="281"/>
      <c r="R21" s="283" t="n">
        <v>0</v>
      </c>
      <c r="S21" s="284" t="n">
        <v>1</v>
      </c>
      <c r="T21" s="283" t="n">
        <v>0</v>
      </c>
      <c r="U21" s="285" t="n">
        <v>0</v>
      </c>
      <c r="V21" s="280"/>
      <c r="W21" s="280" t="n">
        <v>0</v>
      </c>
      <c r="X21" s="280" t="n">
        <v>0</v>
      </c>
      <c r="Y21" s="280" t="n">
        <v>0</v>
      </c>
      <c r="Z21" s="280" t="n">
        <v>0</v>
      </c>
      <c r="AA21" s="280" t="n">
        <v>0</v>
      </c>
      <c r="AB21" s="280" t="n">
        <v>0</v>
      </c>
      <c r="AC21" s="285" t="n">
        <v>0</v>
      </c>
      <c r="AD21" s="280" t="n">
        <v>0</v>
      </c>
      <c r="AE21" s="280" t="n">
        <v>0</v>
      </c>
      <c r="AF21" s="280" t="n">
        <v>0</v>
      </c>
      <c r="AG21" s="280" t="n">
        <v>0</v>
      </c>
      <c r="AH21" s="286" t="n">
        <v>0</v>
      </c>
      <c r="AI21" s="280" t="n">
        <v>0</v>
      </c>
      <c r="AJ21" s="280" t="n">
        <v>0</v>
      </c>
      <c r="AK21" s="287" t="n">
        <v>0</v>
      </c>
      <c r="AL21" s="288"/>
      <c r="AM21" s="280" t="n">
        <v>127482.447572753</v>
      </c>
      <c r="AN21" s="288"/>
      <c r="AO21" s="288"/>
      <c r="AP21" s="280" t="n">
        <v>84870.3860270403</v>
      </c>
      <c r="AQ21" s="289"/>
      <c r="AR21" s="280"/>
      <c r="AS21" s="280"/>
      <c r="AT21" s="280" t="n">
        <v>0</v>
      </c>
      <c r="AU21" s="280" t="n">
        <v>0</v>
      </c>
      <c r="AV21" s="280" t="n">
        <v>0</v>
      </c>
      <c r="AW21" s="280" t="n">
        <v>0</v>
      </c>
      <c r="AX21" s="280" t="n">
        <v>-89917.6475727526</v>
      </c>
      <c r="AY21" s="280" t="n">
        <v>0</v>
      </c>
      <c r="AZ21" s="280" t="n">
        <v>89917.6475727526</v>
      </c>
      <c r="BA21" s="280" t="n">
        <v>0</v>
      </c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1"/>
      <c r="BR21" s="281"/>
      <c r="BS21" s="291"/>
      <c r="BT21" s="281"/>
      <c r="BU21" s="292"/>
      <c r="BV21" s="281"/>
      <c r="BW21" s="293"/>
      <c r="BX21" s="293"/>
      <c r="BY21" s="280"/>
      <c r="BZ21" s="280"/>
      <c r="CA21" s="280" t="n">
        <v>0</v>
      </c>
      <c r="CB21" s="280"/>
      <c r="CC21" s="280"/>
      <c r="CD21" s="280"/>
      <c r="CE21" s="280"/>
      <c r="CF21" s="280"/>
      <c r="CG21" s="280"/>
      <c r="CH21" s="280"/>
      <c r="CI21" s="280"/>
      <c r="CJ21" s="280"/>
      <c r="CK21" s="281"/>
      <c r="CL21" s="281"/>
    </row>
    <row r="22" customFormat="false" ht="15.75" hidden="false" customHeight="false" outlineLevel="3" collapsed="false">
      <c r="A22" s="63" t="s">
        <v>441</v>
      </c>
      <c r="B22" s="63" t="s">
        <v>471</v>
      </c>
      <c r="C22" s="63" t="s">
        <v>472</v>
      </c>
      <c r="D22" s="63" t="s">
        <v>473</v>
      </c>
      <c r="E22" s="63" t="s">
        <v>474</v>
      </c>
      <c r="F22" s="63" t="s">
        <v>423</v>
      </c>
      <c r="G22" s="63" t="s">
        <v>475</v>
      </c>
      <c r="H22" s="63" t="s">
        <v>102</v>
      </c>
      <c r="I22" s="242" t="s">
        <v>447</v>
      </c>
      <c r="J22" s="244" t="n">
        <v>1</v>
      </c>
      <c r="K22" s="244" t="n">
        <v>1</v>
      </c>
      <c r="L22" s="246" t="n">
        <v>0</v>
      </c>
      <c r="M22" s="246" t="n">
        <v>0</v>
      </c>
      <c r="N22" s="246" t="n">
        <v>0</v>
      </c>
      <c r="O22" s="245" t="n">
        <v>1803840</v>
      </c>
      <c r="P22" s="246" t="n">
        <v>1803840</v>
      </c>
      <c r="Q22" s="246" t="n">
        <v>0</v>
      </c>
      <c r="R22" s="248" t="n">
        <v>0</v>
      </c>
      <c r="S22" s="294" t="n">
        <v>1</v>
      </c>
      <c r="T22" s="248" t="s">
        <v>437</v>
      </c>
      <c r="U22" s="250" t="n">
        <v>1803840</v>
      </c>
      <c r="V22" s="245" t="s">
        <v>426</v>
      </c>
      <c r="W22" s="245" t="n">
        <v>0</v>
      </c>
      <c r="X22" s="245" t="n">
        <v>0</v>
      </c>
      <c r="Y22" s="245" t="n">
        <v>0</v>
      </c>
      <c r="Z22" s="245" t="n">
        <v>0</v>
      </c>
      <c r="AA22" s="245" t="n">
        <v>0</v>
      </c>
      <c r="AB22" s="245" t="n">
        <v>0</v>
      </c>
      <c r="AC22" s="250" t="n">
        <v>1803840</v>
      </c>
      <c r="AD22" s="245" t="n">
        <v>0</v>
      </c>
      <c r="AE22" s="245" t="n">
        <v>0</v>
      </c>
      <c r="AF22" s="245" t="n">
        <v>0</v>
      </c>
      <c r="AG22" s="245" t="n">
        <v>0</v>
      </c>
      <c r="AH22" s="251" t="n">
        <v>0</v>
      </c>
      <c r="AI22" s="245" t="n">
        <v>0</v>
      </c>
      <c r="AJ22" s="245" t="n">
        <v>0</v>
      </c>
      <c r="AK22" s="252" t="n">
        <v>0</v>
      </c>
      <c r="AL22" s="253" t="n">
        <v>0</v>
      </c>
      <c r="AM22" s="245" t="n">
        <v>1803840</v>
      </c>
      <c r="AN22" s="246" t="n">
        <v>0</v>
      </c>
      <c r="AO22" s="253" t="n">
        <v>0</v>
      </c>
      <c r="AP22" s="245" t="n">
        <v>1803840</v>
      </c>
      <c r="AQ22" s="254" t="n">
        <v>1</v>
      </c>
      <c r="AR22" s="245" t="n">
        <v>0</v>
      </c>
      <c r="AS22" s="245" t="n">
        <v>1803840</v>
      </c>
      <c r="AT22" s="245" t="n">
        <v>0</v>
      </c>
      <c r="AU22" s="245" t="n">
        <v>0</v>
      </c>
      <c r="AV22" s="245" t="n">
        <v>0</v>
      </c>
      <c r="AW22" s="245" t="n">
        <v>0</v>
      </c>
      <c r="AX22" s="245" t="n">
        <v>0</v>
      </c>
      <c r="AY22" s="245" t="n">
        <v>0</v>
      </c>
      <c r="AZ22" s="245" t="n">
        <v>0</v>
      </c>
      <c r="BA22" s="245" t="n">
        <v>0</v>
      </c>
      <c r="BB22" s="245" t="s">
        <v>423</v>
      </c>
      <c r="BC22" s="245" t="s">
        <v>423</v>
      </c>
      <c r="BD22" s="245" t="n">
        <v>0</v>
      </c>
      <c r="BE22" s="245" t="n">
        <v>0</v>
      </c>
      <c r="BF22" s="245" t="n">
        <v>0</v>
      </c>
      <c r="BG22" s="245" t="n">
        <v>0</v>
      </c>
      <c r="BH22" s="245" t="n">
        <v>0</v>
      </c>
      <c r="BI22" s="245" t="n">
        <v>0</v>
      </c>
      <c r="BJ22" s="245" t="n">
        <v>0</v>
      </c>
      <c r="BK22" s="245" t="n">
        <v>0</v>
      </c>
      <c r="BL22" s="245" t="n">
        <v>1803840</v>
      </c>
      <c r="BM22" s="245" t="s">
        <v>427</v>
      </c>
      <c r="BN22" s="245" t="n">
        <v>0</v>
      </c>
      <c r="BO22" s="255" t="b">
        <f aca="false">FALSE()</f>
        <v>0</v>
      </c>
      <c r="BP22" s="255" t="n">
        <v>0</v>
      </c>
      <c r="BQ22" s="247" t="n">
        <v>0</v>
      </c>
      <c r="BR22" s="246" t="n">
        <v>0</v>
      </c>
      <c r="BS22" s="257" t="n">
        <v>83</v>
      </c>
      <c r="BT22" s="246" t="n">
        <v>0</v>
      </c>
      <c r="BU22" s="258" t="n">
        <v>0</v>
      </c>
      <c r="BV22" s="246" t="n">
        <v>254</v>
      </c>
      <c r="BW22" s="259" t="n">
        <v>0</v>
      </c>
      <c r="BX22" s="259" t="n">
        <v>0</v>
      </c>
      <c r="BY22" s="255" t="n">
        <v>0</v>
      </c>
      <c r="BZ22" s="255" t="n">
        <v>0</v>
      </c>
      <c r="CA22" s="255" t="n">
        <v>0</v>
      </c>
      <c r="CB22" s="255" t="n">
        <v>0</v>
      </c>
      <c r="CC22" s="255" t="n">
        <v>0</v>
      </c>
      <c r="CD22" s="255" t="n">
        <v>0</v>
      </c>
      <c r="CE22" s="255" t="n">
        <v>0</v>
      </c>
      <c r="CF22" s="255" t="n">
        <v>0</v>
      </c>
      <c r="CG22" s="255" t="n">
        <v>0</v>
      </c>
      <c r="CH22" s="255" t="n">
        <v>0</v>
      </c>
      <c r="CI22" s="255" t="n">
        <v>0</v>
      </c>
      <c r="CJ22" s="255" t="n">
        <v>0</v>
      </c>
      <c r="CK22" s="246" t="n">
        <v>0</v>
      </c>
      <c r="CL22" s="246" t="n">
        <v>0</v>
      </c>
    </row>
    <row r="23" customFormat="false" ht="15.75" hidden="false" customHeight="false" outlineLevel="3" collapsed="false">
      <c r="A23" s="63" t="s">
        <v>441</v>
      </c>
      <c r="B23" s="63" t="s">
        <v>471</v>
      </c>
      <c r="C23" s="63" t="s">
        <v>472</v>
      </c>
      <c r="D23" s="63" t="s">
        <v>473</v>
      </c>
      <c r="E23" s="63" t="s">
        <v>476</v>
      </c>
      <c r="F23" s="63" t="s">
        <v>423</v>
      </c>
      <c r="G23" s="63" t="s">
        <v>475</v>
      </c>
      <c r="H23" s="63" t="s">
        <v>102</v>
      </c>
      <c r="I23" s="242" t="s">
        <v>447</v>
      </c>
      <c r="J23" s="244" t="n">
        <v>1</v>
      </c>
      <c r="K23" s="244" t="n">
        <v>1</v>
      </c>
      <c r="L23" s="246" t="n">
        <v>0</v>
      </c>
      <c r="M23" s="246" t="n">
        <v>0</v>
      </c>
      <c r="N23" s="246" t="n">
        <v>0</v>
      </c>
      <c r="O23" s="245" t="n">
        <v>2300803</v>
      </c>
      <c r="P23" s="246" t="n">
        <v>2300803</v>
      </c>
      <c r="Q23" s="246" t="n">
        <v>0</v>
      </c>
      <c r="R23" s="248" t="n">
        <v>0</v>
      </c>
      <c r="S23" s="294" t="n">
        <v>1</v>
      </c>
      <c r="T23" s="248" t="s">
        <v>437</v>
      </c>
      <c r="U23" s="250" t="n">
        <v>2300803</v>
      </c>
      <c r="V23" s="245" t="s">
        <v>426</v>
      </c>
      <c r="W23" s="245" t="n">
        <v>0</v>
      </c>
      <c r="X23" s="245" t="n">
        <v>0</v>
      </c>
      <c r="Y23" s="245" t="n">
        <v>0</v>
      </c>
      <c r="Z23" s="245" t="n">
        <v>0</v>
      </c>
      <c r="AA23" s="245" t="n">
        <v>0</v>
      </c>
      <c r="AB23" s="245" t="n">
        <v>0</v>
      </c>
      <c r="AC23" s="250" t="n">
        <v>2300803</v>
      </c>
      <c r="AD23" s="245" t="n">
        <v>0</v>
      </c>
      <c r="AE23" s="245" t="n">
        <v>0</v>
      </c>
      <c r="AF23" s="245" t="n">
        <v>0</v>
      </c>
      <c r="AG23" s="245" t="n">
        <v>0</v>
      </c>
      <c r="AH23" s="251" t="n">
        <v>0</v>
      </c>
      <c r="AI23" s="245" t="n">
        <v>0</v>
      </c>
      <c r="AJ23" s="245" t="n">
        <v>0</v>
      </c>
      <c r="AK23" s="252" t="n">
        <v>0</v>
      </c>
      <c r="AL23" s="253" t="n">
        <v>0</v>
      </c>
      <c r="AM23" s="245" t="n">
        <v>2300803</v>
      </c>
      <c r="AN23" s="246" t="n">
        <v>0</v>
      </c>
      <c r="AO23" s="253" t="n">
        <v>0</v>
      </c>
      <c r="AP23" s="245" t="n">
        <v>2300803</v>
      </c>
      <c r="AQ23" s="254" t="n">
        <v>1</v>
      </c>
      <c r="AR23" s="245" t="n">
        <v>0</v>
      </c>
      <c r="AS23" s="245" t="n">
        <v>2300803</v>
      </c>
      <c r="AT23" s="245" t="n">
        <v>0</v>
      </c>
      <c r="AU23" s="245" t="n">
        <v>0</v>
      </c>
      <c r="AV23" s="245" t="n">
        <v>0</v>
      </c>
      <c r="AW23" s="245" t="n">
        <v>0</v>
      </c>
      <c r="AX23" s="245" t="n">
        <v>0</v>
      </c>
      <c r="AY23" s="245" t="n">
        <v>0</v>
      </c>
      <c r="AZ23" s="245" t="n">
        <v>0</v>
      </c>
      <c r="BA23" s="245" t="n">
        <v>0</v>
      </c>
      <c r="BB23" s="245" t="s">
        <v>423</v>
      </c>
      <c r="BC23" s="245" t="s">
        <v>423</v>
      </c>
      <c r="BD23" s="245" t="n">
        <v>0</v>
      </c>
      <c r="BE23" s="245" t="n">
        <v>0</v>
      </c>
      <c r="BF23" s="245" t="n">
        <v>0</v>
      </c>
      <c r="BG23" s="245" t="n">
        <v>0</v>
      </c>
      <c r="BH23" s="245" t="n">
        <v>0</v>
      </c>
      <c r="BI23" s="245" t="n">
        <v>0</v>
      </c>
      <c r="BJ23" s="245" t="n">
        <v>0</v>
      </c>
      <c r="BK23" s="245" t="n">
        <v>0</v>
      </c>
      <c r="BL23" s="245" t="n">
        <v>2300803</v>
      </c>
      <c r="BM23" s="245" t="s">
        <v>427</v>
      </c>
      <c r="BN23" s="245" t="n">
        <v>0</v>
      </c>
      <c r="BO23" s="255" t="b">
        <f aca="false">FALSE()</f>
        <v>0</v>
      </c>
      <c r="BP23" s="255" t="n">
        <v>0</v>
      </c>
      <c r="BQ23" s="247" t="n">
        <v>0</v>
      </c>
      <c r="BR23" s="246" t="n">
        <v>0</v>
      </c>
      <c r="BS23" s="257" t="n">
        <v>83</v>
      </c>
      <c r="BT23" s="246" t="n">
        <v>0</v>
      </c>
      <c r="BU23" s="258" t="n">
        <v>0</v>
      </c>
      <c r="BV23" s="246" t="n">
        <v>255</v>
      </c>
      <c r="BW23" s="259" t="n">
        <v>0</v>
      </c>
      <c r="BX23" s="259" t="n">
        <v>0</v>
      </c>
      <c r="BY23" s="255" t="n">
        <v>0</v>
      </c>
      <c r="BZ23" s="255" t="n">
        <v>0</v>
      </c>
      <c r="CA23" s="255" t="n">
        <v>0</v>
      </c>
      <c r="CB23" s="255" t="n">
        <v>0</v>
      </c>
      <c r="CC23" s="255" t="n">
        <v>0</v>
      </c>
      <c r="CD23" s="255" t="n">
        <v>0</v>
      </c>
      <c r="CE23" s="255" t="n">
        <v>0</v>
      </c>
      <c r="CF23" s="255" t="n">
        <v>0</v>
      </c>
      <c r="CG23" s="255" t="n">
        <v>0</v>
      </c>
      <c r="CH23" s="255" t="n">
        <v>0</v>
      </c>
      <c r="CI23" s="255" t="n">
        <v>0</v>
      </c>
      <c r="CJ23" s="255" t="n">
        <v>0</v>
      </c>
      <c r="CK23" s="246" t="n">
        <v>0</v>
      </c>
      <c r="CL23" s="246" t="n">
        <v>0</v>
      </c>
    </row>
    <row r="24" customFormat="false" ht="20.1" hidden="false" customHeight="true" outlineLevel="2" collapsed="false">
      <c r="A24" s="261" t="s">
        <v>459</v>
      </c>
      <c r="B24" s="261"/>
      <c r="C24" s="261"/>
      <c r="D24" s="261"/>
      <c r="E24" s="261"/>
      <c r="F24" s="261"/>
      <c r="G24" s="261"/>
      <c r="H24" s="261"/>
      <c r="I24" s="262"/>
      <c r="J24" s="264"/>
      <c r="K24" s="264"/>
      <c r="L24" s="266"/>
      <c r="M24" s="266"/>
      <c r="N24" s="266"/>
      <c r="O24" s="265"/>
      <c r="P24" s="266"/>
      <c r="Q24" s="266"/>
      <c r="R24" s="268" t="n">
        <v>0</v>
      </c>
      <c r="S24" s="295" t="n">
        <v>2</v>
      </c>
      <c r="T24" s="268" t="n">
        <v>0</v>
      </c>
      <c r="U24" s="270" t="n">
        <v>4104643</v>
      </c>
      <c r="V24" s="265"/>
      <c r="W24" s="265" t="n">
        <v>0</v>
      </c>
      <c r="X24" s="265" t="n">
        <v>0</v>
      </c>
      <c r="Y24" s="265" t="n">
        <v>0</v>
      </c>
      <c r="Z24" s="265" t="n">
        <v>0</v>
      </c>
      <c r="AA24" s="265" t="n">
        <v>0</v>
      </c>
      <c r="AB24" s="265" t="n">
        <v>0</v>
      </c>
      <c r="AC24" s="270" t="n">
        <v>4104643</v>
      </c>
      <c r="AD24" s="265" t="n">
        <v>0</v>
      </c>
      <c r="AE24" s="265" t="n">
        <v>0</v>
      </c>
      <c r="AF24" s="265" t="n">
        <v>0</v>
      </c>
      <c r="AG24" s="265" t="n">
        <v>0</v>
      </c>
      <c r="AH24" s="271" t="n">
        <v>0</v>
      </c>
      <c r="AI24" s="265" t="n">
        <v>0</v>
      </c>
      <c r="AJ24" s="265" t="n">
        <v>0</v>
      </c>
      <c r="AK24" s="272" t="n">
        <v>0</v>
      </c>
      <c r="AL24" s="273"/>
      <c r="AM24" s="265" t="n">
        <v>4104643</v>
      </c>
      <c r="AN24" s="266"/>
      <c r="AO24" s="273"/>
      <c r="AP24" s="265" t="n">
        <v>4104643</v>
      </c>
      <c r="AQ24" s="274"/>
      <c r="AR24" s="265"/>
      <c r="AS24" s="265"/>
      <c r="AT24" s="265" t="n">
        <v>0</v>
      </c>
      <c r="AU24" s="265" t="n">
        <v>0</v>
      </c>
      <c r="AV24" s="265" t="n">
        <v>0</v>
      </c>
      <c r="AW24" s="265" t="n">
        <v>0</v>
      </c>
      <c r="AX24" s="265" t="n">
        <v>0</v>
      </c>
      <c r="AY24" s="265" t="n">
        <v>0</v>
      </c>
      <c r="AZ24" s="265" t="n">
        <v>0</v>
      </c>
      <c r="BA24" s="265" t="n">
        <v>0</v>
      </c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7"/>
      <c r="BR24" s="266"/>
      <c r="BS24" s="276"/>
      <c r="BT24" s="266"/>
      <c r="BU24" s="277"/>
      <c r="BV24" s="266"/>
      <c r="BW24" s="278"/>
      <c r="BX24" s="278"/>
      <c r="BY24" s="265"/>
      <c r="BZ24" s="265"/>
      <c r="CA24" s="265" t="n">
        <v>0</v>
      </c>
      <c r="CB24" s="265"/>
      <c r="CC24" s="265"/>
      <c r="CD24" s="265"/>
      <c r="CE24" s="265"/>
      <c r="CF24" s="265"/>
      <c r="CG24" s="265"/>
      <c r="CH24" s="265"/>
      <c r="CI24" s="265"/>
      <c r="CJ24" s="265"/>
      <c r="CK24" s="266"/>
      <c r="CL24" s="266"/>
    </row>
    <row r="25" customFormat="false" ht="30" hidden="false" customHeight="true" outlineLevel="1" collapsed="false">
      <c r="A25" s="261"/>
      <c r="B25" s="261" t="s">
        <v>477</v>
      </c>
      <c r="C25" s="261"/>
      <c r="D25" s="261"/>
      <c r="E25" s="261"/>
      <c r="F25" s="261"/>
      <c r="G25" s="261"/>
      <c r="H25" s="261"/>
      <c r="I25" s="262"/>
      <c r="J25" s="279"/>
      <c r="K25" s="279"/>
      <c r="L25" s="281"/>
      <c r="M25" s="281"/>
      <c r="N25" s="281"/>
      <c r="O25" s="280"/>
      <c r="P25" s="281"/>
      <c r="Q25" s="281"/>
      <c r="R25" s="283" t="n">
        <v>0</v>
      </c>
      <c r="S25" s="296" t="n">
        <v>2</v>
      </c>
      <c r="T25" s="283" t="n">
        <v>0</v>
      </c>
      <c r="U25" s="285" t="n">
        <v>4104643</v>
      </c>
      <c r="V25" s="280"/>
      <c r="W25" s="280" t="n">
        <v>0</v>
      </c>
      <c r="X25" s="280" t="n">
        <v>0</v>
      </c>
      <c r="Y25" s="280" t="n">
        <v>0</v>
      </c>
      <c r="Z25" s="280" t="n">
        <v>0</v>
      </c>
      <c r="AA25" s="280" t="n">
        <v>0</v>
      </c>
      <c r="AB25" s="280" t="n">
        <v>0</v>
      </c>
      <c r="AC25" s="285" t="n">
        <v>4104643</v>
      </c>
      <c r="AD25" s="280" t="n">
        <v>0</v>
      </c>
      <c r="AE25" s="280" t="n">
        <v>0</v>
      </c>
      <c r="AF25" s="280" t="n">
        <v>0</v>
      </c>
      <c r="AG25" s="280" t="n">
        <v>0</v>
      </c>
      <c r="AH25" s="286" t="n">
        <v>0</v>
      </c>
      <c r="AI25" s="280" t="n">
        <v>0</v>
      </c>
      <c r="AJ25" s="280" t="n">
        <v>0</v>
      </c>
      <c r="AK25" s="287" t="n">
        <v>0</v>
      </c>
      <c r="AL25" s="288"/>
      <c r="AM25" s="280" t="n">
        <v>4104643</v>
      </c>
      <c r="AN25" s="281"/>
      <c r="AO25" s="288"/>
      <c r="AP25" s="280" t="n">
        <v>4104643</v>
      </c>
      <c r="AQ25" s="289"/>
      <c r="AR25" s="280"/>
      <c r="AS25" s="280"/>
      <c r="AT25" s="280" t="n">
        <v>0</v>
      </c>
      <c r="AU25" s="280" t="n">
        <v>0</v>
      </c>
      <c r="AV25" s="280" t="n">
        <v>0</v>
      </c>
      <c r="AW25" s="280" t="n">
        <v>0</v>
      </c>
      <c r="AX25" s="280" t="n">
        <v>0</v>
      </c>
      <c r="AY25" s="280" t="n">
        <v>0</v>
      </c>
      <c r="AZ25" s="280" t="n">
        <v>0</v>
      </c>
      <c r="BA25" s="280" t="n">
        <v>0</v>
      </c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2"/>
      <c r="BR25" s="281"/>
      <c r="BS25" s="291"/>
      <c r="BT25" s="281"/>
      <c r="BU25" s="292"/>
      <c r="BV25" s="281"/>
      <c r="BW25" s="293"/>
      <c r="BX25" s="293"/>
      <c r="BY25" s="280"/>
      <c r="BZ25" s="280"/>
      <c r="CA25" s="280" t="n">
        <v>0</v>
      </c>
      <c r="CB25" s="280"/>
      <c r="CC25" s="280"/>
      <c r="CD25" s="280"/>
      <c r="CE25" s="280"/>
      <c r="CF25" s="280"/>
      <c r="CG25" s="280"/>
      <c r="CH25" s="280"/>
      <c r="CI25" s="280"/>
      <c r="CJ25" s="280"/>
      <c r="CK25" s="281"/>
      <c r="CL25" s="281"/>
    </row>
    <row r="26" customFormat="false" ht="15.75" hidden="false" customHeight="false" outlineLevel="3" collapsed="false">
      <c r="A26" s="63" t="s">
        <v>478</v>
      </c>
      <c r="B26" s="63" t="s">
        <v>479</v>
      </c>
      <c r="C26" s="63" t="s">
        <v>480</v>
      </c>
      <c r="D26" s="63" t="s">
        <v>481</v>
      </c>
      <c r="E26" s="63" t="s">
        <v>482</v>
      </c>
      <c r="F26" s="63" t="s">
        <v>483</v>
      </c>
      <c r="G26" s="63" t="s">
        <v>484</v>
      </c>
      <c r="H26" s="63" t="s">
        <v>99</v>
      </c>
      <c r="I26" s="242" t="s">
        <v>425</v>
      </c>
      <c r="J26" s="244" t="n">
        <v>324000</v>
      </c>
      <c r="K26" s="244" t="n">
        <v>324000</v>
      </c>
      <c r="L26" s="246" t="n">
        <v>0</v>
      </c>
      <c r="M26" s="246" t="n">
        <v>0</v>
      </c>
      <c r="N26" s="246" t="n">
        <v>1</v>
      </c>
      <c r="O26" s="245" t="n">
        <v>5.56</v>
      </c>
      <c r="P26" s="247" t="n">
        <v>5.9</v>
      </c>
      <c r="Q26" s="247" t="n">
        <v>-0.340000000000001</v>
      </c>
      <c r="R26" s="248" t="n">
        <v>0</v>
      </c>
      <c r="S26" s="249" t="n">
        <v>1</v>
      </c>
      <c r="T26" s="248" t="s">
        <v>437</v>
      </c>
      <c r="U26" s="250" t="n">
        <v>1801440</v>
      </c>
      <c r="V26" s="245" t="s">
        <v>426</v>
      </c>
      <c r="W26" s="245" t="n">
        <v>0</v>
      </c>
      <c r="X26" s="245" t="n">
        <v>0</v>
      </c>
      <c r="Y26" s="245" t="n">
        <v>0</v>
      </c>
      <c r="Z26" s="245" t="n">
        <v>0</v>
      </c>
      <c r="AA26" s="245" t="n">
        <v>0</v>
      </c>
      <c r="AB26" s="245" t="n">
        <v>0</v>
      </c>
      <c r="AC26" s="250" t="n">
        <v>1911600</v>
      </c>
      <c r="AD26" s="245" t="n">
        <v>-110160</v>
      </c>
      <c r="AE26" s="245" t="n">
        <v>0</v>
      </c>
      <c r="AF26" s="245" t="n">
        <v>110160</v>
      </c>
      <c r="AG26" s="245" t="n">
        <v>0</v>
      </c>
      <c r="AH26" s="251" t="n">
        <v>-3602880</v>
      </c>
      <c r="AI26" s="245" t="n">
        <v>0</v>
      </c>
      <c r="AJ26" s="245" t="n">
        <v>3602880</v>
      </c>
      <c r="AK26" s="252" t="n">
        <v>0</v>
      </c>
      <c r="AL26" s="253" t="n">
        <v>0</v>
      </c>
      <c r="AM26" s="245" t="n">
        <v>28000652.0625</v>
      </c>
      <c r="AN26" s="246" t="n">
        <v>0</v>
      </c>
      <c r="AO26" s="253" t="n">
        <v>0</v>
      </c>
      <c r="AP26" s="245" t="n">
        <v>79135746</v>
      </c>
      <c r="AQ26" s="254" t="n">
        <v>1</v>
      </c>
      <c r="AR26" s="245" t="n">
        <v>1801440</v>
      </c>
      <c r="AS26" s="245" t="n">
        <v>5.56</v>
      </c>
      <c r="AT26" s="245" t="n">
        <v>-1082160</v>
      </c>
      <c r="AU26" s="245" t="n">
        <v>0</v>
      </c>
      <c r="AV26" s="245" t="n">
        <v>1082160</v>
      </c>
      <c r="AW26" s="245" t="n">
        <v>0</v>
      </c>
      <c r="AX26" s="245" t="n">
        <v>-3631546.4225</v>
      </c>
      <c r="AY26" s="245" t="n">
        <v>0</v>
      </c>
      <c r="AZ26" s="245" t="n">
        <v>3631546.4225</v>
      </c>
      <c r="BA26" s="245" t="n">
        <v>0</v>
      </c>
      <c r="BB26" s="245" t="n">
        <v>5.56</v>
      </c>
      <c r="BC26" s="245" t="n">
        <v>5.9</v>
      </c>
      <c r="BD26" s="245" t="n">
        <v>-972000</v>
      </c>
      <c r="BE26" s="245" t="n">
        <v>0</v>
      </c>
      <c r="BF26" s="245" t="n">
        <v>972000</v>
      </c>
      <c r="BG26" s="245" t="n">
        <v>0</v>
      </c>
      <c r="BH26" s="245" t="n">
        <v>-3521386.4225</v>
      </c>
      <c r="BI26" s="245" t="n">
        <v>0</v>
      </c>
      <c r="BJ26" s="245" t="n">
        <v>3521386.4225</v>
      </c>
      <c r="BK26" s="245" t="n">
        <v>0</v>
      </c>
      <c r="BL26" s="245" t="n">
        <v>79135746</v>
      </c>
      <c r="BM26" s="245" t="s">
        <v>438</v>
      </c>
      <c r="BN26" s="245" t="n">
        <v>0</v>
      </c>
      <c r="BO26" s="255" t="b">
        <f aca="false">FALSE()</f>
        <v>0</v>
      </c>
      <c r="BP26" s="255" t="n">
        <v>3492720</v>
      </c>
      <c r="BQ26" s="247" t="n">
        <v>0</v>
      </c>
      <c r="BR26" s="246" t="n">
        <v>5000000</v>
      </c>
      <c r="BS26" s="257" t="n">
        <v>76</v>
      </c>
      <c r="BT26" s="246" t="n">
        <v>-110160</v>
      </c>
      <c r="BU26" s="258" t="n">
        <v>0</v>
      </c>
      <c r="BV26" s="246" t="n">
        <v>39</v>
      </c>
      <c r="BW26" s="259" t="n">
        <v>5.56</v>
      </c>
      <c r="BX26" s="259" t="n">
        <v>0</v>
      </c>
      <c r="BY26" s="255" t="n">
        <v>0</v>
      </c>
      <c r="BZ26" s="255" t="n">
        <v>0</v>
      </c>
      <c r="CA26" s="255" t="n">
        <v>0</v>
      </c>
      <c r="CB26" s="255" t="n">
        <v>-22567665.64</v>
      </c>
      <c r="CC26" s="255" t="n">
        <v>0</v>
      </c>
      <c r="CD26" s="255" t="n">
        <v>0</v>
      </c>
      <c r="CE26" s="255" t="n">
        <v>0</v>
      </c>
      <c r="CF26" s="255" t="n">
        <v>0</v>
      </c>
      <c r="CG26" s="255" t="n">
        <v>-3492720</v>
      </c>
      <c r="CH26" s="255" t="n">
        <v>0</v>
      </c>
      <c r="CI26" s="255" t="n">
        <v>3492720</v>
      </c>
      <c r="CJ26" s="255" t="n">
        <v>0</v>
      </c>
      <c r="CK26" s="246" t="n">
        <v>0</v>
      </c>
      <c r="CL26" s="246" t="n">
        <v>0</v>
      </c>
    </row>
    <row r="27" customFormat="false" ht="20.1" hidden="false" customHeight="true" outlineLevel="2" collapsed="false">
      <c r="A27" s="261" t="s">
        <v>485</v>
      </c>
      <c r="B27" s="261"/>
      <c r="C27" s="261"/>
      <c r="D27" s="261"/>
      <c r="E27" s="261"/>
      <c r="F27" s="261"/>
      <c r="G27" s="261"/>
      <c r="H27" s="261"/>
      <c r="I27" s="262"/>
      <c r="J27" s="264"/>
      <c r="K27" s="264"/>
      <c r="L27" s="266"/>
      <c r="M27" s="266"/>
      <c r="N27" s="266"/>
      <c r="O27" s="265"/>
      <c r="P27" s="267"/>
      <c r="Q27" s="267"/>
      <c r="R27" s="268" t="n">
        <v>0</v>
      </c>
      <c r="S27" s="269" t="n">
        <v>1</v>
      </c>
      <c r="T27" s="268" t="n">
        <v>0</v>
      </c>
      <c r="U27" s="270" t="n">
        <v>1801440</v>
      </c>
      <c r="V27" s="265"/>
      <c r="W27" s="265" t="n">
        <v>0</v>
      </c>
      <c r="X27" s="265" t="n">
        <v>0</v>
      </c>
      <c r="Y27" s="265" t="n">
        <v>0</v>
      </c>
      <c r="Z27" s="265" t="n">
        <v>0</v>
      </c>
      <c r="AA27" s="265" t="n">
        <v>0</v>
      </c>
      <c r="AB27" s="265" t="n">
        <v>0</v>
      </c>
      <c r="AC27" s="270" t="n">
        <v>1911600</v>
      </c>
      <c r="AD27" s="265" t="n">
        <v>-110160</v>
      </c>
      <c r="AE27" s="265" t="n">
        <v>0</v>
      </c>
      <c r="AF27" s="265" t="n">
        <v>110160</v>
      </c>
      <c r="AG27" s="265" t="n">
        <v>0</v>
      </c>
      <c r="AH27" s="271" t="n">
        <v>-3602880</v>
      </c>
      <c r="AI27" s="265" t="n">
        <v>0</v>
      </c>
      <c r="AJ27" s="265" t="n">
        <v>3602880</v>
      </c>
      <c r="AK27" s="272" t="n">
        <v>0</v>
      </c>
      <c r="AL27" s="273"/>
      <c r="AM27" s="265" t="n">
        <v>28000652.0625</v>
      </c>
      <c r="AN27" s="266"/>
      <c r="AO27" s="273"/>
      <c r="AP27" s="265" t="n">
        <v>79135746</v>
      </c>
      <c r="AQ27" s="274"/>
      <c r="AR27" s="265"/>
      <c r="AS27" s="265"/>
      <c r="AT27" s="265" t="n">
        <v>-1082160</v>
      </c>
      <c r="AU27" s="265" t="n">
        <v>0</v>
      </c>
      <c r="AV27" s="265" t="n">
        <v>1082160</v>
      </c>
      <c r="AW27" s="265" t="n">
        <v>0</v>
      </c>
      <c r="AX27" s="265" t="n">
        <v>-3631546.4225</v>
      </c>
      <c r="AY27" s="265" t="n">
        <v>0</v>
      </c>
      <c r="AZ27" s="265" t="n">
        <v>3631546.4225</v>
      </c>
      <c r="BA27" s="265" t="n">
        <v>0</v>
      </c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7"/>
      <c r="BR27" s="266"/>
      <c r="BS27" s="276"/>
      <c r="BT27" s="266"/>
      <c r="BU27" s="277"/>
      <c r="BV27" s="266"/>
      <c r="BW27" s="278"/>
      <c r="BX27" s="278"/>
      <c r="BY27" s="265"/>
      <c r="BZ27" s="265"/>
      <c r="CA27" s="265" t="n">
        <v>0</v>
      </c>
      <c r="CB27" s="265"/>
      <c r="CC27" s="265"/>
      <c r="CD27" s="265"/>
      <c r="CE27" s="265"/>
      <c r="CF27" s="265"/>
      <c r="CG27" s="265"/>
      <c r="CH27" s="265"/>
      <c r="CI27" s="265"/>
      <c r="CJ27" s="265"/>
      <c r="CK27" s="266"/>
      <c r="CL27" s="266"/>
    </row>
    <row r="28" customFormat="false" ht="30" hidden="false" customHeight="true" outlineLevel="1" collapsed="false">
      <c r="A28" s="261"/>
      <c r="B28" s="261" t="s">
        <v>486</v>
      </c>
      <c r="C28" s="261"/>
      <c r="D28" s="261"/>
      <c r="E28" s="261"/>
      <c r="F28" s="261"/>
      <c r="G28" s="261"/>
      <c r="H28" s="261"/>
      <c r="I28" s="262"/>
      <c r="J28" s="279"/>
      <c r="K28" s="279"/>
      <c r="L28" s="281"/>
      <c r="M28" s="281"/>
      <c r="N28" s="281"/>
      <c r="O28" s="280"/>
      <c r="P28" s="282"/>
      <c r="Q28" s="282"/>
      <c r="R28" s="283" t="n">
        <v>0</v>
      </c>
      <c r="S28" s="284" t="n">
        <v>1</v>
      </c>
      <c r="T28" s="283" t="n">
        <v>0</v>
      </c>
      <c r="U28" s="285" t="n">
        <v>1801440</v>
      </c>
      <c r="V28" s="280"/>
      <c r="W28" s="280" t="n">
        <v>0</v>
      </c>
      <c r="X28" s="280" t="n">
        <v>0</v>
      </c>
      <c r="Y28" s="280" t="n">
        <v>0</v>
      </c>
      <c r="Z28" s="280" t="n">
        <v>0</v>
      </c>
      <c r="AA28" s="280" t="n">
        <v>0</v>
      </c>
      <c r="AB28" s="280" t="n">
        <v>0</v>
      </c>
      <c r="AC28" s="285" t="n">
        <v>1911600</v>
      </c>
      <c r="AD28" s="280" t="n">
        <v>-110160</v>
      </c>
      <c r="AE28" s="280" t="n">
        <v>0</v>
      </c>
      <c r="AF28" s="280" t="n">
        <v>110160</v>
      </c>
      <c r="AG28" s="280" t="n">
        <v>0</v>
      </c>
      <c r="AH28" s="286" t="n">
        <v>-3602880</v>
      </c>
      <c r="AI28" s="280" t="n">
        <v>0</v>
      </c>
      <c r="AJ28" s="280" t="n">
        <v>3602880</v>
      </c>
      <c r="AK28" s="287" t="n">
        <v>0</v>
      </c>
      <c r="AL28" s="288"/>
      <c r="AM28" s="280" t="n">
        <v>28000652.0625</v>
      </c>
      <c r="AN28" s="281"/>
      <c r="AO28" s="288"/>
      <c r="AP28" s="280" t="n">
        <v>79135746</v>
      </c>
      <c r="AQ28" s="289"/>
      <c r="AR28" s="280"/>
      <c r="AS28" s="280"/>
      <c r="AT28" s="280" t="n">
        <v>-1082160</v>
      </c>
      <c r="AU28" s="280" t="n">
        <v>0</v>
      </c>
      <c r="AV28" s="280" t="n">
        <v>1082160</v>
      </c>
      <c r="AW28" s="280" t="n">
        <v>0</v>
      </c>
      <c r="AX28" s="280" t="n">
        <v>-3631546.4225</v>
      </c>
      <c r="AY28" s="280" t="n">
        <v>0</v>
      </c>
      <c r="AZ28" s="280" t="n">
        <v>3631546.4225</v>
      </c>
      <c r="BA28" s="280" t="n">
        <v>0</v>
      </c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2"/>
      <c r="BR28" s="281"/>
      <c r="BS28" s="291"/>
      <c r="BT28" s="281"/>
      <c r="BU28" s="292"/>
      <c r="BV28" s="281"/>
      <c r="BW28" s="293"/>
      <c r="BX28" s="293"/>
      <c r="BY28" s="280"/>
      <c r="BZ28" s="280"/>
      <c r="CA28" s="280" t="n">
        <v>0</v>
      </c>
      <c r="CB28" s="280"/>
      <c r="CC28" s="280"/>
      <c r="CD28" s="280"/>
      <c r="CE28" s="280"/>
      <c r="CF28" s="280"/>
      <c r="CG28" s="280"/>
      <c r="CH28" s="280"/>
      <c r="CI28" s="280"/>
      <c r="CJ28" s="280"/>
      <c r="CK28" s="281"/>
      <c r="CL28" s="281"/>
    </row>
    <row r="29" customFormat="false" ht="15.75" hidden="false" customHeight="false" outlineLevel="3" collapsed="false">
      <c r="A29" s="63" t="s">
        <v>487</v>
      </c>
      <c r="B29" s="63" t="s">
        <v>488</v>
      </c>
      <c r="C29" s="63" t="s">
        <v>489</v>
      </c>
      <c r="D29" s="63" t="s">
        <v>490</v>
      </c>
      <c r="E29" s="63" t="s">
        <v>491</v>
      </c>
      <c r="F29" s="63" t="s">
        <v>423</v>
      </c>
      <c r="G29" s="63" t="s">
        <v>467</v>
      </c>
      <c r="H29" s="63" t="s">
        <v>102</v>
      </c>
      <c r="I29" s="242" t="s">
        <v>447</v>
      </c>
      <c r="J29" s="244" t="n">
        <v>1</v>
      </c>
      <c r="K29" s="244" t="n">
        <v>1</v>
      </c>
      <c r="L29" s="246" t="n">
        <v>0</v>
      </c>
      <c r="M29" s="246" t="n">
        <v>0</v>
      </c>
      <c r="N29" s="246" t="n">
        <v>0</v>
      </c>
      <c r="O29" s="245" t="n">
        <v>1136410.0286</v>
      </c>
      <c r="P29" s="246" t="n">
        <v>1136410.0286</v>
      </c>
      <c r="Q29" s="246" t="n">
        <v>0</v>
      </c>
      <c r="R29" s="248" t="n">
        <v>0</v>
      </c>
      <c r="S29" s="249" t="n">
        <v>1</v>
      </c>
      <c r="T29" s="248" t="s">
        <v>437</v>
      </c>
      <c r="U29" s="250" t="n">
        <v>1136410.0286</v>
      </c>
      <c r="V29" s="245" t="s">
        <v>426</v>
      </c>
      <c r="W29" s="245" t="n">
        <v>0</v>
      </c>
      <c r="X29" s="245" t="n">
        <v>0</v>
      </c>
      <c r="Y29" s="245" t="n">
        <v>0</v>
      </c>
      <c r="Z29" s="245" t="n">
        <v>0</v>
      </c>
      <c r="AA29" s="245" t="n">
        <v>0</v>
      </c>
      <c r="AB29" s="245" t="n">
        <v>0</v>
      </c>
      <c r="AC29" s="250" t="n">
        <v>1136410.0286</v>
      </c>
      <c r="AD29" s="245" t="n">
        <v>0</v>
      </c>
      <c r="AE29" s="245" t="n">
        <v>0</v>
      </c>
      <c r="AF29" s="245" t="n">
        <v>0</v>
      </c>
      <c r="AG29" s="245" t="n">
        <v>0</v>
      </c>
      <c r="AH29" s="251" t="n">
        <v>0</v>
      </c>
      <c r="AI29" s="245" t="n">
        <v>0</v>
      </c>
      <c r="AJ29" s="245" t="n">
        <v>0</v>
      </c>
      <c r="AK29" s="252" t="n">
        <v>0</v>
      </c>
      <c r="AL29" s="253" t="n">
        <v>0</v>
      </c>
      <c r="AM29" s="245" t="n">
        <v>2807236.89</v>
      </c>
      <c r="AN29" s="246" t="n">
        <v>0</v>
      </c>
      <c r="AO29" s="253" t="n">
        <v>0</v>
      </c>
      <c r="AP29" s="245" t="n">
        <v>1136410.0286</v>
      </c>
      <c r="AQ29" s="254" t="n">
        <v>1</v>
      </c>
      <c r="AR29" s="245" t="n">
        <v>0</v>
      </c>
      <c r="AS29" s="245" t="n">
        <v>1136410.0286</v>
      </c>
      <c r="AT29" s="245" t="n">
        <v>0</v>
      </c>
      <c r="AU29" s="245" t="n">
        <v>0</v>
      </c>
      <c r="AV29" s="245" t="n">
        <v>0</v>
      </c>
      <c r="AW29" s="245" t="n">
        <v>0</v>
      </c>
      <c r="AX29" s="245" t="n">
        <v>-1906021.4796</v>
      </c>
      <c r="AY29" s="245" t="n">
        <v>0</v>
      </c>
      <c r="AZ29" s="245" t="n">
        <v>1906021.4796</v>
      </c>
      <c r="BA29" s="245" t="n">
        <v>0</v>
      </c>
      <c r="BB29" s="245" t="s">
        <v>423</v>
      </c>
      <c r="BC29" s="245" t="s">
        <v>423</v>
      </c>
      <c r="BD29" s="245" t="n">
        <v>0</v>
      </c>
      <c r="BE29" s="245" t="n">
        <v>0</v>
      </c>
      <c r="BF29" s="245" t="n">
        <v>0</v>
      </c>
      <c r="BG29" s="245" t="n">
        <v>0</v>
      </c>
      <c r="BH29" s="245" t="n">
        <v>-1906021.4796</v>
      </c>
      <c r="BI29" s="245" t="n">
        <v>0</v>
      </c>
      <c r="BJ29" s="245" t="n">
        <v>1906021.4796</v>
      </c>
      <c r="BK29" s="245" t="n">
        <v>0</v>
      </c>
      <c r="BL29" s="245" t="n">
        <v>1136410.0286</v>
      </c>
      <c r="BM29" s="245" t="s">
        <v>427</v>
      </c>
      <c r="BN29" s="245" t="n">
        <v>0</v>
      </c>
      <c r="BO29" s="255" t="b">
        <f aca="false">FALSE()</f>
        <v>0</v>
      </c>
      <c r="BP29" s="255" t="n">
        <v>0</v>
      </c>
      <c r="BQ29" s="247" t="n">
        <v>0</v>
      </c>
      <c r="BR29" s="246" t="n">
        <v>0</v>
      </c>
      <c r="BS29" s="257" t="n">
        <v>39</v>
      </c>
      <c r="BT29" s="246" t="n">
        <v>0</v>
      </c>
      <c r="BU29" s="258" t="n">
        <v>0</v>
      </c>
      <c r="BV29" s="246" t="n">
        <v>301</v>
      </c>
      <c r="BW29" s="259" t="n">
        <v>0</v>
      </c>
      <c r="BX29" s="259" t="n">
        <v>0</v>
      </c>
      <c r="BY29" s="255" t="n">
        <v>0</v>
      </c>
      <c r="BZ29" s="255" t="n">
        <v>0</v>
      </c>
      <c r="CA29" s="255" t="n">
        <v>0</v>
      </c>
      <c r="CB29" s="255" t="n">
        <v>235194.6182</v>
      </c>
      <c r="CC29" s="255" t="n">
        <v>0</v>
      </c>
      <c r="CD29" s="255" t="n">
        <v>0</v>
      </c>
      <c r="CE29" s="255" t="n">
        <v>0</v>
      </c>
      <c r="CF29" s="255" t="n">
        <v>0</v>
      </c>
      <c r="CG29" s="255" t="n">
        <v>0</v>
      </c>
      <c r="CH29" s="255" t="n">
        <v>0</v>
      </c>
      <c r="CI29" s="255" t="n">
        <v>0</v>
      </c>
      <c r="CJ29" s="255" t="n">
        <v>0</v>
      </c>
      <c r="CK29" s="246" t="n">
        <v>0</v>
      </c>
      <c r="CL29" s="246" t="n">
        <v>0</v>
      </c>
    </row>
    <row r="30" customFormat="false" ht="20.1" hidden="false" customHeight="true" outlineLevel="2" collapsed="false">
      <c r="A30" s="261" t="s">
        <v>492</v>
      </c>
      <c r="B30" s="261"/>
      <c r="C30" s="261"/>
      <c r="D30" s="261"/>
      <c r="E30" s="261"/>
      <c r="F30" s="261"/>
      <c r="G30" s="261"/>
      <c r="H30" s="261"/>
      <c r="I30" s="262"/>
      <c r="J30" s="264"/>
      <c r="K30" s="264"/>
      <c r="L30" s="266"/>
      <c r="M30" s="266"/>
      <c r="N30" s="266"/>
      <c r="O30" s="265"/>
      <c r="P30" s="266"/>
      <c r="Q30" s="266"/>
      <c r="R30" s="268" t="n">
        <v>0</v>
      </c>
      <c r="S30" s="269" t="n">
        <v>1</v>
      </c>
      <c r="T30" s="268" t="n">
        <v>0</v>
      </c>
      <c r="U30" s="270" t="n">
        <v>1136410.0286</v>
      </c>
      <c r="V30" s="265"/>
      <c r="W30" s="265" t="n">
        <v>0</v>
      </c>
      <c r="X30" s="265" t="n">
        <v>0</v>
      </c>
      <c r="Y30" s="265" t="n">
        <v>0</v>
      </c>
      <c r="Z30" s="265" t="n">
        <v>0</v>
      </c>
      <c r="AA30" s="265" t="n">
        <v>0</v>
      </c>
      <c r="AB30" s="265" t="n">
        <v>0</v>
      </c>
      <c r="AC30" s="270" t="n">
        <v>1136410.0286</v>
      </c>
      <c r="AD30" s="265" t="n">
        <v>0</v>
      </c>
      <c r="AE30" s="265" t="n">
        <v>0</v>
      </c>
      <c r="AF30" s="265" t="n">
        <v>0</v>
      </c>
      <c r="AG30" s="265" t="n">
        <v>0</v>
      </c>
      <c r="AH30" s="271" t="n">
        <v>0</v>
      </c>
      <c r="AI30" s="265" t="n">
        <v>0</v>
      </c>
      <c r="AJ30" s="265" t="n">
        <v>0</v>
      </c>
      <c r="AK30" s="272" t="n">
        <v>0</v>
      </c>
      <c r="AL30" s="273"/>
      <c r="AM30" s="265" t="n">
        <v>2807236.89</v>
      </c>
      <c r="AN30" s="266"/>
      <c r="AO30" s="273"/>
      <c r="AP30" s="265" t="n">
        <v>1136410.0286</v>
      </c>
      <c r="AQ30" s="274"/>
      <c r="AR30" s="265"/>
      <c r="AS30" s="265"/>
      <c r="AT30" s="265" t="n">
        <v>0</v>
      </c>
      <c r="AU30" s="265" t="n">
        <v>0</v>
      </c>
      <c r="AV30" s="265" t="n">
        <v>0</v>
      </c>
      <c r="AW30" s="265" t="n">
        <v>0</v>
      </c>
      <c r="AX30" s="265" t="n">
        <v>-1906021.4796</v>
      </c>
      <c r="AY30" s="265" t="n">
        <v>0</v>
      </c>
      <c r="AZ30" s="265" t="n">
        <v>1906021.4796</v>
      </c>
      <c r="BA30" s="265" t="n">
        <v>0</v>
      </c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7"/>
      <c r="BR30" s="266"/>
      <c r="BS30" s="276"/>
      <c r="BT30" s="266"/>
      <c r="BU30" s="277"/>
      <c r="BV30" s="266"/>
      <c r="BW30" s="278"/>
      <c r="BX30" s="278"/>
      <c r="BY30" s="265"/>
      <c r="BZ30" s="265"/>
      <c r="CA30" s="265" t="n">
        <v>0</v>
      </c>
      <c r="CB30" s="265"/>
      <c r="CC30" s="265"/>
      <c r="CD30" s="265"/>
      <c r="CE30" s="265"/>
      <c r="CF30" s="265"/>
      <c r="CG30" s="265"/>
      <c r="CH30" s="265"/>
      <c r="CI30" s="265"/>
      <c r="CJ30" s="265"/>
      <c r="CK30" s="266"/>
      <c r="CL30" s="266"/>
    </row>
    <row r="31" customFormat="false" ht="15.75" hidden="false" customHeight="false" outlineLevel="3" collapsed="false">
      <c r="A31" s="63" t="s">
        <v>493</v>
      </c>
      <c r="B31" s="63" t="s">
        <v>488</v>
      </c>
      <c r="C31" s="63" t="s">
        <v>494</v>
      </c>
      <c r="D31" s="63" t="s">
        <v>495</v>
      </c>
      <c r="E31" s="63" t="s">
        <v>496</v>
      </c>
      <c r="F31" s="63" t="s">
        <v>497</v>
      </c>
      <c r="G31" s="297" t="s">
        <v>467</v>
      </c>
      <c r="H31" s="297" t="s">
        <v>99</v>
      </c>
      <c r="I31" s="242" t="s">
        <v>425</v>
      </c>
      <c r="J31" s="244" t="n">
        <v>0</v>
      </c>
      <c r="K31" s="244" t="n">
        <v>0</v>
      </c>
      <c r="L31" s="246" t="n">
        <v>0</v>
      </c>
      <c r="M31" s="246" t="n">
        <v>0</v>
      </c>
      <c r="N31" s="246" t="n">
        <v>1</v>
      </c>
      <c r="O31" s="245" t="n">
        <v>6</v>
      </c>
      <c r="P31" s="247" t="n">
        <v>6.07</v>
      </c>
      <c r="Q31" s="247" t="n">
        <v>-0.0700000000000003</v>
      </c>
      <c r="R31" s="248" t="n">
        <v>0</v>
      </c>
      <c r="S31" s="249" t="n">
        <v>1</v>
      </c>
      <c r="T31" s="248" t="s">
        <v>437</v>
      </c>
      <c r="U31" s="250" t="n">
        <v>0</v>
      </c>
      <c r="V31" s="245" t="s">
        <v>426</v>
      </c>
      <c r="W31" s="245" t="n">
        <v>0</v>
      </c>
      <c r="X31" s="245" t="n">
        <v>0</v>
      </c>
      <c r="Y31" s="245" t="n">
        <v>0</v>
      </c>
      <c r="Z31" s="245" t="n">
        <v>0</v>
      </c>
      <c r="AA31" s="245" t="n">
        <v>0</v>
      </c>
      <c r="AB31" s="245" t="n">
        <v>0</v>
      </c>
      <c r="AC31" s="250" t="n">
        <v>0</v>
      </c>
      <c r="AD31" s="245" t="n">
        <v>0</v>
      </c>
      <c r="AE31" s="245" t="n">
        <v>0</v>
      </c>
      <c r="AF31" s="245" t="n">
        <v>0</v>
      </c>
      <c r="AG31" s="245" t="n">
        <v>0</v>
      </c>
      <c r="AH31" s="251" t="n">
        <v>0</v>
      </c>
      <c r="AI31" s="245" t="n">
        <v>0</v>
      </c>
      <c r="AJ31" s="245" t="n">
        <v>0</v>
      </c>
      <c r="AK31" s="252" t="n">
        <v>0</v>
      </c>
      <c r="AL31" s="253" t="n">
        <v>0</v>
      </c>
      <c r="AM31" s="245" t="n">
        <v>48045.60495</v>
      </c>
      <c r="AN31" s="253" t="n">
        <v>0</v>
      </c>
      <c r="AO31" s="253" t="n">
        <v>0</v>
      </c>
      <c r="AP31" s="245" t="n">
        <v>243059.556432</v>
      </c>
      <c r="AQ31" s="254" t="n">
        <v>1</v>
      </c>
      <c r="AR31" s="245" t="n">
        <v>0</v>
      </c>
      <c r="AS31" s="245" t="n">
        <v>6</v>
      </c>
      <c r="AT31" s="245" t="n">
        <v>0</v>
      </c>
      <c r="AU31" s="245" t="n">
        <v>0</v>
      </c>
      <c r="AV31" s="245" t="n">
        <v>0</v>
      </c>
      <c r="AW31" s="245" t="n">
        <v>0</v>
      </c>
      <c r="AX31" s="245" t="n">
        <v>758.113649999963</v>
      </c>
      <c r="AY31" s="245" t="n">
        <v>0</v>
      </c>
      <c r="AZ31" s="245" t="n">
        <v>-758.113649999963</v>
      </c>
      <c r="BA31" s="245" t="n">
        <v>0</v>
      </c>
      <c r="BB31" s="245" t="n">
        <v>6</v>
      </c>
      <c r="BC31" s="245" t="n">
        <v>6.07</v>
      </c>
      <c r="BD31" s="245" t="n">
        <v>0</v>
      </c>
      <c r="BE31" s="245" t="n">
        <v>0</v>
      </c>
      <c r="BF31" s="245" t="n">
        <v>0</v>
      </c>
      <c r="BG31" s="245" t="n">
        <v>0</v>
      </c>
      <c r="BH31" s="245" t="n">
        <v>758.113649999963</v>
      </c>
      <c r="BI31" s="245" t="n">
        <v>0</v>
      </c>
      <c r="BJ31" s="245" t="n">
        <v>-758.113649999963</v>
      </c>
      <c r="BK31" s="245" t="n">
        <v>0</v>
      </c>
      <c r="BL31" s="245" t="n">
        <v>243059.556432</v>
      </c>
      <c r="BM31" s="245" t="s">
        <v>438</v>
      </c>
      <c r="BN31" s="245" t="n">
        <v>0</v>
      </c>
      <c r="BO31" s="255" t="b">
        <f aca="false">FALSE()</f>
        <v>0</v>
      </c>
      <c r="BP31" s="255" t="n">
        <v>0</v>
      </c>
      <c r="BQ31" s="246" t="n">
        <v>0</v>
      </c>
      <c r="BR31" s="246" t="n">
        <v>0</v>
      </c>
      <c r="BS31" s="257" t="n">
        <v>41</v>
      </c>
      <c r="BT31" s="246" t="n">
        <v>0</v>
      </c>
      <c r="BU31" s="258" t="n">
        <v>0</v>
      </c>
      <c r="BV31" s="246" t="n">
        <v>314</v>
      </c>
      <c r="BW31" s="259" t="n">
        <v>6</v>
      </c>
      <c r="BX31" s="259" t="n">
        <v>0</v>
      </c>
      <c r="BY31" s="255" t="n">
        <v>0</v>
      </c>
      <c r="BZ31" s="255" t="n">
        <v>0</v>
      </c>
      <c r="CA31" s="255" t="n">
        <v>0</v>
      </c>
      <c r="CB31" s="255" t="n">
        <v>-48803.7186</v>
      </c>
      <c r="CC31" s="255" t="n">
        <v>0</v>
      </c>
      <c r="CD31" s="255" t="n">
        <v>0</v>
      </c>
      <c r="CE31" s="255" t="n">
        <v>0</v>
      </c>
      <c r="CF31" s="255" t="n">
        <v>0</v>
      </c>
      <c r="CG31" s="255" t="n">
        <v>0</v>
      </c>
      <c r="CH31" s="255" t="n">
        <v>0</v>
      </c>
      <c r="CI31" s="255" t="n">
        <v>0</v>
      </c>
      <c r="CJ31" s="255" t="n">
        <v>0</v>
      </c>
      <c r="CK31" s="246" t="n">
        <v>0</v>
      </c>
      <c r="CL31" s="246" t="n">
        <v>0</v>
      </c>
    </row>
    <row r="32" customFormat="false" ht="20.1" hidden="false" customHeight="true" outlineLevel="2" collapsed="false">
      <c r="A32" s="261" t="s">
        <v>498</v>
      </c>
      <c r="B32" s="261"/>
      <c r="C32" s="261"/>
      <c r="D32" s="261"/>
      <c r="E32" s="261"/>
      <c r="F32" s="261"/>
      <c r="G32" s="298"/>
      <c r="H32" s="298"/>
      <c r="I32" s="262"/>
      <c r="J32" s="264"/>
      <c r="K32" s="264"/>
      <c r="L32" s="266"/>
      <c r="M32" s="266"/>
      <c r="N32" s="266"/>
      <c r="O32" s="265"/>
      <c r="P32" s="267"/>
      <c r="Q32" s="267"/>
      <c r="R32" s="268" t="n">
        <v>0</v>
      </c>
      <c r="S32" s="269" t="n">
        <v>1</v>
      </c>
      <c r="T32" s="268" t="n">
        <v>0</v>
      </c>
      <c r="U32" s="270" t="n">
        <v>0</v>
      </c>
      <c r="V32" s="265"/>
      <c r="W32" s="265" t="n">
        <v>0</v>
      </c>
      <c r="X32" s="265" t="n">
        <v>0</v>
      </c>
      <c r="Y32" s="265" t="n">
        <v>0</v>
      </c>
      <c r="Z32" s="265" t="n">
        <v>0</v>
      </c>
      <c r="AA32" s="265" t="n">
        <v>0</v>
      </c>
      <c r="AB32" s="265" t="n">
        <v>0</v>
      </c>
      <c r="AC32" s="270" t="n">
        <v>0</v>
      </c>
      <c r="AD32" s="265" t="n">
        <v>0</v>
      </c>
      <c r="AE32" s="265" t="n">
        <v>0</v>
      </c>
      <c r="AF32" s="265" t="n">
        <v>0</v>
      </c>
      <c r="AG32" s="265" t="n">
        <v>0</v>
      </c>
      <c r="AH32" s="271" t="n">
        <v>0</v>
      </c>
      <c r="AI32" s="265" t="n">
        <v>0</v>
      </c>
      <c r="AJ32" s="265" t="n">
        <v>0</v>
      </c>
      <c r="AK32" s="272" t="n">
        <v>0</v>
      </c>
      <c r="AL32" s="273"/>
      <c r="AM32" s="265" t="n">
        <v>48045.60495</v>
      </c>
      <c r="AN32" s="273"/>
      <c r="AO32" s="273"/>
      <c r="AP32" s="265" t="n">
        <v>243059.556432</v>
      </c>
      <c r="AQ32" s="274"/>
      <c r="AR32" s="265"/>
      <c r="AS32" s="265"/>
      <c r="AT32" s="265" t="n">
        <v>0</v>
      </c>
      <c r="AU32" s="265" t="n">
        <v>0</v>
      </c>
      <c r="AV32" s="265" t="n">
        <v>0</v>
      </c>
      <c r="AW32" s="265" t="n">
        <v>0</v>
      </c>
      <c r="AX32" s="265" t="n">
        <v>758.113649999963</v>
      </c>
      <c r="AY32" s="265" t="n">
        <v>0</v>
      </c>
      <c r="AZ32" s="265" t="n">
        <v>-758.113649999963</v>
      </c>
      <c r="BA32" s="265" t="n">
        <v>0</v>
      </c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6"/>
      <c r="BR32" s="266"/>
      <c r="BS32" s="276"/>
      <c r="BT32" s="266"/>
      <c r="BU32" s="277"/>
      <c r="BV32" s="266"/>
      <c r="BW32" s="278"/>
      <c r="BX32" s="278"/>
      <c r="BY32" s="265"/>
      <c r="BZ32" s="265"/>
      <c r="CA32" s="265" t="n">
        <v>0</v>
      </c>
      <c r="CB32" s="265"/>
      <c r="CC32" s="265"/>
      <c r="CD32" s="265"/>
      <c r="CE32" s="265"/>
      <c r="CF32" s="265"/>
      <c r="CG32" s="265"/>
      <c r="CH32" s="265"/>
      <c r="CI32" s="265"/>
      <c r="CJ32" s="265"/>
      <c r="CK32" s="266"/>
      <c r="CL32" s="266"/>
    </row>
    <row r="33" customFormat="false" ht="15.75" hidden="false" customHeight="false" outlineLevel="3" collapsed="false">
      <c r="A33" s="63" t="s">
        <v>499</v>
      </c>
      <c r="B33" s="63" t="s">
        <v>488</v>
      </c>
      <c r="C33" s="63" t="s">
        <v>500</v>
      </c>
      <c r="D33" s="63" t="s">
        <v>501</v>
      </c>
      <c r="E33" s="63" t="s">
        <v>502</v>
      </c>
      <c r="F33" s="63" t="s">
        <v>423</v>
      </c>
      <c r="G33" s="63" t="s">
        <v>467</v>
      </c>
      <c r="H33" s="63" t="s">
        <v>102</v>
      </c>
      <c r="I33" s="242" t="s">
        <v>503</v>
      </c>
      <c r="J33" s="244" t="n">
        <v>1</v>
      </c>
      <c r="K33" s="244" t="n">
        <v>1</v>
      </c>
      <c r="L33" s="246" t="n">
        <v>0</v>
      </c>
      <c r="M33" s="246" t="n">
        <v>0</v>
      </c>
      <c r="N33" s="246" t="n">
        <v>0</v>
      </c>
      <c r="O33" s="245" t="n">
        <v>0</v>
      </c>
      <c r="P33" s="246" t="n">
        <v>0</v>
      </c>
      <c r="Q33" s="246" t="n">
        <v>0</v>
      </c>
      <c r="R33" s="248" t="n">
        <v>0</v>
      </c>
      <c r="S33" s="249" t="n">
        <v>1</v>
      </c>
      <c r="T33" s="248" t="s">
        <v>437</v>
      </c>
      <c r="U33" s="250" t="n">
        <v>0</v>
      </c>
      <c r="V33" s="245" t="s">
        <v>426</v>
      </c>
      <c r="W33" s="245" t="n">
        <v>0</v>
      </c>
      <c r="X33" s="245" t="n">
        <v>0</v>
      </c>
      <c r="Y33" s="245" t="n">
        <v>0</v>
      </c>
      <c r="Z33" s="245" t="n">
        <v>0</v>
      </c>
      <c r="AA33" s="245" t="n">
        <v>0</v>
      </c>
      <c r="AB33" s="245" t="n">
        <v>0</v>
      </c>
      <c r="AC33" s="250" t="n">
        <v>0</v>
      </c>
      <c r="AD33" s="245" t="n">
        <v>0</v>
      </c>
      <c r="AE33" s="245" t="n">
        <v>0</v>
      </c>
      <c r="AF33" s="245" t="n">
        <v>0</v>
      </c>
      <c r="AG33" s="245" t="n">
        <v>0</v>
      </c>
      <c r="AH33" s="251" t="n">
        <v>0</v>
      </c>
      <c r="AI33" s="245" t="n">
        <v>0</v>
      </c>
      <c r="AJ33" s="245" t="n">
        <v>0</v>
      </c>
      <c r="AK33" s="252" t="n">
        <v>0</v>
      </c>
      <c r="AL33" s="253" t="n">
        <v>0</v>
      </c>
      <c r="AM33" s="245" t="n">
        <v>283416</v>
      </c>
      <c r="AN33" s="246" t="n">
        <v>0</v>
      </c>
      <c r="AO33" s="253" t="n">
        <v>0</v>
      </c>
      <c r="AP33" s="245" t="n">
        <v>0</v>
      </c>
      <c r="AQ33" s="254" t="n">
        <v>1</v>
      </c>
      <c r="AR33" s="245" t="n">
        <v>0</v>
      </c>
      <c r="AS33" s="245" t="n">
        <v>0</v>
      </c>
      <c r="AT33" s="245" t="n">
        <v>0</v>
      </c>
      <c r="AU33" s="245" t="n">
        <v>0</v>
      </c>
      <c r="AV33" s="245" t="n">
        <v>0</v>
      </c>
      <c r="AW33" s="245" t="n">
        <v>0</v>
      </c>
      <c r="AX33" s="245" t="n">
        <v>-283416</v>
      </c>
      <c r="AY33" s="245" t="n">
        <v>0</v>
      </c>
      <c r="AZ33" s="245" t="n">
        <v>283416</v>
      </c>
      <c r="BA33" s="245" t="n">
        <v>0</v>
      </c>
      <c r="BB33" s="245" t="s">
        <v>423</v>
      </c>
      <c r="BC33" s="245" t="s">
        <v>423</v>
      </c>
      <c r="BD33" s="245" t="n">
        <v>0</v>
      </c>
      <c r="BE33" s="245" t="n">
        <v>0</v>
      </c>
      <c r="BF33" s="245" t="n">
        <v>0</v>
      </c>
      <c r="BG33" s="245" t="n">
        <v>0</v>
      </c>
      <c r="BH33" s="245" t="n">
        <v>-283416</v>
      </c>
      <c r="BI33" s="245" t="n">
        <v>0</v>
      </c>
      <c r="BJ33" s="245" t="n">
        <v>283416</v>
      </c>
      <c r="BK33" s="245" t="n">
        <v>0</v>
      </c>
      <c r="BL33" s="245" t="n">
        <v>0</v>
      </c>
      <c r="BM33" s="245" t="s">
        <v>427</v>
      </c>
      <c r="BN33" s="245" t="n">
        <v>0</v>
      </c>
      <c r="BO33" s="255" t="b">
        <f aca="false">FALSE()</f>
        <v>0</v>
      </c>
      <c r="BP33" s="255" t="n">
        <v>0</v>
      </c>
      <c r="BQ33" s="247" t="n">
        <v>0</v>
      </c>
      <c r="BR33" s="246" t="n">
        <v>0</v>
      </c>
      <c r="BS33" s="257" t="n">
        <v>38</v>
      </c>
      <c r="BT33" s="246" t="n">
        <v>0</v>
      </c>
      <c r="BU33" s="258" t="n">
        <v>0</v>
      </c>
      <c r="BV33" s="246" t="n">
        <v>304</v>
      </c>
      <c r="BW33" s="259" t="n">
        <v>0</v>
      </c>
      <c r="BX33" s="259" t="n">
        <v>0</v>
      </c>
      <c r="BY33" s="255" t="n">
        <v>0</v>
      </c>
      <c r="BZ33" s="255" t="n">
        <v>0</v>
      </c>
      <c r="CA33" s="255" t="n">
        <v>0</v>
      </c>
      <c r="CB33" s="255" t="n">
        <v>0</v>
      </c>
      <c r="CC33" s="255" t="n">
        <v>0</v>
      </c>
      <c r="CD33" s="255" t="n">
        <v>0</v>
      </c>
      <c r="CE33" s="255" t="n">
        <v>0</v>
      </c>
      <c r="CF33" s="255" t="n">
        <v>0</v>
      </c>
      <c r="CG33" s="255" t="n">
        <v>0</v>
      </c>
      <c r="CH33" s="255" t="n">
        <v>0</v>
      </c>
      <c r="CI33" s="255" t="n">
        <v>0</v>
      </c>
      <c r="CJ33" s="255" t="n">
        <v>0</v>
      </c>
      <c r="CK33" s="246" t="n">
        <v>0</v>
      </c>
      <c r="CL33" s="246" t="n">
        <v>0</v>
      </c>
    </row>
    <row r="34" customFormat="false" ht="20.1" hidden="false" customHeight="true" outlineLevel="2" collapsed="false">
      <c r="A34" s="261" t="s">
        <v>504</v>
      </c>
      <c r="B34" s="261"/>
      <c r="C34" s="261"/>
      <c r="D34" s="261"/>
      <c r="E34" s="261"/>
      <c r="F34" s="261"/>
      <c r="G34" s="261"/>
      <c r="H34" s="261"/>
      <c r="I34" s="262"/>
      <c r="J34" s="264"/>
      <c r="K34" s="264"/>
      <c r="L34" s="266"/>
      <c r="M34" s="266"/>
      <c r="N34" s="266"/>
      <c r="O34" s="265"/>
      <c r="P34" s="266"/>
      <c r="Q34" s="266"/>
      <c r="R34" s="268" t="n">
        <v>0</v>
      </c>
      <c r="S34" s="269" t="n">
        <v>1</v>
      </c>
      <c r="T34" s="268" t="n">
        <v>0</v>
      </c>
      <c r="U34" s="270" t="n">
        <v>0</v>
      </c>
      <c r="V34" s="265"/>
      <c r="W34" s="265" t="n">
        <v>0</v>
      </c>
      <c r="X34" s="265" t="n">
        <v>0</v>
      </c>
      <c r="Y34" s="265" t="n">
        <v>0</v>
      </c>
      <c r="Z34" s="265" t="n">
        <v>0</v>
      </c>
      <c r="AA34" s="265" t="n">
        <v>0</v>
      </c>
      <c r="AB34" s="265" t="n">
        <v>0</v>
      </c>
      <c r="AC34" s="270" t="n">
        <v>0</v>
      </c>
      <c r="AD34" s="265" t="n">
        <v>0</v>
      </c>
      <c r="AE34" s="265" t="n">
        <v>0</v>
      </c>
      <c r="AF34" s="265" t="n">
        <v>0</v>
      </c>
      <c r="AG34" s="265" t="n">
        <v>0</v>
      </c>
      <c r="AH34" s="271" t="n">
        <v>0</v>
      </c>
      <c r="AI34" s="265" t="n">
        <v>0</v>
      </c>
      <c r="AJ34" s="265" t="n">
        <v>0</v>
      </c>
      <c r="AK34" s="272" t="n">
        <v>0</v>
      </c>
      <c r="AL34" s="273"/>
      <c r="AM34" s="265" t="n">
        <v>283416</v>
      </c>
      <c r="AN34" s="266"/>
      <c r="AO34" s="273"/>
      <c r="AP34" s="265" t="n">
        <v>0</v>
      </c>
      <c r="AQ34" s="274"/>
      <c r="AR34" s="265"/>
      <c r="AS34" s="265"/>
      <c r="AT34" s="265" t="n">
        <v>0</v>
      </c>
      <c r="AU34" s="265" t="n">
        <v>0</v>
      </c>
      <c r="AV34" s="265" t="n">
        <v>0</v>
      </c>
      <c r="AW34" s="265" t="n">
        <v>0</v>
      </c>
      <c r="AX34" s="265" t="n">
        <v>-283416</v>
      </c>
      <c r="AY34" s="265" t="n">
        <v>0</v>
      </c>
      <c r="AZ34" s="265" t="n">
        <v>283416</v>
      </c>
      <c r="BA34" s="265" t="n">
        <v>0</v>
      </c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7"/>
      <c r="BR34" s="266"/>
      <c r="BS34" s="276"/>
      <c r="BT34" s="266"/>
      <c r="BU34" s="277"/>
      <c r="BV34" s="266"/>
      <c r="BW34" s="278"/>
      <c r="BX34" s="278"/>
      <c r="BY34" s="265"/>
      <c r="BZ34" s="265"/>
      <c r="CA34" s="265" t="n">
        <v>0</v>
      </c>
      <c r="CB34" s="265"/>
      <c r="CC34" s="265"/>
      <c r="CD34" s="265"/>
      <c r="CE34" s="265"/>
      <c r="CF34" s="265"/>
      <c r="CG34" s="265"/>
      <c r="CH34" s="265"/>
      <c r="CI34" s="265"/>
      <c r="CJ34" s="265"/>
      <c r="CK34" s="266"/>
      <c r="CL34" s="266"/>
    </row>
    <row r="35" customFormat="false" ht="15.75" hidden="false" customHeight="false" outlineLevel="3" collapsed="false">
      <c r="A35" s="63" t="s">
        <v>505</v>
      </c>
      <c r="B35" s="63" t="s">
        <v>488</v>
      </c>
      <c r="C35" s="63" t="s">
        <v>506</v>
      </c>
      <c r="D35" s="63" t="s">
        <v>507</v>
      </c>
      <c r="E35" s="63" t="s">
        <v>508</v>
      </c>
      <c r="F35" s="63" t="s">
        <v>509</v>
      </c>
      <c r="G35" s="297" t="s">
        <v>510</v>
      </c>
      <c r="H35" s="297" t="s">
        <v>99</v>
      </c>
      <c r="I35" s="242" t="s">
        <v>425</v>
      </c>
      <c r="J35" s="244" t="n">
        <v>0</v>
      </c>
      <c r="K35" s="244" t="n">
        <v>0</v>
      </c>
      <c r="L35" s="246" t="n">
        <v>0</v>
      </c>
      <c r="M35" s="246" t="n">
        <v>0</v>
      </c>
      <c r="N35" s="246" t="n">
        <v>1</v>
      </c>
      <c r="O35" s="245" t="n">
        <v>25.26</v>
      </c>
      <c r="P35" s="247" t="n">
        <v>24.08</v>
      </c>
      <c r="Q35" s="247" t="n">
        <v>1.18</v>
      </c>
      <c r="R35" s="248" t="n">
        <v>0</v>
      </c>
      <c r="S35" s="249" t="n">
        <v>1</v>
      </c>
      <c r="T35" s="248" t="s">
        <v>437</v>
      </c>
      <c r="U35" s="250" t="n">
        <v>0</v>
      </c>
      <c r="V35" s="245" t="s">
        <v>511</v>
      </c>
      <c r="W35" s="245" t="n">
        <v>0</v>
      </c>
      <c r="X35" s="245" t="n">
        <v>0</v>
      </c>
      <c r="Y35" s="245" t="n">
        <v>0</v>
      </c>
      <c r="Z35" s="245" t="n">
        <v>0</v>
      </c>
      <c r="AA35" s="245" t="n">
        <v>0</v>
      </c>
      <c r="AB35" s="245" t="n">
        <v>0</v>
      </c>
      <c r="AC35" s="250" t="n">
        <v>0</v>
      </c>
      <c r="AD35" s="245" t="n">
        <v>0</v>
      </c>
      <c r="AE35" s="245" t="n">
        <v>0</v>
      </c>
      <c r="AF35" s="245" t="n">
        <v>0</v>
      </c>
      <c r="AG35" s="245" t="n">
        <v>0</v>
      </c>
      <c r="AH35" s="251" t="n">
        <v>-0.104759994894266</v>
      </c>
      <c r="AI35" s="245" t="n">
        <v>0</v>
      </c>
      <c r="AJ35" s="245" t="n">
        <v>0.104759994894266</v>
      </c>
      <c r="AK35" s="252" t="n">
        <v>0</v>
      </c>
      <c r="AL35" s="253" t="n">
        <v>0</v>
      </c>
      <c r="AM35" s="245" t="n">
        <v>0</v>
      </c>
      <c r="AN35" s="253" t="n">
        <v>0</v>
      </c>
      <c r="AO35" s="253" t="n">
        <v>0</v>
      </c>
      <c r="AP35" s="245" t="n">
        <v>0</v>
      </c>
      <c r="AQ35" s="254" t="n">
        <v>1</v>
      </c>
      <c r="AR35" s="245" t="n">
        <v>0</v>
      </c>
      <c r="AS35" s="245" t="n">
        <v>25.26</v>
      </c>
      <c r="AT35" s="245" t="n">
        <v>0.0166880041360855</v>
      </c>
      <c r="AU35" s="245" t="n">
        <v>0</v>
      </c>
      <c r="AV35" s="245" t="n">
        <v>-0.0166880041360855</v>
      </c>
      <c r="AW35" s="245" t="n">
        <v>0</v>
      </c>
      <c r="AX35" s="245" t="n">
        <v>-16696287.136852</v>
      </c>
      <c r="AY35" s="245" t="n">
        <v>0</v>
      </c>
      <c r="AZ35" s="245" t="n">
        <v>16696287.136852</v>
      </c>
      <c r="BA35" s="245" t="n">
        <v>0</v>
      </c>
      <c r="BB35" s="245" t="n">
        <v>25.26</v>
      </c>
      <c r="BC35" s="245" t="n">
        <v>24.08</v>
      </c>
      <c r="BD35" s="245" t="n">
        <v>0.0166880041360855</v>
      </c>
      <c r="BE35" s="245" t="n">
        <v>0</v>
      </c>
      <c r="BF35" s="245" t="n">
        <v>-0.0166880041360855</v>
      </c>
      <c r="BG35" s="245" t="n">
        <v>0</v>
      </c>
      <c r="BH35" s="245" t="n">
        <v>-16696287.136852</v>
      </c>
      <c r="BI35" s="245" t="n">
        <v>0</v>
      </c>
      <c r="BJ35" s="245" t="n">
        <v>16696287.136852</v>
      </c>
      <c r="BK35" s="245" t="n">
        <v>0</v>
      </c>
      <c r="BL35" s="245" t="n">
        <v>0</v>
      </c>
      <c r="BM35" s="245" t="s">
        <v>438</v>
      </c>
      <c r="BN35" s="245" t="n">
        <v>0</v>
      </c>
      <c r="BO35" s="255" t="b">
        <f aca="false">FALSE()</f>
        <v>0</v>
      </c>
      <c r="BP35" s="255" t="n">
        <v>0.104759994894266</v>
      </c>
      <c r="BQ35" s="246" t="n">
        <v>0</v>
      </c>
      <c r="BR35" s="246" t="n">
        <v>0</v>
      </c>
      <c r="BS35" s="257" t="n">
        <v>88</v>
      </c>
      <c r="BT35" s="246" t="n">
        <v>0</v>
      </c>
      <c r="BU35" s="258" t="n">
        <v>0</v>
      </c>
      <c r="BV35" s="246" t="n">
        <v>311</v>
      </c>
      <c r="BW35" s="259" t="n">
        <v>25.26</v>
      </c>
      <c r="BX35" s="259" t="n">
        <v>0</v>
      </c>
      <c r="BY35" s="255" t="n">
        <v>0</v>
      </c>
      <c r="BZ35" s="255" t="n">
        <v>18673408.196004</v>
      </c>
      <c r="CA35" s="255" t="n">
        <v>19030529.916004</v>
      </c>
      <c r="CB35" s="255" t="n">
        <v>66824589.832532</v>
      </c>
      <c r="CC35" s="255" t="n">
        <v>0</v>
      </c>
      <c r="CD35" s="255" t="n">
        <v>0</v>
      </c>
      <c r="CE35" s="255" t="n">
        <v>0</v>
      </c>
      <c r="CF35" s="255" t="n">
        <v>0</v>
      </c>
      <c r="CG35" s="255" t="n">
        <v>-0.104759994894266</v>
      </c>
      <c r="CH35" s="255" t="n">
        <v>0</v>
      </c>
      <c r="CI35" s="255" t="n">
        <v>0.104759994894266</v>
      </c>
      <c r="CJ35" s="255" t="n">
        <v>0</v>
      </c>
      <c r="CK35" s="246" t="n">
        <v>0</v>
      </c>
      <c r="CL35" s="246" t="n">
        <v>0</v>
      </c>
    </row>
    <row r="36" customFormat="false" ht="20.1" hidden="false" customHeight="true" outlineLevel="2" collapsed="false">
      <c r="A36" s="261" t="s">
        <v>512</v>
      </c>
      <c r="B36" s="261"/>
      <c r="C36" s="261"/>
      <c r="D36" s="261"/>
      <c r="E36" s="261"/>
      <c r="F36" s="261"/>
      <c r="G36" s="298"/>
      <c r="H36" s="298"/>
      <c r="I36" s="262"/>
      <c r="J36" s="264"/>
      <c r="K36" s="264"/>
      <c r="L36" s="266"/>
      <c r="M36" s="266"/>
      <c r="N36" s="266"/>
      <c r="O36" s="265"/>
      <c r="P36" s="267"/>
      <c r="Q36" s="267"/>
      <c r="R36" s="268" t="n">
        <v>0</v>
      </c>
      <c r="S36" s="269" t="n">
        <v>1</v>
      </c>
      <c r="T36" s="268" t="n">
        <v>0</v>
      </c>
      <c r="U36" s="270" t="n">
        <v>0</v>
      </c>
      <c r="V36" s="265"/>
      <c r="W36" s="265" t="n">
        <v>0</v>
      </c>
      <c r="X36" s="265" t="n">
        <v>0</v>
      </c>
      <c r="Y36" s="265" t="n">
        <v>0</v>
      </c>
      <c r="Z36" s="265" t="n">
        <v>0</v>
      </c>
      <c r="AA36" s="265" t="n">
        <v>0</v>
      </c>
      <c r="AB36" s="265" t="n">
        <v>0</v>
      </c>
      <c r="AC36" s="270" t="n">
        <v>0</v>
      </c>
      <c r="AD36" s="265" t="n">
        <v>0</v>
      </c>
      <c r="AE36" s="265" t="n">
        <v>0</v>
      </c>
      <c r="AF36" s="265" t="n">
        <v>0</v>
      </c>
      <c r="AG36" s="265" t="n">
        <v>0</v>
      </c>
      <c r="AH36" s="271" t="n">
        <v>-0.104759994894266</v>
      </c>
      <c r="AI36" s="265" t="n">
        <v>0</v>
      </c>
      <c r="AJ36" s="265" t="n">
        <v>0.104759994894266</v>
      </c>
      <c r="AK36" s="272" t="n">
        <v>0</v>
      </c>
      <c r="AL36" s="273"/>
      <c r="AM36" s="265" t="n">
        <v>0</v>
      </c>
      <c r="AN36" s="273"/>
      <c r="AO36" s="273"/>
      <c r="AP36" s="265" t="n">
        <v>0</v>
      </c>
      <c r="AQ36" s="274"/>
      <c r="AR36" s="265"/>
      <c r="AS36" s="265"/>
      <c r="AT36" s="265" t="n">
        <v>0.0166880041360855</v>
      </c>
      <c r="AU36" s="265" t="n">
        <v>0</v>
      </c>
      <c r="AV36" s="265" t="n">
        <v>-0.0166880041360855</v>
      </c>
      <c r="AW36" s="265" t="n">
        <v>0</v>
      </c>
      <c r="AX36" s="265" t="n">
        <v>-16696287.136852</v>
      </c>
      <c r="AY36" s="265" t="n">
        <v>0</v>
      </c>
      <c r="AZ36" s="265" t="n">
        <v>16696287.136852</v>
      </c>
      <c r="BA36" s="265" t="n">
        <v>0</v>
      </c>
      <c r="BB36" s="265"/>
      <c r="BC36" s="265"/>
      <c r="BD36" s="265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266"/>
      <c r="BR36" s="266"/>
      <c r="BS36" s="276"/>
      <c r="BT36" s="266"/>
      <c r="BU36" s="277"/>
      <c r="BV36" s="266"/>
      <c r="BW36" s="278"/>
      <c r="BX36" s="278"/>
      <c r="BY36" s="265"/>
      <c r="BZ36" s="265"/>
      <c r="CA36" s="265" t="n">
        <v>19030529.916004</v>
      </c>
      <c r="CB36" s="265"/>
      <c r="CC36" s="265"/>
      <c r="CD36" s="265"/>
      <c r="CE36" s="265"/>
      <c r="CF36" s="265"/>
      <c r="CG36" s="265"/>
      <c r="CH36" s="265"/>
      <c r="CI36" s="265"/>
      <c r="CJ36" s="265"/>
      <c r="CK36" s="266"/>
      <c r="CL36" s="266"/>
    </row>
    <row r="37" customFormat="false" ht="30" hidden="false" customHeight="true" outlineLevel="1" collapsed="false">
      <c r="A37" s="261"/>
      <c r="B37" s="261" t="s">
        <v>513</v>
      </c>
      <c r="C37" s="261"/>
      <c r="D37" s="261"/>
      <c r="E37" s="261"/>
      <c r="F37" s="261"/>
      <c r="G37" s="298"/>
      <c r="H37" s="298"/>
      <c r="I37" s="262"/>
      <c r="J37" s="279"/>
      <c r="K37" s="279"/>
      <c r="L37" s="281"/>
      <c r="M37" s="281"/>
      <c r="N37" s="281"/>
      <c r="O37" s="280"/>
      <c r="P37" s="282"/>
      <c r="Q37" s="282"/>
      <c r="R37" s="283" t="n">
        <v>0</v>
      </c>
      <c r="S37" s="284" t="n">
        <v>4</v>
      </c>
      <c r="T37" s="283" t="n">
        <v>0</v>
      </c>
      <c r="U37" s="285" t="n">
        <v>1136410.0286</v>
      </c>
      <c r="V37" s="280"/>
      <c r="W37" s="280" t="n">
        <v>0</v>
      </c>
      <c r="X37" s="280" t="n">
        <v>0</v>
      </c>
      <c r="Y37" s="280" t="n">
        <v>0</v>
      </c>
      <c r="Z37" s="280" t="n">
        <v>0</v>
      </c>
      <c r="AA37" s="280" t="n">
        <v>0</v>
      </c>
      <c r="AB37" s="280" t="n">
        <v>0</v>
      </c>
      <c r="AC37" s="285" t="n">
        <v>1136410.0286</v>
      </c>
      <c r="AD37" s="280" t="n">
        <v>0</v>
      </c>
      <c r="AE37" s="280" t="n">
        <v>0</v>
      </c>
      <c r="AF37" s="280" t="n">
        <v>0</v>
      </c>
      <c r="AG37" s="280" t="n">
        <v>0</v>
      </c>
      <c r="AH37" s="286" t="n">
        <v>-0.104759994894266</v>
      </c>
      <c r="AI37" s="280" t="n">
        <v>0</v>
      </c>
      <c r="AJ37" s="280" t="n">
        <v>0.104759994894266</v>
      </c>
      <c r="AK37" s="287" t="n">
        <v>0</v>
      </c>
      <c r="AL37" s="288"/>
      <c r="AM37" s="280" t="n">
        <v>3138698.49495</v>
      </c>
      <c r="AN37" s="288"/>
      <c r="AO37" s="288"/>
      <c r="AP37" s="280" t="n">
        <v>1379469.585032</v>
      </c>
      <c r="AQ37" s="289"/>
      <c r="AR37" s="280"/>
      <c r="AS37" s="280"/>
      <c r="AT37" s="280" t="n">
        <v>0.0166880041360855</v>
      </c>
      <c r="AU37" s="280" t="n">
        <v>0</v>
      </c>
      <c r="AV37" s="280" t="n">
        <v>-0.0166880041360855</v>
      </c>
      <c r="AW37" s="280" t="n">
        <v>0</v>
      </c>
      <c r="AX37" s="280" t="n">
        <v>-18884966.502802</v>
      </c>
      <c r="AY37" s="280" t="n">
        <v>0</v>
      </c>
      <c r="AZ37" s="280" t="n">
        <v>18884966.502802</v>
      </c>
      <c r="BA37" s="280" t="n">
        <v>0</v>
      </c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1"/>
      <c r="BR37" s="281"/>
      <c r="BS37" s="291"/>
      <c r="BT37" s="281"/>
      <c r="BU37" s="292"/>
      <c r="BV37" s="281"/>
      <c r="BW37" s="293"/>
      <c r="BX37" s="293"/>
      <c r="BY37" s="280"/>
      <c r="BZ37" s="280"/>
      <c r="CA37" s="280" t="n">
        <v>19030529.916004</v>
      </c>
      <c r="CB37" s="280"/>
      <c r="CC37" s="280"/>
      <c r="CD37" s="280"/>
      <c r="CE37" s="280"/>
      <c r="CF37" s="280"/>
      <c r="CG37" s="280"/>
      <c r="CH37" s="280"/>
      <c r="CI37" s="280"/>
      <c r="CJ37" s="280"/>
      <c r="CK37" s="281"/>
      <c r="CL37" s="281"/>
    </row>
    <row r="38" customFormat="false" ht="15.75" hidden="false" customHeight="false" outlineLevel="3" collapsed="false">
      <c r="A38" s="63" t="s">
        <v>514</v>
      </c>
      <c r="B38" s="63" t="s">
        <v>515</v>
      </c>
      <c r="C38" s="63" t="s">
        <v>494</v>
      </c>
      <c r="D38" s="63" t="s">
        <v>495</v>
      </c>
      <c r="E38" s="63" t="s">
        <v>516</v>
      </c>
      <c r="F38" s="63"/>
      <c r="G38" s="63" t="s">
        <v>517</v>
      </c>
      <c r="H38" s="63" t="s">
        <v>518</v>
      </c>
      <c r="I38" s="242" t="s">
        <v>519</v>
      </c>
      <c r="J38" s="243" t="n">
        <v>7663</v>
      </c>
      <c r="K38" s="244" t="n">
        <v>7663</v>
      </c>
      <c r="L38" s="246" t="n">
        <v>0</v>
      </c>
      <c r="M38" s="246" t="n">
        <v>0</v>
      </c>
      <c r="N38" s="246" t="n">
        <v>0</v>
      </c>
      <c r="O38" s="245" t="n">
        <v>6395.2427861151</v>
      </c>
      <c r="P38" s="247" t="n">
        <v>6395.2427861151</v>
      </c>
      <c r="Q38" s="247" t="n">
        <v>0</v>
      </c>
      <c r="R38" s="248" t="s">
        <v>453</v>
      </c>
      <c r="S38" s="249" t="n">
        <v>0.625</v>
      </c>
      <c r="T38" s="248" t="s">
        <v>520</v>
      </c>
      <c r="U38" s="250" t="n">
        <v>49006745.47</v>
      </c>
      <c r="V38" s="245" t="s">
        <v>426</v>
      </c>
      <c r="W38" s="245" t="n">
        <v>0</v>
      </c>
      <c r="X38" s="245" t="n">
        <v>0</v>
      </c>
      <c r="Y38" s="245" t="n">
        <v>0</v>
      </c>
      <c r="Z38" s="245" t="n">
        <v>0</v>
      </c>
      <c r="AA38" s="245" t="n">
        <v>0</v>
      </c>
      <c r="AB38" s="245" t="n">
        <v>0</v>
      </c>
      <c r="AC38" s="250" t="n">
        <v>49006745.47</v>
      </c>
      <c r="AD38" s="245" t="n">
        <v>0</v>
      </c>
      <c r="AE38" s="245" t="n">
        <v>0</v>
      </c>
      <c r="AF38" s="245" t="n">
        <v>0</v>
      </c>
      <c r="AG38" s="245" t="n">
        <v>0</v>
      </c>
      <c r="AH38" s="251" t="n">
        <v>0</v>
      </c>
      <c r="AI38" s="245" t="n">
        <v>0</v>
      </c>
      <c r="AJ38" s="245" t="n">
        <v>0</v>
      </c>
      <c r="AK38" s="252" t="n">
        <v>0</v>
      </c>
      <c r="AL38" s="253" t="n">
        <v>0</v>
      </c>
      <c r="AM38" s="245" t="n">
        <v>81210625</v>
      </c>
      <c r="AN38" s="253" t="n">
        <v>0</v>
      </c>
      <c r="AO38" s="246" t="n">
        <v>0</v>
      </c>
      <c r="AP38" s="245" t="n">
        <v>47929015.11</v>
      </c>
      <c r="AQ38" s="254" t="n">
        <v>1</v>
      </c>
      <c r="AR38" s="245" t="n">
        <v>0</v>
      </c>
      <c r="AS38" s="245" t="n">
        <v>6395.2427861151</v>
      </c>
      <c r="AT38" s="245" t="n">
        <v>0</v>
      </c>
      <c r="AU38" s="245" t="n">
        <v>0</v>
      </c>
      <c r="AV38" s="245" t="n">
        <v>0</v>
      </c>
      <c r="AW38" s="245" t="n">
        <v>0</v>
      </c>
      <c r="AX38" s="245" t="n">
        <v>-35366446.38</v>
      </c>
      <c r="AY38" s="245" t="n">
        <v>0</v>
      </c>
      <c r="AZ38" s="245" t="n">
        <v>35366446.38</v>
      </c>
      <c r="BA38" s="245" t="n">
        <v>0</v>
      </c>
      <c r="BB38" s="245" t="s">
        <v>423</v>
      </c>
      <c r="BC38" s="245" t="s">
        <v>423</v>
      </c>
      <c r="BD38" s="245" t="n">
        <v>0</v>
      </c>
      <c r="BE38" s="245" t="n">
        <v>0</v>
      </c>
      <c r="BF38" s="245" t="n">
        <v>0</v>
      </c>
      <c r="BG38" s="245" t="n">
        <v>0</v>
      </c>
      <c r="BH38" s="245" t="n">
        <v>-35366446.38</v>
      </c>
      <c r="BI38" s="245" t="n">
        <v>0</v>
      </c>
      <c r="BJ38" s="245" t="n">
        <v>35366446.38</v>
      </c>
      <c r="BK38" s="245" t="n">
        <v>0</v>
      </c>
      <c r="BL38" s="245" t="n">
        <v>47929015.11</v>
      </c>
      <c r="BM38" s="245" t="s">
        <v>427</v>
      </c>
      <c r="BN38" s="245" t="n">
        <v>0</v>
      </c>
      <c r="BO38" s="255" t="b">
        <f aca="false">FALSE()</f>
        <v>0</v>
      </c>
      <c r="BP38" s="255" t="n">
        <v>0</v>
      </c>
      <c r="BQ38" s="246" t="n">
        <v>100</v>
      </c>
      <c r="BR38" s="246" t="n">
        <v>0</v>
      </c>
      <c r="BS38" s="257" t="n">
        <v>78</v>
      </c>
      <c r="BT38" s="246" t="n">
        <v>0</v>
      </c>
      <c r="BU38" s="258" t="n">
        <v>0</v>
      </c>
      <c r="BV38" s="246" t="n">
        <v>164</v>
      </c>
      <c r="BW38" s="259" t="n">
        <v>0</v>
      </c>
      <c r="BX38" s="259" t="n">
        <v>0</v>
      </c>
      <c r="BY38" s="255" t="n">
        <v>0</v>
      </c>
      <c r="BZ38" s="255" t="n">
        <v>1077730.36</v>
      </c>
      <c r="CA38" s="255" t="n">
        <v>1077730.36</v>
      </c>
      <c r="CB38" s="255" t="n">
        <v>3162566.85</v>
      </c>
      <c r="CC38" s="255" t="n">
        <v>0</v>
      </c>
      <c r="CD38" s="255" t="n">
        <v>0</v>
      </c>
      <c r="CE38" s="255" t="n">
        <v>0</v>
      </c>
      <c r="CF38" s="255" t="n">
        <v>0</v>
      </c>
      <c r="CG38" s="255" t="n">
        <v>0</v>
      </c>
      <c r="CH38" s="255" t="n">
        <v>0</v>
      </c>
      <c r="CI38" s="255" t="n">
        <v>0</v>
      </c>
      <c r="CJ38" s="255" t="n">
        <v>0</v>
      </c>
      <c r="CK38" s="246" t="n">
        <v>0</v>
      </c>
      <c r="CL38" s="246" t="n">
        <v>0</v>
      </c>
    </row>
    <row r="39" customFormat="false" ht="20.1" hidden="false" customHeight="true" outlineLevel="2" collapsed="false">
      <c r="A39" s="261" t="s">
        <v>521</v>
      </c>
      <c r="B39" s="261"/>
      <c r="C39" s="261"/>
      <c r="D39" s="261"/>
      <c r="E39" s="261"/>
      <c r="F39" s="261"/>
      <c r="G39" s="261"/>
      <c r="H39" s="261"/>
      <c r="I39" s="262"/>
      <c r="J39" s="263"/>
      <c r="K39" s="264"/>
      <c r="L39" s="266"/>
      <c r="M39" s="266"/>
      <c r="N39" s="266"/>
      <c r="O39" s="265"/>
      <c r="P39" s="267"/>
      <c r="Q39" s="267"/>
      <c r="R39" s="268" t="n">
        <v>0</v>
      </c>
      <c r="S39" s="269" t="n">
        <v>0.625</v>
      </c>
      <c r="T39" s="268" t="n">
        <v>0</v>
      </c>
      <c r="U39" s="270" t="n">
        <v>49006745.47</v>
      </c>
      <c r="V39" s="265"/>
      <c r="W39" s="265" t="n">
        <v>0</v>
      </c>
      <c r="X39" s="265" t="n">
        <v>0</v>
      </c>
      <c r="Y39" s="265" t="n">
        <v>0</v>
      </c>
      <c r="Z39" s="265" t="n">
        <v>0</v>
      </c>
      <c r="AA39" s="265" t="n">
        <v>0</v>
      </c>
      <c r="AB39" s="265" t="n">
        <v>0</v>
      </c>
      <c r="AC39" s="270" t="n">
        <v>49006745.47</v>
      </c>
      <c r="AD39" s="265" t="n">
        <v>0</v>
      </c>
      <c r="AE39" s="265" t="n">
        <v>0</v>
      </c>
      <c r="AF39" s="265" t="n">
        <v>0</v>
      </c>
      <c r="AG39" s="265" t="n">
        <v>0</v>
      </c>
      <c r="AH39" s="271" t="n">
        <v>0</v>
      </c>
      <c r="AI39" s="265" t="n">
        <v>0</v>
      </c>
      <c r="AJ39" s="265" t="n">
        <v>0</v>
      </c>
      <c r="AK39" s="272" t="n">
        <v>0</v>
      </c>
      <c r="AL39" s="273"/>
      <c r="AM39" s="265" t="n">
        <v>81210625</v>
      </c>
      <c r="AN39" s="273"/>
      <c r="AO39" s="266"/>
      <c r="AP39" s="265" t="n">
        <v>47929015.11</v>
      </c>
      <c r="AQ39" s="274"/>
      <c r="AR39" s="265"/>
      <c r="AS39" s="265"/>
      <c r="AT39" s="265" t="n">
        <v>0</v>
      </c>
      <c r="AU39" s="265" t="n">
        <v>0</v>
      </c>
      <c r="AV39" s="265" t="n">
        <v>0</v>
      </c>
      <c r="AW39" s="265" t="n">
        <v>0</v>
      </c>
      <c r="AX39" s="265" t="n">
        <v>-35366446.38</v>
      </c>
      <c r="AY39" s="265" t="n">
        <v>0</v>
      </c>
      <c r="AZ39" s="265" t="n">
        <v>35366446.38</v>
      </c>
      <c r="BA39" s="265" t="n">
        <v>0</v>
      </c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6"/>
      <c r="BR39" s="266"/>
      <c r="BS39" s="276"/>
      <c r="BT39" s="266"/>
      <c r="BU39" s="277"/>
      <c r="BV39" s="266"/>
      <c r="BW39" s="278"/>
      <c r="BX39" s="278"/>
      <c r="BY39" s="265"/>
      <c r="BZ39" s="265"/>
      <c r="CA39" s="265" t="n">
        <v>1077730.36</v>
      </c>
      <c r="CB39" s="265"/>
      <c r="CC39" s="265"/>
      <c r="CD39" s="265"/>
      <c r="CE39" s="265"/>
      <c r="CF39" s="265"/>
      <c r="CG39" s="265"/>
      <c r="CH39" s="265"/>
      <c r="CI39" s="265"/>
      <c r="CJ39" s="265"/>
      <c r="CK39" s="266"/>
      <c r="CL39" s="266"/>
    </row>
    <row r="40" customFormat="false" ht="15.75" hidden="false" customHeight="false" outlineLevel="3" collapsed="false">
      <c r="A40" s="63" t="s">
        <v>441</v>
      </c>
      <c r="B40" s="63" t="s">
        <v>515</v>
      </c>
      <c r="C40" s="63" t="s">
        <v>494</v>
      </c>
      <c r="D40" s="63" t="s">
        <v>495</v>
      </c>
      <c r="E40" s="63" t="s">
        <v>522</v>
      </c>
      <c r="F40" s="63" t="s">
        <v>423</v>
      </c>
      <c r="G40" s="63" t="s">
        <v>523</v>
      </c>
      <c r="H40" s="63" t="s">
        <v>102</v>
      </c>
      <c r="I40" s="242" t="s">
        <v>447</v>
      </c>
      <c r="J40" s="244" t="n">
        <v>1</v>
      </c>
      <c r="K40" s="244" t="n">
        <v>1</v>
      </c>
      <c r="L40" s="246" t="n">
        <v>0</v>
      </c>
      <c r="M40" s="246" t="n">
        <v>0</v>
      </c>
      <c r="N40" s="246" t="n">
        <v>0</v>
      </c>
      <c r="O40" s="245" t="n">
        <v>1250000</v>
      </c>
      <c r="P40" s="246" t="n">
        <v>1250000</v>
      </c>
      <c r="Q40" s="246" t="n">
        <v>0</v>
      </c>
      <c r="R40" s="248" t="s">
        <v>448</v>
      </c>
      <c r="S40" s="249" t="n">
        <v>1</v>
      </c>
      <c r="T40" s="248" t="s">
        <v>437</v>
      </c>
      <c r="U40" s="250" t="n">
        <v>1250000</v>
      </c>
      <c r="V40" s="245" t="s">
        <v>426</v>
      </c>
      <c r="W40" s="245" t="n">
        <v>0</v>
      </c>
      <c r="X40" s="245" t="n">
        <v>0</v>
      </c>
      <c r="Y40" s="245" t="n">
        <v>0</v>
      </c>
      <c r="Z40" s="245" t="n">
        <v>0</v>
      </c>
      <c r="AA40" s="245" t="n">
        <v>0</v>
      </c>
      <c r="AB40" s="245" t="n">
        <v>0</v>
      </c>
      <c r="AC40" s="250" t="n">
        <v>1250000</v>
      </c>
      <c r="AD40" s="245" t="n">
        <v>0</v>
      </c>
      <c r="AE40" s="245" t="n">
        <v>0</v>
      </c>
      <c r="AF40" s="245" t="n">
        <v>0</v>
      </c>
      <c r="AG40" s="245" t="n">
        <v>0</v>
      </c>
      <c r="AH40" s="251" t="n">
        <v>0</v>
      </c>
      <c r="AI40" s="245" t="n">
        <v>0</v>
      </c>
      <c r="AJ40" s="245" t="n">
        <v>0</v>
      </c>
      <c r="AK40" s="252" t="n">
        <v>0</v>
      </c>
      <c r="AL40" s="253" t="n">
        <v>0</v>
      </c>
      <c r="AM40" s="245" t="n">
        <v>1250000</v>
      </c>
      <c r="AN40" s="246" t="n">
        <v>0</v>
      </c>
      <c r="AO40" s="253" t="n">
        <v>0</v>
      </c>
      <c r="AP40" s="245" t="n">
        <v>1250000</v>
      </c>
      <c r="AQ40" s="254" t="n">
        <v>1</v>
      </c>
      <c r="AR40" s="245" t="n">
        <v>0</v>
      </c>
      <c r="AS40" s="245" t="n">
        <v>1250000</v>
      </c>
      <c r="AT40" s="245" t="n">
        <v>0</v>
      </c>
      <c r="AU40" s="245" t="n">
        <v>0</v>
      </c>
      <c r="AV40" s="245" t="n">
        <v>0</v>
      </c>
      <c r="AW40" s="245" t="n">
        <v>0</v>
      </c>
      <c r="AX40" s="245" t="n">
        <v>0</v>
      </c>
      <c r="AY40" s="245" t="n">
        <v>0</v>
      </c>
      <c r="AZ40" s="245" t="n">
        <v>0</v>
      </c>
      <c r="BA40" s="245" t="n">
        <v>0</v>
      </c>
      <c r="BB40" s="245" t="s">
        <v>423</v>
      </c>
      <c r="BC40" s="245" t="s">
        <v>423</v>
      </c>
      <c r="BD40" s="245" t="n">
        <v>0</v>
      </c>
      <c r="BE40" s="245" t="n">
        <v>0</v>
      </c>
      <c r="BF40" s="245" t="n">
        <v>0</v>
      </c>
      <c r="BG40" s="245" t="n">
        <v>0</v>
      </c>
      <c r="BH40" s="245" t="n">
        <v>0</v>
      </c>
      <c r="BI40" s="245" t="n">
        <v>0</v>
      </c>
      <c r="BJ40" s="245" t="n">
        <v>0</v>
      </c>
      <c r="BK40" s="245" t="n">
        <v>0</v>
      </c>
      <c r="BL40" s="245" t="n">
        <v>1250000</v>
      </c>
      <c r="BM40" s="245" t="s">
        <v>427</v>
      </c>
      <c r="BN40" s="245" t="n">
        <v>0</v>
      </c>
      <c r="BO40" s="255" t="b">
        <f aca="false">FALSE()</f>
        <v>0</v>
      </c>
      <c r="BP40" s="255" t="n">
        <v>0</v>
      </c>
      <c r="BQ40" s="247" t="n">
        <v>0</v>
      </c>
      <c r="BR40" s="246" t="n">
        <v>0</v>
      </c>
      <c r="BS40" s="257" t="n">
        <v>83</v>
      </c>
      <c r="BT40" s="246" t="n">
        <v>0</v>
      </c>
      <c r="BU40" s="258" t="n">
        <v>0</v>
      </c>
      <c r="BV40" s="246" t="n">
        <v>205</v>
      </c>
      <c r="BW40" s="259" t="n">
        <v>0</v>
      </c>
      <c r="BX40" s="259" t="n">
        <v>0</v>
      </c>
      <c r="BY40" s="255" t="n">
        <v>0</v>
      </c>
      <c r="BZ40" s="255" t="n">
        <v>0</v>
      </c>
      <c r="CA40" s="255" t="n">
        <v>0</v>
      </c>
      <c r="CB40" s="255" t="n">
        <v>0</v>
      </c>
      <c r="CC40" s="255" t="n">
        <v>0</v>
      </c>
      <c r="CD40" s="255" t="n">
        <v>0</v>
      </c>
      <c r="CE40" s="255" t="n">
        <v>0</v>
      </c>
      <c r="CF40" s="255" t="n">
        <v>0</v>
      </c>
      <c r="CG40" s="255" t="n">
        <v>0</v>
      </c>
      <c r="CH40" s="255" t="n">
        <v>0</v>
      </c>
      <c r="CI40" s="255" t="n">
        <v>0</v>
      </c>
      <c r="CJ40" s="255" t="n">
        <v>0</v>
      </c>
      <c r="CK40" s="246" t="n">
        <v>0</v>
      </c>
      <c r="CL40" s="246" t="n">
        <v>0</v>
      </c>
    </row>
    <row r="41" customFormat="false" ht="15.75" hidden="false" customHeight="false" outlineLevel="3" collapsed="false">
      <c r="A41" s="63" t="s">
        <v>441</v>
      </c>
      <c r="B41" s="63" t="s">
        <v>515</v>
      </c>
      <c r="C41" s="63" t="s">
        <v>472</v>
      </c>
      <c r="D41" s="63" t="s">
        <v>473</v>
      </c>
      <c r="E41" s="63" t="s">
        <v>524</v>
      </c>
      <c r="F41" s="63" t="s">
        <v>423</v>
      </c>
      <c r="G41" s="63" t="s">
        <v>517</v>
      </c>
      <c r="H41" s="297" t="s">
        <v>525</v>
      </c>
      <c r="I41" s="242" t="s">
        <v>526</v>
      </c>
      <c r="J41" s="244" t="n">
        <v>1</v>
      </c>
      <c r="K41" s="244" t="n">
        <v>1</v>
      </c>
      <c r="L41" s="246" t="n">
        <v>0</v>
      </c>
      <c r="M41" s="246" t="n">
        <v>0</v>
      </c>
      <c r="N41" s="246" t="n">
        <v>0</v>
      </c>
      <c r="O41" s="245" t="n">
        <v>0</v>
      </c>
      <c r="P41" s="246" t="n">
        <v>0</v>
      </c>
      <c r="Q41" s="246" t="n">
        <v>0</v>
      </c>
      <c r="R41" s="248" t="n">
        <v>0</v>
      </c>
      <c r="S41" s="249" t="n">
        <v>1</v>
      </c>
      <c r="T41" s="248" t="s">
        <v>437</v>
      </c>
      <c r="U41" s="250" t="n">
        <v>0</v>
      </c>
      <c r="V41" s="245" t="s">
        <v>426</v>
      </c>
      <c r="W41" s="245" t="n">
        <v>0</v>
      </c>
      <c r="X41" s="245" t="n">
        <v>0</v>
      </c>
      <c r="Y41" s="245" t="n">
        <v>0</v>
      </c>
      <c r="Z41" s="245" t="n">
        <v>0</v>
      </c>
      <c r="AA41" s="245" t="n">
        <v>0</v>
      </c>
      <c r="AB41" s="245" t="n">
        <v>0</v>
      </c>
      <c r="AC41" s="250" t="n">
        <v>0</v>
      </c>
      <c r="AD41" s="245" t="n">
        <v>0</v>
      </c>
      <c r="AE41" s="245" t="n">
        <v>0</v>
      </c>
      <c r="AF41" s="245" t="n">
        <v>0</v>
      </c>
      <c r="AG41" s="245" t="n">
        <v>0</v>
      </c>
      <c r="AH41" s="251" t="n">
        <v>0</v>
      </c>
      <c r="AI41" s="245" t="n">
        <v>0</v>
      </c>
      <c r="AJ41" s="245" t="n">
        <v>0</v>
      </c>
      <c r="AK41" s="252" t="n">
        <v>0</v>
      </c>
      <c r="AL41" s="253" t="n">
        <v>0</v>
      </c>
      <c r="AM41" s="245" t="n">
        <v>1663000</v>
      </c>
      <c r="AN41" s="246" t="n">
        <v>0</v>
      </c>
      <c r="AO41" s="253" t="n">
        <v>0</v>
      </c>
      <c r="AP41" s="245" t="n">
        <v>0</v>
      </c>
      <c r="AQ41" s="254" t="n">
        <v>1</v>
      </c>
      <c r="AR41" s="245" t="n">
        <v>0</v>
      </c>
      <c r="AS41" s="245" t="n">
        <v>0</v>
      </c>
      <c r="AT41" s="245" t="n">
        <v>0</v>
      </c>
      <c r="AU41" s="245" t="n">
        <v>0</v>
      </c>
      <c r="AV41" s="245" t="n">
        <v>0</v>
      </c>
      <c r="AW41" s="245" t="n">
        <v>0</v>
      </c>
      <c r="AX41" s="245" t="n">
        <v>-1663000</v>
      </c>
      <c r="AY41" s="245" t="n">
        <v>0</v>
      </c>
      <c r="AZ41" s="245" t="n">
        <v>1663000</v>
      </c>
      <c r="BA41" s="245" t="n">
        <v>0</v>
      </c>
      <c r="BB41" s="245" t="s">
        <v>423</v>
      </c>
      <c r="BC41" s="245" t="s">
        <v>423</v>
      </c>
      <c r="BD41" s="245" t="n">
        <v>0</v>
      </c>
      <c r="BE41" s="245" t="n">
        <v>0</v>
      </c>
      <c r="BF41" s="245" t="n">
        <v>0</v>
      </c>
      <c r="BG41" s="245" t="n">
        <v>0</v>
      </c>
      <c r="BH41" s="245" t="n">
        <v>-1663000</v>
      </c>
      <c r="BI41" s="245" t="n">
        <v>0</v>
      </c>
      <c r="BJ41" s="245" t="n">
        <v>1663000</v>
      </c>
      <c r="BK41" s="245" t="n">
        <v>0</v>
      </c>
      <c r="BL41" s="245" t="n">
        <v>0</v>
      </c>
      <c r="BM41" s="245" t="s">
        <v>427</v>
      </c>
      <c r="BN41" s="245" t="n">
        <v>0</v>
      </c>
      <c r="BO41" s="255" t="b">
        <f aca="false">FALSE()</f>
        <v>0</v>
      </c>
      <c r="BP41" s="255" t="n">
        <v>0</v>
      </c>
      <c r="BQ41" s="246" t="n">
        <v>0</v>
      </c>
      <c r="BR41" s="246" t="n">
        <v>1663000</v>
      </c>
      <c r="BS41" s="257" t="n">
        <v>83</v>
      </c>
      <c r="BT41" s="246" t="n">
        <v>0</v>
      </c>
      <c r="BU41" s="258" t="n">
        <v>0</v>
      </c>
      <c r="BV41" s="246" t="n">
        <v>211</v>
      </c>
      <c r="BW41" s="259" t="n">
        <v>0</v>
      </c>
      <c r="BX41" s="259" t="n">
        <v>0</v>
      </c>
      <c r="BY41" s="255" t="n">
        <v>0</v>
      </c>
      <c r="BZ41" s="255" t="n">
        <v>0</v>
      </c>
      <c r="CA41" s="255" t="n">
        <v>0</v>
      </c>
      <c r="CB41" s="255" t="n">
        <v>0</v>
      </c>
      <c r="CC41" s="255" t="n">
        <v>0</v>
      </c>
      <c r="CD41" s="255" t="n">
        <v>0</v>
      </c>
      <c r="CE41" s="255" t="n">
        <v>0</v>
      </c>
      <c r="CF41" s="255" t="n">
        <v>0</v>
      </c>
      <c r="CG41" s="255" t="n">
        <v>0</v>
      </c>
      <c r="CH41" s="255" t="n">
        <v>0</v>
      </c>
      <c r="CI41" s="255" t="n">
        <v>0</v>
      </c>
      <c r="CJ41" s="255" t="n">
        <v>0</v>
      </c>
      <c r="CK41" s="246" t="n">
        <v>0</v>
      </c>
      <c r="CL41" s="246" t="n">
        <v>0</v>
      </c>
    </row>
    <row r="42" customFormat="false" ht="20.1" hidden="false" customHeight="true" outlineLevel="2" collapsed="false">
      <c r="A42" s="261" t="s">
        <v>459</v>
      </c>
      <c r="B42" s="261"/>
      <c r="C42" s="261"/>
      <c r="D42" s="261"/>
      <c r="E42" s="261"/>
      <c r="F42" s="261"/>
      <c r="G42" s="261"/>
      <c r="H42" s="298"/>
      <c r="I42" s="262"/>
      <c r="J42" s="264"/>
      <c r="K42" s="264"/>
      <c r="L42" s="266"/>
      <c r="M42" s="266"/>
      <c r="N42" s="266"/>
      <c r="O42" s="265"/>
      <c r="P42" s="266"/>
      <c r="Q42" s="266"/>
      <c r="R42" s="268" t="n">
        <v>0</v>
      </c>
      <c r="S42" s="269" t="n">
        <v>2</v>
      </c>
      <c r="T42" s="268" t="n">
        <v>0</v>
      </c>
      <c r="U42" s="270" t="n">
        <v>1250000</v>
      </c>
      <c r="V42" s="265"/>
      <c r="W42" s="265" t="n">
        <v>0</v>
      </c>
      <c r="X42" s="265" t="n">
        <v>0</v>
      </c>
      <c r="Y42" s="265" t="n">
        <v>0</v>
      </c>
      <c r="Z42" s="265" t="n">
        <v>0</v>
      </c>
      <c r="AA42" s="265" t="n">
        <v>0</v>
      </c>
      <c r="AB42" s="265" t="n">
        <v>0</v>
      </c>
      <c r="AC42" s="270" t="n">
        <v>1250000</v>
      </c>
      <c r="AD42" s="265" t="n">
        <v>0</v>
      </c>
      <c r="AE42" s="265" t="n">
        <v>0</v>
      </c>
      <c r="AF42" s="265" t="n">
        <v>0</v>
      </c>
      <c r="AG42" s="265" t="n">
        <v>0</v>
      </c>
      <c r="AH42" s="271" t="n">
        <v>0</v>
      </c>
      <c r="AI42" s="265" t="n">
        <v>0</v>
      </c>
      <c r="AJ42" s="265" t="n">
        <v>0</v>
      </c>
      <c r="AK42" s="272" t="n">
        <v>0</v>
      </c>
      <c r="AL42" s="273"/>
      <c r="AM42" s="265" t="n">
        <v>2913000</v>
      </c>
      <c r="AN42" s="266"/>
      <c r="AO42" s="273"/>
      <c r="AP42" s="265" t="n">
        <v>1250000</v>
      </c>
      <c r="AQ42" s="274"/>
      <c r="AR42" s="265"/>
      <c r="AS42" s="265"/>
      <c r="AT42" s="265" t="n">
        <v>0</v>
      </c>
      <c r="AU42" s="265" t="n">
        <v>0</v>
      </c>
      <c r="AV42" s="265" t="n">
        <v>0</v>
      </c>
      <c r="AW42" s="265" t="n">
        <v>0</v>
      </c>
      <c r="AX42" s="265" t="n">
        <v>-1663000</v>
      </c>
      <c r="AY42" s="265" t="n">
        <v>0</v>
      </c>
      <c r="AZ42" s="265" t="n">
        <v>1663000</v>
      </c>
      <c r="BA42" s="265" t="n">
        <v>0</v>
      </c>
      <c r="BB42" s="265"/>
      <c r="BC42" s="265"/>
      <c r="BD42" s="265"/>
      <c r="BE42" s="265"/>
      <c r="BF42" s="265"/>
      <c r="BG42" s="265"/>
      <c r="BH42" s="265"/>
      <c r="BI42" s="265"/>
      <c r="BJ42" s="265"/>
      <c r="BK42" s="265"/>
      <c r="BL42" s="265"/>
      <c r="BM42" s="265"/>
      <c r="BN42" s="265"/>
      <c r="BO42" s="265"/>
      <c r="BP42" s="265"/>
      <c r="BQ42" s="266"/>
      <c r="BR42" s="266"/>
      <c r="BS42" s="276"/>
      <c r="BT42" s="266"/>
      <c r="BU42" s="277"/>
      <c r="BV42" s="266"/>
      <c r="BW42" s="278"/>
      <c r="BX42" s="278"/>
      <c r="BY42" s="265"/>
      <c r="BZ42" s="265"/>
      <c r="CA42" s="265" t="n">
        <v>0</v>
      </c>
      <c r="CB42" s="265"/>
      <c r="CC42" s="265"/>
      <c r="CD42" s="265"/>
      <c r="CE42" s="265"/>
      <c r="CF42" s="265"/>
      <c r="CG42" s="265"/>
      <c r="CH42" s="265"/>
      <c r="CI42" s="265"/>
      <c r="CJ42" s="265"/>
      <c r="CK42" s="266"/>
      <c r="CL42" s="266"/>
    </row>
    <row r="43" customFormat="false" ht="15.75" hidden="false" customHeight="false" outlineLevel="3" collapsed="false">
      <c r="A43" s="63" t="s">
        <v>527</v>
      </c>
      <c r="B43" s="63" t="s">
        <v>515</v>
      </c>
      <c r="C43" s="63" t="s">
        <v>528</v>
      </c>
      <c r="D43" s="63" t="s">
        <v>529</v>
      </c>
      <c r="E43" s="63" t="s">
        <v>530</v>
      </c>
      <c r="F43" s="63" t="s">
        <v>423</v>
      </c>
      <c r="G43" s="63" t="s">
        <v>523</v>
      </c>
      <c r="H43" s="297" t="s">
        <v>525</v>
      </c>
      <c r="I43" s="242" t="s">
        <v>425</v>
      </c>
      <c r="J43" s="243" t="n">
        <v>1</v>
      </c>
      <c r="K43" s="244" t="n">
        <v>1</v>
      </c>
      <c r="L43" s="246" t="n">
        <v>0</v>
      </c>
      <c r="M43" s="246" t="n">
        <v>0</v>
      </c>
      <c r="N43" s="246" t="n">
        <v>1</v>
      </c>
      <c r="O43" s="245" t="n">
        <v>770244.5</v>
      </c>
      <c r="P43" s="247" t="n">
        <v>770244.5</v>
      </c>
      <c r="Q43" s="247" t="n">
        <v>0</v>
      </c>
      <c r="R43" s="248" t="s">
        <v>453</v>
      </c>
      <c r="S43" s="249" t="n">
        <v>0.5</v>
      </c>
      <c r="T43" s="248" t="n">
        <v>0</v>
      </c>
      <c r="U43" s="250" t="n">
        <v>770244.5</v>
      </c>
      <c r="V43" s="245" t="s">
        <v>426</v>
      </c>
      <c r="W43" s="245" t="n">
        <v>0</v>
      </c>
      <c r="X43" s="245" t="n">
        <v>0</v>
      </c>
      <c r="Y43" s="245" t="n">
        <v>0</v>
      </c>
      <c r="Z43" s="245" t="n">
        <v>0</v>
      </c>
      <c r="AA43" s="245" t="n">
        <v>0</v>
      </c>
      <c r="AB43" s="245" t="n">
        <v>0</v>
      </c>
      <c r="AC43" s="250" t="n">
        <v>770244.5</v>
      </c>
      <c r="AD43" s="245" t="n">
        <v>0</v>
      </c>
      <c r="AE43" s="245" t="n">
        <v>0</v>
      </c>
      <c r="AF43" s="245" t="n">
        <v>0</v>
      </c>
      <c r="AG43" s="245" t="n">
        <v>0</v>
      </c>
      <c r="AH43" s="251" t="n">
        <v>0</v>
      </c>
      <c r="AI43" s="245" t="n">
        <v>0</v>
      </c>
      <c r="AJ43" s="245" t="n">
        <v>0</v>
      </c>
      <c r="AK43" s="252" t="n">
        <v>0</v>
      </c>
      <c r="AL43" s="253" t="n">
        <v>0</v>
      </c>
      <c r="AM43" s="245" t="n">
        <v>1247943.5</v>
      </c>
      <c r="AN43" s="253" t="n">
        <v>0</v>
      </c>
      <c r="AO43" s="246" t="n">
        <v>0</v>
      </c>
      <c r="AP43" s="245" t="n">
        <v>770244.5</v>
      </c>
      <c r="AQ43" s="254" t="n">
        <v>1</v>
      </c>
      <c r="AR43" s="245" t="n">
        <v>770244.5</v>
      </c>
      <c r="AS43" s="245" t="n">
        <v>770244.5</v>
      </c>
      <c r="AT43" s="245" t="n">
        <v>0</v>
      </c>
      <c r="AU43" s="245" t="n">
        <v>0</v>
      </c>
      <c r="AV43" s="245" t="n">
        <v>0</v>
      </c>
      <c r="AW43" s="245" t="n">
        <v>0</v>
      </c>
      <c r="AX43" s="245" t="n">
        <v>-477699</v>
      </c>
      <c r="AY43" s="245" t="n">
        <v>0</v>
      </c>
      <c r="AZ43" s="245" t="n">
        <v>477699</v>
      </c>
      <c r="BA43" s="245" t="n">
        <v>0</v>
      </c>
      <c r="BB43" s="245" t="s">
        <v>423</v>
      </c>
      <c r="BC43" s="245" t="s">
        <v>423</v>
      </c>
      <c r="BD43" s="245" t="n">
        <v>0</v>
      </c>
      <c r="BE43" s="245" t="n">
        <v>0</v>
      </c>
      <c r="BF43" s="245" t="n">
        <v>0</v>
      </c>
      <c r="BG43" s="245" t="n">
        <v>0</v>
      </c>
      <c r="BH43" s="245" t="n">
        <v>-477699</v>
      </c>
      <c r="BI43" s="245" t="n">
        <v>0</v>
      </c>
      <c r="BJ43" s="245" t="n">
        <v>477699</v>
      </c>
      <c r="BK43" s="245" t="n">
        <v>0</v>
      </c>
      <c r="BL43" s="259" t="n">
        <v>770244.5</v>
      </c>
      <c r="BM43" s="245" t="s">
        <v>427</v>
      </c>
      <c r="BN43" s="245" t="n">
        <v>0</v>
      </c>
      <c r="BO43" s="255" t="b">
        <f aca="false">FALSE()</f>
        <v>0</v>
      </c>
      <c r="BP43" s="255" t="n">
        <v>0</v>
      </c>
      <c r="BQ43" s="246" t="n">
        <v>0</v>
      </c>
      <c r="BR43" s="246" t="n">
        <v>0</v>
      </c>
      <c r="BS43" s="257" t="n">
        <v>77</v>
      </c>
      <c r="BT43" s="246" t="n">
        <v>0</v>
      </c>
      <c r="BU43" s="258" t="n">
        <v>0</v>
      </c>
      <c r="BV43" s="246" t="n">
        <v>59</v>
      </c>
      <c r="BW43" s="259" t="n">
        <v>0</v>
      </c>
      <c r="BX43" s="259" t="n">
        <v>0</v>
      </c>
      <c r="BY43" s="255" t="n">
        <v>0</v>
      </c>
      <c r="BZ43" s="255" t="n">
        <v>0</v>
      </c>
      <c r="CA43" s="255" t="n">
        <v>0</v>
      </c>
      <c r="CB43" s="255" t="n">
        <v>0</v>
      </c>
      <c r="CC43" s="255" t="n">
        <v>0</v>
      </c>
      <c r="CD43" s="255" t="n">
        <v>0</v>
      </c>
      <c r="CE43" s="255" t="n">
        <v>0</v>
      </c>
      <c r="CF43" s="255" t="n">
        <v>0</v>
      </c>
      <c r="CG43" s="255" t="n">
        <v>0</v>
      </c>
      <c r="CH43" s="255" t="n">
        <v>0</v>
      </c>
      <c r="CI43" s="255" t="n">
        <v>0</v>
      </c>
      <c r="CJ43" s="255" t="n">
        <v>0</v>
      </c>
      <c r="CK43" s="246" t="n">
        <v>0</v>
      </c>
      <c r="CL43" s="246" t="n">
        <v>0</v>
      </c>
    </row>
    <row r="44" customFormat="false" ht="15.75" hidden="false" customHeight="false" outlineLevel="3" collapsed="false">
      <c r="A44" s="63" t="s">
        <v>527</v>
      </c>
      <c r="B44" s="63" t="s">
        <v>515</v>
      </c>
      <c r="C44" s="63" t="s">
        <v>528</v>
      </c>
      <c r="D44" s="63" t="s">
        <v>529</v>
      </c>
      <c r="E44" s="63" t="s">
        <v>531</v>
      </c>
      <c r="F44" s="63" t="s">
        <v>423</v>
      </c>
      <c r="G44" s="63" t="s">
        <v>523</v>
      </c>
      <c r="H44" s="297" t="s">
        <v>525</v>
      </c>
      <c r="I44" s="242" t="s">
        <v>425</v>
      </c>
      <c r="J44" s="243" t="n">
        <v>1</v>
      </c>
      <c r="K44" s="244" t="n">
        <v>1</v>
      </c>
      <c r="L44" s="246" t="n">
        <v>0</v>
      </c>
      <c r="M44" s="246" t="n">
        <v>0</v>
      </c>
      <c r="N44" s="246" t="n">
        <v>1</v>
      </c>
      <c r="O44" s="245" t="n">
        <v>0</v>
      </c>
      <c r="P44" s="247" t="n">
        <v>0</v>
      </c>
      <c r="Q44" s="247" t="n">
        <v>0</v>
      </c>
      <c r="R44" s="248" t="s">
        <v>453</v>
      </c>
      <c r="S44" s="249" t="n">
        <v>0.5</v>
      </c>
      <c r="T44" s="248" t="n">
        <v>0</v>
      </c>
      <c r="U44" s="250" t="n">
        <v>0</v>
      </c>
      <c r="V44" s="245" t="s">
        <v>426</v>
      </c>
      <c r="W44" s="245" t="n">
        <v>0</v>
      </c>
      <c r="X44" s="245" t="n">
        <v>0</v>
      </c>
      <c r="Y44" s="245" t="n">
        <v>0</v>
      </c>
      <c r="Z44" s="245" t="n">
        <v>0</v>
      </c>
      <c r="AA44" s="245" t="n">
        <v>0</v>
      </c>
      <c r="AB44" s="245" t="n">
        <v>0</v>
      </c>
      <c r="AC44" s="250" t="n">
        <v>0</v>
      </c>
      <c r="AD44" s="245" t="n">
        <v>0</v>
      </c>
      <c r="AE44" s="245" t="n">
        <v>0</v>
      </c>
      <c r="AF44" s="245" t="n">
        <v>0</v>
      </c>
      <c r="AG44" s="245" t="n">
        <v>0</v>
      </c>
      <c r="AH44" s="251" t="n">
        <v>0</v>
      </c>
      <c r="AI44" s="245" t="n">
        <v>0</v>
      </c>
      <c r="AJ44" s="245" t="n">
        <v>0</v>
      </c>
      <c r="AK44" s="252" t="n">
        <v>0</v>
      </c>
      <c r="AL44" s="253" t="n">
        <v>0</v>
      </c>
      <c r="AM44" s="245" t="n">
        <v>0</v>
      </c>
      <c r="AN44" s="253" t="n">
        <v>0</v>
      </c>
      <c r="AO44" s="246" t="n">
        <v>0</v>
      </c>
      <c r="AP44" s="245" t="n">
        <v>0</v>
      </c>
      <c r="AQ44" s="254" t="n">
        <v>1</v>
      </c>
      <c r="AR44" s="245" t="n">
        <v>0</v>
      </c>
      <c r="AS44" s="245" t="n">
        <v>0</v>
      </c>
      <c r="AT44" s="245" t="n">
        <v>0</v>
      </c>
      <c r="AU44" s="245" t="n">
        <v>0</v>
      </c>
      <c r="AV44" s="245" t="n">
        <v>0</v>
      </c>
      <c r="AW44" s="245" t="n">
        <v>0</v>
      </c>
      <c r="AX44" s="245" t="n">
        <v>-175230.57</v>
      </c>
      <c r="AY44" s="245" t="n">
        <v>0</v>
      </c>
      <c r="AZ44" s="245" t="n">
        <v>175230.57</v>
      </c>
      <c r="BA44" s="245" t="n">
        <v>0</v>
      </c>
      <c r="BB44" s="245" t="s">
        <v>423</v>
      </c>
      <c r="BC44" s="245" t="s">
        <v>423</v>
      </c>
      <c r="BD44" s="245" t="n">
        <v>0</v>
      </c>
      <c r="BE44" s="245" t="n">
        <v>0</v>
      </c>
      <c r="BF44" s="245" t="n">
        <v>0</v>
      </c>
      <c r="BG44" s="245" t="n">
        <v>0</v>
      </c>
      <c r="BH44" s="245" t="n">
        <v>-175230.57</v>
      </c>
      <c r="BI44" s="245" t="n">
        <v>0</v>
      </c>
      <c r="BJ44" s="245" t="n">
        <v>175230.57</v>
      </c>
      <c r="BK44" s="245" t="n">
        <v>0</v>
      </c>
      <c r="BL44" s="259" t="n">
        <v>0</v>
      </c>
      <c r="BM44" s="245" t="s">
        <v>427</v>
      </c>
      <c r="BN44" s="245" t="n">
        <v>0</v>
      </c>
      <c r="BO44" s="255" t="b">
        <f aca="false">FALSE()</f>
        <v>0</v>
      </c>
      <c r="BP44" s="255" t="n">
        <v>0</v>
      </c>
      <c r="BQ44" s="246" t="n">
        <v>0</v>
      </c>
      <c r="BR44" s="246" t="n">
        <v>1247944</v>
      </c>
      <c r="BS44" s="257" t="n">
        <v>77</v>
      </c>
      <c r="BT44" s="246" t="n">
        <v>0</v>
      </c>
      <c r="BU44" s="258" t="n">
        <v>0</v>
      </c>
      <c r="BV44" s="246" t="n">
        <v>60</v>
      </c>
      <c r="BW44" s="259" t="n">
        <v>0</v>
      </c>
      <c r="BX44" s="259" t="n">
        <v>0</v>
      </c>
      <c r="BY44" s="255" t="n">
        <v>0</v>
      </c>
      <c r="BZ44" s="255" t="n">
        <v>0</v>
      </c>
      <c r="CA44" s="255" t="n">
        <v>0</v>
      </c>
      <c r="CB44" s="255" t="n">
        <v>175230.57</v>
      </c>
      <c r="CC44" s="255" t="n">
        <v>0</v>
      </c>
      <c r="CD44" s="255" t="n">
        <v>0</v>
      </c>
      <c r="CE44" s="255" t="n">
        <v>0</v>
      </c>
      <c r="CF44" s="255" t="n">
        <v>0</v>
      </c>
      <c r="CG44" s="255" t="n">
        <v>0</v>
      </c>
      <c r="CH44" s="255" t="n">
        <v>0</v>
      </c>
      <c r="CI44" s="255" t="n">
        <v>0</v>
      </c>
      <c r="CJ44" s="255" t="n">
        <v>0</v>
      </c>
      <c r="CK44" s="246" t="n">
        <v>0</v>
      </c>
      <c r="CL44" s="246" t="n">
        <v>0</v>
      </c>
    </row>
    <row r="45" customFormat="false" ht="15.75" hidden="false" customHeight="false" outlineLevel="3" collapsed="false">
      <c r="A45" s="63" t="s">
        <v>527</v>
      </c>
      <c r="B45" s="63" t="s">
        <v>515</v>
      </c>
      <c r="C45" s="63" t="s">
        <v>500</v>
      </c>
      <c r="D45" s="63" t="s">
        <v>501</v>
      </c>
      <c r="E45" s="63" t="s">
        <v>532</v>
      </c>
      <c r="F45" s="63" t="s">
        <v>423</v>
      </c>
      <c r="G45" s="63" t="s">
        <v>517</v>
      </c>
      <c r="H45" s="297" t="s">
        <v>525</v>
      </c>
      <c r="I45" s="242" t="s">
        <v>425</v>
      </c>
      <c r="J45" s="243" t="n">
        <v>1000</v>
      </c>
      <c r="K45" s="244" t="n">
        <v>1000</v>
      </c>
      <c r="L45" s="246" t="n">
        <v>0</v>
      </c>
      <c r="M45" s="246" t="n">
        <v>0</v>
      </c>
      <c r="N45" s="246" t="n">
        <v>1</v>
      </c>
      <c r="O45" s="245" t="n">
        <v>0</v>
      </c>
      <c r="P45" s="247" t="n">
        <v>0</v>
      </c>
      <c r="Q45" s="247" t="n">
        <v>0</v>
      </c>
      <c r="R45" s="248" t="n">
        <v>0</v>
      </c>
      <c r="S45" s="249" t="n">
        <v>1</v>
      </c>
      <c r="T45" s="248" t="s">
        <v>437</v>
      </c>
      <c r="U45" s="250" t="n">
        <v>0</v>
      </c>
      <c r="V45" s="245" t="s">
        <v>426</v>
      </c>
      <c r="W45" s="245" t="n">
        <v>0</v>
      </c>
      <c r="X45" s="245" t="n">
        <v>0</v>
      </c>
      <c r="Y45" s="245" t="n">
        <v>0</v>
      </c>
      <c r="Z45" s="245" t="n">
        <v>0</v>
      </c>
      <c r="AA45" s="245" t="n">
        <v>0</v>
      </c>
      <c r="AB45" s="245" t="n">
        <v>0</v>
      </c>
      <c r="AC45" s="250" t="n">
        <v>0</v>
      </c>
      <c r="AD45" s="245" t="n">
        <v>0</v>
      </c>
      <c r="AE45" s="245" t="n">
        <v>0</v>
      </c>
      <c r="AF45" s="245" t="n">
        <v>0</v>
      </c>
      <c r="AG45" s="245" t="n">
        <v>0</v>
      </c>
      <c r="AH45" s="251" t="n">
        <v>0</v>
      </c>
      <c r="AI45" s="245" t="n">
        <v>0</v>
      </c>
      <c r="AJ45" s="245" t="n">
        <v>0</v>
      </c>
      <c r="AK45" s="252" t="n">
        <v>0</v>
      </c>
      <c r="AL45" s="253" t="n">
        <v>0</v>
      </c>
      <c r="AM45" s="245" t="n">
        <v>1360000</v>
      </c>
      <c r="AN45" s="253" t="n">
        <v>0</v>
      </c>
      <c r="AO45" s="246" t="n">
        <v>0</v>
      </c>
      <c r="AP45" s="245" t="n">
        <v>0</v>
      </c>
      <c r="AQ45" s="254" t="n">
        <v>1</v>
      </c>
      <c r="AR45" s="245" t="n">
        <v>0</v>
      </c>
      <c r="AS45" s="245" t="n">
        <v>0</v>
      </c>
      <c r="AT45" s="245" t="n">
        <v>0</v>
      </c>
      <c r="AU45" s="245" t="n">
        <v>0</v>
      </c>
      <c r="AV45" s="245" t="n">
        <v>0</v>
      </c>
      <c r="AW45" s="245" t="n">
        <v>0</v>
      </c>
      <c r="AX45" s="245" t="n">
        <v>-1360000</v>
      </c>
      <c r="AY45" s="245" t="n">
        <v>0</v>
      </c>
      <c r="AZ45" s="245" t="n">
        <v>1360000</v>
      </c>
      <c r="BA45" s="245" t="n">
        <v>0</v>
      </c>
      <c r="BB45" s="245" t="s">
        <v>423</v>
      </c>
      <c r="BC45" s="245" t="s">
        <v>423</v>
      </c>
      <c r="BD45" s="245" t="n">
        <v>0</v>
      </c>
      <c r="BE45" s="245" t="n">
        <v>0</v>
      </c>
      <c r="BF45" s="245" t="n">
        <v>0</v>
      </c>
      <c r="BG45" s="245" t="n">
        <v>0</v>
      </c>
      <c r="BH45" s="245" t="n">
        <v>-1360000</v>
      </c>
      <c r="BI45" s="245" t="n">
        <v>0</v>
      </c>
      <c r="BJ45" s="245" t="n">
        <v>1360000</v>
      </c>
      <c r="BK45" s="245" t="n">
        <v>0</v>
      </c>
      <c r="BL45" s="259" t="n">
        <v>0</v>
      </c>
      <c r="BM45" s="245" t="s">
        <v>427</v>
      </c>
      <c r="BN45" s="245" t="n">
        <v>0</v>
      </c>
      <c r="BO45" s="255" t="b">
        <f aca="false">FALSE()</f>
        <v>0</v>
      </c>
      <c r="BP45" s="255" t="n">
        <v>0</v>
      </c>
      <c r="BQ45" s="246" t="n">
        <v>2360</v>
      </c>
      <c r="BR45" s="246" t="n">
        <v>0</v>
      </c>
      <c r="BS45" s="257" t="n">
        <v>77</v>
      </c>
      <c r="BT45" s="246" t="n">
        <v>0</v>
      </c>
      <c r="BU45" s="258" t="n">
        <v>0</v>
      </c>
      <c r="BV45" s="246" t="n">
        <v>61</v>
      </c>
      <c r="BW45" s="259" t="n">
        <v>0</v>
      </c>
      <c r="BX45" s="259" t="n">
        <v>0</v>
      </c>
      <c r="BY45" s="255" t="n">
        <v>0</v>
      </c>
      <c r="BZ45" s="255" t="n">
        <v>0</v>
      </c>
      <c r="CA45" s="255" t="n">
        <v>0</v>
      </c>
      <c r="CB45" s="255" t="n">
        <v>0</v>
      </c>
      <c r="CC45" s="255" t="n">
        <v>0</v>
      </c>
      <c r="CD45" s="255" t="n">
        <v>0</v>
      </c>
      <c r="CE45" s="255" t="n">
        <v>0</v>
      </c>
      <c r="CF45" s="255" t="n">
        <v>0</v>
      </c>
      <c r="CG45" s="255" t="n">
        <v>0</v>
      </c>
      <c r="CH45" s="255" t="n">
        <v>0</v>
      </c>
      <c r="CI45" s="255" t="n">
        <v>0</v>
      </c>
      <c r="CJ45" s="255" t="n">
        <v>0</v>
      </c>
      <c r="CK45" s="246" t="n">
        <v>0</v>
      </c>
      <c r="CL45" s="246" t="n">
        <v>0</v>
      </c>
    </row>
    <row r="46" customFormat="false" ht="15.75" hidden="false" customHeight="false" outlineLevel="3" collapsed="false">
      <c r="A46" s="63" t="s">
        <v>527</v>
      </c>
      <c r="B46" s="63" t="s">
        <v>515</v>
      </c>
      <c r="C46" s="63" t="s">
        <v>500</v>
      </c>
      <c r="D46" s="63" t="s">
        <v>501</v>
      </c>
      <c r="E46" s="63" t="s">
        <v>533</v>
      </c>
      <c r="F46" s="63" t="s">
        <v>423</v>
      </c>
      <c r="G46" s="63" t="s">
        <v>523</v>
      </c>
      <c r="H46" s="297" t="s">
        <v>525</v>
      </c>
      <c r="I46" s="242" t="s">
        <v>425</v>
      </c>
      <c r="J46" s="243" t="n">
        <v>172031</v>
      </c>
      <c r="K46" s="244" t="n">
        <v>172031</v>
      </c>
      <c r="L46" s="246" t="n">
        <v>0</v>
      </c>
      <c r="M46" s="246" t="n">
        <v>0.5</v>
      </c>
      <c r="N46" s="246" t="n">
        <v>1</v>
      </c>
      <c r="O46" s="245" t="n">
        <v>0</v>
      </c>
      <c r="P46" s="247" t="n">
        <v>0</v>
      </c>
      <c r="Q46" s="247" t="n">
        <v>0</v>
      </c>
      <c r="R46" s="248" t="n">
        <v>0</v>
      </c>
      <c r="S46" s="249" t="n">
        <v>1</v>
      </c>
      <c r="T46" s="248" t="s">
        <v>437</v>
      </c>
      <c r="U46" s="250" t="n">
        <v>0</v>
      </c>
      <c r="V46" s="245" t="s">
        <v>426</v>
      </c>
      <c r="W46" s="245" t="n">
        <v>0</v>
      </c>
      <c r="X46" s="245" t="n">
        <v>0</v>
      </c>
      <c r="Y46" s="245" t="n">
        <v>0</v>
      </c>
      <c r="Z46" s="245" t="n">
        <v>0</v>
      </c>
      <c r="AA46" s="245" t="n">
        <v>0</v>
      </c>
      <c r="AB46" s="245" t="n">
        <v>0</v>
      </c>
      <c r="AC46" s="250" t="n">
        <v>0</v>
      </c>
      <c r="AD46" s="245" t="n">
        <v>0</v>
      </c>
      <c r="AE46" s="245" t="n">
        <v>0</v>
      </c>
      <c r="AF46" s="245" t="n">
        <v>0</v>
      </c>
      <c r="AG46" s="245" t="n">
        <v>0</v>
      </c>
      <c r="AH46" s="251" t="n">
        <v>0</v>
      </c>
      <c r="AI46" s="245" t="n">
        <v>0</v>
      </c>
      <c r="AJ46" s="245" t="n">
        <v>0</v>
      </c>
      <c r="AK46" s="252" t="n">
        <v>0</v>
      </c>
      <c r="AL46" s="253" t="n">
        <v>0</v>
      </c>
      <c r="AM46" s="245" t="n">
        <v>23507915</v>
      </c>
      <c r="AN46" s="253" t="n">
        <v>0</v>
      </c>
      <c r="AO46" s="246" t="n">
        <v>0</v>
      </c>
      <c r="AP46" s="245" t="n">
        <v>0</v>
      </c>
      <c r="AQ46" s="254" t="n">
        <v>1</v>
      </c>
      <c r="AR46" s="245" t="n">
        <v>0</v>
      </c>
      <c r="AS46" s="245" t="n">
        <v>0</v>
      </c>
      <c r="AT46" s="245" t="n">
        <v>0</v>
      </c>
      <c r="AU46" s="245" t="n">
        <v>0</v>
      </c>
      <c r="AV46" s="245" t="n">
        <v>0</v>
      </c>
      <c r="AW46" s="245" t="n">
        <v>0</v>
      </c>
      <c r="AX46" s="245" t="n">
        <v>-23507915</v>
      </c>
      <c r="AY46" s="245" t="n">
        <v>0</v>
      </c>
      <c r="AZ46" s="245" t="n">
        <v>23507915</v>
      </c>
      <c r="BA46" s="245" t="n">
        <v>0</v>
      </c>
      <c r="BB46" s="245" t="s">
        <v>423</v>
      </c>
      <c r="BC46" s="245" t="s">
        <v>423</v>
      </c>
      <c r="BD46" s="245" t="n">
        <v>0</v>
      </c>
      <c r="BE46" s="245" t="n">
        <v>0</v>
      </c>
      <c r="BF46" s="245" t="n">
        <v>0</v>
      </c>
      <c r="BG46" s="245" t="n">
        <v>0</v>
      </c>
      <c r="BH46" s="245" t="n">
        <v>-23507915</v>
      </c>
      <c r="BI46" s="245" t="n">
        <v>0</v>
      </c>
      <c r="BJ46" s="245" t="n">
        <v>23507915</v>
      </c>
      <c r="BK46" s="245" t="n">
        <v>0</v>
      </c>
      <c r="BL46" s="259" t="n">
        <v>0</v>
      </c>
      <c r="BM46" s="245" t="s">
        <v>427</v>
      </c>
      <c r="BN46" s="245" t="n">
        <v>0</v>
      </c>
      <c r="BO46" s="255" t="b">
        <f aca="false">FALSE()</f>
        <v>0</v>
      </c>
      <c r="BP46" s="255" t="n">
        <v>0</v>
      </c>
      <c r="BQ46" s="247" t="n">
        <v>89.2281</v>
      </c>
      <c r="BR46" s="246" t="n">
        <v>10687838</v>
      </c>
      <c r="BS46" s="257" t="n">
        <v>77</v>
      </c>
      <c r="BT46" s="246" t="n">
        <v>0</v>
      </c>
      <c r="BU46" s="258" t="n">
        <v>0</v>
      </c>
      <c r="BV46" s="246" t="n">
        <v>64</v>
      </c>
      <c r="BW46" s="259" t="n">
        <v>0</v>
      </c>
      <c r="BX46" s="259" t="n">
        <v>0</v>
      </c>
      <c r="BY46" s="255" t="n">
        <v>0</v>
      </c>
      <c r="BZ46" s="255" t="n">
        <v>0</v>
      </c>
      <c r="CA46" s="255" t="n">
        <v>0</v>
      </c>
      <c r="CB46" s="255" t="n">
        <v>0</v>
      </c>
      <c r="CC46" s="255" t="n">
        <v>0</v>
      </c>
      <c r="CD46" s="255" t="n">
        <v>0</v>
      </c>
      <c r="CE46" s="255" t="n">
        <v>0</v>
      </c>
      <c r="CF46" s="255" t="n">
        <v>0</v>
      </c>
      <c r="CG46" s="255" t="n">
        <v>0</v>
      </c>
      <c r="CH46" s="255" t="n">
        <v>0</v>
      </c>
      <c r="CI46" s="255" t="n">
        <v>0</v>
      </c>
      <c r="CJ46" s="255" t="n">
        <v>0</v>
      </c>
      <c r="CK46" s="246" t="n">
        <v>0.5</v>
      </c>
      <c r="CL46" s="246" t="n">
        <v>0</v>
      </c>
    </row>
    <row r="47" customFormat="false" ht="15.75" hidden="false" customHeight="false" outlineLevel="3" collapsed="false">
      <c r="A47" s="63" t="s">
        <v>527</v>
      </c>
      <c r="B47" s="63" t="s">
        <v>515</v>
      </c>
      <c r="C47" s="63" t="s">
        <v>500</v>
      </c>
      <c r="D47" s="63" t="s">
        <v>501</v>
      </c>
      <c r="E47" s="63" t="s">
        <v>534</v>
      </c>
      <c r="F47" s="63" t="s">
        <v>423</v>
      </c>
      <c r="G47" s="297" t="s">
        <v>535</v>
      </c>
      <c r="H47" s="297" t="s">
        <v>525</v>
      </c>
      <c r="I47" s="242" t="s">
        <v>425</v>
      </c>
      <c r="J47" s="243" t="n">
        <v>1</v>
      </c>
      <c r="K47" s="244" t="n">
        <v>1</v>
      </c>
      <c r="L47" s="246" t="n">
        <v>0</v>
      </c>
      <c r="M47" s="246" t="n">
        <v>0</v>
      </c>
      <c r="N47" s="246" t="n">
        <v>1</v>
      </c>
      <c r="O47" s="245" t="n">
        <v>0</v>
      </c>
      <c r="P47" s="247" t="n">
        <v>0</v>
      </c>
      <c r="Q47" s="247" t="n">
        <v>0</v>
      </c>
      <c r="R47" s="248" t="n">
        <v>0</v>
      </c>
      <c r="S47" s="249" t="n">
        <v>1</v>
      </c>
      <c r="T47" s="248" t="s">
        <v>536</v>
      </c>
      <c r="U47" s="250" t="n">
        <v>0</v>
      </c>
      <c r="V47" s="245" t="s">
        <v>426</v>
      </c>
      <c r="W47" s="245" t="n">
        <v>0</v>
      </c>
      <c r="X47" s="245" t="n">
        <v>0</v>
      </c>
      <c r="Y47" s="245" t="n">
        <v>0</v>
      </c>
      <c r="Z47" s="245" t="n">
        <v>0</v>
      </c>
      <c r="AA47" s="245" t="n">
        <v>0</v>
      </c>
      <c r="AB47" s="245" t="n">
        <v>0</v>
      </c>
      <c r="AC47" s="250" t="n">
        <v>0</v>
      </c>
      <c r="AD47" s="245" t="n">
        <v>0</v>
      </c>
      <c r="AE47" s="245" t="n">
        <v>0</v>
      </c>
      <c r="AF47" s="245" t="n">
        <v>0</v>
      </c>
      <c r="AG47" s="245" t="n">
        <v>0</v>
      </c>
      <c r="AH47" s="251" t="n">
        <v>0</v>
      </c>
      <c r="AI47" s="245" t="n">
        <v>0</v>
      </c>
      <c r="AJ47" s="245" t="n">
        <v>0</v>
      </c>
      <c r="AK47" s="252" t="n">
        <v>0</v>
      </c>
      <c r="AL47" s="253" t="n">
        <v>0</v>
      </c>
      <c r="AM47" s="245" t="n">
        <v>10372212</v>
      </c>
      <c r="AN47" s="253" t="n">
        <v>0</v>
      </c>
      <c r="AO47" s="246" t="n">
        <v>0</v>
      </c>
      <c r="AP47" s="245" t="n">
        <v>0</v>
      </c>
      <c r="AQ47" s="254" t="n">
        <v>1</v>
      </c>
      <c r="AR47" s="245" t="n">
        <v>0</v>
      </c>
      <c r="AS47" s="245" t="n">
        <v>0</v>
      </c>
      <c r="AT47" s="245" t="n">
        <v>0</v>
      </c>
      <c r="AU47" s="245" t="n">
        <v>0</v>
      </c>
      <c r="AV47" s="245" t="n">
        <v>0</v>
      </c>
      <c r="AW47" s="245" t="n">
        <v>0</v>
      </c>
      <c r="AX47" s="245" t="n">
        <v>-10372212</v>
      </c>
      <c r="AY47" s="245" t="n">
        <v>0</v>
      </c>
      <c r="AZ47" s="245" t="n">
        <v>10372212</v>
      </c>
      <c r="BA47" s="245" t="n">
        <v>0</v>
      </c>
      <c r="BB47" s="245" t="s">
        <v>423</v>
      </c>
      <c r="BC47" s="245" t="s">
        <v>423</v>
      </c>
      <c r="BD47" s="245" t="n">
        <v>0</v>
      </c>
      <c r="BE47" s="245" t="n">
        <v>0</v>
      </c>
      <c r="BF47" s="245" t="n">
        <v>0</v>
      </c>
      <c r="BG47" s="245" t="n">
        <v>0</v>
      </c>
      <c r="BH47" s="245" t="n">
        <v>-10372212</v>
      </c>
      <c r="BI47" s="245" t="n">
        <v>0</v>
      </c>
      <c r="BJ47" s="245" t="n">
        <v>10372212</v>
      </c>
      <c r="BK47" s="245" t="n">
        <v>0</v>
      </c>
      <c r="BL47" s="245" t="n">
        <v>0</v>
      </c>
      <c r="BM47" s="245" t="s">
        <v>427</v>
      </c>
      <c r="BN47" s="245" t="n">
        <v>0</v>
      </c>
      <c r="BO47" s="255" t="b">
        <f aca="false">FALSE()</f>
        <v>0</v>
      </c>
      <c r="BP47" s="255" t="n">
        <v>0</v>
      </c>
      <c r="BQ47" s="247" t="n">
        <v>0</v>
      </c>
      <c r="BR47" s="246" t="n">
        <v>10372212</v>
      </c>
      <c r="BS47" s="257" t="n">
        <v>77</v>
      </c>
      <c r="BT47" s="246" t="n">
        <v>0</v>
      </c>
      <c r="BU47" s="258" t="n">
        <v>0</v>
      </c>
      <c r="BV47" s="246" t="n">
        <v>66</v>
      </c>
      <c r="BW47" s="259" t="n">
        <v>0</v>
      </c>
      <c r="BX47" s="259" t="n">
        <v>0</v>
      </c>
      <c r="BY47" s="255" t="n">
        <v>0</v>
      </c>
      <c r="BZ47" s="255" t="n">
        <v>0</v>
      </c>
      <c r="CA47" s="255" t="n">
        <v>0</v>
      </c>
      <c r="CB47" s="255" t="n">
        <v>0</v>
      </c>
      <c r="CC47" s="255" t="n">
        <v>0</v>
      </c>
      <c r="CD47" s="255" t="n">
        <v>0</v>
      </c>
      <c r="CE47" s="255" t="n">
        <v>0</v>
      </c>
      <c r="CF47" s="255" t="n">
        <v>0</v>
      </c>
      <c r="CG47" s="255" t="n">
        <v>0</v>
      </c>
      <c r="CH47" s="255" t="n">
        <v>0</v>
      </c>
      <c r="CI47" s="255" t="n">
        <v>0</v>
      </c>
      <c r="CJ47" s="255" t="n">
        <v>0</v>
      </c>
      <c r="CK47" s="246" t="n">
        <v>0</v>
      </c>
      <c r="CL47" s="246" t="n">
        <v>0</v>
      </c>
    </row>
    <row r="48" customFormat="false" ht="20.1" hidden="false" customHeight="true" outlineLevel="2" collapsed="false">
      <c r="A48" s="261" t="s">
        <v>537</v>
      </c>
      <c r="B48" s="261"/>
      <c r="C48" s="261"/>
      <c r="D48" s="261"/>
      <c r="E48" s="261"/>
      <c r="F48" s="261"/>
      <c r="G48" s="298"/>
      <c r="H48" s="298"/>
      <c r="I48" s="262"/>
      <c r="J48" s="263"/>
      <c r="K48" s="264"/>
      <c r="L48" s="266"/>
      <c r="M48" s="266"/>
      <c r="N48" s="266"/>
      <c r="O48" s="265"/>
      <c r="P48" s="267"/>
      <c r="Q48" s="267"/>
      <c r="R48" s="268" t="n">
        <v>0</v>
      </c>
      <c r="S48" s="269" t="n">
        <v>4</v>
      </c>
      <c r="T48" s="268" t="n">
        <v>0</v>
      </c>
      <c r="U48" s="270" t="n">
        <v>770244.5</v>
      </c>
      <c r="V48" s="265"/>
      <c r="W48" s="265" t="n">
        <v>0</v>
      </c>
      <c r="X48" s="265" t="n">
        <v>0</v>
      </c>
      <c r="Y48" s="265" t="n">
        <v>0</v>
      </c>
      <c r="Z48" s="265" t="n">
        <v>0</v>
      </c>
      <c r="AA48" s="265" t="n">
        <v>0</v>
      </c>
      <c r="AB48" s="265" t="n">
        <v>0</v>
      </c>
      <c r="AC48" s="270" t="n">
        <v>770244.5</v>
      </c>
      <c r="AD48" s="265" t="n">
        <v>0</v>
      </c>
      <c r="AE48" s="265" t="n">
        <v>0</v>
      </c>
      <c r="AF48" s="265" t="n">
        <v>0</v>
      </c>
      <c r="AG48" s="265" t="n">
        <v>0</v>
      </c>
      <c r="AH48" s="271" t="n">
        <v>0</v>
      </c>
      <c r="AI48" s="265" t="n">
        <v>0</v>
      </c>
      <c r="AJ48" s="265" t="n">
        <v>0</v>
      </c>
      <c r="AK48" s="272" t="n">
        <v>0</v>
      </c>
      <c r="AL48" s="273"/>
      <c r="AM48" s="265" t="n">
        <v>36488070.5</v>
      </c>
      <c r="AN48" s="273"/>
      <c r="AO48" s="266"/>
      <c r="AP48" s="265" t="n">
        <v>770244.5</v>
      </c>
      <c r="AQ48" s="274"/>
      <c r="AR48" s="265"/>
      <c r="AS48" s="265"/>
      <c r="AT48" s="265" t="n">
        <v>0</v>
      </c>
      <c r="AU48" s="265" t="n">
        <v>0</v>
      </c>
      <c r="AV48" s="265" t="n">
        <v>0</v>
      </c>
      <c r="AW48" s="265" t="n">
        <v>0</v>
      </c>
      <c r="AX48" s="265" t="n">
        <v>-35893056.57</v>
      </c>
      <c r="AY48" s="265" t="n">
        <v>0</v>
      </c>
      <c r="AZ48" s="265" t="n">
        <v>35893056.57</v>
      </c>
      <c r="BA48" s="265" t="n">
        <v>0</v>
      </c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5"/>
      <c r="BQ48" s="267"/>
      <c r="BR48" s="266"/>
      <c r="BS48" s="276"/>
      <c r="BT48" s="266"/>
      <c r="BU48" s="277"/>
      <c r="BV48" s="266"/>
      <c r="BW48" s="278"/>
      <c r="BX48" s="278"/>
      <c r="BY48" s="265"/>
      <c r="BZ48" s="265"/>
      <c r="CA48" s="265" t="n">
        <v>0</v>
      </c>
      <c r="CB48" s="265"/>
      <c r="CC48" s="265"/>
      <c r="CD48" s="265"/>
      <c r="CE48" s="265"/>
      <c r="CF48" s="265"/>
      <c r="CG48" s="265"/>
      <c r="CH48" s="265"/>
      <c r="CI48" s="265"/>
      <c r="CJ48" s="265"/>
      <c r="CK48" s="266"/>
      <c r="CL48" s="266"/>
    </row>
    <row r="49" customFormat="false" ht="15.75" hidden="false" customHeight="false" outlineLevel="3" collapsed="false">
      <c r="A49" s="63" t="s">
        <v>478</v>
      </c>
      <c r="B49" s="63" t="s">
        <v>515</v>
      </c>
      <c r="C49" s="63" t="s">
        <v>500</v>
      </c>
      <c r="D49" s="63" t="s">
        <v>501</v>
      </c>
      <c r="E49" s="63" t="s">
        <v>538</v>
      </c>
      <c r="F49" s="63" t="s">
        <v>539</v>
      </c>
      <c r="G49" s="63" t="s">
        <v>523</v>
      </c>
      <c r="H49" s="63" t="s">
        <v>99</v>
      </c>
      <c r="I49" s="242" t="s">
        <v>425</v>
      </c>
      <c r="J49" s="244" t="n">
        <v>0</v>
      </c>
      <c r="K49" s="244" t="n">
        <v>0</v>
      </c>
      <c r="L49" s="246" t="n">
        <v>0</v>
      </c>
      <c r="M49" s="246" t="n">
        <v>0</v>
      </c>
      <c r="N49" s="246" t="n">
        <v>1</v>
      </c>
      <c r="O49" s="245" t="n">
        <v>6.05</v>
      </c>
      <c r="P49" s="247" t="n">
        <v>5.75</v>
      </c>
      <c r="Q49" s="247" t="n">
        <v>0.3</v>
      </c>
      <c r="R49" s="248" t="s">
        <v>540</v>
      </c>
      <c r="S49" s="249" t="n">
        <v>0.5</v>
      </c>
      <c r="T49" s="248" t="s">
        <v>437</v>
      </c>
      <c r="U49" s="250" t="n">
        <v>0</v>
      </c>
      <c r="V49" s="245" t="s">
        <v>426</v>
      </c>
      <c r="W49" s="245" t="n">
        <v>0</v>
      </c>
      <c r="X49" s="245" t="n">
        <v>0</v>
      </c>
      <c r="Y49" s="245" t="n">
        <v>0</v>
      </c>
      <c r="Z49" s="245" t="n">
        <v>0</v>
      </c>
      <c r="AA49" s="245" t="n">
        <v>0</v>
      </c>
      <c r="AB49" s="245" t="n">
        <v>0</v>
      </c>
      <c r="AC49" s="250" t="n">
        <v>0</v>
      </c>
      <c r="AD49" s="245" t="n">
        <v>0</v>
      </c>
      <c r="AE49" s="245" t="n">
        <v>0</v>
      </c>
      <c r="AF49" s="245" t="n">
        <v>0</v>
      </c>
      <c r="AG49" s="245" t="n">
        <v>0</v>
      </c>
      <c r="AH49" s="251" t="n">
        <v>0</v>
      </c>
      <c r="AI49" s="245" t="n">
        <v>0</v>
      </c>
      <c r="AJ49" s="245" t="n">
        <v>0</v>
      </c>
      <c r="AK49" s="252" t="n">
        <v>0</v>
      </c>
      <c r="AL49" s="253" t="n">
        <v>0</v>
      </c>
      <c r="AM49" s="245" t="n">
        <v>269509.5</v>
      </c>
      <c r="AN49" s="246" t="n">
        <v>0</v>
      </c>
      <c r="AO49" s="253" t="n">
        <v>0</v>
      </c>
      <c r="AP49" s="245" t="n">
        <v>385548.3125</v>
      </c>
      <c r="AQ49" s="254" t="n">
        <v>1</v>
      </c>
      <c r="AR49" s="245" t="n">
        <v>0</v>
      </c>
      <c r="AS49" s="245" t="n">
        <v>6.05</v>
      </c>
      <c r="AT49" s="245" t="n">
        <v>0</v>
      </c>
      <c r="AU49" s="245" t="n">
        <v>0</v>
      </c>
      <c r="AV49" s="245" t="n">
        <v>0</v>
      </c>
      <c r="AW49" s="245" t="n">
        <v>0</v>
      </c>
      <c r="AX49" s="245" t="n">
        <v>65035.12</v>
      </c>
      <c r="AY49" s="245" t="n">
        <v>0</v>
      </c>
      <c r="AZ49" s="245" t="n">
        <v>-65035.12</v>
      </c>
      <c r="BA49" s="245" t="n">
        <v>0</v>
      </c>
      <c r="BB49" s="245" t="n">
        <v>6.05</v>
      </c>
      <c r="BC49" s="245" t="n">
        <v>5.75</v>
      </c>
      <c r="BD49" s="245" t="n">
        <v>0</v>
      </c>
      <c r="BE49" s="245" t="n">
        <v>0</v>
      </c>
      <c r="BF49" s="245" t="n">
        <v>0</v>
      </c>
      <c r="BG49" s="245" t="n">
        <v>0</v>
      </c>
      <c r="BH49" s="245" t="n">
        <v>65035.12</v>
      </c>
      <c r="BI49" s="245" t="n">
        <v>0</v>
      </c>
      <c r="BJ49" s="245" t="n">
        <v>-65035.12</v>
      </c>
      <c r="BK49" s="245" t="n">
        <v>0</v>
      </c>
      <c r="BL49" s="245" t="n">
        <v>385548.3125</v>
      </c>
      <c r="BM49" s="245" t="s">
        <v>438</v>
      </c>
      <c r="BN49" s="245" t="n">
        <v>0</v>
      </c>
      <c r="BO49" s="255" t="b">
        <f aca="false">FALSE()</f>
        <v>0</v>
      </c>
      <c r="BP49" s="255" t="n">
        <v>0</v>
      </c>
      <c r="BQ49" s="247" t="n">
        <v>1.12</v>
      </c>
      <c r="BR49" s="246" t="n">
        <v>0</v>
      </c>
      <c r="BS49" s="257" t="n">
        <v>76</v>
      </c>
      <c r="BT49" s="246" t="n">
        <v>0</v>
      </c>
      <c r="BU49" s="258" t="n">
        <v>0</v>
      </c>
      <c r="BV49" s="246" t="n">
        <v>13</v>
      </c>
      <c r="BW49" s="259" t="n">
        <v>6.05</v>
      </c>
      <c r="BX49" s="259" t="n">
        <v>0</v>
      </c>
      <c r="BY49" s="255" t="n">
        <v>0</v>
      </c>
      <c r="BZ49" s="255" t="n">
        <v>0</v>
      </c>
      <c r="CA49" s="255" t="n">
        <v>0</v>
      </c>
      <c r="CB49" s="255" t="n">
        <v>-334544.62</v>
      </c>
      <c r="CC49" s="255" t="n">
        <v>0</v>
      </c>
      <c r="CD49" s="255" t="n">
        <v>0</v>
      </c>
      <c r="CE49" s="255" t="n">
        <v>0</v>
      </c>
      <c r="CF49" s="255" t="n">
        <v>0</v>
      </c>
      <c r="CG49" s="255" t="n">
        <v>0</v>
      </c>
      <c r="CH49" s="255" t="n">
        <v>0</v>
      </c>
      <c r="CI49" s="255" t="n">
        <v>0</v>
      </c>
      <c r="CJ49" s="255" t="n">
        <v>0</v>
      </c>
      <c r="CK49" s="246" t="n">
        <v>0</v>
      </c>
      <c r="CL49" s="246" t="n">
        <v>0</v>
      </c>
    </row>
    <row r="50" customFormat="false" ht="15.75" hidden="false" customHeight="false" outlineLevel="3" collapsed="false">
      <c r="A50" s="63" t="s">
        <v>478</v>
      </c>
      <c r="B50" s="63" t="s">
        <v>515</v>
      </c>
      <c r="C50" s="63" t="s">
        <v>500</v>
      </c>
      <c r="D50" s="63" t="s">
        <v>501</v>
      </c>
      <c r="E50" s="63" t="s">
        <v>541</v>
      </c>
      <c r="F50" s="63" t="s">
        <v>497</v>
      </c>
      <c r="G50" s="63" t="s">
        <v>523</v>
      </c>
      <c r="H50" s="63" t="s">
        <v>99</v>
      </c>
      <c r="I50" s="242" t="s">
        <v>425</v>
      </c>
      <c r="J50" s="244" t="n">
        <v>0</v>
      </c>
      <c r="K50" s="244" t="n">
        <v>0</v>
      </c>
      <c r="L50" s="246" t="n">
        <v>0</v>
      </c>
      <c r="M50" s="246" t="n">
        <v>0</v>
      </c>
      <c r="N50" s="246" t="n">
        <v>1</v>
      </c>
      <c r="O50" s="245" t="n">
        <v>6</v>
      </c>
      <c r="P50" s="247" t="n">
        <v>6.07</v>
      </c>
      <c r="Q50" s="247" t="n">
        <v>-0.0700000000000003</v>
      </c>
      <c r="R50" s="248" t="s">
        <v>448</v>
      </c>
      <c r="S50" s="249" t="n">
        <v>0.6</v>
      </c>
      <c r="T50" s="248" t="s">
        <v>437</v>
      </c>
      <c r="U50" s="250" t="n">
        <v>0</v>
      </c>
      <c r="V50" s="245" t="s">
        <v>426</v>
      </c>
      <c r="W50" s="245" t="n">
        <v>0</v>
      </c>
      <c r="X50" s="245" t="n">
        <v>0</v>
      </c>
      <c r="Y50" s="245" t="n">
        <v>0</v>
      </c>
      <c r="Z50" s="245" t="n">
        <v>0</v>
      </c>
      <c r="AA50" s="245" t="n">
        <v>0</v>
      </c>
      <c r="AB50" s="245" t="n">
        <v>0</v>
      </c>
      <c r="AC50" s="250" t="n">
        <v>0</v>
      </c>
      <c r="AD50" s="245" t="n">
        <v>0</v>
      </c>
      <c r="AE50" s="245" t="n">
        <v>0</v>
      </c>
      <c r="AF50" s="245" t="n">
        <v>0</v>
      </c>
      <c r="AG50" s="245" t="n">
        <v>0</v>
      </c>
      <c r="AH50" s="251" t="n">
        <v>0</v>
      </c>
      <c r="AI50" s="245" t="n">
        <v>0</v>
      </c>
      <c r="AJ50" s="245" t="n">
        <v>0</v>
      </c>
      <c r="AK50" s="252" t="n">
        <v>0</v>
      </c>
      <c r="AL50" s="253" t="n">
        <v>0</v>
      </c>
      <c r="AM50" s="245" t="n">
        <v>79809.9750000001</v>
      </c>
      <c r="AN50" s="246" t="n">
        <v>0</v>
      </c>
      <c r="AO50" s="253" t="n">
        <v>0</v>
      </c>
      <c r="AP50" s="245" t="n">
        <v>403753.416</v>
      </c>
      <c r="AQ50" s="254" t="n">
        <v>1</v>
      </c>
      <c r="AR50" s="245" t="n">
        <v>0</v>
      </c>
      <c r="AS50" s="245" t="n">
        <v>6</v>
      </c>
      <c r="AT50" s="245" t="n">
        <v>0</v>
      </c>
      <c r="AU50" s="245" t="n">
        <v>0</v>
      </c>
      <c r="AV50" s="245" t="n">
        <v>0</v>
      </c>
      <c r="AW50" s="245" t="n">
        <v>0</v>
      </c>
      <c r="AX50" s="245" t="n">
        <v>1259.32500000036</v>
      </c>
      <c r="AY50" s="245" t="n">
        <v>0</v>
      </c>
      <c r="AZ50" s="245" t="n">
        <v>-1259.32500000036</v>
      </c>
      <c r="BA50" s="245" t="n">
        <v>0</v>
      </c>
      <c r="BB50" s="245" t="n">
        <v>6</v>
      </c>
      <c r="BC50" s="245" t="n">
        <v>6.07</v>
      </c>
      <c r="BD50" s="245" t="n">
        <v>0</v>
      </c>
      <c r="BE50" s="245" t="n">
        <v>0</v>
      </c>
      <c r="BF50" s="245" t="n">
        <v>0</v>
      </c>
      <c r="BG50" s="245" t="n">
        <v>0</v>
      </c>
      <c r="BH50" s="245" t="n">
        <v>1259.32500000036</v>
      </c>
      <c r="BI50" s="245" t="n">
        <v>0</v>
      </c>
      <c r="BJ50" s="245" t="n">
        <v>-1259.32500000036</v>
      </c>
      <c r="BK50" s="245" t="n">
        <v>0</v>
      </c>
      <c r="BL50" s="245" t="n">
        <v>403753.416</v>
      </c>
      <c r="BM50" s="245" t="s">
        <v>438</v>
      </c>
      <c r="BN50" s="245" t="n">
        <v>0</v>
      </c>
      <c r="BO50" s="255" t="b">
        <f aca="false">FALSE()</f>
        <v>0</v>
      </c>
      <c r="BP50" s="255" t="n">
        <v>0</v>
      </c>
      <c r="BQ50" s="247" t="n">
        <v>1.12</v>
      </c>
      <c r="BR50" s="246" t="n">
        <v>532660</v>
      </c>
      <c r="BS50" s="257" t="n">
        <v>76</v>
      </c>
      <c r="BT50" s="246" t="n">
        <v>0</v>
      </c>
      <c r="BU50" s="258" t="n">
        <v>0</v>
      </c>
      <c r="BV50" s="246" t="n">
        <v>14</v>
      </c>
      <c r="BW50" s="259" t="n">
        <v>6</v>
      </c>
      <c r="BX50" s="259" t="n">
        <v>0</v>
      </c>
      <c r="BY50" s="255" t="n">
        <v>0</v>
      </c>
      <c r="BZ50" s="255" t="n">
        <v>0</v>
      </c>
      <c r="CA50" s="255" t="n">
        <v>0</v>
      </c>
      <c r="CB50" s="255" t="n">
        <v>-81069.3</v>
      </c>
      <c r="CC50" s="255" t="n">
        <v>0</v>
      </c>
      <c r="CD50" s="255" t="n">
        <v>0</v>
      </c>
      <c r="CE50" s="255" t="n">
        <v>0</v>
      </c>
      <c r="CF50" s="255" t="n">
        <v>0</v>
      </c>
      <c r="CG50" s="255" t="n">
        <v>0</v>
      </c>
      <c r="CH50" s="255" t="n">
        <v>0</v>
      </c>
      <c r="CI50" s="255" t="n">
        <v>0</v>
      </c>
      <c r="CJ50" s="255" t="n">
        <v>0</v>
      </c>
      <c r="CK50" s="246" t="n">
        <v>0</v>
      </c>
      <c r="CL50" s="246" t="n">
        <v>0</v>
      </c>
    </row>
    <row r="51" customFormat="false" ht="15.75" hidden="false" customHeight="false" outlineLevel="3" collapsed="false">
      <c r="A51" s="63" t="s">
        <v>478</v>
      </c>
      <c r="B51" s="63" t="s">
        <v>515</v>
      </c>
      <c r="C51" s="63" t="s">
        <v>542</v>
      </c>
      <c r="D51" s="63" t="s">
        <v>543</v>
      </c>
      <c r="E51" s="63" t="s">
        <v>544</v>
      </c>
      <c r="F51" s="63" t="s">
        <v>545</v>
      </c>
      <c r="G51" s="63" t="s">
        <v>546</v>
      </c>
      <c r="H51" s="63" t="s">
        <v>99</v>
      </c>
      <c r="I51" s="242" t="s">
        <v>425</v>
      </c>
      <c r="J51" s="244" t="n">
        <v>1342889</v>
      </c>
      <c r="K51" s="244" t="n">
        <v>1342889</v>
      </c>
      <c r="L51" s="246" t="n">
        <v>0</v>
      </c>
      <c r="M51" s="246" t="n">
        <v>0.03</v>
      </c>
      <c r="N51" s="246" t="n">
        <v>1</v>
      </c>
      <c r="O51" s="245" t="n">
        <v>7.95</v>
      </c>
      <c r="P51" s="247" t="n">
        <v>8</v>
      </c>
      <c r="Q51" s="247" t="n">
        <v>-0.0499999999999998</v>
      </c>
      <c r="R51" s="248" t="n">
        <v>0</v>
      </c>
      <c r="S51" s="249" t="n">
        <v>1</v>
      </c>
      <c r="T51" s="248" t="n">
        <v>0</v>
      </c>
      <c r="U51" s="250" t="n">
        <v>10675967.55</v>
      </c>
      <c r="V51" s="245" t="s">
        <v>426</v>
      </c>
      <c r="W51" s="245" t="n">
        <v>320279.0265</v>
      </c>
      <c r="X51" s="245" t="n">
        <v>0</v>
      </c>
      <c r="Y51" s="245" t="n">
        <v>320279.0265</v>
      </c>
      <c r="Z51" s="245" t="n">
        <v>0</v>
      </c>
      <c r="AA51" s="245" t="n">
        <v>0</v>
      </c>
      <c r="AB51" s="245" t="n">
        <v>0</v>
      </c>
      <c r="AC51" s="250" t="n">
        <v>10743112</v>
      </c>
      <c r="AD51" s="245" t="n">
        <v>-67144.4499999993</v>
      </c>
      <c r="AE51" s="245" t="n">
        <v>0</v>
      </c>
      <c r="AF51" s="245" t="n">
        <v>67144.4499999993</v>
      </c>
      <c r="AG51" s="245" t="n">
        <v>0</v>
      </c>
      <c r="AH51" s="251" t="n">
        <v>-18464723.75</v>
      </c>
      <c r="AI51" s="245" t="n">
        <v>0</v>
      </c>
      <c r="AJ51" s="245" t="n">
        <v>18464723.75</v>
      </c>
      <c r="AK51" s="252" t="n">
        <v>0</v>
      </c>
      <c r="AL51" s="253" t="n">
        <v>0</v>
      </c>
      <c r="AM51" s="245" t="n">
        <v>23102683.5</v>
      </c>
      <c r="AN51" s="246" t="n">
        <v>0</v>
      </c>
      <c r="AO51" s="253" t="n">
        <v>0</v>
      </c>
      <c r="AP51" s="245" t="n">
        <v>0</v>
      </c>
      <c r="AQ51" s="254" t="n">
        <v>1</v>
      </c>
      <c r="AR51" s="245" t="n">
        <v>10675967.55</v>
      </c>
      <c r="AS51" s="245" t="n">
        <v>7.95</v>
      </c>
      <c r="AT51" s="245" t="n">
        <v>-11078834.25</v>
      </c>
      <c r="AU51" s="245" t="n">
        <v>0</v>
      </c>
      <c r="AV51" s="245" t="n">
        <v>11078834.25</v>
      </c>
      <c r="AW51" s="245" t="n">
        <v>0</v>
      </c>
      <c r="AX51" s="245" t="n">
        <v>-12426715.95</v>
      </c>
      <c r="AY51" s="245" t="n">
        <v>0</v>
      </c>
      <c r="AZ51" s="245" t="n">
        <v>12426715.95</v>
      </c>
      <c r="BA51" s="245" t="n">
        <v>0</v>
      </c>
      <c r="BB51" s="245" t="n">
        <v>7.95</v>
      </c>
      <c r="BC51" s="245" t="n">
        <v>8</v>
      </c>
      <c r="BD51" s="245" t="n">
        <v>-11011689.8</v>
      </c>
      <c r="BE51" s="245" t="n">
        <v>0</v>
      </c>
      <c r="BF51" s="245" t="n">
        <v>11011689.8</v>
      </c>
      <c r="BG51" s="245" t="n">
        <v>0</v>
      </c>
      <c r="BH51" s="245" t="n">
        <v>-12359571.5</v>
      </c>
      <c r="BI51" s="245" t="n">
        <v>0</v>
      </c>
      <c r="BJ51" s="245" t="n">
        <v>12359571.5</v>
      </c>
      <c r="BK51" s="245" t="n">
        <v>0</v>
      </c>
      <c r="BL51" s="245" t="n">
        <v>0</v>
      </c>
      <c r="BM51" s="245" t="s">
        <v>438</v>
      </c>
      <c r="BN51" s="245" t="n">
        <v>0</v>
      </c>
      <c r="BO51" s="255" t="b">
        <f aca="false">FALSE()</f>
        <v>0</v>
      </c>
      <c r="BP51" s="255" t="n">
        <v>18397579.3</v>
      </c>
      <c r="BQ51" s="247" t="n">
        <v>0</v>
      </c>
      <c r="BR51" s="246" t="n">
        <v>30000000</v>
      </c>
      <c r="BS51" s="257" t="n">
        <v>76</v>
      </c>
      <c r="BT51" s="246" t="n">
        <v>-67144.4499999993</v>
      </c>
      <c r="BU51" s="258" t="n">
        <v>1342889</v>
      </c>
      <c r="BV51" s="246" t="n">
        <v>37</v>
      </c>
      <c r="BW51" s="259" t="n">
        <v>7.95</v>
      </c>
      <c r="BX51" s="259" t="n">
        <v>0</v>
      </c>
      <c r="BY51" s="255" t="n">
        <v>0</v>
      </c>
      <c r="BZ51" s="255" t="n">
        <v>0</v>
      </c>
      <c r="CA51" s="255" t="n">
        <v>0</v>
      </c>
      <c r="CB51" s="255" t="n">
        <v>0</v>
      </c>
      <c r="CC51" s="255" t="n">
        <v>0</v>
      </c>
      <c r="CD51" s="255" t="n">
        <v>0</v>
      </c>
      <c r="CE51" s="255" t="n">
        <v>0</v>
      </c>
      <c r="CF51" s="255" t="n">
        <v>0</v>
      </c>
      <c r="CG51" s="255" t="n">
        <v>-18397579.3</v>
      </c>
      <c r="CH51" s="255" t="n">
        <v>0</v>
      </c>
      <c r="CI51" s="255" t="n">
        <v>18397579.3</v>
      </c>
      <c r="CJ51" s="255" t="n">
        <v>0</v>
      </c>
      <c r="CK51" s="246" t="n">
        <v>0.03</v>
      </c>
      <c r="CL51" s="246" t="n">
        <v>0</v>
      </c>
    </row>
    <row r="52" customFormat="false" ht="20.1" hidden="false" customHeight="true" outlineLevel="2" collapsed="false">
      <c r="A52" s="261" t="s">
        <v>485</v>
      </c>
      <c r="B52" s="261"/>
      <c r="C52" s="261"/>
      <c r="D52" s="261"/>
      <c r="E52" s="261"/>
      <c r="F52" s="261"/>
      <c r="G52" s="261"/>
      <c r="H52" s="261"/>
      <c r="I52" s="262"/>
      <c r="J52" s="264"/>
      <c r="K52" s="264"/>
      <c r="L52" s="266"/>
      <c r="M52" s="266"/>
      <c r="N52" s="266"/>
      <c r="O52" s="265"/>
      <c r="P52" s="267"/>
      <c r="Q52" s="267"/>
      <c r="R52" s="268" t="n">
        <v>0</v>
      </c>
      <c r="S52" s="269" t="n">
        <v>2.1</v>
      </c>
      <c r="T52" s="268" t="n">
        <v>0</v>
      </c>
      <c r="U52" s="270" t="n">
        <v>10675967.55</v>
      </c>
      <c r="V52" s="265"/>
      <c r="W52" s="265" t="n">
        <v>320279.0265</v>
      </c>
      <c r="X52" s="265" t="n">
        <v>0</v>
      </c>
      <c r="Y52" s="265" t="n">
        <v>320279.0265</v>
      </c>
      <c r="Z52" s="265" t="n">
        <v>0</v>
      </c>
      <c r="AA52" s="265" t="n">
        <v>0</v>
      </c>
      <c r="AB52" s="265" t="n">
        <v>0</v>
      </c>
      <c r="AC52" s="270" t="n">
        <v>10743112</v>
      </c>
      <c r="AD52" s="265" t="n">
        <v>-67144.4499999993</v>
      </c>
      <c r="AE52" s="265" t="n">
        <v>0</v>
      </c>
      <c r="AF52" s="265" t="n">
        <v>67144.4499999993</v>
      </c>
      <c r="AG52" s="265" t="n">
        <v>0</v>
      </c>
      <c r="AH52" s="271" t="n">
        <v>-18464723.75</v>
      </c>
      <c r="AI52" s="265" t="n">
        <v>0</v>
      </c>
      <c r="AJ52" s="265" t="n">
        <v>18464723.75</v>
      </c>
      <c r="AK52" s="272" t="n">
        <v>0</v>
      </c>
      <c r="AL52" s="273"/>
      <c r="AM52" s="265" t="n">
        <v>23452002.975</v>
      </c>
      <c r="AN52" s="266"/>
      <c r="AO52" s="273"/>
      <c r="AP52" s="265" t="n">
        <v>789301.7285</v>
      </c>
      <c r="AQ52" s="274"/>
      <c r="AR52" s="265"/>
      <c r="AS52" s="265"/>
      <c r="AT52" s="265" t="n">
        <v>-11078834.25</v>
      </c>
      <c r="AU52" s="265" t="n">
        <v>0</v>
      </c>
      <c r="AV52" s="265" t="n">
        <v>11078834.25</v>
      </c>
      <c r="AW52" s="265" t="n">
        <v>0</v>
      </c>
      <c r="AX52" s="265" t="n">
        <v>-12360421.505</v>
      </c>
      <c r="AY52" s="265" t="n">
        <v>0</v>
      </c>
      <c r="AZ52" s="265" t="n">
        <v>12360421.505</v>
      </c>
      <c r="BA52" s="265" t="n">
        <v>0</v>
      </c>
      <c r="BB52" s="265"/>
      <c r="BC52" s="265"/>
      <c r="BD52" s="265"/>
      <c r="BE52" s="265"/>
      <c r="BF52" s="265"/>
      <c r="BG52" s="265"/>
      <c r="BH52" s="265"/>
      <c r="BI52" s="265"/>
      <c r="BJ52" s="265"/>
      <c r="BK52" s="265"/>
      <c r="BL52" s="265"/>
      <c r="BM52" s="265"/>
      <c r="BN52" s="265"/>
      <c r="BO52" s="265"/>
      <c r="BP52" s="265"/>
      <c r="BQ52" s="267"/>
      <c r="BR52" s="266"/>
      <c r="BS52" s="276"/>
      <c r="BT52" s="266"/>
      <c r="BU52" s="277"/>
      <c r="BV52" s="266"/>
      <c r="BW52" s="278"/>
      <c r="BX52" s="278"/>
      <c r="BY52" s="265"/>
      <c r="BZ52" s="265"/>
      <c r="CA52" s="265" t="n">
        <v>0</v>
      </c>
      <c r="CB52" s="265"/>
      <c r="CC52" s="265"/>
      <c r="CD52" s="265"/>
      <c r="CE52" s="265"/>
      <c r="CF52" s="265"/>
      <c r="CG52" s="265"/>
      <c r="CH52" s="265"/>
      <c r="CI52" s="265"/>
      <c r="CJ52" s="265"/>
      <c r="CK52" s="266"/>
      <c r="CL52" s="266"/>
    </row>
    <row r="53" customFormat="false" ht="15.75" hidden="false" customHeight="false" outlineLevel="3" collapsed="false">
      <c r="A53" s="63" t="s">
        <v>547</v>
      </c>
      <c r="B53" s="63" t="s">
        <v>515</v>
      </c>
      <c r="C53" s="63" t="s">
        <v>548</v>
      </c>
      <c r="D53" s="63" t="s">
        <v>549</v>
      </c>
      <c r="E53" s="63" t="s">
        <v>550</v>
      </c>
      <c r="F53" s="63" t="s">
        <v>423</v>
      </c>
      <c r="G53" s="63" t="s">
        <v>523</v>
      </c>
      <c r="H53" s="63" t="s">
        <v>102</v>
      </c>
      <c r="I53" s="242" t="s">
        <v>503</v>
      </c>
      <c r="J53" s="244" t="n">
        <v>1</v>
      </c>
      <c r="K53" s="244" t="n">
        <v>1</v>
      </c>
      <c r="L53" s="246" t="n">
        <v>0</v>
      </c>
      <c r="M53" s="246" t="n">
        <v>0</v>
      </c>
      <c r="N53" s="246" t="n">
        <v>0</v>
      </c>
      <c r="O53" s="245" t="n">
        <v>0</v>
      </c>
      <c r="P53" s="246" t="n">
        <v>0</v>
      </c>
      <c r="Q53" s="246" t="n">
        <v>0</v>
      </c>
      <c r="R53" s="248" t="n">
        <v>0</v>
      </c>
      <c r="S53" s="294" t="n">
        <v>1</v>
      </c>
      <c r="T53" s="248" t="s">
        <v>437</v>
      </c>
      <c r="U53" s="250" t="n">
        <v>0</v>
      </c>
      <c r="V53" s="245" t="s">
        <v>426</v>
      </c>
      <c r="W53" s="245" t="n">
        <v>0</v>
      </c>
      <c r="X53" s="245" t="n">
        <v>0</v>
      </c>
      <c r="Y53" s="245" t="n">
        <v>0</v>
      </c>
      <c r="Z53" s="245" t="n">
        <v>0</v>
      </c>
      <c r="AA53" s="245" t="n">
        <v>0</v>
      </c>
      <c r="AB53" s="245" t="n">
        <v>0</v>
      </c>
      <c r="AC53" s="250" t="n">
        <v>0</v>
      </c>
      <c r="AD53" s="245" t="n">
        <v>0</v>
      </c>
      <c r="AE53" s="245" t="n">
        <v>0</v>
      </c>
      <c r="AF53" s="245" t="n">
        <v>0</v>
      </c>
      <c r="AG53" s="245" t="n">
        <v>0</v>
      </c>
      <c r="AH53" s="251" t="n">
        <v>0</v>
      </c>
      <c r="AI53" s="245" t="n">
        <v>0</v>
      </c>
      <c r="AJ53" s="245" t="n">
        <v>0</v>
      </c>
      <c r="AK53" s="252" t="n">
        <v>0</v>
      </c>
      <c r="AL53" s="253" t="n">
        <v>0</v>
      </c>
      <c r="AM53" s="245" t="n">
        <v>0</v>
      </c>
      <c r="AN53" s="246" t="n">
        <v>0</v>
      </c>
      <c r="AO53" s="253" t="n">
        <v>0</v>
      </c>
      <c r="AP53" s="245" t="n">
        <v>0</v>
      </c>
      <c r="AQ53" s="254" t="n">
        <v>1</v>
      </c>
      <c r="AR53" s="245" t="n">
        <v>0</v>
      </c>
      <c r="AS53" s="245" t="n">
        <v>0</v>
      </c>
      <c r="AT53" s="245" t="n">
        <v>0</v>
      </c>
      <c r="AU53" s="245" t="n">
        <v>0</v>
      </c>
      <c r="AV53" s="245" t="n">
        <v>0</v>
      </c>
      <c r="AW53" s="245" t="n">
        <v>0</v>
      </c>
      <c r="AX53" s="245" t="n">
        <v>0</v>
      </c>
      <c r="AY53" s="245" t="n">
        <v>0</v>
      </c>
      <c r="AZ53" s="245" t="n">
        <v>0</v>
      </c>
      <c r="BA53" s="245" t="n">
        <v>0</v>
      </c>
      <c r="BB53" s="245" t="s">
        <v>423</v>
      </c>
      <c r="BC53" s="245" t="s">
        <v>423</v>
      </c>
      <c r="BD53" s="245" t="n">
        <v>0</v>
      </c>
      <c r="BE53" s="245" t="n">
        <v>0</v>
      </c>
      <c r="BF53" s="245" t="n">
        <v>0</v>
      </c>
      <c r="BG53" s="245" t="n">
        <v>0</v>
      </c>
      <c r="BH53" s="245" t="n">
        <v>0</v>
      </c>
      <c r="BI53" s="245" t="n">
        <v>0</v>
      </c>
      <c r="BJ53" s="245" t="n">
        <v>0</v>
      </c>
      <c r="BK53" s="245" t="n">
        <v>0</v>
      </c>
      <c r="BL53" s="245" t="n">
        <v>0</v>
      </c>
      <c r="BM53" s="245" t="s">
        <v>438</v>
      </c>
      <c r="BN53" s="245" t="n">
        <v>0</v>
      </c>
      <c r="BO53" s="255" t="b">
        <f aca="false">FALSE()</f>
        <v>0</v>
      </c>
      <c r="BP53" s="255" t="n">
        <v>0</v>
      </c>
      <c r="BQ53" s="247" t="n">
        <v>0</v>
      </c>
      <c r="BR53" s="246" t="n">
        <v>19785000</v>
      </c>
      <c r="BS53" s="257" t="n">
        <v>84</v>
      </c>
      <c r="BT53" s="246" t="n">
        <v>0</v>
      </c>
      <c r="BU53" s="258" t="n">
        <v>0</v>
      </c>
      <c r="BV53" s="246" t="n">
        <v>266</v>
      </c>
      <c r="BW53" s="259" t="n">
        <v>0</v>
      </c>
      <c r="BX53" s="259" t="n">
        <v>0</v>
      </c>
      <c r="BY53" s="255" t="n">
        <v>0</v>
      </c>
      <c r="BZ53" s="255" t="n">
        <v>0</v>
      </c>
      <c r="CA53" s="255" t="n">
        <v>0</v>
      </c>
      <c r="CB53" s="255" t="n">
        <v>0</v>
      </c>
      <c r="CC53" s="255" t="n">
        <v>0</v>
      </c>
      <c r="CD53" s="255" t="n">
        <v>0</v>
      </c>
      <c r="CE53" s="255" t="n">
        <v>0</v>
      </c>
      <c r="CF53" s="255" t="n">
        <v>0</v>
      </c>
      <c r="CG53" s="255" t="n">
        <v>0</v>
      </c>
      <c r="CH53" s="255" t="n">
        <v>0</v>
      </c>
      <c r="CI53" s="255" t="n">
        <v>0</v>
      </c>
      <c r="CJ53" s="255" t="n">
        <v>0</v>
      </c>
      <c r="CK53" s="246" t="n">
        <v>0</v>
      </c>
      <c r="CL53" s="246" t="n">
        <v>0</v>
      </c>
    </row>
    <row r="54" customFormat="false" ht="15.75" hidden="false" customHeight="false" outlineLevel="3" collapsed="false">
      <c r="A54" s="63" t="s">
        <v>547</v>
      </c>
      <c r="B54" s="63" t="s">
        <v>515</v>
      </c>
      <c r="C54" s="63" t="s">
        <v>500</v>
      </c>
      <c r="D54" s="63" t="s">
        <v>501</v>
      </c>
      <c r="E54" s="63" t="s">
        <v>551</v>
      </c>
      <c r="F54" s="63" t="s">
        <v>423</v>
      </c>
      <c r="G54" s="63" t="s">
        <v>523</v>
      </c>
      <c r="H54" s="63" t="s">
        <v>102</v>
      </c>
      <c r="I54" s="242" t="s">
        <v>503</v>
      </c>
      <c r="J54" s="244" t="n">
        <v>1</v>
      </c>
      <c r="K54" s="244" t="n">
        <v>1</v>
      </c>
      <c r="L54" s="246" t="n">
        <v>0</v>
      </c>
      <c r="M54" s="246" t="n">
        <v>0</v>
      </c>
      <c r="N54" s="246" t="n">
        <v>0</v>
      </c>
      <c r="O54" s="245" t="n">
        <v>0</v>
      </c>
      <c r="P54" s="246" t="n">
        <v>0</v>
      </c>
      <c r="Q54" s="246" t="n">
        <v>0</v>
      </c>
      <c r="R54" s="248" t="s">
        <v>453</v>
      </c>
      <c r="S54" s="294" t="n">
        <v>0.75</v>
      </c>
      <c r="T54" s="248" t="s">
        <v>437</v>
      </c>
      <c r="U54" s="250" t="n">
        <v>0</v>
      </c>
      <c r="V54" s="245" t="s">
        <v>426</v>
      </c>
      <c r="W54" s="245" t="n">
        <v>0</v>
      </c>
      <c r="X54" s="245" t="n">
        <v>0</v>
      </c>
      <c r="Y54" s="245" t="n">
        <v>0</v>
      </c>
      <c r="Z54" s="245" t="n">
        <v>0</v>
      </c>
      <c r="AA54" s="245" t="n">
        <v>0</v>
      </c>
      <c r="AB54" s="245" t="n">
        <v>0</v>
      </c>
      <c r="AC54" s="250" t="n">
        <v>0</v>
      </c>
      <c r="AD54" s="245" t="n">
        <v>0</v>
      </c>
      <c r="AE54" s="245" t="n">
        <v>0</v>
      </c>
      <c r="AF54" s="245" t="n">
        <v>0</v>
      </c>
      <c r="AG54" s="245" t="n">
        <v>0</v>
      </c>
      <c r="AH54" s="251" t="n">
        <v>0</v>
      </c>
      <c r="AI54" s="245" t="n">
        <v>0</v>
      </c>
      <c r="AJ54" s="245" t="n">
        <v>0</v>
      </c>
      <c r="AK54" s="252" t="n">
        <v>0</v>
      </c>
      <c r="AL54" s="253" t="n">
        <v>0</v>
      </c>
      <c r="AM54" s="245" t="n">
        <v>2013591.65998389</v>
      </c>
      <c r="AN54" s="246" t="n">
        <v>0</v>
      </c>
      <c r="AO54" s="253" t="n">
        <v>0</v>
      </c>
      <c r="AP54" s="245" t="n">
        <v>0</v>
      </c>
      <c r="AQ54" s="254" t="n">
        <v>1</v>
      </c>
      <c r="AR54" s="245" t="n">
        <v>0</v>
      </c>
      <c r="AS54" s="245" t="n">
        <v>0</v>
      </c>
      <c r="AT54" s="245" t="n">
        <v>0</v>
      </c>
      <c r="AU54" s="245" t="n">
        <v>0</v>
      </c>
      <c r="AV54" s="245" t="n">
        <v>0</v>
      </c>
      <c r="AW54" s="245" t="n">
        <v>0</v>
      </c>
      <c r="AX54" s="245" t="n">
        <v>-2013591.65998389</v>
      </c>
      <c r="AY54" s="245" t="n">
        <v>0</v>
      </c>
      <c r="AZ54" s="245" t="n">
        <v>2013591.65998389</v>
      </c>
      <c r="BA54" s="245" t="n">
        <v>0</v>
      </c>
      <c r="BB54" s="245" t="s">
        <v>423</v>
      </c>
      <c r="BC54" s="245" t="s">
        <v>423</v>
      </c>
      <c r="BD54" s="245" t="n">
        <v>0</v>
      </c>
      <c r="BE54" s="245" t="n">
        <v>0</v>
      </c>
      <c r="BF54" s="245" t="n">
        <v>0</v>
      </c>
      <c r="BG54" s="245" t="n">
        <v>0</v>
      </c>
      <c r="BH54" s="245" t="n">
        <v>-2013591.65998389</v>
      </c>
      <c r="BI54" s="245" t="n">
        <v>0</v>
      </c>
      <c r="BJ54" s="245" t="n">
        <v>2013591.65998389</v>
      </c>
      <c r="BK54" s="245" t="n">
        <v>0</v>
      </c>
      <c r="BL54" s="245" t="n">
        <v>0</v>
      </c>
      <c r="BM54" s="245" t="s">
        <v>438</v>
      </c>
      <c r="BN54" s="245" t="n">
        <v>0</v>
      </c>
      <c r="BO54" s="255" t="b">
        <f aca="false">FALSE()</f>
        <v>0</v>
      </c>
      <c r="BP54" s="255" t="n">
        <v>0</v>
      </c>
      <c r="BQ54" s="247" t="n">
        <v>0</v>
      </c>
      <c r="BR54" s="246" t="n">
        <v>0</v>
      </c>
      <c r="BS54" s="257" t="n">
        <v>84</v>
      </c>
      <c r="BT54" s="246" t="n">
        <v>0</v>
      </c>
      <c r="BU54" s="258" t="n">
        <v>0</v>
      </c>
      <c r="BV54" s="246" t="n">
        <v>267</v>
      </c>
      <c r="BW54" s="259" t="n">
        <v>0</v>
      </c>
      <c r="BX54" s="259" t="n">
        <v>0</v>
      </c>
      <c r="BY54" s="255" t="n">
        <v>0</v>
      </c>
      <c r="BZ54" s="255" t="n">
        <v>0</v>
      </c>
      <c r="CA54" s="255" t="n">
        <v>0</v>
      </c>
      <c r="CB54" s="255" t="n">
        <v>0</v>
      </c>
      <c r="CC54" s="255" t="n">
        <v>0</v>
      </c>
      <c r="CD54" s="255" t="n">
        <v>0</v>
      </c>
      <c r="CE54" s="255" t="n">
        <v>0</v>
      </c>
      <c r="CF54" s="255" t="n">
        <v>0</v>
      </c>
      <c r="CG54" s="255" t="n">
        <v>0</v>
      </c>
      <c r="CH54" s="255" t="n">
        <v>0</v>
      </c>
      <c r="CI54" s="255" t="n">
        <v>0</v>
      </c>
      <c r="CJ54" s="255" t="n">
        <v>0</v>
      </c>
      <c r="CK54" s="246" t="n">
        <v>0</v>
      </c>
      <c r="CL54" s="246" t="n">
        <v>0</v>
      </c>
    </row>
    <row r="55" customFormat="false" ht="15.75" hidden="false" customHeight="false" outlineLevel="3" collapsed="false">
      <c r="A55" s="63" t="s">
        <v>547</v>
      </c>
      <c r="B55" s="63" t="s">
        <v>515</v>
      </c>
      <c r="C55" s="63" t="s">
        <v>552</v>
      </c>
      <c r="D55" s="63" t="s">
        <v>553</v>
      </c>
      <c r="E55" s="63" t="s">
        <v>554</v>
      </c>
      <c r="F55" s="63" t="s">
        <v>423</v>
      </c>
      <c r="G55" s="63" t="s">
        <v>555</v>
      </c>
      <c r="H55" s="63" t="s">
        <v>102</v>
      </c>
      <c r="I55" s="242" t="s">
        <v>503</v>
      </c>
      <c r="J55" s="244" t="n">
        <v>1</v>
      </c>
      <c r="K55" s="244" t="n">
        <v>1</v>
      </c>
      <c r="L55" s="246" t="n">
        <v>0</v>
      </c>
      <c r="M55" s="246" t="n">
        <v>0</v>
      </c>
      <c r="N55" s="246" t="n">
        <v>0</v>
      </c>
      <c r="O55" s="245" t="n">
        <v>0</v>
      </c>
      <c r="P55" s="246" t="n">
        <v>0</v>
      </c>
      <c r="Q55" s="246" t="n">
        <v>0</v>
      </c>
      <c r="R55" s="248" t="n">
        <v>0</v>
      </c>
      <c r="S55" s="294" t="n">
        <v>1</v>
      </c>
      <c r="T55" s="248" t="s">
        <v>437</v>
      </c>
      <c r="U55" s="250" t="n">
        <v>0</v>
      </c>
      <c r="V55" s="245" t="s">
        <v>426</v>
      </c>
      <c r="W55" s="245" t="n">
        <v>0</v>
      </c>
      <c r="X55" s="245" t="n">
        <v>0</v>
      </c>
      <c r="Y55" s="245" t="n">
        <v>0</v>
      </c>
      <c r="Z55" s="245" t="n">
        <v>0</v>
      </c>
      <c r="AA55" s="245" t="n">
        <v>0</v>
      </c>
      <c r="AB55" s="245" t="n">
        <v>0</v>
      </c>
      <c r="AC55" s="250" t="n">
        <v>0</v>
      </c>
      <c r="AD55" s="245" t="n">
        <v>0</v>
      </c>
      <c r="AE55" s="245" t="n">
        <v>0</v>
      </c>
      <c r="AF55" s="245" t="n">
        <v>0</v>
      </c>
      <c r="AG55" s="245" t="n">
        <v>0</v>
      </c>
      <c r="AH55" s="251" t="n">
        <v>0</v>
      </c>
      <c r="AI55" s="245" t="n">
        <v>0</v>
      </c>
      <c r="AJ55" s="245" t="n">
        <v>0</v>
      </c>
      <c r="AK55" s="252" t="n">
        <v>0</v>
      </c>
      <c r="AL55" s="253" t="n">
        <v>0</v>
      </c>
      <c r="AM55" s="245" t="n">
        <v>93746588.676478</v>
      </c>
      <c r="AN55" s="246" t="n">
        <v>0</v>
      </c>
      <c r="AO55" s="253" t="n">
        <v>0</v>
      </c>
      <c r="AP55" s="245" t="n">
        <v>0</v>
      </c>
      <c r="AQ55" s="254" t="n">
        <v>1</v>
      </c>
      <c r="AR55" s="245" t="n">
        <v>0</v>
      </c>
      <c r="AS55" s="245" t="n">
        <v>0</v>
      </c>
      <c r="AT55" s="245" t="n">
        <v>0</v>
      </c>
      <c r="AU55" s="245" t="n">
        <v>0</v>
      </c>
      <c r="AV55" s="245" t="n">
        <v>0</v>
      </c>
      <c r="AW55" s="245" t="n">
        <v>0</v>
      </c>
      <c r="AX55" s="245" t="n">
        <v>-93746588.676478</v>
      </c>
      <c r="AY55" s="245" t="n">
        <v>0</v>
      </c>
      <c r="AZ55" s="245" t="n">
        <v>93746588.676478</v>
      </c>
      <c r="BA55" s="245" t="n">
        <v>0</v>
      </c>
      <c r="BB55" s="245" t="s">
        <v>423</v>
      </c>
      <c r="BC55" s="245" t="s">
        <v>423</v>
      </c>
      <c r="BD55" s="245" t="n">
        <v>0</v>
      </c>
      <c r="BE55" s="245" t="n">
        <v>0</v>
      </c>
      <c r="BF55" s="245" t="n">
        <v>0</v>
      </c>
      <c r="BG55" s="245" t="n">
        <v>0</v>
      </c>
      <c r="BH55" s="245" t="n">
        <v>-93746588.676478</v>
      </c>
      <c r="BI55" s="245" t="n">
        <v>0</v>
      </c>
      <c r="BJ55" s="245" t="n">
        <v>93746588.676478</v>
      </c>
      <c r="BK55" s="245" t="n">
        <v>0</v>
      </c>
      <c r="BL55" s="245" t="n">
        <v>0</v>
      </c>
      <c r="BM55" s="245" t="s">
        <v>427</v>
      </c>
      <c r="BN55" s="245" t="n">
        <v>0</v>
      </c>
      <c r="BO55" s="255" t="b">
        <f aca="false">FALSE()</f>
        <v>0</v>
      </c>
      <c r="BP55" s="255" t="n">
        <v>0</v>
      </c>
      <c r="BQ55" s="247" t="n">
        <v>0</v>
      </c>
      <c r="BR55" s="246" t="n">
        <v>0</v>
      </c>
      <c r="BS55" s="257" t="n">
        <v>84</v>
      </c>
      <c r="BT55" s="246" t="n">
        <v>0</v>
      </c>
      <c r="BU55" s="258" t="n">
        <v>0</v>
      </c>
      <c r="BV55" s="246" t="n">
        <v>282</v>
      </c>
      <c r="BW55" s="259" t="n">
        <v>0</v>
      </c>
      <c r="BX55" s="259" t="n">
        <v>0</v>
      </c>
      <c r="BY55" s="255" t="n">
        <v>0</v>
      </c>
      <c r="BZ55" s="255" t="n">
        <v>0</v>
      </c>
      <c r="CA55" s="255" t="n">
        <v>0</v>
      </c>
      <c r="CB55" s="255" t="n">
        <v>0</v>
      </c>
      <c r="CC55" s="255" t="n">
        <v>0</v>
      </c>
      <c r="CD55" s="255" t="n">
        <v>0</v>
      </c>
      <c r="CE55" s="255" t="n">
        <v>0</v>
      </c>
      <c r="CF55" s="255" t="n">
        <v>0</v>
      </c>
      <c r="CG55" s="255" t="n">
        <v>0</v>
      </c>
      <c r="CH55" s="255" t="n">
        <v>0</v>
      </c>
      <c r="CI55" s="255" t="n">
        <v>0</v>
      </c>
      <c r="CJ55" s="255" t="n">
        <v>0</v>
      </c>
      <c r="CK55" s="246" t="n">
        <v>0</v>
      </c>
      <c r="CL55" s="246" t="n">
        <v>0</v>
      </c>
    </row>
    <row r="56" customFormat="false" ht="20.1" hidden="false" customHeight="true" outlineLevel="2" collapsed="false">
      <c r="A56" s="261" t="s">
        <v>556</v>
      </c>
      <c r="B56" s="261"/>
      <c r="C56" s="261"/>
      <c r="D56" s="261"/>
      <c r="E56" s="261"/>
      <c r="F56" s="261"/>
      <c r="G56" s="261"/>
      <c r="H56" s="261"/>
      <c r="I56" s="262"/>
      <c r="J56" s="264"/>
      <c r="K56" s="264"/>
      <c r="L56" s="266"/>
      <c r="M56" s="266"/>
      <c r="N56" s="266"/>
      <c r="O56" s="265"/>
      <c r="P56" s="266"/>
      <c r="Q56" s="266"/>
      <c r="R56" s="268" t="n">
        <v>0</v>
      </c>
      <c r="S56" s="295" t="n">
        <v>2.75</v>
      </c>
      <c r="T56" s="268" t="n">
        <v>0</v>
      </c>
      <c r="U56" s="270" t="n">
        <v>0</v>
      </c>
      <c r="V56" s="265"/>
      <c r="W56" s="265" t="n">
        <v>0</v>
      </c>
      <c r="X56" s="265" t="n">
        <v>0</v>
      </c>
      <c r="Y56" s="265" t="n">
        <v>0</v>
      </c>
      <c r="Z56" s="265" t="n">
        <v>0</v>
      </c>
      <c r="AA56" s="265" t="n">
        <v>0</v>
      </c>
      <c r="AB56" s="265" t="n">
        <v>0</v>
      </c>
      <c r="AC56" s="270" t="n">
        <v>0</v>
      </c>
      <c r="AD56" s="265" t="n">
        <v>0</v>
      </c>
      <c r="AE56" s="265" t="n">
        <v>0</v>
      </c>
      <c r="AF56" s="265" t="n">
        <v>0</v>
      </c>
      <c r="AG56" s="265" t="n">
        <v>0</v>
      </c>
      <c r="AH56" s="271" t="n">
        <v>0</v>
      </c>
      <c r="AI56" s="265" t="n">
        <v>0</v>
      </c>
      <c r="AJ56" s="265" t="n">
        <v>0</v>
      </c>
      <c r="AK56" s="272" t="n">
        <v>0</v>
      </c>
      <c r="AL56" s="273"/>
      <c r="AM56" s="265" t="n">
        <v>95760180.3364619</v>
      </c>
      <c r="AN56" s="266"/>
      <c r="AO56" s="273"/>
      <c r="AP56" s="265" t="n">
        <v>0</v>
      </c>
      <c r="AQ56" s="274"/>
      <c r="AR56" s="265"/>
      <c r="AS56" s="265"/>
      <c r="AT56" s="265" t="n">
        <v>0</v>
      </c>
      <c r="AU56" s="265" t="n">
        <v>0</v>
      </c>
      <c r="AV56" s="265" t="n">
        <v>0</v>
      </c>
      <c r="AW56" s="265" t="n">
        <v>0</v>
      </c>
      <c r="AX56" s="265" t="n">
        <v>-95760180.3364619</v>
      </c>
      <c r="AY56" s="265" t="n">
        <v>0</v>
      </c>
      <c r="AZ56" s="265" t="n">
        <v>95760180.3364619</v>
      </c>
      <c r="BA56" s="265" t="n">
        <v>0</v>
      </c>
      <c r="BB56" s="265"/>
      <c r="BC56" s="265"/>
      <c r="BD56" s="265"/>
      <c r="BE56" s="265"/>
      <c r="BF56" s="265"/>
      <c r="BG56" s="265"/>
      <c r="BH56" s="265"/>
      <c r="BI56" s="265"/>
      <c r="BJ56" s="265"/>
      <c r="BK56" s="265"/>
      <c r="BL56" s="265"/>
      <c r="BM56" s="265"/>
      <c r="BN56" s="265"/>
      <c r="BO56" s="265"/>
      <c r="BP56" s="265"/>
      <c r="BQ56" s="267"/>
      <c r="BR56" s="266"/>
      <c r="BS56" s="276"/>
      <c r="BT56" s="266"/>
      <c r="BU56" s="277"/>
      <c r="BV56" s="266"/>
      <c r="BW56" s="278"/>
      <c r="BX56" s="278"/>
      <c r="BY56" s="265"/>
      <c r="BZ56" s="265"/>
      <c r="CA56" s="265" t="n">
        <v>0</v>
      </c>
      <c r="CB56" s="265"/>
      <c r="CC56" s="265"/>
      <c r="CD56" s="265"/>
      <c r="CE56" s="265"/>
      <c r="CF56" s="265"/>
      <c r="CG56" s="265"/>
      <c r="CH56" s="265"/>
      <c r="CI56" s="265"/>
      <c r="CJ56" s="265"/>
      <c r="CK56" s="266"/>
      <c r="CL56" s="266"/>
    </row>
    <row r="57" customFormat="false" ht="15.75" hidden="false" customHeight="false" outlineLevel="3" collapsed="false">
      <c r="A57" s="63" t="s">
        <v>557</v>
      </c>
      <c r="B57" s="63" t="s">
        <v>515</v>
      </c>
      <c r="C57" s="63" t="s">
        <v>500</v>
      </c>
      <c r="D57" s="63" t="s">
        <v>501</v>
      </c>
      <c r="E57" s="63" t="s">
        <v>558</v>
      </c>
      <c r="F57" s="63" t="s">
        <v>423</v>
      </c>
      <c r="G57" s="63" t="s">
        <v>523</v>
      </c>
      <c r="H57" s="63" t="s">
        <v>102</v>
      </c>
      <c r="I57" s="242" t="s">
        <v>503</v>
      </c>
      <c r="J57" s="244" t="n">
        <v>1</v>
      </c>
      <c r="K57" s="244" t="n">
        <v>1</v>
      </c>
      <c r="L57" s="246" t="n">
        <v>0</v>
      </c>
      <c r="M57" s="246" t="n">
        <v>0</v>
      </c>
      <c r="N57" s="246" t="n">
        <v>0</v>
      </c>
      <c r="O57" s="245" t="n">
        <v>0</v>
      </c>
      <c r="P57" s="246" t="n">
        <v>0</v>
      </c>
      <c r="Q57" s="246" t="n">
        <v>0</v>
      </c>
      <c r="R57" s="248" t="n">
        <v>0</v>
      </c>
      <c r="S57" s="294" t="n">
        <v>1</v>
      </c>
      <c r="T57" s="248" t="s">
        <v>437</v>
      </c>
      <c r="U57" s="250" t="n">
        <v>0</v>
      </c>
      <c r="V57" s="245" t="s">
        <v>426</v>
      </c>
      <c r="W57" s="245" t="n">
        <v>0</v>
      </c>
      <c r="X57" s="245" t="n">
        <v>0</v>
      </c>
      <c r="Y57" s="245" t="n">
        <v>0</v>
      </c>
      <c r="Z57" s="245" t="n">
        <v>0</v>
      </c>
      <c r="AA57" s="245" t="n">
        <v>0</v>
      </c>
      <c r="AB57" s="245" t="n">
        <v>0</v>
      </c>
      <c r="AC57" s="250" t="n">
        <v>0</v>
      </c>
      <c r="AD57" s="245" t="n">
        <v>0</v>
      </c>
      <c r="AE57" s="245" t="n">
        <v>0</v>
      </c>
      <c r="AF57" s="245" t="n">
        <v>0</v>
      </c>
      <c r="AG57" s="245" t="n">
        <v>0</v>
      </c>
      <c r="AH57" s="251" t="n">
        <v>0</v>
      </c>
      <c r="AI57" s="245" t="n">
        <v>0</v>
      </c>
      <c r="AJ57" s="245" t="n">
        <v>0</v>
      </c>
      <c r="AK57" s="252" t="n">
        <v>0</v>
      </c>
      <c r="AL57" s="253" t="n">
        <v>0</v>
      </c>
      <c r="AM57" s="245" t="n">
        <v>1165662.43</v>
      </c>
      <c r="AN57" s="246" t="n">
        <v>0</v>
      </c>
      <c r="AO57" s="253" t="n">
        <v>0</v>
      </c>
      <c r="AP57" s="245" t="n">
        <v>0</v>
      </c>
      <c r="AQ57" s="254" t="n">
        <v>1</v>
      </c>
      <c r="AR57" s="245" t="n">
        <v>0</v>
      </c>
      <c r="AS57" s="245" t="n">
        <v>0</v>
      </c>
      <c r="AT57" s="245" t="n">
        <v>0</v>
      </c>
      <c r="AU57" s="245" t="n">
        <v>0</v>
      </c>
      <c r="AV57" s="245" t="n">
        <v>0</v>
      </c>
      <c r="AW57" s="245" t="n">
        <v>0</v>
      </c>
      <c r="AX57" s="245" t="n">
        <v>-1165662.43</v>
      </c>
      <c r="AY57" s="245" t="n">
        <v>0</v>
      </c>
      <c r="AZ57" s="245" t="n">
        <v>1165662.43</v>
      </c>
      <c r="BA57" s="245" t="n">
        <v>0</v>
      </c>
      <c r="BB57" s="245" t="s">
        <v>423</v>
      </c>
      <c r="BC57" s="245" t="s">
        <v>423</v>
      </c>
      <c r="BD57" s="245" t="n">
        <v>0</v>
      </c>
      <c r="BE57" s="245" t="n">
        <v>0</v>
      </c>
      <c r="BF57" s="245" t="n">
        <v>0</v>
      </c>
      <c r="BG57" s="245" t="n">
        <v>0</v>
      </c>
      <c r="BH57" s="245" t="n">
        <v>-1165662.43</v>
      </c>
      <c r="BI57" s="245" t="n">
        <v>0</v>
      </c>
      <c r="BJ57" s="245" t="n">
        <v>1165662.43</v>
      </c>
      <c r="BK57" s="245" t="n">
        <v>0</v>
      </c>
      <c r="BL57" s="245" t="n">
        <v>0</v>
      </c>
      <c r="BM57" s="245" t="s">
        <v>427</v>
      </c>
      <c r="BN57" s="245" t="n">
        <v>0</v>
      </c>
      <c r="BO57" s="255" t="b">
        <f aca="false">FALSE()</f>
        <v>0</v>
      </c>
      <c r="BP57" s="255" t="n">
        <v>0</v>
      </c>
      <c r="BQ57" s="247" t="n">
        <v>0</v>
      </c>
      <c r="BR57" s="246" t="n">
        <v>0</v>
      </c>
      <c r="BS57" s="257" t="n">
        <v>86</v>
      </c>
      <c r="BT57" s="246" t="n">
        <v>0</v>
      </c>
      <c r="BU57" s="258" t="n">
        <v>0</v>
      </c>
      <c r="BV57" s="246" t="n">
        <v>275</v>
      </c>
      <c r="BW57" s="259" t="n">
        <v>0</v>
      </c>
      <c r="BX57" s="259" t="n">
        <v>0</v>
      </c>
      <c r="BY57" s="255" t="n">
        <v>0</v>
      </c>
      <c r="BZ57" s="255" t="n">
        <v>0</v>
      </c>
      <c r="CA57" s="255" t="n">
        <v>0</v>
      </c>
      <c r="CB57" s="255" t="n">
        <v>0</v>
      </c>
      <c r="CC57" s="255" t="n">
        <v>0</v>
      </c>
      <c r="CD57" s="255" t="n">
        <v>0</v>
      </c>
      <c r="CE57" s="255" t="n">
        <v>0</v>
      </c>
      <c r="CF57" s="255" t="n">
        <v>0</v>
      </c>
      <c r="CG57" s="255" t="n">
        <v>0</v>
      </c>
      <c r="CH57" s="255" t="n">
        <v>0</v>
      </c>
      <c r="CI57" s="255" t="n">
        <v>0</v>
      </c>
      <c r="CJ57" s="255" t="n">
        <v>0</v>
      </c>
      <c r="CK57" s="246" t="n">
        <v>0</v>
      </c>
      <c r="CL57" s="246" t="n">
        <v>0</v>
      </c>
    </row>
    <row r="58" customFormat="false" ht="15.75" hidden="false" customHeight="false" outlineLevel="3" collapsed="false">
      <c r="A58" s="63" t="s">
        <v>557</v>
      </c>
      <c r="B58" s="63" t="s">
        <v>515</v>
      </c>
      <c r="C58" s="63" t="s">
        <v>500</v>
      </c>
      <c r="D58" s="63" t="s">
        <v>501</v>
      </c>
      <c r="E58" s="63" t="s">
        <v>559</v>
      </c>
      <c r="F58" s="63" t="s">
        <v>423</v>
      </c>
      <c r="G58" s="63" t="s">
        <v>523</v>
      </c>
      <c r="H58" s="63" t="s">
        <v>102</v>
      </c>
      <c r="I58" s="242" t="s">
        <v>503</v>
      </c>
      <c r="J58" s="244" t="n">
        <v>1</v>
      </c>
      <c r="K58" s="244" t="n">
        <v>1</v>
      </c>
      <c r="L58" s="246" t="n">
        <v>0</v>
      </c>
      <c r="M58" s="246" t="n">
        <v>0</v>
      </c>
      <c r="N58" s="246" t="n">
        <v>0</v>
      </c>
      <c r="O58" s="245" t="n">
        <v>0</v>
      </c>
      <c r="P58" s="246" t="n">
        <v>0</v>
      </c>
      <c r="Q58" s="246" t="n">
        <v>0</v>
      </c>
      <c r="R58" s="248" t="n">
        <v>0</v>
      </c>
      <c r="S58" s="249" t="n">
        <v>1</v>
      </c>
      <c r="T58" s="248" t="s">
        <v>437</v>
      </c>
      <c r="U58" s="250" t="n">
        <v>0</v>
      </c>
      <c r="V58" s="245" t="s">
        <v>426</v>
      </c>
      <c r="W58" s="245" t="n">
        <v>0</v>
      </c>
      <c r="X58" s="245" t="n">
        <v>0</v>
      </c>
      <c r="Y58" s="245" t="n">
        <v>0</v>
      </c>
      <c r="Z58" s="245" t="n">
        <v>0</v>
      </c>
      <c r="AA58" s="245" t="n">
        <v>0</v>
      </c>
      <c r="AB58" s="245" t="n">
        <v>0</v>
      </c>
      <c r="AC58" s="250" t="n">
        <v>0</v>
      </c>
      <c r="AD58" s="245" t="n">
        <v>0</v>
      </c>
      <c r="AE58" s="245" t="n">
        <v>0</v>
      </c>
      <c r="AF58" s="245" t="n">
        <v>0</v>
      </c>
      <c r="AG58" s="245" t="n">
        <v>0</v>
      </c>
      <c r="AH58" s="251" t="n">
        <v>0</v>
      </c>
      <c r="AI58" s="245" t="n">
        <v>0</v>
      </c>
      <c r="AJ58" s="245" t="n">
        <v>0</v>
      </c>
      <c r="AK58" s="252" t="n">
        <v>0</v>
      </c>
      <c r="AL58" s="253" t="n">
        <v>0</v>
      </c>
      <c r="AM58" s="245" t="n">
        <v>429210</v>
      </c>
      <c r="AN58" s="246" t="n">
        <v>0</v>
      </c>
      <c r="AO58" s="253" t="n">
        <v>0</v>
      </c>
      <c r="AP58" s="245" t="n">
        <v>0</v>
      </c>
      <c r="AQ58" s="254" t="n">
        <v>1</v>
      </c>
      <c r="AR58" s="245" t="n">
        <v>0</v>
      </c>
      <c r="AS58" s="245" t="n">
        <v>0</v>
      </c>
      <c r="AT58" s="245" t="n">
        <v>0</v>
      </c>
      <c r="AU58" s="245" t="n">
        <v>0</v>
      </c>
      <c r="AV58" s="245" t="n">
        <v>0</v>
      </c>
      <c r="AW58" s="245" t="n">
        <v>0</v>
      </c>
      <c r="AX58" s="245" t="n">
        <v>670790</v>
      </c>
      <c r="AY58" s="245" t="n">
        <v>0</v>
      </c>
      <c r="AZ58" s="245" t="n">
        <v>-670790</v>
      </c>
      <c r="BA58" s="245" t="n">
        <v>0</v>
      </c>
      <c r="BB58" s="245" t="s">
        <v>423</v>
      </c>
      <c r="BC58" s="245" t="s">
        <v>423</v>
      </c>
      <c r="BD58" s="245" t="n">
        <v>0</v>
      </c>
      <c r="BE58" s="245" t="n">
        <v>0</v>
      </c>
      <c r="BF58" s="245" t="n">
        <v>0</v>
      </c>
      <c r="BG58" s="245" t="n">
        <v>0</v>
      </c>
      <c r="BH58" s="245" t="n">
        <v>670790</v>
      </c>
      <c r="BI58" s="245" t="n">
        <v>0</v>
      </c>
      <c r="BJ58" s="245" t="n">
        <v>-670790</v>
      </c>
      <c r="BK58" s="245" t="n">
        <v>0</v>
      </c>
      <c r="BL58" s="245" t="n">
        <v>0</v>
      </c>
      <c r="BM58" s="245" t="s">
        <v>427</v>
      </c>
      <c r="BN58" s="245" t="n">
        <v>0</v>
      </c>
      <c r="BO58" s="255" t="b">
        <f aca="false">FALSE()</f>
        <v>0</v>
      </c>
      <c r="BP58" s="255" t="n">
        <v>0</v>
      </c>
      <c r="BQ58" s="247" t="n">
        <v>0</v>
      </c>
      <c r="BR58" s="246" t="n">
        <v>0</v>
      </c>
      <c r="BS58" s="257" t="n">
        <v>86</v>
      </c>
      <c r="BT58" s="246" t="n">
        <v>0</v>
      </c>
      <c r="BU58" s="258" t="n">
        <v>0</v>
      </c>
      <c r="BV58" s="246" t="n">
        <v>289</v>
      </c>
      <c r="BW58" s="259" t="n">
        <v>0</v>
      </c>
      <c r="BX58" s="259" t="n">
        <v>0</v>
      </c>
      <c r="BY58" s="255" t="n">
        <v>0</v>
      </c>
      <c r="BZ58" s="255" t="n">
        <v>0</v>
      </c>
      <c r="CA58" s="255" t="n">
        <v>0</v>
      </c>
      <c r="CB58" s="255" t="n">
        <v>-1100000</v>
      </c>
      <c r="CC58" s="255" t="n">
        <v>0</v>
      </c>
      <c r="CD58" s="255" t="n">
        <v>0</v>
      </c>
      <c r="CE58" s="255" t="n">
        <v>0</v>
      </c>
      <c r="CF58" s="255" t="n">
        <v>0</v>
      </c>
      <c r="CG58" s="255" t="n">
        <v>0</v>
      </c>
      <c r="CH58" s="255" t="n">
        <v>0</v>
      </c>
      <c r="CI58" s="255" t="n">
        <v>0</v>
      </c>
      <c r="CJ58" s="255" t="n">
        <v>0</v>
      </c>
      <c r="CK58" s="246" t="n">
        <v>0</v>
      </c>
      <c r="CL58" s="246" t="n">
        <v>0</v>
      </c>
    </row>
    <row r="59" customFormat="false" ht="15.75" hidden="false" customHeight="false" outlineLevel="3" collapsed="false">
      <c r="A59" s="63" t="s">
        <v>557</v>
      </c>
      <c r="B59" s="63" t="s">
        <v>515</v>
      </c>
      <c r="C59" s="63" t="s">
        <v>500</v>
      </c>
      <c r="D59" s="63" t="s">
        <v>501</v>
      </c>
      <c r="E59" s="63" t="s">
        <v>560</v>
      </c>
      <c r="F59" s="63" t="s">
        <v>423</v>
      </c>
      <c r="G59" s="63" t="s">
        <v>523</v>
      </c>
      <c r="H59" s="63" t="s">
        <v>102</v>
      </c>
      <c r="I59" s="242" t="s">
        <v>503</v>
      </c>
      <c r="J59" s="244" t="n">
        <v>1</v>
      </c>
      <c r="K59" s="244" t="n">
        <v>1</v>
      </c>
      <c r="L59" s="246" t="n">
        <v>0</v>
      </c>
      <c r="M59" s="246" t="n">
        <v>0</v>
      </c>
      <c r="N59" s="246" t="n">
        <v>0</v>
      </c>
      <c r="O59" s="245" t="n">
        <v>0</v>
      </c>
      <c r="P59" s="246" t="n">
        <v>0</v>
      </c>
      <c r="Q59" s="246" t="n">
        <v>0</v>
      </c>
      <c r="R59" s="248" t="n">
        <v>0</v>
      </c>
      <c r="S59" s="249" t="n">
        <v>1</v>
      </c>
      <c r="T59" s="248" t="s">
        <v>437</v>
      </c>
      <c r="U59" s="250" t="n">
        <v>0</v>
      </c>
      <c r="V59" s="245" t="s">
        <v>426</v>
      </c>
      <c r="W59" s="245" t="n">
        <v>0</v>
      </c>
      <c r="X59" s="245" t="n">
        <v>0</v>
      </c>
      <c r="Y59" s="245" t="n">
        <v>0</v>
      </c>
      <c r="Z59" s="245" t="n">
        <v>0</v>
      </c>
      <c r="AA59" s="245" t="n">
        <v>0</v>
      </c>
      <c r="AB59" s="245" t="n">
        <v>0</v>
      </c>
      <c r="AC59" s="250" t="n">
        <v>0</v>
      </c>
      <c r="AD59" s="245" t="n">
        <v>0</v>
      </c>
      <c r="AE59" s="245" t="n">
        <v>0</v>
      </c>
      <c r="AF59" s="245" t="n">
        <v>0</v>
      </c>
      <c r="AG59" s="245" t="n">
        <v>0</v>
      </c>
      <c r="AH59" s="251" t="n">
        <v>0</v>
      </c>
      <c r="AI59" s="245" t="n">
        <v>0</v>
      </c>
      <c r="AJ59" s="245" t="n">
        <v>0</v>
      </c>
      <c r="AK59" s="252" t="n">
        <v>0</v>
      </c>
      <c r="AL59" s="253" t="n">
        <v>0</v>
      </c>
      <c r="AM59" s="245" t="n">
        <v>470790</v>
      </c>
      <c r="AN59" s="246" t="n">
        <v>0</v>
      </c>
      <c r="AO59" s="253" t="n">
        <v>0</v>
      </c>
      <c r="AP59" s="245" t="n">
        <v>0</v>
      </c>
      <c r="AQ59" s="254" t="n">
        <v>1</v>
      </c>
      <c r="AR59" s="245" t="n">
        <v>0</v>
      </c>
      <c r="AS59" s="245" t="n">
        <v>0</v>
      </c>
      <c r="AT59" s="245" t="n">
        <v>0</v>
      </c>
      <c r="AU59" s="245" t="n">
        <v>0</v>
      </c>
      <c r="AV59" s="245" t="n">
        <v>0</v>
      </c>
      <c r="AW59" s="245" t="n">
        <v>0</v>
      </c>
      <c r="AX59" s="245" t="n">
        <v>-470790</v>
      </c>
      <c r="AY59" s="245" t="n">
        <v>0</v>
      </c>
      <c r="AZ59" s="245" t="n">
        <v>470790</v>
      </c>
      <c r="BA59" s="245" t="n">
        <v>0</v>
      </c>
      <c r="BB59" s="245" t="s">
        <v>423</v>
      </c>
      <c r="BC59" s="245" t="s">
        <v>423</v>
      </c>
      <c r="BD59" s="245" t="n">
        <v>0</v>
      </c>
      <c r="BE59" s="245" t="n">
        <v>0</v>
      </c>
      <c r="BF59" s="245" t="n">
        <v>0</v>
      </c>
      <c r="BG59" s="245" t="n">
        <v>0</v>
      </c>
      <c r="BH59" s="245" t="n">
        <v>-470790</v>
      </c>
      <c r="BI59" s="245" t="n">
        <v>0</v>
      </c>
      <c r="BJ59" s="245" t="n">
        <v>470790</v>
      </c>
      <c r="BK59" s="245" t="n">
        <v>0</v>
      </c>
      <c r="BL59" s="245" t="n">
        <v>0</v>
      </c>
      <c r="BM59" s="245" t="s">
        <v>427</v>
      </c>
      <c r="BN59" s="245" t="n">
        <v>0</v>
      </c>
      <c r="BO59" s="255" t="b">
        <f aca="false">FALSE()</f>
        <v>0</v>
      </c>
      <c r="BP59" s="255" t="n">
        <v>0</v>
      </c>
      <c r="BQ59" s="247" t="n">
        <v>0</v>
      </c>
      <c r="BR59" s="246" t="n">
        <v>0</v>
      </c>
      <c r="BS59" s="257" t="n">
        <v>86</v>
      </c>
      <c r="BT59" s="246" t="n">
        <v>0</v>
      </c>
      <c r="BU59" s="258" t="n">
        <v>0</v>
      </c>
      <c r="BV59" s="246" t="n">
        <v>291</v>
      </c>
      <c r="BW59" s="259" t="n">
        <v>0</v>
      </c>
      <c r="BX59" s="259" t="n">
        <v>0</v>
      </c>
      <c r="BY59" s="255" t="n">
        <v>0</v>
      </c>
      <c r="BZ59" s="255" t="n">
        <v>0</v>
      </c>
      <c r="CA59" s="255" t="n">
        <v>0</v>
      </c>
      <c r="CB59" s="255" t="n">
        <v>0</v>
      </c>
      <c r="CC59" s="255" t="n">
        <v>0</v>
      </c>
      <c r="CD59" s="255" t="n">
        <v>0</v>
      </c>
      <c r="CE59" s="255" t="n">
        <v>0</v>
      </c>
      <c r="CF59" s="255" t="n">
        <v>0</v>
      </c>
      <c r="CG59" s="255" t="n">
        <v>0</v>
      </c>
      <c r="CH59" s="255" t="n">
        <v>0</v>
      </c>
      <c r="CI59" s="255" t="n">
        <v>0</v>
      </c>
      <c r="CJ59" s="255" t="n">
        <v>0</v>
      </c>
      <c r="CK59" s="246" t="n">
        <v>0</v>
      </c>
      <c r="CL59" s="246" t="n">
        <v>0</v>
      </c>
    </row>
    <row r="60" customFormat="false" ht="15.75" hidden="false" customHeight="false" outlineLevel="3" collapsed="false">
      <c r="A60" s="63" t="s">
        <v>557</v>
      </c>
      <c r="B60" s="63" t="s">
        <v>515</v>
      </c>
      <c r="C60" s="63" t="s">
        <v>472</v>
      </c>
      <c r="D60" s="63" t="s">
        <v>473</v>
      </c>
      <c r="E60" s="63" t="s">
        <v>561</v>
      </c>
      <c r="F60" s="63" t="s">
        <v>423</v>
      </c>
      <c r="G60" s="63" t="s">
        <v>523</v>
      </c>
      <c r="H60" s="63" t="s">
        <v>102</v>
      </c>
      <c r="I60" s="242" t="s">
        <v>503</v>
      </c>
      <c r="J60" s="244" t="n">
        <v>1</v>
      </c>
      <c r="K60" s="244" t="n">
        <v>1</v>
      </c>
      <c r="L60" s="246" t="n">
        <v>0</v>
      </c>
      <c r="M60" s="246" t="n">
        <v>0</v>
      </c>
      <c r="N60" s="246" t="n">
        <v>0</v>
      </c>
      <c r="O60" s="245" t="n">
        <v>7121810</v>
      </c>
      <c r="P60" s="246" t="n">
        <v>7121810</v>
      </c>
      <c r="Q60" s="246" t="n">
        <v>0</v>
      </c>
      <c r="R60" s="248" t="s">
        <v>453</v>
      </c>
      <c r="S60" s="249" t="n">
        <v>0.5</v>
      </c>
      <c r="T60" s="248" t="s">
        <v>437</v>
      </c>
      <c r="U60" s="250" t="n">
        <v>7121810</v>
      </c>
      <c r="V60" s="245" t="s">
        <v>426</v>
      </c>
      <c r="W60" s="245" t="n">
        <v>0</v>
      </c>
      <c r="X60" s="245" t="n">
        <v>0</v>
      </c>
      <c r="Y60" s="245" t="n">
        <v>0</v>
      </c>
      <c r="Z60" s="245" t="n">
        <v>0</v>
      </c>
      <c r="AA60" s="245" t="n">
        <v>0</v>
      </c>
      <c r="AB60" s="245" t="n">
        <v>0</v>
      </c>
      <c r="AC60" s="250" t="n">
        <v>7121810</v>
      </c>
      <c r="AD60" s="245" t="n">
        <v>0</v>
      </c>
      <c r="AE60" s="245" t="n">
        <v>0</v>
      </c>
      <c r="AF60" s="245" t="n">
        <v>0</v>
      </c>
      <c r="AG60" s="245" t="n">
        <v>0</v>
      </c>
      <c r="AH60" s="251" t="n">
        <v>0</v>
      </c>
      <c r="AI60" s="245" t="n">
        <v>0</v>
      </c>
      <c r="AJ60" s="245" t="n">
        <v>0</v>
      </c>
      <c r="AK60" s="252" t="n">
        <v>0</v>
      </c>
      <c r="AL60" s="253" t="n">
        <v>0</v>
      </c>
      <c r="AM60" s="245" t="n">
        <v>7121810</v>
      </c>
      <c r="AN60" s="246" t="n">
        <v>0</v>
      </c>
      <c r="AO60" s="253" t="n">
        <v>0</v>
      </c>
      <c r="AP60" s="245" t="n">
        <v>7121810</v>
      </c>
      <c r="AQ60" s="254" t="n">
        <v>1</v>
      </c>
      <c r="AR60" s="245" t="n">
        <v>0</v>
      </c>
      <c r="AS60" s="245" t="n">
        <v>7121810</v>
      </c>
      <c r="AT60" s="245" t="n">
        <v>0</v>
      </c>
      <c r="AU60" s="245" t="n">
        <v>0</v>
      </c>
      <c r="AV60" s="245" t="n">
        <v>0</v>
      </c>
      <c r="AW60" s="245" t="n">
        <v>0</v>
      </c>
      <c r="AX60" s="245" t="n">
        <v>0</v>
      </c>
      <c r="AY60" s="245" t="n">
        <v>0</v>
      </c>
      <c r="AZ60" s="245" t="n">
        <v>0</v>
      </c>
      <c r="BA60" s="245" t="n">
        <v>0</v>
      </c>
      <c r="BB60" s="245" t="s">
        <v>423</v>
      </c>
      <c r="BC60" s="245" t="s">
        <v>423</v>
      </c>
      <c r="BD60" s="245" t="n">
        <v>0</v>
      </c>
      <c r="BE60" s="245" t="n">
        <v>0</v>
      </c>
      <c r="BF60" s="245" t="n">
        <v>0</v>
      </c>
      <c r="BG60" s="245" t="n">
        <v>0</v>
      </c>
      <c r="BH60" s="245" t="n">
        <v>0</v>
      </c>
      <c r="BI60" s="245" t="n">
        <v>0</v>
      </c>
      <c r="BJ60" s="245" t="n">
        <v>0</v>
      </c>
      <c r="BK60" s="245" t="n">
        <v>0</v>
      </c>
      <c r="BL60" s="245" t="n">
        <v>7121810</v>
      </c>
      <c r="BM60" s="245" t="s">
        <v>427</v>
      </c>
      <c r="BN60" s="245" t="n">
        <v>0</v>
      </c>
      <c r="BO60" s="255" t="b">
        <f aca="false">FALSE()</f>
        <v>0</v>
      </c>
      <c r="BP60" s="255" t="n">
        <v>0</v>
      </c>
      <c r="BQ60" s="247" t="n">
        <v>0</v>
      </c>
      <c r="BR60" s="246" t="n">
        <v>0</v>
      </c>
      <c r="BS60" s="257" t="n">
        <v>86</v>
      </c>
      <c r="BT60" s="246" t="n">
        <v>0</v>
      </c>
      <c r="BU60" s="258" t="n">
        <v>0</v>
      </c>
      <c r="BV60" s="246" t="n">
        <v>292</v>
      </c>
      <c r="BW60" s="259" t="n">
        <v>0</v>
      </c>
      <c r="BX60" s="259" t="n">
        <v>0</v>
      </c>
      <c r="BY60" s="255" t="n">
        <v>0</v>
      </c>
      <c r="BZ60" s="255" t="n">
        <v>0</v>
      </c>
      <c r="CA60" s="255" t="n">
        <v>0</v>
      </c>
      <c r="CB60" s="255" t="n">
        <v>0</v>
      </c>
      <c r="CC60" s="255" t="n">
        <v>0</v>
      </c>
      <c r="CD60" s="255" t="n">
        <v>0</v>
      </c>
      <c r="CE60" s="255" t="n">
        <v>0</v>
      </c>
      <c r="CF60" s="255" t="n">
        <v>0</v>
      </c>
      <c r="CG60" s="255" t="n">
        <v>0</v>
      </c>
      <c r="CH60" s="255" t="n">
        <v>0</v>
      </c>
      <c r="CI60" s="255" t="n">
        <v>0</v>
      </c>
      <c r="CJ60" s="255" t="n">
        <v>0</v>
      </c>
      <c r="CK60" s="246" t="n">
        <v>0</v>
      </c>
      <c r="CL60" s="246" t="n">
        <v>0</v>
      </c>
    </row>
    <row r="61" customFormat="false" ht="20.1" hidden="false" customHeight="true" outlineLevel="2" collapsed="false">
      <c r="A61" s="261" t="s">
        <v>562</v>
      </c>
      <c r="B61" s="261"/>
      <c r="C61" s="261"/>
      <c r="D61" s="261"/>
      <c r="E61" s="261"/>
      <c r="F61" s="261"/>
      <c r="G61" s="261"/>
      <c r="H61" s="261"/>
      <c r="I61" s="262"/>
      <c r="J61" s="264"/>
      <c r="K61" s="264"/>
      <c r="L61" s="266"/>
      <c r="M61" s="266"/>
      <c r="N61" s="266"/>
      <c r="O61" s="265"/>
      <c r="P61" s="266"/>
      <c r="Q61" s="266"/>
      <c r="R61" s="268" t="n">
        <v>0</v>
      </c>
      <c r="S61" s="269" t="n">
        <v>3.5</v>
      </c>
      <c r="T61" s="268" t="n">
        <v>0</v>
      </c>
      <c r="U61" s="270" t="n">
        <v>7121810</v>
      </c>
      <c r="V61" s="265"/>
      <c r="W61" s="265" t="n">
        <v>0</v>
      </c>
      <c r="X61" s="265" t="n">
        <v>0</v>
      </c>
      <c r="Y61" s="265" t="n">
        <v>0</v>
      </c>
      <c r="Z61" s="265" t="n">
        <v>0</v>
      </c>
      <c r="AA61" s="265" t="n">
        <v>0</v>
      </c>
      <c r="AB61" s="265" t="n">
        <v>0</v>
      </c>
      <c r="AC61" s="270" t="n">
        <v>7121810</v>
      </c>
      <c r="AD61" s="265" t="n">
        <v>0</v>
      </c>
      <c r="AE61" s="265" t="n">
        <v>0</v>
      </c>
      <c r="AF61" s="265" t="n">
        <v>0</v>
      </c>
      <c r="AG61" s="265" t="n">
        <v>0</v>
      </c>
      <c r="AH61" s="271" t="n">
        <v>0</v>
      </c>
      <c r="AI61" s="265" t="n">
        <v>0</v>
      </c>
      <c r="AJ61" s="265" t="n">
        <v>0</v>
      </c>
      <c r="AK61" s="272" t="n">
        <v>0</v>
      </c>
      <c r="AL61" s="273"/>
      <c r="AM61" s="265" t="n">
        <v>9187472.43</v>
      </c>
      <c r="AN61" s="266"/>
      <c r="AO61" s="273"/>
      <c r="AP61" s="265" t="n">
        <v>7121810</v>
      </c>
      <c r="AQ61" s="274"/>
      <c r="AR61" s="265"/>
      <c r="AS61" s="265"/>
      <c r="AT61" s="265" t="n">
        <v>0</v>
      </c>
      <c r="AU61" s="265" t="n">
        <v>0</v>
      </c>
      <c r="AV61" s="265" t="n">
        <v>0</v>
      </c>
      <c r="AW61" s="265" t="n">
        <v>0</v>
      </c>
      <c r="AX61" s="265" t="n">
        <v>-965662.43</v>
      </c>
      <c r="AY61" s="265" t="n">
        <v>0</v>
      </c>
      <c r="AZ61" s="265" t="n">
        <v>965662.43</v>
      </c>
      <c r="BA61" s="265" t="n">
        <v>0</v>
      </c>
      <c r="BB61" s="265"/>
      <c r="BC61" s="265"/>
      <c r="BD61" s="265"/>
      <c r="BE61" s="265"/>
      <c r="BF61" s="265"/>
      <c r="BG61" s="265"/>
      <c r="BH61" s="265"/>
      <c r="BI61" s="265"/>
      <c r="BJ61" s="265"/>
      <c r="BK61" s="265"/>
      <c r="BL61" s="265"/>
      <c r="BM61" s="265"/>
      <c r="BN61" s="265"/>
      <c r="BO61" s="265"/>
      <c r="BP61" s="265"/>
      <c r="BQ61" s="267"/>
      <c r="BR61" s="266"/>
      <c r="BS61" s="276"/>
      <c r="BT61" s="266"/>
      <c r="BU61" s="277"/>
      <c r="BV61" s="266"/>
      <c r="BW61" s="278"/>
      <c r="BX61" s="278"/>
      <c r="BY61" s="265"/>
      <c r="BZ61" s="265"/>
      <c r="CA61" s="265" t="n">
        <v>0</v>
      </c>
      <c r="CB61" s="265"/>
      <c r="CC61" s="265"/>
      <c r="CD61" s="265"/>
      <c r="CE61" s="265"/>
      <c r="CF61" s="265"/>
      <c r="CG61" s="265"/>
      <c r="CH61" s="265"/>
      <c r="CI61" s="265"/>
      <c r="CJ61" s="265"/>
      <c r="CK61" s="266"/>
      <c r="CL61" s="266"/>
    </row>
    <row r="62" customFormat="false" ht="15.75" hidden="false" customHeight="false" outlineLevel="3" collapsed="false">
      <c r="A62" s="63" t="s">
        <v>563</v>
      </c>
      <c r="B62" s="63" t="s">
        <v>515</v>
      </c>
      <c r="C62" s="63" t="s">
        <v>494</v>
      </c>
      <c r="D62" s="63" t="s">
        <v>495</v>
      </c>
      <c r="E62" s="63" t="s">
        <v>564</v>
      </c>
      <c r="F62" s="63"/>
      <c r="G62" s="63" t="s">
        <v>517</v>
      </c>
      <c r="H62" s="63" t="s">
        <v>468</v>
      </c>
      <c r="I62" s="242" t="s">
        <v>468</v>
      </c>
      <c r="J62" s="243" t="n">
        <v>11904760</v>
      </c>
      <c r="K62" s="244" t="n">
        <v>11904760</v>
      </c>
      <c r="L62" s="246" t="n">
        <v>0</v>
      </c>
      <c r="M62" s="246" t="n">
        <v>0</v>
      </c>
      <c r="N62" s="246" t="n">
        <v>1</v>
      </c>
      <c r="O62" s="245" t="n">
        <v>0.850500136080022</v>
      </c>
      <c r="P62" s="246" t="n">
        <v>0.850500136080022</v>
      </c>
      <c r="Q62" s="246" t="n">
        <v>0</v>
      </c>
      <c r="R62" s="248" t="s">
        <v>453</v>
      </c>
      <c r="S62" s="249" t="n">
        <v>0.75</v>
      </c>
      <c r="T62" s="248" t="s">
        <v>536</v>
      </c>
      <c r="U62" s="250" t="n">
        <v>10125000</v>
      </c>
      <c r="V62" s="245" t="s">
        <v>426</v>
      </c>
      <c r="W62" s="245" t="n">
        <v>0</v>
      </c>
      <c r="X62" s="245" t="n">
        <v>0</v>
      </c>
      <c r="Y62" s="245" t="n">
        <v>0</v>
      </c>
      <c r="Z62" s="245" t="n">
        <v>0</v>
      </c>
      <c r="AA62" s="245" t="n">
        <v>0</v>
      </c>
      <c r="AB62" s="245" t="n">
        <v>0</v>
      </c>
      <c r="AC62" s="250" t="n">
        <v>10125000</v>
      </c>
      <c r="AD62" s="245" t="n">
        <v>0</v>
      </c>
      <c r="AE62" s="245" t="n">
        <v>0</v>
      </c>
      <c r="AF62" s="245" t="n">
        <v>0</v>
      </c>
      <c r="AG62" s="245" t="n">
        <v>0</v>
      </c>
      <c r="AH62" s="251" t="n">
        <v>0</v>
      </c>
      <c r="AI62" s="245" t="n">
        <v>0</v>
      </c>
      <c r="AJ62" s="245" t="n">
        <v>0</v>
      </c>
      <c r="AK62" s="252" t="n">
        <v>0</v>
      </c>
      <c r="AL62" s="253" t="n">
        <v>0</v>
      </c>
      <c r="AM62" s="245" t="n">
        <v>23513434.5</v>
      </c>
      <c r="AN62" s="253" t="n">
        <v>0</v>
      </c>
      <c r="AO62" s="253" t="n">
        <v>0</v>
      </c>
      <c r="AP62" s="245" t="n">
        <v>10125000</v>
      </c>
      <c r="AQ62" s="254" t="n">
        <v>1</v>
      </c>
      <c r="AR62" s="245" t="n">
        <v>10125000</v>
      </c>
      <c r="AS62" s="245" t="n">
        <v>0.850500136080022</v>
      </c>
      <c r="AT62" s="245" t="n">
        <v>0</v>
      </c>
      <c r="AU62" s="245" t="n">
        <v>0</v>
      </c>
      <c r="AV62" s="245" t="n">
        <v>0</v>
      </c>
      <c r="AW62" s="245" t="n">
        <v>0</v>
      </c>
      <c r="AX62" s="245" t="n">
        <v>-13388434.5</v>
      </c>
      <c r="AY62" s="245" t="n">
        <v>0</v>
      </c>
      <c r="AZ62" s="245" t="n">
        <v>13388434.5</v>
      </c>
      <c r="BA62" s="245" t="n">
        <v>0</v>
      </c>
      <c r="BB62" s="245" t="s">
        <v>423</v>
      </c>
      <c r="BC62" s="245" t="s">
        <v>423</v>
      </c>
      <c r="BD62" s="245" t="n">
        <v>0</v>
      </c>
      <c r="BE62" s="245" t="n">
        <v>0</v>
      </c>
      <c r="BF62" s="245" t="n">
        <v>0</v>
      </c>
      <c r="BG62" s="245" t="n">
        <v>0</v>
      </c>
      <c r="BH62" s="245" t="n">
        <v>-13388434.5</v>
      </c>
      <c r="BI62" s="245" t="n">
        <v>0</v>
      </c>
      <c r="BJ62" s="245" t="n">
        <v>13388434.5</v>
      </c>
      <c r="BK62" s="245" t="n">
        <v>0</v>
      </c>
      <c r="BL62" s="245" t="n">
        <v>10125000</v>
      </c>
      <c r="BM62" s="245" t="s">
        <v>427</v>
      </c>
      <c r="BN62" s="245" t="n">
        <v>0</v>
      </c>
      <c r="BO62" s="255" t="b">
        <f aca="false">FALSE()</f>
        <v>0</v>
      </c>
      <c r="BP62" s="255" t="n">
        <v>0</v>
      </c>
      <c r="BQ62" s="246" t="n">
        <v>0</v>
      </c>
      <c r="BR62" s="246" t="n">
        <v>0</v>
      </c>
      <c r="BS62" s="257" t="n">
        <v>79</v>
      </c>
      <c r="BT62" s="246" t="n">
        <v>0</v>
      </c>
      <c r="BU62" s="258" t="n">
        <v>0</v>
      </c>
      <c r="BV62" s="246" t="n">
        <v>169</v>
      </c>
      <c r="BW62" s="259" t="n">
        <v>0</v>
      </c>
      <c r="BX62" s="259" t="n">
        <v>0</v>
      </c>
      <c r="BY62" s="255" t="n">
        <v>0</v>
      </c>
      <c r="BZ62" s="255" t="n">
        <v>0</v>
      </c>
      <c r="CA62" s="255" t="n">
        <v>0</v>
      </c>
      <c r="CB62" s="255" t="n">
        <v>0</v>
      </c>
      <c r="CC62" s="255" t="n">
        <v>0</v>
      </c>
      <c r="CD62" s="255" t="n">
        <v>0</v>
      </c>
      <c r="CE62" s="255" t="n">
        <v>0</v>
      </c>
      <c r="CF62" s="255" t="n">
        <v>0</v>
      </c>
      <c r="CG62" s="255" t="n">
        <v>0</v>
      </c>
      <c r="CH62" s="255" t="n">
        <v>0</v>
      </c>
      <c r="CI62" s="255" t="n">
        <v>0</v>
      </c>
      <c r="CJ62" s="255" t="n">
        <v>0</v>
      </c>
      <c r="CK62" s="246" t="n">
        <v>0</v>
      </c>
      <c r="CL62" s="246" t="n">
        <v>0</v>
      </c>
    </row>
    <row r="63" customFormat="false" ht="15.75" hidden="false" customHeight="false" outlineLevel="3" collapsed="false">
      <c r="A63" s="63" t="s">
        <v>563</v>
      </c>
      <c r="B63" s="63" t="s">
        <v>515</v>
      </c>
      <c r="C63" s="63" t="s">
        <v>500</v>
      </c>
      <c r="D63" s="63" t="s">
        <v>501</v>
      </c>
      <c r="E63" s="63" t="s">
        <v>565</v>
      </c>
      <c r="F63" s="63"/>
      <c r="G63" s="63" t="s">
        <v>523</v>
      </c>
      <c r="H63" s="63" t="s">
        <v>468</v>
      </c>
      <c r="I63" s="242" t="s">
        <v>468</v>
      </c>
      <c r="J63" s="243" t="n">
        <v>20344</v>
      </c>
      <c r="K63" s="244" t="n">
        <v>20344</v>
      </c>
      <c r="L63" s="246" t="n">
        <v>0</v>
      </c>
      <c r="M63" s="246" t="n">
        <v>0</v>
      </c>
      <c r="N63" s="246" t="n">
        <v>1</v>
      </c>
      <c r="O63" s="245" t="n">
        <v>0</v>
      </c>
      <c r="P63" s="246" t="n">
        <v>0</v>
      </c>
      <c r="Q63" s="246" t="n">
        <v>0</v>
      </c>
      <c r="R63" s="248" t="n">
        <v>0</v>
      </c>
      <c r="S63" s="249" t="n">
        <v>1</v>
      </c>
      <c r="T63" s="248" t="s">
        <v>437</v>
      </c>
      <c r="U63" s="250" t="n">
        <v>0</v>
      </c>
      <c r="V63" s="245" t="s">
        <v>426</v>
      </c>
      <c r="W63" s="245" t="n">
        <v>0</v>
      </c>
      <c r="X63" s="245" t="n">
        <v>0</v>
      </c>
      <c r="Y63" s="245" t="n">
        <v>0</v>
      </c>
      <c r="Z63" s="245" t="n">
        <v>0</v>
      </c>
      <c r="AA63" s="245" t="n">
        <v>0</v>
      </c>
      <c r="AB63" s="245" t="n">
        <v>0</v>
      </c>
      <c r="AC63" s="250" t="n">
        <v>0</v>
      </c>
      <c r="AD63" s="245" t="n">
        <v>0</v>
      </c>
      <c r="AE63" s="245" t="n">
        <v>0</v>
      </c>
      <c r="AF63" s="245" t="n">
        <v>0</v>
      </c>
      <c r="AG63" s="245" t="n">
        <v>0</v>
      </c>
      <c r="AH63" s="251" t="n">
        <v>0</v>
      </c>
      <c r="AI63" s="245" t="n">
        <v>0</v>
      </c>
      <c r="AJ63" s="245" t="n">
        <v>0</v>
      </c>
      <c r="AK63" s="252" t="n">
        <v>0</v>
      </c>
      <c r="AL63" s="253" t="n">
        <v>0</v>
      </c>
      <c r="AM63" s="245" t="n">
        <v>3486752</v>
      </c>
      <c r="AN63" s="253" t="n">
        <v>0</v>
      </c>
      <c r="AO63" s="253" t="n">
        <v>0</v>
      </c>
      <c r="AP63" s="245" t="n">
        <v>0</v>
      </c>
      <c r="AQ63" s="254" t="n">
        <v>1</v>
      </c>
      <c r="AR63" s="245" t="n">
        <v>0</v>
      </c>
      <c r="AS63" s="245" t="n">
        <v>0</v>
      </c>
      <c r="AT63" s="245" t="n">
        <v>0</v>
      </c>
      <c r="AU63" s="245" t="n">
        <v>0</v>
      </c>
      <c r="AV63" s="245" t="n">
        <v>0</v>
      </c>
      <c r="AW63" s="245" t="n">
        <v>0</v>
      </c>
      <c r="AX63" s="245" t="n">
        <v>-3486752</v>
      </c>
      <c r="AY63" s="245" t="n">
        <v>0</v>
      </c>
      <c r="AZ63" s="245" t="n">
        <v>3486752</v>
      </c>
      <c r="BA63" s="245" t="n">
        <v>0</v>
      </c>
      <c r="BB63" s="245" t="s">
        <v>423</v>
      </c>
      <c r="BC63" s="245" t="s">
        <v>423</v>
      </c>
      <c r="BD63" s="245" t="n">
        <v>0</v>
      </c>
      <c r="BE63" s="245" t="n">
        <v>0</v>
      </c>
      <c r="BF63" s="245" t="n">
        <v>0</v>
      </c>
      <c r="BG63" s="245" t="n">
        <v>0</v>
      </c>
      <c r="BH63" s="245" t="n">
        <v>-3486752</v>
      </c>
      <c r="BI63" s="245" t="n">
        <v>0</v>
      </c>
      <c r="BJ63" s="245" t="n">
        <v>3486752</v>
      </c>
      <c r="BK63" s="245" t="n">
        <v>0</v>
      </c>
      <c r="BL63" s="245" t="n">
        <v>0</v>
      </c>
      <c r="BM63" s="245" t="s">
        <v>427</v>
      </c>
      <c r="BN63" s="245" t="n">
        <v>0</v>
      </c>
      <c r="BO63" s="255" t="b">
        <f aca="false">FALSE()</f>
        <v>0</v>
      </c>
      <c r="BP63" s="255" t="n">
        <v>0</v>
      </c>
      <c r="BQ63" s="246" t="n">
        <v>0</v>
      </c>
      <c r="BR63" s="246" t="n">
        <v>0</v>
      </c>
      <c r="BS63" s="257" t="n">
        <v>79</v>
      </c>
      <c r="BT63" s="246" t="n">
        <v>0</v>
      </c>
      <c r="BU63" s="258" t="n">
        <v>0</v>
      </c>
      <c r="BV63" s="246" t="n">
        <v>170</v>
      </c>
      <c r="BW63" s="259" t="n">
        <v>0</v>
      </c>
      <c r="BX63" s="259" t="n">
        <v>0</v>
      </c>
      <c r="BY63" s="255" t="n">
        <v>0</v>
      </c>
      <c r="BZ63" s="255" t="n">
        <v>0</v>
      </c>
      <c r="CA63" s="255" t="n">
        <v>0</v>
      </c>
      <c r="CB63" s="255" t="n">
        <v>0</v>
      </c>
      <c r="CC63" s="255" t="n">
        <v>0</v>
      </c>
      <c r="CD63" s="255" t="n">
        <v>0</v>
      </c>
      <c r="CE63" s="255" t="n">
        <v>0</v>
      </c>
      <c r="CF63" s="255" t="n">
        <v>0</v>
      </c>
      <c r="CG63" s="255" t="n">
        <v>0</v>
      </c>
      <c r="CH63" s="255" t="n">
        <v>0</v>
      </c>
      <c r="CI63" s="255" t="n">
        <v>0</v>
      </c>
      <c r="CJ63" s="255" t="n">
        <v>0</v>
      </c>
      <c r="CK63" s="246" t="n">
        <v>0</v>
      </c>
      <c r="CL63" s="246" t="n">
        <v>0</v>
      </c>
    </row>
    <row r="64" customFormat="false" ht="15.75" hidden="false" customHeight="false" outlineLevel="3" collapsed="false">
      <c r="A64" s="63" t="s">
        <v>563</v>
      </c>
      <c r="B64" s="63" t="s">
        <v>515</v>
      </c>
      <c r="C64" s="63" t="s">
        <v>500</v>
      </c>
      <c r="D64" s="63" t="s">
        <v>501</v>
      </c>
      <c r="E64" s="63" t="s">
        <v>566</v>
      </c>
      <c r="F64" s="63"/>
      <c r="G64" s="63" t="s">
        <v>523</v>
      </c>
      <c r="H64" s="63" t="s">
        <v>468</v>
      </c>
      <c r="I64" s="242" t="s">
        <v>468</v>
      </c>
      <c r="J64" s="243" t="n">
        <v>1</v>
      </c>
      <c r="K64" s="244" t="n">
        <v>1</v>
      </c>
      <c r="L64" s="246" t="n">
        <v>0</v>
      </c>
      <c r="M64" s="246" t="n">
        <v>0</v>
      </c>
      <c r="N64" s="246" t="n">
        <v>1</v>
      </c>
      <c r="O64" s="245" t="n">
        <v>0</v>
      </c>
      <c r="P64" s="246" t="n">
        <v>0</v>
      </c>
      <c r="Q64" s="246" t="n">
        <v>0</v>
      </c>
      <c r="R64" s="248" t="s">
        <v>453</v>
      </c>
      <c r="S64" s="249" t="n">
        <v>0.75</v>
      </c>
      <c r="T64" s="248" t="s">
        <v>437</v>
      </c>
      <c r="U64" s="250" t="n">
        <v>0</v>
      </c>
      <c r="V64" s="245" t="s">
        <v>426</v>
      </c>
      <c r="W64" s="245" t="n">
        <v>0</v>
      </c>
      <c r="X64" s="245" t="n">
        <v>0</v>
      </c>
      <c r="Y64" s="245" t="n">
        <v>0</v>
      </c>
      <c r="Z64" s="245" t="n">
        <v>0</v>
      </c>
      <c r="AA64" s="245" t="n">
        <v>0</v>
      </c>
      <c r="AB64" s="245" t="n">
        <v>0</v>
      </c>
      <c r="AC64" s="250" t="n">
        <v>0</v>
      </c>
      <c r="AD64" s="245" t="n">
        <v>0</v>
      </c>
      <c r="AE64" s="245" t="n">
        <v>0</v>
      </c>
      <c r="AF64" s="245" t="n">
        <v>0</v>
      </c>
      <c r="AG64" s="245" t="n">
        <v>0</v>
      </c>
      <c r="AH64" s="251" t="n">
        <v>0</v>
      </c>
      <c r="AI64" s="245" t="n">
        <v>0</v>
      </c>
      <c r="AJ64" s="245" t="n">
        <v>0</v>
      </c>
      <c r="AK64" s="252" t="n">
        <v>0</v>
      </c>
      <c r="AL64" s="253" t="n">
        <v>0</v>
      </c>
      <c r="AM64" s="245" t="n">
        <v>1374750</v>
      </c>
      <c r="AN64" s="253" t="n">
        <v>0</v>
      </c>
      <c r="AO64" s="253" t="n">
        <v>0</v>
      </c>
      <c r="AP64" s="245" t="n">
        <v>0</v>
      </c>
      <c r="AQ64" s="254" t="n">
        <v>1</v>
      </c>
      <c r="AR64" s="245" t="n">
        <v>0</v>
      </c>
      <c r="AS64" s="245" t="n">
        <v>0</v>
      </c>
      <c r="AT64" s="245" t="n">
        <v>0</v>
      </c>
      <c r="AU64" s="245" t="n">
        <v>0</v>
      </c>
      <c r="AV64" s="245" t="n">
        <v>0</v>
      </c>
      <c r="AW64" s="245" t="n">
        <v>0</v>
      </c>
      <c r="AX64" s="245" t="n">
        <v>-1374750</v>
      </c>
      <c r="AY64" s="245" t="n">
        <v>0</v>
      </c>
      <c r="AZ64" s="245" t="n">
        <v>1374750</v>
      </c>
      <c r="BA64" s="245" t="n">
        <v>0</v>
      </c>
      <c r="BB64" s="245" t="s">
        <v>423</v>
      </c>
      <c r="BC64" s="245" t="s">
        <v>423</v>
      </c>
      <c r="BD64" s="245" t="n">
        <v>0</v>
      </c>
      <c r="BE64" s="245" t="n">
        <v>0</v>
      </c>
      <c r="BF64" s="245" t="n">
        <v>0</v>
      </c>
      <c r="BG64" s="245" t="n">
        <v>0</v>
      </c>
      <c r="BH64" s="245" t="n">
        <v>-1374750</v>
      </c>
      <c r="BI64" s="245" t="n">
        <v>0</v>
      </c>
      <c r="BJ64" s="245" t="n">
        <v>1374750</v>
      </c>
      <c r="BK64" s="245" t="n">
        <v>0</v>
      </c>
      <c r="BL64" s="245" t="n">
        <v>0</v>
      </c>
      <c r="BM64" s="245" t="s">
        <v>438</v>
      </c>
      <c r="BN64" s="245" t="n">
        <v>0</v>
      </c>
      <c r="BO64" s="255" t="b">
        <f aca="false">FALSE()</f>
        <v>0</v>
      </c>
      <c r="BP64" s="255" t="n">
        <v>0</v>
      </c>
      <c r="BQ64" s="246" t="n">
        <v>0</v>
      </c>
      <c r="BR64" s="246" t="n">
        <v>0</v>
      </c>
      <c r="BS64" s="257" t="n">
        <v>79</v>
      </c>
      <c r="BT64" s="246" t="n">
        <v>0</v>
      </c>
      <c r="BU64" s="258" t="n">
        <v>0</v>
      </c>
      <c r="BV64" s="246" t="n">
        <v>171</v>
      </c>
      <c r="BW64" s="259" t="n">
        <v>0</v>
      </c>
      <c r="BX64" s="259" t="n">
        <v>0</v>
      </c>
      <c r="BY64" s="255" t="n">
        <v>0</v>
      </c>
      <c r="BZ64" s="255" t="n">
        <v>0</v>
      </c>
      <c r="CA64" s="255" t="n">
        <v>0</v>
      </c>
      <c r="CB64" s="255" t="n">
        <v>0</v>
      </c>
      <c r="CC64" s="255" t="n">
        <v>0</v>
      </c>
      <c r="CD64" s="255" t="n">
        <v>0</v>
      </c>
      <c r="CE64" s="255" t="n">
        <v>0</v>
      </c>
      <c r="CF64" s="255" t="n">
        <v>0</v>
      </c>
      <c r="CG64" s="255" t="n">
        <v>0</v>
      </c>
      <c r="CH64" s="255" t="n">
        <v>0</v>
      </c>
      <c r="CI64" s="255" t="n">
        <v>0</v>
      </c>
      <c r="CJ64" s="255" t="n">
        <v>0</v>
      </c>
      <c r="CK64" s="246" t="n">
        <v>0</v>
      </c>
      <c r="CL64" s="246" t="n">
        <v>0</v>
      </c>
    </row>
    <row r="65" customFormat="false" ht="20.1" hidden="false" customHeight="true" outlineLevel="2" collapsed="false">
      <c r="A65" s="261" t="s">
        <v>567</v>
      </c>
      <c r="B65" s="261"/>
      <c r="C65" s="261"/>
      <c r="D65" s="261"/>
      <c r="E65" s="261"/>
      <c r="F65" s="261"/>
      <c r="G65" s="261"/>
      <c r="H65" s="261"/>
      <c r="I65" s="262"/>
      <c r="J65" s="263"/>
      <c r="K65" s="264"/>
      <c r="L65" s="266"/>
      <c r="M65" s="266"/>
      <c r="N65" s="266"/>
      <c r="O65" s="265"/>
      <c r="P65" s="266"/>
      <c r="Q65" s="266"/>
      <c r="R65" s="268" t="n">
        <v>0</v>
      </c>
      <c r="S65" s="269" t="n">
        <v>2.5</v>
      </c>
      <c r="T65" s="268" t="n">
        <v>0</v>
      </c>
      <c r="U65" s="270" t="n">
        <v>10125000</v>
      </c>
      <c r="V65" s="265"/>
      <c r="W65" s="265" t="n">
        <v>0</v>
      </c>
      <c r="X65" s="265" t="n">
        <v>0</v>
      </c>
      <c r="Y65" s="265" t="n">
        <v>0</v>
      </c>
      <c r="Z65" s="265" t="n">
        <v>0</v>
      </c>
      <c r="AA65" s="265" t="n">
        <v>0</v>
      </c>
      <c r="AB65" s="265" t="n">
        <v>0</v>
      </c>
      <c r="AC65" s="270" t="n">
        <v>10125000</v>
      </c>
      <c r="AD65" s="265" t="n">
        <v>0</v>
      </c>
      <c r="AE65" s="265" t="n">
        <v>0</v>
      </c>
      <c r="AF65" s="265" t="n">
        <v>0</v>
      </c>
      <c r="AG65" s="265" t="n">
        <v>0</v>
      </c>
      <c r="AH65" s="271" t="n">
        <v>0</v>
      </c>
      <c r="AI65" s="265" t="n">
        <v>0</v>
      </c>
      <c r="AJ65" s="265" t="n">
        <v>0</v>
      </c>
      <c r="AK65" s="272" t="n">
        <v>0</v>
      </c>
      <c r="AL65" s="273"/>
      <c r="AM65" s="265" t="n">
        <v>28374936.5</v>
      </c>
      <c r="AN65" s="273"/>
      <c r="AO65" s="273"/>
      <c r="AP65" s="265" t="n">
        <v>10125000</v>
      </c>
      <c r="AQ65" s="274"/>
      <c r="AR65" s="265"/>
      <c r="AS65" s="265"/>
      <c r="AT65" s="265" t="n">
        <v>0</v>
      </c>
      <c r="AU65" s="265" t="n">
        <v>0</v>
      </c>
      <c r="AV65" s="265" t="n">
        <v>0</v>
      </c>
      <c r="AW65" s="265" t="n">
        <v>0</v>
      </c>
      <c r="AX65" s="265" t="n">
        <v>-18249936.5</v>
      </c>
      <c r="AY65" s="265" t="n">
        <v>0</v>
      </c>
      <c r="AZ65" s="265" t="n">
        <v>18249936.5</v>
      </c>
      <c r="BA65" s="265" t="n">
        <v>0</v>
      </c>
      <c r="BB65" s="265"/>
      <c r="BC65" s="265"/>
      <c r="BD65" s="265"/>
      <c r="BE65" s="265"/>
      <c r="BF65" s="265"/>
      <c r="BG65" s="265"/>
      <c r="BH65" s="265"/>
      <c r="BI65" s="265"/>
      <c r="BJ65" s="265"/>
      <c r="BK65" s="265"/>
      <c r="BL65" s="265"/>
      <c r="BM65" s="265"/>
      <c r="BN65" s="265"/>
      <c r="BO65" s="265"/>
      <c r="BP65" s="265"/>
      <c r="BQ65" s="266"/>
      <c r="BR65" s="266"/>
      <c r="BS65" s="276"/>
      <c r="BT65" s="266"/>
      <c r="BU65" s="277"/>
      <c r="BV65" s="266"/>
      <c r="BW65" s="278"/>
      <c r="BX65" s="278"/>
      <c r="BY65" s="265"/>
      <c r="BZ65" s="265"/>
      <c r="CA65" s="265" t="n">
        <v>0</v>
      </c>
      <c r="CB65" s="265"/>
      <c r="CC65" s="265"/>
      <c r="CD65" s="265"/>
      <c r="CE65" s="265"/>
      <c r="CF65" s="265"/>
      <c r="CG65" s="265"/>
      <c r="CH65" s="265"/>
      <c r="CI65" s="265"/>
      <c r="CJ65" s="265"/>
      <c r="CK65" s="266"/>
      <c r="CL65" s="266"/>
    </row>
    <row r="66" customFormat="false" ht="15.75" hidden="false" customHeight="false" outlineLevel="3" collapsed="false">
      <c r="A66" s="63" t="s">
        <v>568</v>
      </c>
      <c r="B66" s="63" t="s">
        <v>515</v>
      </c>
      <c r="C66" s="63" t="s">
        <v>500</v>
      </c>
      <c r="D66" s="63" t="s">
        <v>501</v>
      </c>
      <c r="E66" s="63" t="s">
        <v>569</v>
      </c>
      <c r="F66" s="63" t="s">
        <v>570</v>
      </c>
      <c r="G66" s="63" t="s">
        <v>523</v>
      </c>
      <c r="H66" s="63" t="s">
        <v>468</v>
      </c>
      <c r="I66" s="242" t="s">
        <v>468</v>
      </c>
      <c r="J66" s="244" t="n">
        <v>1.562501E-007</v>
      </c>
      <c r="K66" s="244" t="n">
        <v>1.562501E-007</v>
      </c>
      <c r="L66" s="246" t="n">
        <v>0.0474358195006101</v>
      </c>
      <c r="M66" s="246" t="n">
        <v>0</v>
      </c>
      <c r="N66" s="246" t="n">
        <v>0.869691016938044</v>
      </c>
      <c r="O66" s="245" t="n">
        <v>3.02099818164576</v>
      </c>
      <c r="P66" s="246" t="n">
        <v>3.02043413182966</v>
      </c>
      <c r="Q66" s="246" t="n">
        <v>0.000564049816101253</v>
      </c>
      <c r="R66" s="248" t="n">
        <v>0</v>
      </c>
      <c r="S66" s="249" t="n">
        <v>1</v>
      </c>
      <c r="T66" s="248" t="s">
        <v>437</v>
      </c>
      <c r="U66" s="250" t="n">
        <v>4.72031267981969E-007</v>
      </c>
      <c r="V66" s="245" t="s">
        <v>426</v>
      </c>
      <c r="W66" s="245" t="n">
        <v>0</v>
      </c>
      <c r="X66" s="245" t="n">
        <v>0</v>
      </c>
      <c r="Y66" s="245" t="n">
        <v>0</v>
      </c>
      <c r="Z66" s="245" t="n">
        <v>0</v>
      </c>
      <c r="AA66" s="245" t="n">
        <v>0</v>
      </c>
      <c r="AB66" s="245" t="n">
        <v>0</v>
      </c>
      <c r="AC66" s="250" t="n">
        <v>4.71943135141798E-007</v>
      </c>
      <c r="AD66" s="245" t="n">
        <v>8.8132840170812E-011</v>
      </c>
      <c r="AE66" s="245" t="n">
        <v>0</v>
      </c>
      <c r="AF66" s="245" t="n">
        <v>-8.8132840170812E-011</v>
      </c>
      <c r="AG66" s="245" t="n">
        <v>0</v>
      </c>
      <c r="AH66" s="251" t="n">
        <v>-1.46932165739609E-008</v>
      </c>
      <c r="AI66" s="245" t="n">
        <v>0</v>
      </c>
      <c r="AJ66" s="245" t="n">
        <v>1.46932165739609E-008</v>
      </c>
      <c r="AK66" s="252" t="n">
        <v>0</v>
      </c>
      <c r="AL66" s="253" t="n">
        <v>0</v>
      </c>
      <c r="AM66" s="245" t="n">
        <v>944689.407381863</v>
      </c>
      <c r="AN66" s="253" t="n">
        <v>0</v>
      </c>
      <c r="AO66" s="253" t="n">
        <v>4.52122943973689E-008</v>
      </c>
      <c r="AP66" s="245" t="n">
        <v>1711868.38818415</v>
      </c>
      <c r="AQ66" s="254" t="n">
        <v>1</v>
      </c>
      <c r="AR66" s="245" t="n">
        <v>8.28924781030594E-007</v>
      </c>
      <c r="AS66" s="245" t="n">
        <v>6.1</v>
      </c>
      <c r="AT66" s="245" t="n">
        <v>-4.66713945998807E-009</v>
      </c>
      <c r="AU66" s="245" t="n">
        <v>0</v>
      </c>
      <c r="AV66" s="245" t="n">
        <v>4.66713945998807E-009</v>
      </c>
      <c r="AW66" s="245" t="n">
        <v>0</v>
      </c>
      <c r="AX66" s="245" t="n">
        <v>-405169.447381391</v>
      </c>
      <c r="AY66" s="245" t="n">
        <v>0</v>
      </c>
      <c r="AZ66" s="245" t="n">
        <v>405169.447381391</v>
      </c>
      <c r="BA66" s="245" t="n">
        <v>0</v>
      </c>
      <c r="BB66" s="245" t="n">
        <v>5.74</v>
      </c>
      <c r="BC66" s="245" t="n">
        <v>5.76</v>
      </c>
      <c r="BD66" s="245" t="n">
        <v>-4.75527230015888E-009</v>
      </c>
      <c r="BE66" s="245" t="n">
        <v>0</v>
      </c>
      <c r="BF66" s="245" t="n">
        <v>4.75527230015888E-009</v>
      </c>
      <c r="BG66" s="245" t="n">
        <v>0</v>
      </c>
      <c r="BH66" s="245" t="n">
        <v>-405169.447381391</v>
      </c>
      <c r="BI66" s="245" t="n">
        <v>0</v>
      </c>
      <c r="BJ66" s="245" t="n">
        <v>405169.447381391</v>
      </c>
      <c r="BK66" s="245" t="n">
        <v>0</v>
      </c>
      <c r="BL66" s="245" t="n">
        <v>1711868.38818415</v>
      </c>
      <c r="BM66" s="245" t="s">
        <v>438</v>
      </c>
      <c r="BN66" s="245" t="n">
        <v>0</v>
      </c>
      <c r="BO66" s="255" t="b">
        <f aca="false">FALSE()</f>
        <v>0</v>
      </c>
      <c r="BP66" s="255" t="n">
        <v>1.47813494141317E-008</v>
      </c>
      <c r="BQ66" s="246" t="n">
        <v>0</v>
      </c>
      <c r="BR66" s="246" t="n">
        <v>50000</v>
      </c>
      <c r="BS66" s="257" t="n">
        <v>80</v>
      </c>
      <c r="BT66" s="246" t="n">
        <v>0</v>
      </c>
      <c r="BU66" s="258" t="n">
        <v>1.35889308365671E-007</v>
      </c>
      <c r="BV66" s="246" t="n">
        <v>173</v>
      </c>
      <c r="BW66" s="259" t="n">
        <v>5.74</v>
      </c>
      <c r="BX66" s="259" t="n">
        <v>5.74</v>
      </c>
      <c r="BY66" s="255" t="n">
        <v>0</v>
      </c>
      <c r="BZ66" s="255" t="n">
        <v>0</v>
      </c>
      <c r="CA66" s="255" t="n">
        <v>0</v>
      </c>
      <c r="CB66" s="255" t="n">
        <v>-539519.96</v>
      </c>
      <c r="CC66" s="255" t="n">
        <v>0</v>
      </c>
      <c r="CD66" s="255" t="n">
        <v>0</v>
      </c>
      <c r="CE66" s="255" t="n">
        <v>0</v>
      </c>
      <c r="CF66" s="255" t="n">
        <v>0</v>
      </c>
      <c r="CG66" s="255" t="n">
        <v>-1.47813494141317E-008</v>
      </c>
      <c r="CH66" s="255" t="n">
        <v>0</v>
      </c>
      <c r="CI66" s="255" t="n">
        <v>1.47813494141317E-008</v>
      </c>
      <c r="CJ66" s="255" t="n">
        <v>0</v>
      </c>
      <c r="CK66" s="246" t="n">
        <v>0</v>
      </c>
      <c r="CL66" s="246" t="n">
        <v>0</v>
      </c>
    </row>
    <row r="67" customFormat="false" ht="15.75" hidden="false" customHeight="false" outlineLevel="3" collapsed="false">
      <c r="A67" s="63" t="s">
        <v>568</v>
      </c>
      <c r="B67" s="63" t="s">
        <v>515</v>
      </c>
      <c r="C67" s="63" t="s">
        <v>500</v>
      </c>
      <c r="D67" s="63" t="s">
        <v>501</v>
      </c>
      <c r="E67" s="63" t="s">
        <v>571</v>
      </c>
      <c r="F67" s="63" t="s">
        <v>466</v>
      </c>
      <c r="G67" s="63" t="s">
        <v>523</v>
      </c>
      <c r="H67" s="63" t="s">
        <v>468</v>
      </c>
      <c r="I67" s="242" t="s">
        <v>468</v>
      </c>
      <c r="J67" s="244" t="n">
        <v>7.8E-015</v>
      </c>
      <c r="K67" s="244" t="n">
        <v>7.8E-015</v>
      </c>
      <c r="L67" s="246" t="n">
        <v>0.0342883118364814</v>
      </c>
      <c r="M67" s="246" t="n">
        <v>0.5</v>
      </c>
      <c r="N67" s="246" t="n">
        <v>0.299180712164844</v>
      </c>
      <c r="O67" s="245" t="n">
        <v>1.43235095882812</v>
      </c>
      <c r="P67" s="246" t="n">
        <v>1.43312815745542</v>
      </c>
      <c r="Q67" s="246" t="n">
        <v>-0.000777198627293529</v>
      </c>
      <c r="R67" s="248" t="s">
        <v>448</v>
      </c>
      <c r="S67" s="249" t="n">
        <v>0.6</v>
      </c>
      <c r="T67" s="248" t="s">
        <v>437</v>
      </c>
      <c r="U67" s="250" t="n">
        <v>1.11723374788594E-014</v>
      </c>
      <c r="V67" s="245" t="s">
        <v>426</v>
      </c>
      <c r="W67" s="245" t="n">
        <v>1.8960577633447E-014</v>
      </c>
      <c r="X67" s="245" t="n">
        <v>0</v>
      </c>
      <c r="Y67" s="245" t="n">
        <v>1.8960577633447E-014</v>
      </c>
      <c r="Z67" s="245" t="n">
        <v>0</v>
      </c>
      <c r="AA67" s="245" t="n">
        <v>0</v>
      </c>
      <c r="AB67" s="245" t="n">
        <v>0</v>
      </c>
      <c r="AC67" s="250" t="n">
        <v>1.11783996281522E-014</v>
      </c>
      <c r="AD67" s="245" t="n">
        <v>-6.0621492928891E-018</v>
      </c>
      <c r="AE67" s="245" t="n">
        <v>0</v>
      </c>
      <c r="AF67" s="245" t="n">
        <v>6.0621492928891E-018</v>
      </c>
      <c r="AG67" s="245" t="n">
        <v>0</v>
      </c>
      <c r="AH67" s="251" t="n">
        <v>-1.64731671504876E-015</v>
      </c>
      <c r="AI67" s="245" t="n">
        <v>0</v>
      </c>
      <c r="AJ67" s="245" t="n">
        <v>1.64731671504876E-015</v>
      </c>
      <c r="AK67" s="252" t="n">
        <v>0</v>
      </c>
      <c r="AL67" s="253" t="n">
        <v>0</v>
      </c>
      <c r="AM67" s="245" t="n">
        <v>211764.863077662</v>
      </c>
      <c r="AN67" s="253" t="n">
        <v>0</v>
      </c>
      <c r="AO67" s="253" t="n">
        <v>4.34604352527401E-015</v>
      </c>
      <c r="AP67" s="245" t="n">
        <v>140980.707686113</v>
      </c>
      <c r="AQ67" s="254" t="n">
        <v>1</v>
      </c>
      <c r="AR67" s="245" t="n">
        <v>3.7921155266894E-014</v>
      </c>
      <c r="AS67" s="245" t="n">
        <v>16.25</v>
      </c>
      <c r="AT67" s="245" t="n">
        <v>-6.54437284817692E-016</v>
      </c>
      <c r="AU67" s="245" t="n">
        <v>0</v>
      </c>
      <c r="AV67" s="245" t="n">
        <v>6.54437284817692E-016</v>
      </c>
      <c r="AW67" s="245" t="n">
        <v>0</v>
      </c>
      <c r="AX67" s="245" t="n">
        <v>-149364.863077662</v>
      </c>
      <c r="AY67" s="245" t="n">
        <v>0</v>
      </c>
      <c r="AZ67" s="245" t="n">
        <v>149364.863077662</v>
      </c>
      <c r="BA67" s="245" t="n">
        <v>0</v>
      </c>
      <c r="BB67" s="245" t="n">
        <v>14.73</v>
      </c>
      <c r="BC67" s="245" t="n">
        <v>15</v>
      </c>
      <c r="BD67" s="245" t="n">
        <v>-6.48375135524803E-016</v>
      </c>
      <c r="BE67" s="245" t="n">
        <v>0</v>
      </c>
      <c r="BF67" s="245" t="n">
        <v>6.48375135524803E-016</v>
      </c>
      <c r="BG67" s="245" t="n">
        <v>0</v>
      </c>
      <c r="BH67" s="245" t="n">
        <v>-149364.863077662</v>
      </c>
      <c r="BI67" s="245" t="n">
        <v>0</v>
      </c>
      <c r="BJ67" s="245" t="n">
        <v>149364.863077662</v>
      </c>
      <c r="BK67" s="245" t="n">
        <v>0</v>
      </c>
      <c r="BL67" s="245" t="n">
        <v>140980.707686113</v>
      </c>
      <c r="BM67" s="245" t="s">
        <v>438</v>
      </c>
      <c r="BN67" s="245" t="n">
        <v>0</v>
      </c>
      <c r="BO67" s="255" t="b">
        <f aca="false">FALSE()</f>
        <v>0</v>
      </c>
      <c r="BP67" s="255" t="n">
        <v>1.64125456575587E-015</v>
      </c>
      <c r="BQ67" s="246" t="n">
        <v>0</v>
      </c>
      <c r="BR67" s="246" t="n">
        <v>0</v>
      </c>
      <c r="BS67" s="257" t="n">
        <v>80</v>
      </c>
      <c r="BT67" s="246" t="n">
        <v>0</v>
      </c>
      <c r="BU67" s="258" t="n">
        <v>2.33360955488578E-015</v>
      </c>
      <c r="BV67" s="246" t="n">
        <v>176</v>
      </c>
      <c r="BW67" s="259" t="n">
        <v>14.73</v>
      </c>
      <c r="BX67" s="259" t="n">
        <v>14.73</v>
      </c>
      <c r="BY67" s="255" t="n">
        <v>0</v>
      </c>
      <c r="BZ67" s="255" t="n">
        <v>0</v>
      </c>
      <c r="CA67" s="255" t="n">
        <v>0</v>
      </c>
      <c r="CB67" s="255" t="n">
        <v>-62400</v>
      </c>
      <c r="CC67" s="255" t="n">
        <v>0</v>
      </c>
      <c r="CD67" s="255" t="n">
        <v>0</v>
      </c>
      <c r="CE67" s="255" t="n">
        <v>0</v>
      </c>
      <c r="CF67" s="255" t="n">
        <v>0</v>
      </c>
      <c r="CG67" s="255" t="n">
        <v>-1.64125456575587E-015</v>
      </c>
      <c r="CH67" s="255" t="n">
        <v>0</v>
      </c>
      <c r="CI67" s="255" t="n">
        <v>1.64125456575587E-015</v>
      </c>
      <c r="CJ67" s="255" t="n">
        <v>0</v>
      </c>
      <c r="CK67" s="246" t="n">
        <v>0.5</v>
      </c>
      <c r="CL67" s="246" t="n">
        <v>0</v>
      </c>
    </row>
    <row r="68" customFormat="false" ht="20.1" hidden="false" customHeight="true" outlineLevel="2" collapsed="false">
      <c r="A68" s="261" t="s">
        <v>572</v>
      </c>
      <c r="B68" s="261"/>
      <c r="C68" s="261"/>
      <c r="D68" s="261"/>
      <c r="E68" s="261"/>
      <c r="F68" s="261"/>
      <c r="G68" s="261"/>
      <c r="H68" s="261"/>
      <c r="I68" s="262"/>
      <c r="J68" s="264"/>
      <c r="K68" s="264"/>
      <c r="L68" s="266"/>
      <c r="M68" s="266"/>
      <c r="N68" s="266"/>
      <c r="O68" s="265"/>
      <c r="P68" s="266"/>
      <c r="Q68" s="266"/>
      <c r="R68" s="268" t="n">
        <v>0</v>
      </c>
      <c r="S68" s="269" t="n">
        <v>1.6</v>
      </c>
      <c r="T68" s="268" t="n">
        <v>0</v>
      </c>
      <c r="U68" s="270" t="n">
        <v>4.72031279154306E-007</v>
      </c>
      <c r="V68" s="265"/>
      <c r="W68" s="265" t="n">
        <v>1.8960577633447E-014</v>
      </c>
      <c r="X68" s="265" t="n">
        <v>0</v>
      </c>
      <c r="Y68" s="265" t="n">
        <v>1.8960577633447E-014</v>
      </c>
      <c r="Z68" s="265" t="n">
        <v>0</v>
      </c>
      <c r="AA68" s="265" t="n">
        <v>0</v>
      </c>
      <c r="AB68" s="265" t="n">
        <v>0</v>
      </c>
      <c r="AC68" s="270" t="n">
        <v>4.71943146320198E-007</v>
      </c>
      <c r="AD68" s="265" t="n">
        <v>8.81328341086627E-011</v>
      </c>
      <c r="AE68" s="265" t="n">
        <v>0</v>
      </c>
      <c r="AF68" s="265" t="n">
        <v>-8.81328341086627E-011</v>
      </c>
      <c r="AG68" s="265" t="n">
        <v>0</v>
      </c>
      <c r="AH68" s="271" t="n">
        <v>-1.46932182212776E-008</v>
      </c>
      <c r="AI68" s="265" t="n">
        <v>0</v>
      </c>
      <c r="AJ68" s="265" t="n">
        <v>1.46932182212776E-008</v>
      </c>
      <c r="AK68" s="272" t="n">
        <v>0</v>
      </c>
      <c r="AL68" s="273"/>
      <c r="AM68" s="265" t="n">
        <v>1156454.27045953</v>
      </c>
      <c r="AN68" s="273"/>
      <c r="AO68" s="273"/>
      <c r="AP68" s="265" t="n">
        <v>1852849.09587026</v>
      </c>
      <c r="AQ68" s="274"/>
      <c r="AR68" s="265"/>
      <c r="AS68" s="265"/>
      <c r="AT68" s="265" t="n">
        <v>-4.66714011442536E-009</v>
      </c>
      <c r="AU68" s="265" t="n">
        <v>0</v>
      </c>
      <c r="AV68" s="265" t="n">
        <v>4.66714011442536E-009</v>
      </c>
      <c r="AW68" s="265" t="n">
        <v>0</v>
      </c>
      <c r="AX68" s="265" t="n">
        <v>-554534.310459053</v>
      </c>
      <c r="AY68" s="265" t="n">
        <v>0</v>
      </c>
      <c r="AZ68" s="265" t="n">
        <v>554534.310459053</v>
      </c>
      <c r="BA68" s="265" t="n">
        <v>0</v>
      </c>
      <c r="BB68" s="265"/>
      <c r="BC68" s="265"/>
      <c r="BD68" s="265"/>
      <c r="BE68" s="265"/>
      <c r="BF68" s="265"/>
      <c r="BG68" s="265"/>
      <c r="BH68" s="265"/>
      <c r="BI68" s="265"/>
      <c r="BJ68" s="265"/>
      <c r="BK68" s="265"/>
      <c r="BL68" s="265"/>
      <c r="BM68" s="265"/>
      <c r="BN68" s="265"/>
      <c r="BO68" s="265"/>
      <c r="BP68" s="265"/>
      <c r="BQ68" s="266"/>
      <c r="BR68" s="266"/>
      <c r="BS68" s="276"/>
      <c r="BT68" s="266"/>
      <c r="BU68" s="277"/>
      <c r="BV68" s="266"/>
      <c r="BW68" s="278"/>
      <c r="BX68" s="278"/>
      <c r="BY68" s="265"/>
      <c r="BZ68" s="265"/>
      <c r="CA68" s="265" t="n">
        <v>0</v>
      </c>
      <c r="CB68" s="265"/>
      <c r="CC68" s="265"/>
      <c r="CD68" s="265"/>
      <c r="CE68" s="265"/>
      <c r="CF68" s="265"/>
      <c r="CG68" s="265"/>
      <c r="CH68" s="265"/>
      <c r="CI68" s="265"/>
      <c r="CJ68" s="265"/>
      <c r="CK68" s="266"/>
      <c r="CL68" s="266"/>
    </row>
    <row r="69" customFormat="false" ht="15.75" hidden="false" customHeight="false" outlineLevel="3" collapsed="false">
      <c r="A69" s="63" t="s">
        <v>573</v>
      </c>
      <c r="B69" s="63" t="s">
        <v>515</v>
      </c>
      <c r="C69" s="63" t="s">
        <v>548</v>
      </c>
      <c r="D69" s="63" t="s">
        <v>549</v>
      </c>
      <c r="E69" s="63" t="s">
        <v>574</v>
      </c>
      <c r="F69" s="63" t="s">
        <v>423</v>
      </c>
      <c r="G69" s="297" t="s">
        <v>467</v>
      </c>
      <c r="H69" s="297" t="s">
        <v>525</v>
      </c>
      <c r="I69" s="242" t="s">
        <v>425</v>
      </c>
      <c r="J69" s="244" t="n">
        <v>1</v>
      </c>
      <c r="K69" s="244" t="n">
        <v>1</v>
      </c>
      <c r="L69" s="246" t="n">
        <v>0</v>
      </c>
      <c r="M69" s="246" t="n">
        <v>0.6</v>
      </c>
      <c r="N69" s="246" t="n">
        <v>1</v>
      </c>
      <c r="O69" s="245" t="n">
        <v>0</v>
      </c>
      <c r="P69" s="247" t="n">
        <v>0</v>
      </c>
      <c r="Q69" s="247" t="n">
        <v>0</v>
      </c>
      <c r="R69" s="248" t="n">
        <v>0</v>
      </c>
      <c r="S69" s="249" t="n">
        <v>1</v>
      </c>
      <c r="T69" s="248" t="s">
        <v>437</v>
      </c>
      <c r="U69" s="250" t="n">
        <v>0</v>
      </c>
      <c r="V69" s="245" t="s">
        <v>511</v>
      </c>
      <c r="W69" s="245" t="n">
        <v>0</v>
      </c>
      <c r="X69" s="245" t="n">
        <v>0</v>
      </c>
      <c r="Y69" s="245" t="n">
        <v>0</v>
      </c>
      <c r="Z69" s="245" t="n">
        <v>0</v>
      </c>
      <c r="AA69" s="245" t="n">
        <v>0</v>
      </c>
      <c r="AB69" s="245" t="n">
        <v>0</v>
      </c>
      <c r="AC69" s="250" t="n">
        <v>0</v>
      </c>
      <c r="AD69" s="245" t="n">
        <v>0</v>
      </c>
      <c r="AE69" s="245" t="n">
        <v>0</v>
      </c>
      <c r="AF69" s="245" t="n">
        <v>0</v>
      </c>
      <c r="AG69" s="245" t="n">
        <v>0</v>
      </c>
      <c r="AH69" s="251" t="n">
        <v>0</v>
      </c>
      <c r="AI69" s="245" t="n">
        <v>0</v>
      </c>
      <c r="AJ69" s="245" t="n">
        <v>0</v>
      </c>
      <c r="AK69" s="252" t="n">
        <v>0</v>
      </c>
      <c r="AL69" s="253" t="n">
        <v>0</v>
      </c>
      <c r="AM69" s="245" t="n">
        <v>0</v>
      </c>
      <c r="AN69" s="253" t="n">
        <v>0</v>
      </c>
      <c r="AO69" s="246" t="n">
        <v>0</v>
      </c>
      <c r="AP69" s="245" t="n">
        <v>0</v>
      </c>
      <c r="AQ69" s="254" t="n">
        <v>1</v>
      </c>
      <c r="AR69" s="245" t="n">
        <v>0</v>
      </c>
      <c r="AS69" s="245" t="n">
        <v>0</v>
      </c>
      <c r="AT69" s="245" t="n">
        <v>0</v>
      </c>
      <c r="AU69" s="245" t="n">
        <v>0</v>
      </c>
      <c r="AV69" s="245" t="n">
        <v>0</v>
      </c>
      <c r="AW69" s="245" t="n">
        <v>0</v>
      </c>
      <c r="AX69" s="245" t="n">
        <v>-5408696.79</v>
      </c>
      <c r="AY69" s="245" t="n">
        <v>0</v>
      </c>
      <c r="AZ69" s="245" t="n">
        <v>5408696.79</v>
      </c>
      <c r="BA69" s="245" t="n">
        <v>0</v>
      </c>
      <c r="BB69" s="245" t="s">
        <v>423</v>
      </c>
      <c r="BC69" s="245" t="s">
        <v>423</v>
      </c>
      <c r="BD69" s="245" t="n">
        <v>0</v>
      </c>
      <c r="BE69" s="245" t="n">
        <v>0</v>
      </c>
      <c r="BF69" s="245" t="n">
        <v>0</v>
      </c>
      <c r="BG69" s="245" t="n">
        <v>0</v>
      </c>
      <c r="BH69" s="245" t="n">
        <v>-5408696.79</v>
      </c>
      <c r="BI69" s="245" t="n">
        <v>0</v>
      </c>
      <c r="BJ69" s="245" t="n">
        <v>5408696.79</v>
      </c>
      <c r="BK69" s="245" t="n">
        <v>0</v>
      </c>
      <c r="BL69" s="259" t="n">
        <v>0</v>
      </c>
      <c r="BM69" s="245" t="s">
        <v>438</v>
      </c>
      <c r="BN69" s="245" t="n">
        <v>0</v>
      </c>
      <c r="BO69" s="255" t="b">
        <f aca="false">FALSE()</f>
        <v>0</v>
      </c>
      <c r="BP69" s="255" t="n">
        <v>0</v>
      </c>
      <c r="BQ69" s="247" t="n">
        <v>3</v>
      </c>
      <c r="BR69" s="246" t="n">
        <v>0</v>
      </c>
      <c r="BS69" s="257" t="n">
        <v>89</v>
      </c>
      <c r="BT69" s="246" t="n">
        <v>0</v>
      </c>
      <c r="BU69" s="258" t="n">
        <v>0</v>
      </c>
      <c r="BV69" s="246" t="n">
        <v>139</v>
      </c>
      <c r="BW69" s="259" t="n">
        <v>0</v>
      </c>
      <c r="BX69" s="259" t="n">
        <v>0</v>
      </c>
      <c r="BY69" s="255" t="n">
        <v>0</v>
      </c>
      <c r="BZ69" s="255" t="n">
        <v>0</v>
      </c>
      <c r="CA69" s="255" t="n">
        <v>0</v>
      </c>
      <c r="CB69" s="255" t="n">
        <v>0</v>
      </c>
      <c r="CC69" s="255" t="n">
        <v>0</v>
      </c>
      <c r="CD69" s="255" t="n">
        <v>0</v>
      </c>
      <c r="CE69" s="255" t="n">
        <v>0</v>
      </c>
      <c r="CF69" s="255" t="n">
        <v>0</v>
      </c>
      <c r="CG69" s="255" t="n">
        <v>0</v>
      </c>
      <c r="CH69" s="255" t="n">
        <v>0</v>
      </c>
      <c r="CI69" s="255" t="n">
        <v>0</v>
      </c>
      <c r="CJ69" s="255" t="n">
        <v>0</v>
      </c>
      <c r="CK69" s="246" t="n">
        <v>0.6</v>
      </c>
      <c r="CL69" s="246" t="n">
        <v>0</v>
      </c>
    </row>
    <row r="70" customFormat="false" ht="20.1" hidden="false" customHeight="true" outlineLevel="2" collapsed="false">
      <c r="A70" s="261" t="s">
        <v>575</v>
      </c>
      <c r="B70" s="261"/>
      <c r="C70" s="261"/>
      <c r="D70" s="261"/>
      <c r="E70" s="261"/>
      <c r="F70" s="261"/>
      <c r="G70" s="298"/>
      <c r="H70" s="298"/>
      <c r="I70" s="262"/>
      <c r="J70" s="264"/>
      <c r="K70" s="264"/>
      <c r="L70" s="266"/>
      <c r="M70" s="266"/>
      <c r="N70" s="266"/>
      <c r="O70" s="265"/>
      <c r="P70" s="267"/>
      <c r="Q70" s="267"/>
      <c r="R70" s="268" t="n">
        <v>0</v>
      </c>
      <c r="S70" s="269" t="n">
        <v>1</v>
      </c>
      <c r="T70" s="268" t="n">
        <v>0</v>
      </c>
      <c r="U70" s="270" t="n">
        <v>0</v>
      </c>
      <c r="V70" s="265"/>
      <c r="W70" s="265" t="n">
        <v>0</v>
      </c>
      <c r="X70" s="265" t="n">
        <v>0</v>
      </c>
      <c r="Y70" s="265" t="n">
        <v>0</v>
      </c>
      <c r="Z70" s="265" t="n">
        <v>0</v>
      </c>
      <c r="AA70" s="265" t="n">
        <v>0</v>
      </c>
      <c r="AB70" s="265" t="n">
        <v>0</v>
      </c>
      <c r="AC70" s="270" t="n">
        <v>0</v>
      </c>
      <c r="AD70" s="265" t="n">
        <v>0</v>
      </c>
      <c r="AE70" s="265" t="n">
        <v>0</v>
      </c>
      <c r="AF70" s="265" t="n">
        <v>0</v>
      </c>
      <c r="AG70" s="265" t="n">
        <v>0</v>
      </c>
      <c r="AH70" s="271" t="n">
        <v>0</v>
      </c>
      <c r="AI70" s="265" t="n">
        <v>0</v>
      </c>
      <c r="AJ70" s="265" t="n">
        <v>0</v>
      </c>
      <c r="AK70" s="272" t="n">
        <v>0</v>
      </c>
      <c r="AL70" s="273"/>
      <c r="AM70" s="265" t="n">
        <v>0</v>
      </c>
      <c r="AN70" s="273"/>
      <c r="AO70" s="266"/>
      <c r="AP70" s="265" t="n">
        <v>0</v>
      </c>
      <c r="AQ70" s="274"/>
      <c r="AR70" s="265"/>
      <c r="AS70" s="265"/>
      <c r="AT70" s="265" t="n">
        <v>0</v>
      </c>
      <c r="AU70" s="265" t="n">
        <v>0</v>
      </c>
      <c r="AV70" s="265" t="n">
        <v>0</v>
      </c>
      <c r="AW70" s="265" t="n">
        <v>0</v>
      </c>
      <c r="AX70" s="265" t="n">
        <v>-5408696.79</v>
      </c>
      <c r="AY70" s="265" t="n">
        <v>0</v>
      </c>
      <c r="AZ70" s="265" t="n">
        <v>5408696.79</v>
      </c>
      <c r="BA70" s="265" t="n">
        <v>0</v>
      </c>
      <c r="BB70" s="265"/>
      <c r="BC70" s="265"/>
      <c r="BD70" s="265"/>
      <c r="BE70" s="265"/>
      <c r="BF70" s="265"/>
      <c r="BG70" s="265"/>
      <c r="BH70" s="265"/>
      <c r="BI70" s="265"/>
      <c r="BJ70" s="265"/>
      <c r="BK70" s="265"/>
      <c r="BL70" s="278"/>
      <c r="BM70" s="265"/>
      <c r="BN70" s="265"/>
      <c r="BO70" s="265"/>
      <c r="BP70" s="265"/>
      <c r="BQ70" s="267"/>
      <c r="BR70" s="266"/>
      <c r="BS70" s="276"/>
      <c r="BT70" s="266"/>
      <c r="BU70" s="277"/>
      <c r="BV70" s="266"/>
      <c r="BW70" s="278"/>
      <c r="BX70" s="278"/>
      <c r="BY70" s="265"/>
      <c r="BZ70" s="265"/>
      <c r="CA70" s="265" t="n">
        <v>0</v>
      </c>
      <c r="CB70" s="265"/>
      <c r="CC70" s="265"/>
      <c r="CD70" s="265"/>
      <c r="CE70" s="265"/>
      <c r="CF70" s="265"/>
      <c r="CG70" s="265"/>
      <c r="CH70" s="265"/>
      <c r="CI70" s="265"/>
      <c r="CJ70" s="265"/>
      <c r="CK70" s="266"/>
      <c r="CL70" s="266"/>
    </row>
    <row r="71" customFormat="false" ht="15.75" hidden="false" customHeight="false" outlineLevel="3" collapsed="false">
      <c r="A71" s="63" t="s">
        <v>576</v>
      </c>
      <c r="B71" s="63" t="s">
        <v>515</v>
      </c>
      <c r="C71" s="63" t="s">
        <v>548</v>
      </c>
      <c r="D71" s="63" t="s">
        <v>549</v>
      </c>
      <c r="E71" s="63" t="s">
        <v>577</v>
      </c>
      <c r="F71" s="63" t="s">
        <v>509</v>
      </c>
      <c r="G71" s="63" t="s">
        <v>510</v>
      </c>
      <c r="H71" s="63" t="s">
        <v>99</v>
      </c>
      <c r="I71" s="242" t="s">
        <v>425</v>
      </c>
      <c r="J71" s="244" t="n">
        <v>4181754</v>
      </c>
      <c r="K71" s="244" t="n">
        <v>4181754</v>
      </c>
      <c r="L71" s="246" t="n">
        <v>0</v>
      </c>
      <c r="M71" s="246" t="n">
        <v>0.62</v>
      </c>
      <c r="N71" s="246" t="n">
        <v>1</v>
      </c>
      <c r="O71" s="245" t="n">
        <v>25.26</v>
      </c>
      <c r="P71" s="247" t="n">
        <v>24.08</v>
      </c>
      <c r="Q71" s="247" t="n">
        <v>1.18</v>
      </c>
      <c r="R71" s="248" t="s">
        <v>578</v>
      </c>
      <c r="S71" s="249" t="n">
        <v>1</v>
      </c>
      <c r="T71" s="248" t="s">
        <v>437</v>
      </c>
      <c r="U71" s="250" t="n">
        <v>105631106.04</v>
      </c>
      <c r="V71" s="245" t="s">
        <v>511</v>
      </c>
      <c r="W71" s="245" t="n">
        <v>65491285.7448</v>
      </c>
      <c r="X71" s="245" t="n">
        <v>0</v>
      </c>
      <c r="Y71" s="245" t="n">
        <v>65491285.7448</v>
      </c>
      <c r="Z71" s="245" t="n">
        <v>0</v>
      </c>
      <c r="AA71" s="245" t="n">
        <v>0</v>
      </c>
      <c r="AB71" s="245" t="n">
        <v>0</v>
      </c>
      <c r="AC71" s="250" t="n">
        <v>100696636.32</v>
      </c>
      <c r="AD71" s="245" t="n">
        <v>0</v>
      </c>
      <c r="AE71" s="245" t="n">
        <v>0</v>
      </c>
      <c r="AF71" s="245" t="n">
        <v>0</v>
      </c>
      <c r="AG71" s="245" t="n">
        <v>0</v>
      </c>
      <c r="AH71" s="251" t="n">
        <v>-0.0300000086426735</v>
      </c>
      <c r="AI71" s="245" t="n">
        <v>0</v>
      </c>
      <c r="AJ71" s="245" t="n">
        <v>0.0300000086426735</v>
      </c>
      <c r="AK71" s="252" t="n">
        <v>0</v>
      </c>
      <c r="AL71" s="253" t="n">
        <v>0</v>
      </c>
      <c r="AM71" s="245" t="n">
        <v>0</v>
      </c>
      <c r="AN71" s="246" t="n">
        <v>0</v>
      </c>
      <c r="AO71" s="253" t="n">
        <v>0</v>
      </c>
      <c r="AP71" s="245" t="n">
        <v>0</v>
      </c>
      <c r="AQ71" s="254" t="n">
        <v>1</v>
      </c>
      <c r="AR71" s="245" t="n">
        <v>105631106.04</v>
      </c>
      <c r="AS71" s="245" t="n">
        <v>25.26</v>
      </c>
      <c r="AT71" s="245" t="n">
        <v>-0.106000006198883</v>
      </c>
      <c r="AU71" s="245" t="n">
        <v>0</v>
      </c>
      <c r="AV71" s="245" t="n">
        <v>0.106000006198883</v>
      </c>
      <c r="AW71" s="245" t="n">
        <v>0</v>
      </c>
      <c r="AX71" s="245" t="n">
        <v>-27734708.346</v>
      </c>
      <c r="AY71" s="245" t="n">
        <v>0</v>
      </c>
      <c r="AZ71" s="245" t="n">
        <v>27734708.346</v>
      </c>
      <c r="BA71" s="245" t="n">
        <v>0</v>
      </c>
      <c r="BB71" s="245" t="n">
        <v>25.26</v>
      </c>
      <c r="BC71" s="245" t="n">
        <v>24.08</v>
      </c>
      <c r="BD71" s="245" t="n">
        <v>-0.106000006198883</v>
      </c>
      <c r="BE71" s="245" t="n">
        <v>0</v>
      </c>
      <c r="BF71" s="245" t="n">
        <v>0.106000006198883</v>
      </c>
      <c r="BG71" s="245" t="n">
        <v>0</v>
      </c>
      <c r="BH71" s="245" t="n">
        <v>-27734708.346</v>
      </c>
      <c r="BI71" s="245" t="n">
        <v>0</v>
      </c>
      <c r="BJ71" s="245" t="n">
        <v>27734708.346</v>
      </c>
      <c r="BK71" s="245" t="n">
        <v>0</v>
      </c>
      <c r="BL71" s="245" t="n">
        <v>0</v>
      </c>
      <c r="BM71" s="245" t="s">
        <v>438</v>
      </c>
      <c r="BN71" s="245" t="n">
        <v>0</v>
      </c>
      <c r="BO71" s="255" t="b">
        <f aca="false">FALSE()</f>
        <v>0</v>
      </c>
      <c r="BP71" s="255" t="n">
        <v>0.0300000086426735</v>
      </c>
      <c r="BQ71" s="247" t="n">
        <v>11.95</v>
      </c>
      <c r="BR71" s="246" t="n">
        <v>0</v>
      </c>
      <c r="BS71" s="257" t="n">
        <v>87</v>
      </c>
      <c r="BT71" s="246" t="n">
        <v>0</v>
      </c>
      <c r="BU71" s="258" t="n">
        <v>4181754</v>
      </c>
      <c r="BV71" s="246" t="n">
        <v>15</v>
      </c>
      <c r="BW71" s="259" t="n">
        <v>25.26</v>
      </c>
      <c r="BX71" s="259" t="n">
        <v>0</v>
      </c>
      <c r="BY71" s="255" t="n">
        <v>4934469.72</v>
      </c>
      <c r="BZ71" s="255" t="n">
        <v>3252102.292</v>
      </c>
      <c r="CA71" s="255" t="n">
        <v>3845327.892</v>
      </c>
      <c r="CB71" s="255" t="n">
        <v>83237503.626</v>
      </c>
      <c r="CC71" s="255" t="n">
        <v>0</v>
      </c>
      <c r="CD71" s="255" t="n">
        <v>0</v>
      </c>
      <c r="CE71" s="255" t="n">
        <v>0</v>
      </c>
      <c r="CF71" s="255" t="n">
        <v>0</v>
      </c>
      <c r="CG71" s="255" t="n">
        <v>-0.0300000086426735</v>
      </c>
      <c r="CH71" s="255" t="n">
        <v>0</v>
      </c>
      <c r="CI71" s="255" t="n">
        <v>0.0300000086426735</v>
      </c>
      <c r="CJ71" s="255" t="n">
        <v>0</v>
      </c>
      <c r="CK71" s="246" t="n">
        <v>0.62</v>
      </c>
      <c r="CL71" s="246" t="n">
        <v>0</v>
      </c>
    </row>
    <row r="72" customFormat="false" ht="15.75" hidden="false" customHeight="false" outlineLevel="3" collapsed="false">
      <c r="A72" s="63" t="s">
        <v>576</v>
      </c>
      <c r="B72" s="63" t="s">
        <v>515</v>
      </c>
      <c r="C72" s="63" t="s">
        <v>548</v>
      </c>
      <c r="D72" s="63" t="s">
        <v>549</v>
      </c>
      <c r="E72" s="63" t="s">
        <v>579</v>
      </c>
      <c r="F72" s="63" t="s">
        <v>509</v>
      </c>
      <c r="G72" s="63" t="s">
        <v>467</v>
      </c>
      <c r="H72" s="63" t="s">
        <v>102</v>
      </c>
      <c r="I72" s="242" t="s">
        <v>425</v>
      </c>
      <c r="J72" s="244" t="n">
        <v>-2009600</v>
      </c>
      <c r="K72" s="244" t="n">
        <v>-1560800</v>
      </c>
      <c r="L72" s="246" t="n">
        <v>0</v>
      </c>
      <c r="M72" s="246" t="n">
        <v>0.62</v>
      </c>
      <c r="N72" s="246" t="n">
        <v>1</v>
      </c>
      <c r="O72" s="245" t="n">
        <v>25.26</v>
      </c>
      <c r="P72" s="247" t="n">
        <v>24.08</v>
      </c>
      <c r="Q72" s="247" t="n">
        <v>1.18</v>
      </c>
      <c r="R72" s="248" t="s">
        <v>578</v>
      </c>
      <c r="S72" s="249" t="n">
        <v>1</v>
      </c>
      <c r="T72" s="248" t="s">
        <v>437</v>
      </c>
      <c r="U72" s="250" t="n">
        <v>5713656.44000001</v>
      </c>
      <c r="V72" s="245" t="s">
        <v>511</v>
      </c>
      <c r="W72" s="245" t="n">
        <v>-31472747.52</v>
      </c>
      <c r="X72" s="245" t="n">
        <v>0</v>
      </c>
      <c r="Y72" s="245" t="n">
        <v>-31472747.52</v>
      </c>
      <c r="Z72" s="245" t="n">
        <v>0</v>
      </c>
      <c r="AA72" s="245" t="n">
        <v>0</v>
      </c>
      <c r="AB72" s="245" t="n">
        <v>0</v>
      </c>
      <c r="AC72" s="250" t="n">
        <v>8046399.52000001</v>
      </c>
      <c r="AD72" s="245" t="n">
        <v>0</v>
      </c>
      <c r="AE72" s="245" t="n">
        <v>0</v>
      </c>
      <c r="AF72" s="245" t="n">
        <v>0</v>
      </c>
      <c r="AG72" s="245" t="n">
        <v>0</v>
      </c>
      <c r="AH72" s="251" t="n">
        <v>0</v>
      </c>
      <c r="AI72" s="245" t="n">
        <v>0</v>
      </c>
      <c r="AJ72" s="245" t="n">
        <v>0</v>
      </c>
      <c r="AK72" s="252" t="n">
        <v>0</v>
      </c>
      <c r="AL72" s="253" t="n">
        <v>0</v>
      </c>
      <c r="AM72" s="245" t="n">
        <v>0</v>
      </c>
      <c r="AN72" s="246" t="n">
        <v>0</v>
      </c>
      <c r="AO72" s="253" t="n">
        <v>0</v>
      </c>
      <c r="AP72" s="245" t="n">
        <v>0</v>
      </c>
      <c r="AQ72" s="254" t="n">
        <v>1</v>
      </c>
      <c r="AR72" s="245" t="n">
        <v>-50762496</v>
      </c>
      <c r="AS72" s="245" t="n">
        <v>25.26</v>
      </c>
      <c r="AT72" s="245" t="n">
        <v>0</v>
      </c>
      <c r="AU72" s="245" t="n">
        <v>0</v>
      </c>
      <c r="AV72" s="245" t="n">
        <v>0</v>
      </c>
      <c r="AW72" s="245" t="n">
        <v>0</v>
      </c>
      <c r="AX72" s="245" t="n">
        <v>0</v>
      </c>
      <c r="AY72" s="245" t="n">
        <v>0</v>
      </c>
      <c r="AZ72" s="245" t="n">
        <v>0</v>
      </c>
      <c r="BA72" s="245" t="n">
        <v>0</v>
      </c>
      <c r="BB72" s="245" t="n">
        <v>25.26</v>
      </c>
      <c r="BC72" s="245" t="n">
        <v>24.08</v>
      </c>
      <c r="BD72" s="245" t="n">
        <v>0</v>
      </c>
      <c r="BE72" s="245" t="n">
        <v>0</v>
      </c>
      <c r="BF72" s="245" t="n">
        <v>0</v>
      </c>
      <c r="BG72" s="245" t="n">
        <v>0</v>
      </c>
      <c r="BH72" s="245" t="n">
        <v>0</v>
      </c>
      <c r="BI72" s="245" t="n">
        <v>0</v>
      </c>
      <c r="BJ72" s="245" t="n">
        <v>0</v>
      </c>
      <c r="BK72" s="245" t="n">
        <v>0</v>
      </c>
      <c r="BL72" s="245" t="n">
        <v>0</v>
      </c>
      <c r="BM72" s="245" t="s">
        <v>438</v>
      </c>
      <c r="BN72" s="245" t="n">
        <v>0</v>
      </c>
      <c r="BO72" s="255" t="b">
        <f aca="false">FALSE()</f>
        <v>0</v>
      </c>
      <c r="BP72" s="255" t="n">
        <v>0</v>
      </c>
      <c r="BQ72" s="247" t="n">
        <v>0</v>
      </c>
      <c r="BR72" s="246" t="n">
        <v>0</v>
      </c>
      <c r="BS72" s="257" t="n">
        <v>87</v>
      </c>
      <c r="BT72" s="246" t="n">
        <v>0</v>
      </c>
      <c r="BU72" s="258" t="n">
        <v>-2009600</v>
      </c>
      <c r="BV72" s="246" t="n">
        <v>16</v>
      </c>
      <c r="BW72" s="259" t="n">
        <v>25.26</v>
      </c>
      <c r="BX72" s="259" t="n">
        <v>0</v>
      </c>
      <c r="BY72" s="255" t="n">
        <v>-2332743.08</v>
      </c>
      <c r="BZ72" s="255" t="n">
        <v>5713656.44000001</v>
      </c>
      <c r="CA72" s="255" t="n">
        <v>5713656.44000001</v>
      </c>
      <c r="CB72" s="255" t="n">
        <v>5713656.44000001</v>
      </c>
      <c r="CC72" s="255" t="n">
        <v>0</v>
      </c>
      <c r="CD72" s="255" t="n">
        <v>0</v>
      </c>
      <c r="CE72" s="255" t="n">
        <v>0</v>
      </c>
      <c r="CF72" s="255" t="n">
        <v>0</v>
      </c>
      <c r="CG72" s="255" t="n">
        <v>0</v>
      </c>
      <c r="CH72" s="255" t="n">
        <v>0</v>
      </c>
      <c r="CI72" s="255" t="n">
        <v>0</v>
      </c>
      <c r="CJ72" s="255" t="n">
        <v>0</v>
      </c>
      <c r="CK72" s="246" t="n">
        <v>0.62</v>
      </c>
      <c r="CL72" s="246" t="n">
        <v>0</v>
      </c>
    </row>
    <row r="73" customFormat="false" ht="20.1" hidden="false" customHeight="true" outlineLevel="2" collapsed="false">
      <c r="A73" s="261" t="s">
        <v>580</v>
      </c>
      <c r="B73" s="261"/>
      <c r="C73" s="261"/>
      <c r="D73" s="261"/>
      <c r="E73" s="261"/>
      <c r="F73" s="261"/>
      <c r="G73" s="261"/>
      <c r="H73" s="261"/>
      <c r="I73" s="262"/>
      <c r="J73" s="264"/>
      <c r="K73" s="264"/>
      <c r="L73" s="266"/>
      <c r="M73" s="266"/>
      <c r="N73" s="266"/>
      <c r="O73" s="265"/>
      <c r="P73" s="267"/>
      <c r="Q73" s="267"/>
      <c r="R73" s="268" t="n">
        <v>0</v>
      </c>
      <c r="S73" s="269" t="n">
        <v>2</v>
      </c>
      <c r="T73" s="268" t="n">
        <v>0</v>
      </c>
      <c r="U73" s="270" t="n">
        <v>111344762.48</v>
      </c>
      <c r="V73" s="265"/>
      <c r="W73" s="265" t="n">
        <v>34018538.2248</v>
      </c>
      <c r="X73" s="265" t="n">
        <v>0</v>
      </c>
      <c r="Y73" s="265" t="n">
        <v>34018538.2248</v>
      </c>
      <c r="Z73" s="265" t="n">
        <v>0</v>
      </c>
      <c r="AA73" s="265" t="n">
        <v>0</v>
      </c>
      <c r="AB73" s="265" t="n">
        <v>0</v>
      </c>
      <c r="AC73" s="270" t="n">
        <v>108743035.84</v>
      </c>
      <c r="AD73" s="265" t="n">
        <v>0</v>
      </c>
      <c r="AE73" s="265" t="n">
        <v>0</v>
      </c>
      <c r="AF73" s="265" t="n">
        <v>0</v>
      </c>
      <c r="AG73" s="265" t="n">
        <v>0</v>
      </c>
      <c r="AH73" s="271" t="n">
        <v>-0.0300000086426735</v>
      </c>
      <c r="AI73" s="265" t="n">
        <v>0</v>
      </c>
      <c r="AJ73" s="265" t="n">
        <v>0.0300000086426735</v>
      </c>
      <c r="AK73" s="272" t="n">
        <v>0</v>
      </c>
      <c r="AL73" s="273"/>
      <c r="AM73" s="265" t="n">
        <v>0</v>
      </c>
      <c r="AN73" s="266"/>
      <c r="AO73" s="273"/>
      <c r="AP73" s="265" t="n">
        <v>0</v>
      </c>
      <c r="AQ73" s="274"/>
      <c r="AR73" s="265"/>
      <c r="AS73" s="265"/>
      <c r="AT73" s="265" t="n">
        <v>-0.106000006198883</v>
      </c>
      <c r="AU73" s="265" t="n">
        <v>0</v>
      </c>
      <c r="AV73" s="265" t="n">
        <v>0.106000006198883</v>
      </c>
      <c r="AW73" s="265" t="n">
        <v>0</v>
      </c>
      <c r="AX73" s="265" t="n">
        <v>-27734708.346</v>
      </c>
      <c r="AY73" s="265" t="n">
        <v>0</v>
      </c>
      <c r="AZ73" s="265" t="n">
        <v>27734708.346</v>
      </c>
      <c r="BA73" s="265" t="n">
        <v>0</v>
      </c>
      <c r="BB73" s="265"/>
      <c r="BC73" s="265"/>
      <c r="BD73" s="265"/>
      <c r="BE73" s="265"/>
      <c r="BF73" s="265"/>
      <c r="BG73" s="265"/>
      <c r="BH73" s="265"/>
      <c r="BI73" s="265"/>
      <c r="BJ73" s="265"/>
      <c r="BK73" s="265"/>
      <c r="BL73" s="265"/>
      <c r="BM73" s="265"/>
      <c r="BN73" s="265"/>
      <c r="BO73" s="265"/>
      <c r="BP73" s="265"/>
      <c r="BQ73" s="267"/>
      <c r="BR73" s="266"/>
      <c r="BS73" s="276"/>
      <c r="BT73" s="266"/>
      <c r="BU73" s="277"/>
      <c r="BV73" s="266"/>
      <c r="BW73" s="278"/>
      <c r="BX73" s="278"/>
      <c r="BY73" s="265"/>
      <c r="BZ73" s="265"/>
      <c r="CA73" s="265" t="n">
        <v>9558984.332</v>
      </c>
      <c r="CB73" s="265"/>
      <c r="CC73" s="265"/>
      <c r="CD73" s="265"/>
      <c r="CE73" s="265"/>
      <c r="CF73" s="265"/>
      <c r="CG73" s="265"/>
      <c r="CH73" s="265"/>
      <c r="CI73" s="265"/>
      <c r="CJ73" s="265"/>
      <c r="CK73" s="266"/>
      <c r="CL73" s="266"/>
    </row>
    <row r="74" customFormat="false" ht="30" hidden="false" customHeight="true" outlineLevel="1" collapsed="false">
      <c r="A74" s="261"/>
      <c r="B74" s="261" t="s">
        <v>581</v>
      </c>
      <c r="C74" s="261"/>
      <c r="D74" s="261"/>
      <c r="E74" s="261"/>
      <c r="F74" s="261"/>
      <c r="G74" s="261"/>
      <c r="H74" s="261"/>
      <c r="I74" s="262"/>
      <c r="J74" s="279"/>
      <c r="K74" s="279"/>
      <c r="L74" s="281"/>
      <c r="M74" s="281"/>
      <c r="N74" s="281"/>
      <c r="O74" s="280"/>
      <c r="P74" s="282"/>
      <c r="Q74" s="282"/>
      <c r="R74" s="283" t="n">
        <v>0</v>
      </c>
      <c r="S74" s="284" t="n">
        <v>22.075</v>
      </c>
      <c r="T74" s="283" t="n">
        <v>0</v>
      </c>
      <c r="U74" s="285" t="n">
        <v>190294530</v>
      </c>
      <c r="V74" s="280"/>
      <c r="W74" s="280" t="n">
        <v>34338817.2513</v>
      </c>
      <c r="X74" s="280" t="n">
        <v>0</v>
      </c>
      <c r="Y74" s="280" t="n">
        <v>34338817.2513</v>
      </c>
      <c r="Z74" s="280" t="n">
        <v>0</v>
      </c>
      <c r="AA74" s="280" t="n">
        <v>0</v>
      </c>
      <c r="AB74" s="280" t="n">
        <v>0</v>
      </c>
      <c r="AC74" s="285" t="n">
        <v>187759947.81</v>
      </c>
      <c r="AD74" s="280" t="n">
        <v>-67144.4499999992</v>
      </c>
      <c r="AE74" s="280" t="n">
        <v>0</v>
      </c>
      <c r="AF74" s="280" t="n">
        <v>67144.4499999992</v>
      </c>
      <c r="AG74" s="280" t="n">
        <v>0</v>
      </c>
      <c r="AH74" s="286" t="n">
        <v>-18464723.78</v>
      </c>
      <c r="AI74" s="280" t="n">
        <v>0</v>
      </c>
      <c r="AJ74" s="280" t="n">
        <v>18464723.78</v>
      </c>
      <c r="AK74" s="287" t="n">
        <v>0</v>
      </c>
      <c r="AL74" s="288"/>
      <c r="AM74" s="280" t="n">
        <v>278542742.011921</v>
      </c>
      <c r="AN74" s="281"/>
      <c r="AO74" s="288"/>
      <c r="AP74" s="280" t="n">
        <v>69838220.4343703</v>
      </c>
      <c r="AQ74" s="289"/>
      <c r="AR74" s="280"/>
      <c r="AS74" s="280"/>
      <c r="AT74" s="280" t="n">
        <v>-11078834.356</v>
      </c>
      <c r="AU74" s="280" t="n">
        <v>0</v>
      </c>
      <c r="AV74" s="280" t="n">
        <v>11078834.356</v>
      </c>
      <c r="AW74" s="280" t="n">
        <v>0</v>
      </c>
      <c r="AX74" s="280" t="n">
        <v>-233956643.167921</v>
      </c>
      <c r="AY74" s="280" t="n">
        <v>0</v>
      </c>
      <c r="AZ74" s="280" t="n">
        <v>233956643.167921</v>
      </c>
      <c r="BA74" s="280" t="n">
        <v>0</v>
      </c>
      <c r="BB74" s="280"/>
      <c r="BC74" s="280"/>
      <c r="BD74" s="280"/>
      <c r="BE74" s="280"/>
      <c r="BF74" s="280"/>
      <c r="BG74" s="280"/>
      <c r="BH74" s="280"/>
      <c r="BI74" s="280"/>
      <c r="BJ74" s="280"/>
      <c r="BK74" s="280"/>
      <c r="BL74" s="280"/>
      <c r="BM74" s="280"/>
      <c r="BN74" s="280"/>
      <c r="BO74" s="280"/>
      <c r="BP74" s="280"/>
      <c r="BQ74" s="282"/>
      <c r="BR74" s="281"/>
      <c r="BS74" s="291"/>
      <c r="BT74" s="281"/>
      <c r="BU74" s="292"/>
      <c r="BV74" s="281"/>
      <c r="BW74" s="293"/>
      <c r="BX74" s="293"/>
      <c r="BY74" s="280"/>
      <c r="BZ74" s="280"/>
      <c r="CA74" s="280" t="n">
        <v>10636714.692</v>
      </c>
      <c r="CB74" s="280"/>
      <c r="CC74" s="280"/>
      <c r="CD74" s="280"/>
      <c r="CE74" s="280"/>
      <c r="CF74" s="280"/>
      <c r="CG74" s="280"/>
      <c r="CH74" s="280"/>
      <c r="CI74" s="280"/>
      <c r="CJ74" s="280"/>
      <c r="CK74" s="281"/>
      <c r="CL74" s="281"/>
    </row>
    <row r="75" customFormat="false" ht="15.75" hidden="false" customHeight="false" outlineLevel="3" collapsed="false">
      <c r="A75" s="63" t="s">
        <v>582</v>
      </c>
      <c r="B75" s="63" t="s">
        <v>583</v>
      </c>
      <c r="C75" s="63" t="s">
        <v>548</v>
      </c>
      <c r="D75" s="63" t="s">
        <v>549</v>
      </c>
      <c r="E75" s="63" t="s">
        <v>584</v>
      </c>
      <c r="F75" s="63" t="s">
        <v>423</v>
      </c>
      <c r="G75" s="297" t="s">
        <v>467</v>
      </c>
      <c r="H75" s="297" t="s">
        <v>525</v>
      </c>
      <c r="I75" s="242" t="s">
        <v>425</v>
      </c>
      <c r="J75" s="244" t="n">
        <v>1</v>
      </c>
      <c r="K75" s="244" t="n">
        <v>1</v>
      </c>
      <c r="L75" s="246" t="n">
        <v>0</v>
      </c>
      <c r="M75" s="246" t="n">
        <v>0.6</v>
      </c>
      <c r="N75" s="246" t="n">
        <v>1</v>
      </c>
      <c r="O75" s="245" t="n">
        <v>0</v>
      </c>
      <c r="P75" s="247" t="n">
        <v>0</v>
      </c>
      <c r="Q75" s="247" t="n">
        <v>0</v>
      </c>
      <c r="R75" s="248" t="n">
        <v>0</v>
      </c>
      <c r="S75" s="249" t="n">
        <v>1</v>
      </c>
      <c r="T75" s="248" t="s">
        <v>437</v>
      </c>
      <c r="U75" s="250" t="n">
        <v>0</v>
      </c>
      <c r="V75" s="245" t="s">
        <v>511</v>
      </c>
      <c r="W75" s="245" t="n">
        <v>0</v>
      </c>
      <c r="X75" s="245" t="n">
        <v>0</v>
      </c>
      <c r="Y75" s="245" t="n">
        <v>0</v>
      </c>
      <c r="Z75" s="245" t="n">
        <v>0</v>
      </c>
      <c r="AA75" s="245" t="n">
        <v>0</v>
      </c>
      <c r="AB75" s="245" t="n">
        <v>0</v>
      </c>
      <c r="AC75" s="250" t="n">
        <v>0</v>
      </c>
      <c r="AD75" s="245" t="n">
        <v>0</v>
      </c>
      <c r="AE75" s="245" t="n">
        <v>0</v>
      </c>
      <c r="AF75" s="245" t="n">
        <v>0</v>
      </c>
      <c r="AG75" s="245" t="n">
        <v>0</v>
      </c>
      <c r="AH75" s="251" t="n">
        <v>0</v>
      </c>
      <c r="AI75" s="245" t="n">
        <v>0</v>
      </c>
      <c r="AJ75" s="245" t="n">
        <v>0</v>
      </c>
      <c r="AK75" s="252" t="n">
        <v>0</v>
      </c>
      <c r="AL75" s="253" t="n">
        <v>0</v>
      </c>
      <c r="AM75" s="245" t="n">
        <v>0</v>
      </c>
      <c r="AN75" s="253" t="n">
        <v>0</v>
      </c>
      <c r="AO75" s="246" t="n">
        <v>0</v>
      </c>
      <c r="AP75" s="245" t="n">
        <v>0</v>
      </c>
      <c r="AQ75" s="254" t="n">
        <v>1</v>
      </c>
      <c r="AR75" s="245" t="n">
        <v>0</v>
      </c>
      <c r="AS75" s="245" t="n">
        <v>0</v>
      </c>
      <c r="AT75" s="245" t="n">
        <v>0</v>
      </c>
      <c r="AU75" s="245" t="n">
        <v>0</v>
      </c>
      <c r="AV75" s="245" t="n">
        <v>0</v>
      </c>
      <c r="AW75" s="245" t="n">
        <v>0</v>
      </c>
      <c r="AX75" s="245" t="n">
        <v>-3256034</v>
      </c>
      <c r="AY75" s="245" t="n">
        <v>0</v>
      </c>
      <c r="AZ75" s="245" t="n">
        <v>3256034</v>
      </c>
      <c r="BA75" s="245" t="n">
        <v>0</v>
      </c>
      <c r="BB75" s="245" t="s">
        <v>423</v>
      </c>
      <c r="BC75" s="245" t="s">
        <v>423</v>
      </c>
      <c r="BD75" s="245" t="n">
        <v>0</v>
      </c>
      <c r="BE75" s="245" t="n">
        <v>0</v>
      </c>
      <c r="BF75" s="245" t="n">
        <v>0</v>
      </c>
      <c r="BG75" s="245" t="n">
        <v>0</v>
      </c>
      <c r="BH75" s="245" t="n">
        <v>-3256034</v>
      </c>
      <c r="BI75" s="245" t="n">
        <v>0</v>
      </c>
      <c r="BJ75" s="245" t="n">
        <v>3256034</v>
      </c>
      <c r="BK75" s="245" t="n">
        <v>0</v>
      </c>
      <c r="BL75" s="259" t="n">
        <v>0</v>
      </c>
      <c r="BM75" s="245" t="s">
        <v>438</v>
      </c>
      <c r="BN75" s="245" t="n">
        <v>0</v>
      </c>
      <c r="BO75" s="255" t="b">
        <f aca="false">FALSE()</f>
        <v>0</v>
      </c>
      <c r="BP75" s="255" t="n">
        <v>0</v>
      </c>
      <c r="BQ75" s="247" t="n">
        <v>3</v>
      </c>
      <c r="BR75" s="246" t="n">
        <v>0</v>
      </c>
      <c r="BS75" s="257" t="n">
        <v>90</v>
      </c>
      <c r="BT75" s="246" t="n">
        <v>0</v>
      </c>
      <c r="BU75" s="258" t="n">
        <v>0</v>
      </c>
      <c r="BV75" s="246" t="n">
        <v>140</v>
      </c>
      <c r="BW75" s="259" t="n">
        <v>0</v>
      </c>
      <c r="BX75" s="259" t="n">
        <v>0</v>
      </c>
      <c r="BY75" s="255" t="n">
        <v>0</v>
      </c>
      <c r="BZ75" s="255" t="n">
        <v>0</v>
      </c>
      <c r="CA75" s="255" t="n">
        <v>0</v>
      </c>
      <c r="CB75" s="255" t="n">
        <v>0</v>
      </c>
      <c r="CC75" s="255" t="n">
        <v>0</v>
      </c>
      <c r="CD75" s="255" t="n">
        <v>0</v>
      </c>
      <c r="CE75" s="255" t="n">
        <v>0</v>
      </c>
      <c r="CF75" s="255" t="n">
        <v>0</v>
      </c>
      <c r="CG75" s="255" t="n">
        <v>0</v>
      </c>
      <c r="CH75" s="255" t="n">
        <v>0</v>
      </c>
      <c r="CI75" s="255" t="n">
        <v>0</v>
      </c>
      <c r="CJ75" s="255" t="n">
        <v>0</v>
      </c>
      <c r="CK75" s="246" t="n">
        <v>0.6</v>
      </c>
      <c r="CL75" s="246" t="n">
        <v>0</v>
      </c>
    </row>
    <row r="76" customFormat="false" ht="20.1" hidden="false" customHeight="true" outlineLevel="2" collapsed="false">
      <c r="A76" s="261" t="s">
        <v>585</v>
      </c>
      <c r="B76" s="261"/>
      <c r="C76" s="261"/>
      <c r="D76" s="261"/>
      <c r="E76" s="261"/>
      <c r="F76" s="261"/>
      <c r="G76" s="298"/>
      <c r="H76" s="298"/>
      <c r="I76" s="262"/>
      <c r="J76" s="264"/>
      <c r="K76" s="264"/>
      <c r="L76" s="266"/>
      <c r="M76" s="266"/>
      <c r="N76" s="266"/>
      <c r="O76" s="265"/>
      <c r="P76" s="267"/>
      <c r="Q76" s="267"/>
      <c r="R76" s="268" t="n">
        <v>0</v>
      </c>
      <c r="S76" s="269" t="n">
        <v>1</v>
      </c>
      <c r="T76" s="268" t="n">
        <v>0</v>
      </c>
      <c r="U76" s="270" t="n">
        <v>0</v>
      </c>
      <c r="V76" s="265"/>
      <c r="W76" s="265" t="n">
        <v>0</v>
      </c>
      <c r="X76" s="265" t="n">
        <v>0</v>
      </c>
      <c r="Y76" s="265" t="n">
        <v>0</v>
      </c>
      <c r="Z76" s="265" t="n">
        <v>0</v>
      </c>
      <c r="AA76" s="265" t="n">
        <v>0</v>
      </c>
      <c r="AB76" s="265" t="n">
        <v>0</v>
      </c>
      <c r="AC76" s="270" t="n">
        <v>0</v>
      </c>
      <c r="AD76" s="265" t="n">
        <v>0</v>
      </c>
      <c r="AE76" s="265" t="n">
        <v>0</v>
      </c>
      <c r="AF76" s="265" t="n">
        <v>0</v>
      </c>
      <c r="AG76" s="265" t="n">
        <v>0</v>
      </c>
      <c r="AH76" s="271" t="n">
        <v>0</v>
      </c>
      <c r="AI76" s="265" t="n">
        <v>0</v>
      </c>
      <c r="AJ76" s="265" t="n">
        <v>0</v>
      </c>
      <c r="AK76" s="272" t="n">
        <v>0</v>
      </c>
      <c r="AL76" s="273"/>
      <c r="AM76" s="265" t="n">
        <v>0</v>
      </c>
      <c r="AN76" s="273"/>
      <c r="AO76" s="266"/>
      <c r="AP76" s="265" t="n">
        <v>0</v>
      </c>
      <c r="AQ76" s="274"/>
      <c r="AR76" s="265"/>
      <c r="AS76" s="265"/>
      <c r="AT76" s="265" t="n">
        <v>0</v>
      </c>
      <c r="AU76" s="265" t="n">
        <v>0</v>
      </c>
      <c r="AV76" s="265" t="n">
        <v>0</v>
      </c>
      <c r="AW76" s="265" t="n">
        <v>0</v>
      </c>
      <c r="AX76" s="265" t="n">
        <v>-3256034</v>
      </c>
      <c r="AY76" s="265" t="n">
        <v>0</v>
      </c>
      <c r="AZ76" s="265" t="n">
        <v>3256034</v>
      </c>
      <c r="BA76" s="265" t="n">
        <v>0</v>
      </c>
      <c r="BB76" s="265"/>
      <c r="BC76" s="265"/>
      <c r="BD76" s="265"/>
      <c r="BE76" s="265"/>
      <c r="BF76" s="265"/>
      <c r="BG76" s="265"/>
      <c r="BH76" s="265"/>
      <c r="BI76" s="265"/>
      <c r="BJ76" s="265"/>
      <c r="BK76" s="265"/>
      <c r="BL76" s="278"/>
      <c r="BM76" s="265"/>
      <c r="BN76" s="265"/>
      <c r="BO76" s="265"/>
      <c r="BP76" s="265"/>
      <c r="BQ76" s="267"/>
      <c r="BR76" s="266"/>
      <c r="BS76" s="276"/>
      <c r="BT76" s="266"/>
      <c r="BU76" s="277"/>
      <c r="BV76" s="266"/>
      <c r="BW76" s="278"/>
      <c r="BX76" s="278"/>
      <c r="BY76" s="265"/>
      <c r="BZ76" s="265"/>
      <c r="CA76" s="265" t="n">
        <v>0</v>
      </c>
      <c r="CB76" s="265"/>
      <c r="CC76" s="265"/>
      <c r="CD76" s="265"/>
      <c r="CE76" s="265"/>
      <c r="CF76" s="265"/>
      <c r="CG76" s="265"/>
      <c r="CH76" s="265"/>
      <c r="CI76" s="265"/>
      <c r="CJ76" s="265"/>
      <c r="CK76" s="266"/>
      <c r="CL76" s="266"/>
    </row>
    <row r="77" customFormat="false" ht="30" hidden="false" customHeight="true" outlineLevel="1" collapsed="false">
      <c r="A77" s="261"/>
      <c r="B77" s="261" t="s">
        <v>586</v>
      </c>
      <c r="C77" s="261"/>
      <c r="D77" s="261"/>
      <c r="E77" s="261"/>
      <c r="F77" s="261"/>
      <c r="G77" s="298"/>
      <c r="H77" s="298"/>
      <c r="I77" s="262"/>
      <c r="J77" s="279"/>
      <c r="K77" s="279"/>
      <c r="L77" s="281"/>
      <c r="M77" s="281"/>
      <c r="N77" s="281"/>
      <c r="O77" s="280"/>
      <c r="P77" s="282"/>
      <c r="Q77" s="282"/>
      <c r="R77" s="283" t="n">
        <v>0</v>
      </c>
      <c r="S77" s="284" t="n">
        <v>1</v>
      </c>
      <c r="T77" s="283" t="n">
        <v>0</v>
      </c>
      <c r="U77" s="285" t="n">
        <v>0</v>
      </c>
      <c r="V77" s="280"/>
      <c r="W77" s="280" t="n">
        <v>0</v>
      </c>
      <c r="X77" s="280" t="n">
        <v>0</v>
      </c>
      <c r="Y77" s="280" t="n">
        <v>0</v>
      </c>
      <c r="Z77" s="280" t="n">
        <v>0</v>
      </c>
      <c r="AA77" s="280" t="n">
        <v>0</v>
      </c>
      <c r="AB77" s="280" t="n">
        <v>0</v>
      </c>
      <c r="AC77" s="285" t="n">
        <v>0</v>
      </c>
      <c r="AD77" s="280" t="n">
        <v>0</v>
      </c>
      <c r="AE77" s="280" t="n">
        <v>0</v>
      </c>
      <c r="AF77" s="280" t="n">
        <v>0</v>
      </c>
      <c r="AG77" s="280" t="n">
        <v>0</v>
      </c>
      <c r="AH77" s="286" t="n">
        <v>0</v>
      </c>
      <c r="AI77" s="280" t="n">
        <v>0</v>
      </c>
      <c r="AJ77" s="280" t="n">
        <v>0</v>
      </c>
      <c r="AK77" s="287" t="n">
        <v>0</v>
      </c>
      <c r="AL77" s="288"/>
      <c r="AM77" s="280" t="n">
        <v>0</v>
      </c>
      <c r="AN77" s="288"/>
      <c r="AO77" s="281"/>
      <c r="AP77" s="280" t="n">
        <v>0</v>
      </c>
      <c r="AQ77" s="289"/>
      <c r="AR77" s="280"/>
      <c r="AS77" s="280"/>
      <c r="AT77" s="280" t="n">
        <v>0</v>
      </c>
      <c r="AU77" s="280" t="n">
        <v>0</v>
      </c>
      <c r="AV77" s="280" t="n">
        <v>0</v>
      </c>
      <c r="AW77" s="280" t="n">
        <v>0</v>
      </c>
      <c r="AX77" s="280" t="n">
        <v>-3256034</v>
      </c>
      <c r="AY77" s="280" t="n">
        <v>0</v>
      </c>
      <c r="AZ77" s="280" t="n">
        <v>3256034</v>
      </c>
      <c r="BA77" s="280" t="n">
        <v>0</v>
      </c>
      <c r="BB77" s="280"/>
      <c r="BC77" s="280"/>
      <c r="BD77" s="280"/>
      <c r="BE77" s="280"/>
      <c r="BF77" s="280"/>
      <c r="BG77" s="280"/>
      <c r="BH77" s="280"/>
      <c r="BI77" s="280"/>
      <c r="BJ77" s="280"/>
      <c r="BK77" s="280"/>
      <c r="BL77" s="293"/>
      <c r="BM77" s="280"/>
      <c r="BN77" s="280"/>
      <c r="BO77" s="280"/>
      <c r="BP77" s="280"/>
      <c r="BQ77" s="282"/>
      <c r="BR77" s="281"/>
      <c r="BS77" s="291"/>
      <c r="BT77" s="281"/>
      <c r="BU77" s="292"/>
      <c r="BV77" s="281"/>
      <c r="BW77" s="293"/>
      <c r="BX77" s="293"/>
      <c r="BY77" s="280"/>
      <c r="BZ77" s="280"/>
      <c r="CA77" s="280" t="n">
        <v>0</v>
      </c>
      <c r="CB77" s="280"/>
      <c r="CC77" s="280"/>
      <c r="CD77" s="280"/>
      <c r="CE77" s="280"/>
      <c r="CF77" s="280"/>
      <c r="CG77" s="280"/>
      <c r="CH77" s="280"/>
      <c r="CI77" s="280"/>
      <c r="CJ77" s="280"/>
      <c r="CK77" s="281"/>
      <c r="CL77" s="281"/>
    </row>
    <row r="78" customFormat="false" ht="20.1" hidden="true" customHeight="true" outlineLevel="0" collapsed="false">
      <c r="A78" s="261" t="s">
        <v>587</v>
      </c>
      <c r="B78" s="261"/>
      <c r="C78" s="261"/>
      <c r="D78" s="261"/>
      <c r="E78" s="261"/>
      <c r="F78" s="261"/>
      <c r="G78" s="298"/>
      <c r="H78" s="298"/>
      <c r="I78" s="262"/>
      <c r="J78" s="264"/>
      <c r="K78" s="264"/>
      <c r="L78" s="266"/>
      <c r="M78" s="266"/>
      <c r="N78" s="266"/>
      <c r="O78" s="265"/>
      <c r="P78" s="267"/>
      <c r="Q78" s="267"/>
      <c r="R78" s="268" t="n">
        <v>0</v>
      </c>
      <c r="S78" s="269" t="n">
        <v>38.45</v>
      </c>
      <c r="T78" s="268" t="n">
        <v>0</v>
      </c>
      <c r="U78" s="270" t="n">
        <v>241023772.5386</v>
      </c>
      <c r="V78" s="265"/>
      <c r="W78" s="265" t="n">
        <v>34338817.2513</v>
      </c>
      <c r="X78" s="265" t="n">
        <v>0</v>
      </c>
      <c r="Y78" s="265" t="n">
        <v>34338817.2513</v>
      </c>
      <c r="Z78" s="265" t="n">
        <v>0</v>
      </c>
      <c r="AA78" s="265" t="n">
        <v>0</v>
      </c>
      <c r="AB78" s="265" t="n">
        <v>0</v>
      </c>
      <c r="AC78" s="270" t="n">
        <v>238763214.2486</v>
      </c>
      <c r="AD78" s="265" t="n">
        <v>-341168.35</v>
      </c>
      <c r="AE78" s="265" t="n">
        <v>0</v>
      </c>
      <c r="AF78" s="265" t="n">
        <v>341168.35</v>
      </c>
      <c r="AG78" s="265" t="n">
        <v>0</v>
      </c>
      <c r="AH78" s="271" t="n">
        <v>-27824688.90476</v>
      </c>
      <c r="AI78" s="265" t="n">
        <v>0</v>
      </c>
      <c r="AJ78" s="265" t="n">
        <v>27824688.90476</v>
      </c>
      <c r="AK78" s="272" t="n">
        <v>0</v>
      </c>
      <c r="AL78" s="273"/>
      <c r="AM78" s="265" t="n">
        <v>385997193.016944</v>
      </c>
      <c r="AN78" s="273"/>
      <c r="AO78" s="266"/>
      <c r="AP78" s="265" t="n">
        <v>297177328.055429</v>
      </c>
      <c r="AQ78" s="274"/>
      <c r="AR78" s="265"/>
      <c r="AS78" s="265"/>
      <c r="AT78" s="265" t="n">
        <v>-13417284.239312</v>
      </c>
      <c r="AU78" s="265" t="n">
        <v>0</v>
      </c>
      <c r="AV78" s="265" t="n">
        <v>13417284.239312</v>
      </c>
      <c r="AW78" s="265" t="n">
        <v>0</v>
      </c>
      <c r="AX78" s="265" t="n">
        <v>-285967391.637462</v>
      </c>
      <c r="AY78" s="265" t="n">
        <v>0</v>
      </c>
      <c r="AZ78" s="265" t="n">
        <v>285967391.637462</v>
      </c>
      <c r="BA78" s="265" t="n">
        <v>0</v>
      </c>
      <c r="BB78" s="265"/>
      <c r="BC78" s="265"/>
      <c r="BD78" s="265"/>
      <c r="BE78" s="265"/>
      <c r="BF78" s="265"/>
      <c r="BG78" s="265"/>
      <c r="BH78" s="265"/>
      <c r="BI78" s="265"/>
      <c r="BJ78" s="265"/>
      <c r="BK78" s="265"/>
      <c r="BL78" s="278"/>
      <c r="BM78" s="265"/>
      <c r="BN78" s="265"/>
      <c r="BO78" s="265"/>
      <c r="BP78" s="265"/>
      <c r="BQ78" s="267"/>
      <c r="BR78" s="266"/>
      <c r="BS78" s="276"/>
      <c r="BT78" s="266"/>
      <c r="BU78" s="277"/>
      <c r="BV78" s="266"/>
      <c r="BW78" s="278"/>
      <c r="BX78" s="278"/>
      <c r="BY78" s="265"/>
      <c r="BZ78" s="265"/>
      <c r="CA78" s="265" t="n">
        <v>31126757.918004</v>
      </c>
      <c r="CB78" s="265"/>
      <c r="CC78" s="265"/>
      <c r="CD78" s="265"/>
      <c r="CE78" s="265"/>
      <c r="CF78" s="265"/>
      <c r="CG78" s="265"/>
      <c r="CH78" s="265"/>
      <c r="CI78" s="265"/>
      <c r="CJ78" s="265"/>
      <c r="CK78" s="266"/>
      <c r="CL78" s="266"/>
    </row>
    <row r="79" customFormat="false" ht="30" hidden="false" customHeight="true" outlineLevel="0" collapsed="false">
      <c r="A79" s="299"/>
      <c r="B79" s="299" t="s">
        <v>587</v>
      </c>
      <c r="C79" s="299"/>
      <c r="D79" s="299"/>
      <c r="E79" s="299"/>
      <c r="F79" s="299"/>
      <c r="G79" s="300"/>
      <c r="H79" s="300"/>
      <c r="I79" s="301"/>
      <c r="J79" s="302"/>
      <c r="K79" s="302"/>
      <c r="L79" s="303"/>
      <c r="M79" s="303"/>
      <c r="N79" s="303"/>
      <c r="O79" s="304"/>
      <c r="P79" s="305"/>
      <c r="Q79" s="305"/>
      <c r="R79" s="306" t="n">
        <v>0</v>
      </c>
      <c r="S79" s="307" t="n">
        <v>38.45</v>
      </c>
      <c r="T79" s="306" t="n">
        <v>0</v>
      </c>
      <c r="U79" s="308" t="n">
        <v>241023772.5386</v>
      </c>
      <c r="V79" s="304"/>
      <c r="W79" s="304" t="n">
        <v>34338817.2513</v>
      </c>
      <c r="X79" s="304" t="n">
        <v>0</v>
      </c>
      <c r="Y79" s="304" t="n">
        <v>34338817.2513</v>
      </c>
      <c r="Z79" s="304" t="n">
        <v>0</v>
      </c>
      <c r="AA79" s="304" t="n">
        <v>0</v>
      </c>
      <c r="AB79" s="304" t="n">
        <v>0</v>
      </c>
      <c r="AC79" s="308" t="n">
        <v>238763214.2486</v>
      </c>
      <c r="AD79" s="304" t="n">
        <v>-341168.35</v>
      </c>
      <c r="AE79" s="304" t="n">
        <v>0</v>
      </c>
      <c r="AF79" s="304" t="n">
        <v>341168.35</v>
      </c>
      <c r="AG79" s="304" t="n">
        <v>0</v>
      </c>
      <c r="AH79" s="309" t="n">
        <v>-27824688.90476</v>
      </c>
      <c r="AI79" s="304" t="n">
        <v>0</v>
      </c>
      <c r="AJ79" s="304" t="n">
        <v>27824688.90476</v>
      </c>
      <c r="AK79" s="310" t="n">
        <v>0</v>
      </c>
      <c r="AL79" s="311"/>
      <c r="AM79" s="304" t="n">
        <v>385997193.016944</v>
      </c>
      <c r="AN79" s="311"/>
      <c r="AO79" s="303"/>
      <c r="AP79" s="304" t="n">
        <v>297177328.055429</v>
      </c>
      <c r="AQ79" s="312"/>
      <c r="AR79" s="304"/>
      <c r="AS79" s="304"/>
      <c r="AT79" s="304" t="n">
        <v>-13417284.239312</v>
      </c>
      <c r="AU79" s="304" t="n">
        <v>0</v>
      </c>
      <c r="AV79" s="304" t="n">
        <v>13417284.239312</v>
      </c>
      <c r="AW79" s="304" t="n">
        <v>0</v>
      </c>
      <c r="AX79" s="304" t="n">
        <v>-285967391.637462</v>
      </c>
      <c r="AY79" s="304" t="n">
        <v>0</v>
      </c>
      <c r="AZ79" s="304" t="n">
        <v>285967391.637462</v>
      </c>
      <c r="BA79" s="304" t="n">
        <v>0</v>
      </c>
      <c r="BB79" s="304"/>
      <c r="BC79" s="304"/>
      <c r="BD79" s="304"/>
      <c r="BE79" s="304"/>
      <c r="BF79" s="304"/>
      <c r="BG79" s="304"/>
      <c r="BH79" s="304"/>
      <c r="BI79" s="304"/>
      <c r="BJ79" s="304"/>
      <c r="BK79" s="304"/>
      <c r="BL79" s="313"/>
      <c r="BM79" s="304"/>
      <c r="BN79" s="304"/>
      <c r="BO79" s="304"/>
      <c r="BP79" s="304"/>
      <c r="BQ79" s="305"/>
      <c r="BR79" s="303"/>
      <c r="BS79" s="314"/>
      <c r="BT79" s="303"/>
      <c r="BU79" s="315"/>
      <c r="BV79" s="303"/>
      <c r="BW79" s="313"/>
      <c r="BX79" s="313"/>
      <c r="BY79" s="304"/>
      <c r="BZ79" s="304"/>
      <c r="CA79" s="304" t="n">
        <v>31126757.918004</v>
      </c>
      <c r="CB79" s="304"/>
      <c r="CC79" s="304"/>
      <c r="CD79" s="304"/>
      <c r="CE79" s="304"/>
      <c r="CF79" s="304"/>
      <c r="CG79" s="304"/>
      <c r="CH79" s="304"/>
      <c r="CI79" s="304"/>
      <c r="CJ79" s="304"/>
      <c r="CK79" s="303"/>
      <c r="CL79" s="303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2:BL32 AC43 BL40:BL43 AM4:AM43 AP4:AP43 BL47:BL49 AC47:AC49 AP47:AP49 AM47:AM49 AC71:AC74 BL71:BL79 AP71:AP79 AM71:AM79">
    <cfRule type="cellIs" priority="2" operator="notEqual" aboveAverage="0" equalAverage="0" bottom="0" percent="0" rank="0" text="" dxfId="0">
      <formula>"$BM$54"</formula>
    </cfRule>
  </conditionalFormatting>
  <conditionalFormatting sqref="BO4:BO79">
    <cfRule type="cellIs" priority="3" operator="notEqual" aboveAverage="0" equalAverage="0" bottom="0" percent="0" rank="0" text="" dxfId="1">
      <formula>FALSE()</formula>
    </cfRule>
  </conditionalFormatting>
  <conditionalFormatting sqref="BN4:BN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4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0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27" width="15.74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4.87"/>
    <col collapsed="false" customWidth="true" hidden="false" outlineLevel="0" max="14" min="14" style="0" width="13.11"/>
    <col collapsed="false" customWidth="true" hidden="false" outlineLevel="0" max="15" min="15" style="28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3.87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3.74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3.74"/>
    <col collapsed="false" customWidth="true" hidden="false" outlineLevel="0" max="33" min="33" style="0" width="15.74"/>
    <col collapsed="false" customWidth="true" hidden="false" outlineLevel="0" max="38" min="37" style="0" width="15.99"/>
    <col collapsed="false" customWidth="true" hidden="false" outlineLevel="0" max="39" min="39" style="0" width="12.12"/>
  </cols>
  <sheetData>
    <row r="1" customFormat="false" ht="15.75" hidden="false" customHeight="true" outlineLevel="0" collapsed="false">
      <c r="A1" s="29" t="s">
        <v>15</v>
      </c>
      <c r="B1" s="30" t="s">
        <v>16</v>
      </c>
      <c r="C1" s="30" t="s">
        <v>17</v>
      </c>
      <c r="D1" s="29" t="s">
        <v>18</v>
      </c>
      <c r="E1" s="31"/>
      <c r="F1" s="29" t="s">
        <v>19</v>
      </c>
      <c r="G1" s="32" t="s">
        <v>20</v>
      </c>
      <c r="H1" s="33" t="s">
        <v>21</v>
      </c>
      <c r="I1" s="33"/>
      <c r="J1" s="34" t="s">
        <v>22</v>
      </c>
      <c r="K1" s="34"/>
      <c r="L1" s="34"/>
      <c r="M1" s="34"/>
      <c r="N1" s="29" t="s">
        <v>23</v>
      </c>
      <c r="O1" s="30"/>
      <c r="P1" s="35" t="s">
        <v>24</v>
      </c>
      <c r="Q1" s="36" t="s">
        <v>25</v>
      </c>
      <c r="R1" s="37" t="s">
        <v>26</v>
      </c>
      <c r="S1" s="38" t="s">
        <v>27</v>
      </c>
      <c r="T1" s="38"/>
      <c r="U1" s="35" t="s">
        <v>27</v>
      </c>
      <c r="V1" s="36"/>
      <c r="W1" s="37"/>
      <c r="X1" s="29"/>
      <c r="Y1" s="29"/>
      <c r="Z1" s="38" t="s">
        <v>28</v>
      </c>
      <c r="AA1" s="38"/>
      <c r="AB1" s="38" t="s">
        <v>29</v>
      </c>
      <c r="AC1" s="38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customFormat="false" ht="15" hidden="false" customHeight="true" outlineLevel="0" collapsed="false">
      <c r="A2" s="39" t="s">
        <v>30</v>
      </c>
      <c r="B2" s="40" t="s">
        <v>31</v>
      </c>
      <c r="C2" s="40" t="s">
        <v>31</v>
      </c>
      <c r="D2" s="39" t="s">
        <v>32</v>
      </c>
      <c r="E2" s="41" t="s">
        <v>33</v>
      </c>
      <c r="F2" s="39" t="s">
        <v>34</v>
      </c>
      <c r="G2" s="42" t="s">
        <v>35</v>
      </c>
      <c r="H2" s="43" t="s">
        <v>36</v>
      </c>
      <c r="I2" s="44" t="s">
        <v>37</v>
      </c>
      <c r="J2" s="45" t="s">
        <v>31</v>
      </c>
      <c r="K2" s="42" t="s">
        <v>35</v>
      </c>
      <c r="L2" s="46" t="s">
        <v>36</v>
      </c>
      <c r="M2" s="47" t="s">
        <v>37</v>
      </c>
      <c r="N2" s="39" t="s">
        <v>38</v>
      </c>
      <c r="O2" s="40" t="s">
        <v>39</v>
      </c>
      <c r="P2" s="48" t="s">
        <v>40</v>
      </c>
      <c r="Q2" s="39" t="s">
        <v>40</v>
      </c>
      <c r="R2" s="49" t="s">
        <v>40</v>
      </c>
      <c r="S2" s="45" t="s">
        <v>7</v>
      </c>
      <c r="T2" s="49" t="s">
        <v>6</v>
      </c>
      <c r="U2" s="39" t="s">
        <v>38</v>
      </c>
      <c r="V2" s="39" t="s">
        <v>41</v>
      </c>
      <c r="W2" s="49" t="s">
        <v>42</v>
      </c>
      <c r="X2" s="50"/>
      <c r="Y2" s="50"/>
      <c r="Z2" s="45" t="s">
        <v>40</v>
      </c>
      <c r="AA2" s="49" t="s">
        <v>40</v>
      </c>
      <c r="AB2" s="45" t="s">
        <v>7</v>
      </c>
      <c r="AC2" s="49" t="s">
        <v>6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customFormat="false" ht="15" hidden="false" customHeight="true" outlineLevel="0" collapsed="false">
      <c r="A3" s="51" t="s">
        <v>43</v>
      </c>
      <c r="B3" s="52"/>
      <c r="C3" s="52"/>
      <c r="D3" s="50"/>
      <c r="E3" s="53"/>
      <c r="F3" s="50"/>
      <c r="G3" s="54"/>
      <c r="H3" s="55"/>
      <c r="I3" s="56"/>
      <c r="J3" s="53"/>
      <c r="K3" s="53"/>
      <c r="L3" s="53"/>
      <c r="M3" s="53"/>
      <c r="N3" s="50"/>
      <c r="O3" s="52"/>
      <c r="P3" s="50"/>
      <c r="Q3" s="50"/>
      <c r="R3" s="50"/>
      <c r="S3" s="53"/>
      <c r="T3" s="50"/>
      <c r="U3" s="50"/>
      <c r="V3" s="50"/>
      <c r="W3" s="50"/>
      <c r="X3" s="50"/>
      <c r="Y3" s="50"/>
      <c r="Z3" s="53"/>
      <c r="AA3" s="50"/>
      <c r="AB3" s="53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27" t="n">
        <f aca="false">ROUND(+G4*H4,2)</f>
        <v>91937.34</v>
      </c>
      <c r="J4" s="28" t="n">
        <v>37069</v>
      </c>
      <c r="K4" s="25" t="n">
        <f aca="false">104000/130000</f>
        <v>0.8</v>
      </c>
      <c r="L4" s="26" t="n">
        <f aca="false">IF(J4&lt;O4+1,78000,0)</f>
        <v>78000</v>
      </c>
      <c r="M4" s="16" t="n">
        <f aca="false">L4*K4</f>
        <v>62400</v>
      </c>
      <c r="N4" s="25" t="n">
        <f aca="false">VLOOKUP(+O4,StkPrices,+'Stock Prices'!H$2)</f>
        <v>1.43235095882812</v>
      </c>
      <c r="O4" s="28" t="n">
        <f aca="false">+Summary!$C$5</f>
        <v>37134</v>
      </c>
      <c r="P4" s="16" t="n">
        <f aca="false">IF(O4&lt;B4,0,ROUND((+N4*(H4-IF(J4&gt;O4,0,L4))),2)-ROUND(((H4-IF(J4&gt;O4,0,L4))*G4),2))</f>
        <v>0</v>
      </c>
      <c r="Q4" s="16" t="n">
        <f aca="false">ROUND((+K4-G4)*L4,2)</f>
        <v>-29537.34</v>
      </c>
      <c r="R4" s="57" t="n">
        <f aca="false">+P4+Q4</f>
        <v>-29537.34</v>
      </c>
      <c r="S4" s="16" t="n">
        <f aca="false">IF(J4&lt;O4,+Q4,0)</f>
        <v>-29537.34</v>
      </c>
      <c r="T4" s="16" t="n">
        <f aca="false">IF(Summary!$E$5&lt;'Daily Position'!B4,0,ROUND(+U4*(H4-IF(S4=0,0,L4)),2)+IF(S4=0,0,M4)-I4)</f>
        <v>-29537.34</v>
      </c>
      <c r="U4" s="25" t="n">
        <f aca="false">+VLOOKUP(+Summary!$E$5,StkPrices,+'Stock Prices'!H$2)</f>
        <v>1.43312815745542</v>
      </c>
      <c r="V4" s="25"/>
      <c r="W4" s="58" t="n">
        <f aca="false">+N4*(H4-L4)-'MPR Raptor'!U70</f>
        <v>0</v>
      </c>
      <c r="Z4" s="16" t="n">
        <v>-29537.34</v>
      </c>
      <c r="AA4" s="59" t="n">
        <v>-29537.34</v>
      </c>
      <c r="AB4" s="16" t="n">
        <f aca="false">+Q4-Z4</f>
        <v>0</v>
      </c>
      <c r="AC4" s="16" t="n">
        <f aca="false">ROUND(+R4-AA4,2)</f>
        <v>0</v>
      </c>
      <c r="AD4" s="58" t="n">
        <f aca="false">-AC4+'MPR Raptor'!AH70</f>
        <v>0</v>
      </c>
      <c r="AG4" s="60" t="n">
        <f aca="false">+N4*(H4-L4)</f>
        <v>0</v>
      </c>
      <c r="AK4" s="26"/>
      <c r="AL4" s="26"/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67648299.25/1276383</f>
        <v>53.000000195866</v>
      </c>
      <c r="H5" s="61" t="n">
        <f aca="false">1276383-SUM(H6:H12)-1</f>
        <v>324000</v>
      </c>
      <c r="I5" s="27" t="n">
        <f aca="false">ROUND(+G5*H5,2)</f>
        <v>17172000.06</v>
      </c>
      <c r="J5" s="28"/>
      <c r="K5" s="25"/>
      <c r="L5" s="26"/>
      <c r="N5" s="25" t="n">
        <f aca="false">VLOOKUP(+O5,StkPrices,+'Stock Prices'!D$2)</f>
        <v>5.56</v>
      </c>
      <c r="O5" s="28" t="n">
        <f aca="false">+Summary!$C$5</f>
        <v>37134</v>
      </c>
      <c r="P5" s="16" t="n">
        <f aca="false">IF(O5&lt;B5,0,ROUND((+N5*(H5-IF(J5&gt;O5,0,L5))),2)-ROUND(((H5-IF(J5&gt;O5,0,L5))*G5),2))</f>
        <v>-15370560.06</v>
      </c>
      <c r="Q5" s="16" t="n">
        <f aca="false">ROUND((+K5-G5)*L5,2)</f>
        <v>-0</v>
      </c>
      <c r="R5" s="57" t="n">
        <f aca="false">+P5+Q5</f>
        <v>-15370560.06</v>
      </c>
      <c r="S5" s="16" t="n">
        <f aca="false">IF(J5&lt;O5,+Q5,0)</f>
        <v>-0</v>
      </c>
      <c r="T5" s="16" t="n">
        <f aca="false">IF(Summary!$E$5&lt;'Daily Position'!B5,0,ROUND(+U5*(H5-IF(S5=0,0,L5)),2)+IF(S5=0,0,M5)-I5)</f>
        <v>-15260400.06</v>
      </c>
      <c r="U5" s="25" t="n">
        <f aca="false">+VLOOKUP(+Summary!$E$5,StkPrices,+'Stock Prices'!D$2)</f>
        <v>5.9</v>
      </c>
      <c r="V5" s="25"/>
      <c r="W5" s="58" t="n">
        <f aca="false">+N5*(H5-L5)-'MPR Raptor'!U26</f>
        <v>0</v>
      </c>
      <c r="X5" s="62"/>
      <c r="Z5" s="16" t="n">
        <v>0</v>
      </c>
      <c r="AA5" s="59" t="n">
        <v>-11767680.06</v>
      </c>
      <c r="AB5" s="16" t="n">
        <f aca="false">SUM(Q5:Q12)-SUM(Z5:Z12)</f>
        <v>0</v>
      </c>
      <c r="AC5" s="16" t="n">
        <f aca="false">ROUND(+SUM(R5:R12)-SUM(AA5:AA12),2)</f>
        <v>-3602880</v>
      </c>
      <c r="AD5" s="58" t="n">
        <f aca="false">-AC5+'MPR Raptor'!AH26</f>
        <v>0</v>
      </c>
      <c r="AG5" s="60" t="n">
        <f aca="false">+N5*(H5-L5)</f>
        <v>1801440</v>
      </c>
      <c r="AK5" s="26"/>
      <c r="AL5" s="26"/>
    </row>
    <row r="6" customFormat="false" ht="15.75" hidden="false" customHeight="false" outlineLevel="0" collapsed="false">
      <c r="A6" s="0" t="s">
        <v>47</v>
      </c>
      <c r="B6" s="23" t="n">
        <v>36741</v>
      </c>
      <c r="G6" s="25" t="n">
        <f aca="false">+G5</f>
        <v>53.000000195866</v>
      </c>
      <c r="H6" s="61" t="n">
        <f aca="false">+L6</f>
        <v>255276</v>
      </c>
      <c r="I6" s="27" t="n">
        <f aca="false">ROUND(+G6*H6,2)</f>
        <v>13529628.05</v>
      </c>
      <c r="J6" s="28" t="n">
        <v>36907</v>
      </c>
      <c r="K6" s="25" t="n">
        <f aca="false">6449767.11/255276</f>
        <v>25.2658577774644</v>
      </c>
      <c r="L6" s="26" t="n">
        <f aca="false">IF(J6&lt;O6+1,255276,0)</f>
        <v>255276</v>
      </c>
      <c r="M6" s="16" t="n">
        <v>6449767.11</v>
      </c>
      <c r="N6" s="25" t="n">
        <f aca="false">+N5</f>
        <v>5.56</v>
      </c>
      <c r="O6" s="28" t="n">
        <f aca="false">+Summary!$C$5</f>
        <v>37134</v>
      </c>
      <c r="P6" s="16" t="n">
        <f aca="false">IF(O6&lt;B6,0,ROUND((+N6*(H6-IF(J6&gt;O6,0,L6))),2)-ROUND(((H6-IF(J6&gt;O6,0,L6))*G6),2))</f>
        <v>0</v>
      </c>
      <c r="Q6" s="16" t="n">
        <f aca="false">ROUND((+K6-G6)*L6,2)</f>
        <v>-7079860.94</v>
      </c>
      <c r="R6" s="57" t="n">
        <f aca="false">+P6+Q6</f>
        <v>-7079860.94</v>
      </c>
      <c r="S6" s="16" t="n">
        <f aca="false">IF(J6&lt;O6,+Q6,0)</f>
        <v>-7079860.94</v>
      </c>
      <c r="T6" s="16" t="n">
        <f aca="false">IF(Summary!$E$5&lt;'Daily Position'!B6,0,ROUND(+U6*(H6-IF(S6=0,0,L6)),2)+IF(S6=0,0,M6)-I6)</f>
        <v>-7079860.94</v>
      </c>
      <c r="U6" s="25" t="n">
        <f aca="false">+U5</f>
        <v>5.9</v>
      </c>
      <c r="V6" s="25"/>
      <c r="W6" s="58"/>
      <c r="X6" s="62"/>
      <c r="Z6" s="16" t="n">
        <v>-7079860.94</v>
      </c>
      <c r="AA6" s="59" t="n">
        <v>-7079860.94</v>
      </c>
      <c r="AC6" s="16"/>
      <c r="AD6" s="58"/>
      <c r="AG6" s="60"/>
      <c r="AK6" s="26"/>
      <c r="AL6" s="26"/>
    </row>
    <row r="7" customFormat="false" ht="15.75" hidden="false" customHeight="false" outlineLevel="0" collapsed="false">
      <c r="A7" s="0" t="s">
        <v>47</v>
      </c>
      <c r="B7" s="23" t="n">
        <v>36741</v>
      </c>
      <c r="G7" s="25" t="n">
        <f aca="false">+G6</f>
        <v>53.000000195866</v>
      </c>
      <c r="H7" s="61" t="n">
        <f aca="false">+L7</f>
        <v>165000</v>
      </c>
      <c r="I7" s="27" t="n">
        <f aca="false">ROUND(+G7*H7,2)</f>
        <v>8745000.03</v>
      </c>
      <c r="J7" s="28" t="n">
        <v>37001</v>
      </c>
      <c r="K7" s="25" t="n">
        <v>21.673</v>
      </c>
      <c r="L7" s="26" t="n">
        <f aca="false">IF(J7&lt;O7+1,165000,0)</f>
        <v>165000</v>
      </c>
      <c r="M7" s="16" t="n">
        <f aca="false">L7*K7</f>
        <v>3576045</v>
      </c>
      <c r="N7" s="25" t="n">
        <f aca="false">+N5</f>
        <v>5.56</v>
      </c>
      <c r="O7" s="28" t="n">
        <f aca="false">+Summary!$C$5</f>
        <v>37134</v>
      </c>
      <c r="P7" s="16" t="n">
        <f aca="false">IF(O7&lt;B7,0,ROUND((+N7*(H7-IF(J7&gt;O7,0,L7))),2)-ROUND(((H7-IF(J7&gt;O7,0,L7))*G7),2))</f>
        <v>0</v>
      </c>
      <c r="Q7" s="16" t="n">
        <f aca="false">ROUND((+K7-G7)*L7,2)</f>
        <v>-5168955.03</v>
      </c>
      <c r="R7" s="57" t="n">
        <f aca="false">+P7+Q7</f>
        <v>-5168955.03</v>
      </c>
      <c r="S7" s="16" t="n">
        <f aca="false">IF(J7&lt;O7,+Q7,0)</f>
        <v>-5168955.03</v>
      </c>
      <c r="T7" s="16" t="n">
        <f aca="false">IF(Summary!$E$5&lt;'Daily Position'!B7,0,ROUND(+U7*(H7-IF(S7=0,0,L7)),2)+IF(S7=0,0,M7)-I7)</f>
        <v>-5168955.03</v>
      </c>
      <c r="U7" s="25" t="n">
        <f aca="false">+U6</f>
        <v>5.9</v>
      </c>
      <c r="V7" s="25"/>
      <c r="W7" s="58"/>
      <c r="X7" s="62"/>
      <c r="Z7" s="16" t="n">
        <v>-5168955.03</v>
      </c>
      <c r="AA7" s="59" t="n">
        <v>-5168955.03</v>
      </c>
      <c r="AC7" s="16"/>
      <c r="AD7" s="58"/>
      <c r="AG7" s="60"/>
      <c r="AK7" s="26"/>
      <c r="AL7" s="26"/>
    </row>
    <row r="8" customFormat="false" ht="15.75" hidden="false" customHeight="false" outlineLevel="0" collapsed="false">
      <c r="A8" s="0" t="s">
        <v>47</v>
      </c>
      <c r="B8" s="23" t="n">
        <v>36741</v>
      </c>
      <c r="G8" s="25" t="n">
        <f aca="false">+G7</f>
        <v>53.000000195866</v>
      </c>
      <c r="H8" s="61" t="n">
        <f aca="false">+L8</f>
        <v>100000</v>
      </c>
      <c r="I8" s="27" t="n">
        <f aca="false">ROUND(+G8*H8,2)</f>
        <v>5300000.02</v>
      </c>
      <c r="J8" s="28" t="n">
        <v>37004</v>
      </c>
      <c r="K8" s="25" t="n">
        <v>20.6125</v>
      </c>
      <c r="L8" s="26" t="n">
        <f aca="false">IF(J8&lt;O8+1,100000,0)</f>
        <v>100000</v>
      </c>
      <c r="M8" s="16" t="n">
        <f aca="false">L8*K8</f>
        <v>2061250</v>
      </c>
      <c r="N8" s="25" t="n">
        <f aca="false">+N7</f>
        <v>5.56</v>
      </c>
      <c r="O8" s="28" t="n">
        <f aca="false">+Summary!$C$5</f>
        <v>37134</v>
      </c>
      <c r="P8" s="16" t="n">
        <f aca="false">IF(O8&lt;B8,0,ROUND((+N8*(H8-IF(J8&gt;O8,0,L8))),2)-ROUND(((H8-IF(J8&gt;O8,0,L8))*G8),2))</f>
        <v>0</v>
      </c>
      <c r="Q8" s="16" t="n">
        <f aca="false">ROUND((+K8-G8)*L8,2)</f>
        <v>-3238750.02</v>
      </c>
      <c r="R8" s="57" t="n">
        <f aca="false">+P8+Q8</f>
        <v>-3238750.02</v>
      </c>
      <c r="S8" s="16" t="n">
        <f aca="false">IF(J8&lt;O8,+Q8,0)</f>
        <v>-3238750.02</v>
      </c>
      <c r="T8" s="16" t="n">
        <f aca="false">IF(Summary!$E$5&lt;'Daily Position'!B8,0,ROUND(+U8*(H8-IF(S8=0,0,L8)),2)+IF(S8=0,0,M8)-I8)</f>
        <v>-3238750.02</v>
      </c>
      <c r="U8" s="25" t="n">
        <f aca="false">+U7</f>
        <v>5.9</v>
      </c>
      <c r="V8" s="25"/>
      <c r="W8" s="58"/>
      <c r="X8" s="62"/>
      <c r="Z8" s="16" t="n">
        <v>-3238750.02</v>
      </c>
      <c r="AA8" s="59" t="n">
        <v>-3238750.02</v>
      </c>
      <c r="AC8" s="16"/>
      <c r="AD8" s="58"/>
      <c r="AG8" s="60"/>
      <c r="AK8" s="26"/>
      <c r="AL8" s="26"/>
    </row>
    <row r="9" customFormat="false" ht="15.75" hidden="false" customHeight="false" outlineLevel="0" collapsed="false">
      <c r="A9" s="0" t="s">
        <v>47</v>
      </c>
      <c r="B9" s="23" t="n">
        <v>36741</v>
      </c>
      <c r="G9" s="25" t="n">
        <f aca="false">+G8</f>
        <v>53.000000195866</v>
      </c>
      <c r="H9" s="61" t="n">
        <f aca="false">+L9</f>
        <v>35000</v>
      </c>
      <c r="I9" s="27" t="n">
        <f aca="false">ROUND(+G9*H9,2)</f>
        <v>1855000.01</v>
      </c>
      <c r="J9" s="28" t="n">
        <v>37005</v>
      </c>
      <c r="K9" s="25" t="n">
        <v>20.4043</v>
      </c>
      <c r="L9" s="26" t="n">
        <f aca="false">IF(J9&lt;O9+1,35000,0)</f>
        <v>35000</v>
      </c>
      <c r="M9" s="16" t="n">
        <f aca="false">L9*K9</f>
        <v>714150.5</v>
      </c>
      <c r="N9" s="25" t="n">
        <f aca="false">+N7</f>
        <v>5.56</v>
      </c>
      <c r="O9" s="28" t="n">
        <f aca="false">+Summary!$C$5</f>
        <v>37134</v>
      </c>
      <c r="P9" s="16" t="n">
        <f aca="false">IF(O9&lt;B9,0,ROUND((+N9*(H9-IF(J9&gt;O9,0,L9))),2)-ROUND(((H9-IF(J9&gt;O9,0,L9))*G9),2))</f>
        <v>0</v>
      </c>
      <c r="Q9" s="16" t="n">
        <f aca="false">ROUND((+K9-G9)*L9,2)</f>
        <v>-1140849.51</v>
      </c>
      <c r="R9" s="57" t="n">
        <f aca="false">+P9+Q9</f>
        <v>-1140849.51</v>
      </c>
      <c r="S9" s="16" t="n">
        <f aca="false">IF(J9&lt;O9,+Q9,0)</f>
        <v>-1140849.51</v>
      </c>
      <c r="T9" s="16" t="n">
        <f aca="false">IF(Summary!$E$5&lt;'Daily Position'!B9,0,ROUND(+U9*(H9-IF(S9=0,0,L9)),2)+IF(S9=0,0,M9)-I9)</f>
        <v>-1140849.51</v>
      </c>
      <c r="U9" s="25" t="n">
        <f aca="false">+U7</f>
        <v>5.9</v>
      </c>
      <c r="V9" s="25"/>
      <c r="W9" s="58"/>
      <c r="X9" s="62"/>
      <c r="Z9" s="16" t="n">
        <v>-1140849.51</v>
      </c>
      <c r="AA9" s="59" t="n">
        <v>-1140849.51</v>
      </c>
      <c r="AC9" s="16"/>
      <c r="AD9" s="58"/>
      <c r="AG9" s="60"/>
      <c r="AK9" s="26"/>
      <c r="AL9" s="26"/>
    </row>
    <row r="10" customFormat="false" ht="15.75" hidden="false" customHeight="false" outlineLevel="0" collapsed="false">
      <c r="A10" s="0" t="s">
        <v>47</v>
      </c>
      <c r="B10" s="23" t="n">
        <v>36741</v>
      </c>
      <c r="G10" s="25" t="n">
        <f aca="false">+G8</f>
        <v>53.000000195866</v>
      </c>
      <c r="H10" s="61" t="n">
        <f aca="false">+L10</f>
        <v>100000</v>
      </c>
      <c r="I10" s="27" t="n">
        <f aca="false">ROUND(+G10*H10,2)</f>
        <v>5300000.02</v>
      </c>
      <c r="J10" s="28" t="n">
        <v>37018</v>
      </c>
      <c r="K10" s="25" t="n">
        <v>24.6495</v>
      </c>
      <c r="L10" s="26" t="n">
        <f aca="false">IF(J10&lt;O10+1,100000,0)</f>
        <v>100000</v>
      </c>
      <c r="M10" s="16" t="n">
        <f aca="false">L10*K10</f>
        <v>2464950</v>
      </c>
      <c r="N10" s="25" t="n">
        <f aca="false">+N7</f>
        <v>5.56</v>
      </c>
      <c r="O10" s="28" t="n">
        <f aca="false">+Summary!$C$5</f>
        <v>37134</v>
      </c>
      <c r="P10" s="16" t="n">
        <f aca="false">IF(O10&lt;B10,0,ROUND((+N10*(H10-IF(J10&gt;O10,0,L10))),2)-ROUND(((H10-IF(J10&gt;O10,0,L10))*G10),2))</f>
        <v>0</v>
      </c>
      <c r="Q10" s="16" t="n">
        <f aca="false">ROUND((+K10-G10)*L10,2)</f>
        <v>-2835050.02</v>
      </c>
      <c r="R10" s="57" t="n">
        <f aca="false">+P10+Q10</f>
        <v>-2835050.02</v>
      </c>
      <c r="S10" s="16" t="n">
        <f aca="false">IF(J10&lt;O10,+Q10,0)</f>
        <v>-2835050.02</v>
      </c>
      <c r="T10" s="16" t="n">
        <f aca="false">IF(Summary!$E$5&lt;'Daily Position'!B10,0,ROUND(+U10*(H10-IF(S10=0,0,L10)),2)+IF(S10=0,0,M10)-I10)</f>
        <v>-2835050.02</v>
      </c>
      <c r="U10" s="25" t="n">
        <f aca="false">+U7</f>
        <v>5.9</v>
      </c>
      <c r="V10" s="25"/>
      <c r="W10" s="58"/>
      <c r="X10" s="62"/>
      <c r="Z10" s="16" t="n">
        <v>-2835050.02</v>
      </c>
      <c r="AA10" s="59" t="n">
        <v>-2835050.02</v>
      </c>
      <c r="AC10" s="16"/>
      <c r="AD10" s="58"/>
      <c r="AG10" s="60"/>
      <c r="AK10" s="26"/>
      <c r="AL10" s="26"/>
    </row>
    <row r="11" customFormat="false" ht="15.75" hidden="false" customHeight="false" outlineLevel="0" collapsed="false">
      <c r="A11" s="0" t="s">
        <v>47</v>
      </c>
      <c r="B11" s="23" t="n">
        <v>36741</v>
      </c>
      <c r="G11" s="25" t="n">
        <f aca="false">+G9</f>
        <v>53.000000195866</v>
      </c>
      <c r="H11" s="61" t="n">
        <f aca="false">+L11</f>
        <v>150000</v>
      </c>
      <c r="I11" s="27" t="n">
        <f aca="false">ROUND(+G11*H11,2)</f>
        <v>7950000.03</v>
      </c>
      <c r="J11" s="28" t="n">
        <v>37019</v>
      </c>
      <c r="K11" s="25" t="n">
        <v>24.1132</v>
      </c>
      <c r="L11" s="26" t="n">
        <f aca="false">IF(J11&lt;O11+1,150000,0)</f>
        <v>150000</v>
      </c>
      <c r="M11" s="16" t="n">
        <f aca="false">L11*K11</f>
        <v>3616980</v>
      </c>
      <c r="N11" s="25" t="n">
        <f aca="false">+N8</f>
        <v>5.56</v>
      </c>
      <c r="O11" s="28" t="n">
        <f aca="false">+Summary!$C$5</f>
        <v>37134</v>
      </c>
      <c r="P11" s="16" t="n">
        <f aca="false">IF(O11&lt;B11,0,ROUND((+N11*(H11-IF(J11&gt;O11,0,L11))),2)-ROUND(((H11-IF(J11&gt;O11,0,L11))*G11),2))</f>
        <v>0</v>
      </c>
      <c r="Q11" s="16" t="n">
        <f aca="false">ROUND((+K11-G11)*L11,2)</f>
        <v>-4333020.03</v>
      </c>
      <c r="R11" s="57" t="n">
        <f aca="false">+P11+Q11</f>
        <v>-4333020.03</v>
      </c>
      <c r="S11" s="16" t="n">
        <f aca="false">IF(J11&lt;O11,+Q11,0)</f>
        <v>-4333020.03</v>
      </c>
      <c r="T11" s="16" t="n">
        <f aca="false">IF(Summary!$E$5&lt;'Daily Position'!B11,0,ROUND(+U11*(H11-IF(S11=0,0,L11)),2)+IF(S11=0,0,M11)-I11)</f>
        <v>-4333020.03</v>
      </c>
      <c r="U11" s="25" t="n">
        <f aca="false">+U8</f>
        <v>5.9</v>
      </c>
      <c r="V11" s="25"/>
      <c r="W11" s="58"/>
      <c r="X11" s="62"/>
      <c r="Z11" s="16" t="n">
        <v>-4333020.03</v>
      </c>
      <c r="AA11" s="59" t="n">
        <v>-4333020.03</v>
      </c>
      <c r="AC11" s="16"/>
      <c r="AD11" s="58"/>
      <c r="AG11" s="60"/>
      <c r="AK11" s="26"/>
      <c r="AL11" s="26"/>
    </row>
    <row r="12" customFormat="false" ht="15.75" hidden="false" customHeight="false" outlineLevel="0" collapsed="false">
      <c r="A12" s="0" t="s">
        <v>47</v>
      </c>
      <c r="B12" s="23" t="n">
        <v>36741</v>
      </c>
      <c r="G12" s="25" t="n">
        <f aca="false">+G10</f>
        <v>53.000000195866</v>
      </c>
      <c r="H12" s="61" t="n">
        <f aca="false">+L12</f>
        <v>147106</v>
      </c>
      <c r="I12" s="27" t="n">
        <f aca="false">ROUND(+G12*H12,2)</f>
        <v>7796618.03</v>
      </c>
      <c r="J12" s="28" t="n">
        <v>37020</v>
      </c>
      <c r="K12" s="25" t="n">
        <v>25.0496</v>
      </c>
      <c r="L12" s="26" t="n">
        <f aca="false">IF(J12&lt;O12+1,147106,0)</f>
        <v>147106</v>
      </c>
      <c r="M12" s="16" t="n">
        <f aca="false">L12*K12</f>
        <v>3684946.4576</v>
      </c>
      <c r="N12" s="25" t="n">
        <f aca="false">+N9</f>
        <v>5.56</v>
      </c>
      <c r="O12" s="28" t="n">
        <f aca="false">+Summary!$C$5</f>
        <v>37134</v>
      </c>
      <c r="P12" s="16" t="n">
        <f aca="false">IF(O12&lt;B12,0,ROUND((+N12*(H12-IF(J12&gt;O12,0,L12))),2)-ROUND(((H12-IF(J12&gt;O12,0,L12))*G12),2))</f>
        <v>0</v>
      </c>
      <c r="Q12" s="16" t="n">
        <f aca="false">ROUND((+K12-G12)*L12,2)</f>
        <v>-4111671.57</v>
      </c>
      <c r="R12" s="57" t="n">
        <f aca="false">+P12+Q12</f>
        <v>-4111671.57</v>
      </c>
      <c r="S12" s="16" t="n">
        <f aca="false">IF(J12&lt;O12,+Q12,0)</f>
        <v>-4111671.57</v>
      </c>
      <c r="T12" s="16" t="n">
        <f aca="false">IF(Summary!$E$5&lt;'Daily Position'!B12,0,ROUND(+U12*(H12-IF(S12=0,0,L12)),2)+IF(S12=0,0,M12)-I12)</f>
        <v>-4111671.5724</v>
      </c>
      <c r="U12" s="25" t="n">
        <f aca="false">+U9</f>
        <v>5.9</v>
      </c>
      <c r="V12" s="25"/>
      <c r="W12" s="58"/>
      <c r="X12" s="62"/>
      <c r="Z12" s="16" t="n">
        <v>-4111671.57</v>
      </c>
      <c r="AA12" s="59" t="n">
        <v>-4111671.57</v>
      </c>
      <c r="AC12" s="16"/>
      <c r="AD12" s="58"/>
      <c r="AG12" s="60"/>
      <c r="AK12" s="26"/>
      <c r="AL12" s="26"/>
    </row>
    <row r="13" customFormat="false" ht="15.75" hidden="false" customHeight="false" outlineLevel="0" collapsed="false">
      <c r="A13" s="0" t="s">
        <v>48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162.5</v>
      </c>
      <c r="H13" s="26" t="n">
        <v>1093426</v>
      </c>
      <c r="I13" s="27" t="n">
        <f aca="false">ROUND(+G13*H13,2)</f>
        <v>177681725</v>
      </c>
      <c r="J13" s="28" t="n">
        <v>36902</v>
      </c>
      <c r="K13" s="25" t="n">
        <f aca="false">30438.98/1000</f>
        <v>30.43898</v>
      </c>
      <c r="L13" s="26" t="n">
        <f aca="false">IF(J13&lt;O13+1,1000,0)</f>
        <v>1000</v>
      </c>
      <c r="M13" s="16" t="n">
        <v>30438.98</v>
      </c>
      <c r="N13" s="25" t="n">
        <f aca="false">VLOOKUP(+O13,StkPrices,+'Stock Prices'!C$2)</f>
        <v>3.3</v>
      </c>
      <c r="O13" s="28" t="n">
        <f aca="false">+Summary!$C$5</f>
        <v>37134</v>
      </c>
      <c r="P13" s="16" t="n">
        <f aca="false">IF(O13&lt;B13,0,ROUND((+N13*(H13-IF(J13&gt;O13,0,L13))),2)-ROUND(((H13-IF(J13&gt;O13,0,L13))*G13),2))</f>
        <v>-173914219.2</v>
      </c>
      <c r="Q13" s="16" t="n">
        <f aca="false">ROUND((+K13-G13)*L13,2)</f>
        <v>-132061.02</v>
      </c>
      <c r="R13" s="57" t="n">
        <f aca="false">+P13+Q13</f>
        <v>-174046280.22</v>
      </c>
      <c r="S13" s="16" t="n">
        <f aca="false">IF(J13&lt;O13,+Q13,0)</f>
        <v>-132061.02</v>
      </c>
      <c r="T13" s="16" t="n">
        <f aca="false">IF(Summary!$E$5&lt;'Daily Position'!B13,0,ROUND(+U13*(H13-IF(S13=0,0,L13)),2)+IF(S13=0,0,M13)-I13)</f>
        <v>-173882416.32</v>
      </c>
      <c r="U13" s="25" t="n">
        <f aca="false">+VLOOKUP(+Summary!$E$5,StkPrices,+'Stock Prices'!C$2)</f>
        <v>3.45</v>
      </c>
      <c r="V13" s="25"/>
      <c r="W13" s="58" t="n">
        <f aca="false">+N13*(H13-L13)-'MPR Raptor'!U7</f>
        <v>0</v>
      </c>
      <c r="X13" s="62"/>
      <c r="Z13" s="16" t="n">
        <v>-132061.02</v>
      </c>
      <c r="AA13" s="59" t="n">
        <v>-168289195.2</v>
      </c>
      <c r="AB13" s="16" t="n">
        <f aca="false">+Q13-Z13</f>
        <v>0</v>
      </c>
      <c r="AC13" s="16" t="n">
        <f aca="false">ROUND(+R13-AA13,2)</f>
        <v>-5757085.02</v>
      </c>
      <c r="AD13" s="58" t="n">
        <f aca="false">-AC13+'MPR Raptor'!AH7</f>
        <v>0</v>
      </c>
      <c r="AG13" s="60" t="n">
        <f aca="false">+N13*(H13-L13)</f>
        <v>3605005.8</v>
      </c>
      <c r="AK13" s="26"/>
      <c r="AL13" s="26"/>
    </row>
    <row r="14" customFormat="false" ht="15.75" hidden="false" customHeight="false" outlineLevel="0" collapsed="false">
      <c r="A14" s="0" t="s">
        <v>49</v>
      </c>
      <c r="B14" s="23" t="n">
        <v>36741</v>
      </c>
      <c r="C14" s="23" t="n">
        <v>37836</v>
      </c>
      <c r="D14" s="24" t="s">
        <v>45</v>
      </c>
      <c r="E14" s="16" t="n">
        <v>0</v>
      </c>
      <c r="F14" s="24" t="s">
        <v>46</v>
      </c>
      <c r="G14" s="25" t="n">
        <v>4.19540251455472</v>
      </c>
      <c r="H14" s="26" t="n">
        <v>156250</v>
      </c>
      <c r="I14" s="27" t="n">
        <f aca="false">ROUND(+G14*H14,2)</f>
        <v>655531.64</v>
      </c>
      <c r="J14" s="28" t="n">
        <v>37069</v>
      </c>
      <c r="K14" s="25" t="n">
        <v>3.453</v>
      </c>
      <c r="L14" s="26" t="n">
        <f aca="false">IF(J14&lt;O14+1,156250,0)</f>
        <v>156250</v>
      </c>
      <c r="M14" s="16" t="n">
        <f aca="false">L14*K14</f>
        <v>539531.25</v>
      </c>
      <c r="N14" s="25" t="n">
        <f aca="false">VLOOKUP(+O14,StkPrices,+'Stock Prices'!G$2)</f>
        <v>3.02099818164576</v>
      </c>
      <c r="O14" s="28" t="n">
        <f aca="false">+Summary!$C$5</f>
        <v>37134</v>
      </c>
      <c r="P14" s="16" t="n">
        <f aca="false">IF(O14&lt;B14,0,ROUND((+N14*(H14-IF(J14&gt;O14,0,L14))),2)-ROUND(((H14-IF(J14&gt;O14,0,L14))*G14),2))</f>
        <v>0</v>
      </c>
      <c r="Q14" s="16" t="n">
        <f aca="false">ROUND((+K14-G14)*L14,2)</f>
        <v>-116000.39</v>
      </c>
      <c r="R14" s="57" t="n">
        <f aca="false">+P14+Q14</f>
        <v>-116000.39</v>
      </c>
      <c r="S14" s="16" t="n">
        <f aca="false">IF(J14&lt;O14,+Q14,0)</f>
        <v>-116000.39</v>
      </c>
      <c r="T14" s="16" t="n">
        <f aca="false">IF(Summary!$E$5&lt;'Daily Position'!B14,0,ROUND(+U14*(H14-IF(S14=0,0,L14)),2)+IF(S14=0,0,M14)-I14)</f>
        <v>-116000.39</v>
      </c>
      <c r="U14" s="25" t="n">
        <f aca="false">+VLOOKUP(+Summary!$E$5,StkPrices,+'Stock Prices'!G$2)</f>
        <v>3.02043413182966</v>
      </c>
      <c r="V14" s="25"/>
      <c r="W14" s="58" t="n">
        <f aca="false">+N14*(H14-L14)-'MPR Raptor'!U69</f>
        <v>0</v>
      </c>
      <c r="X14" s="62"/>
      <c r="Z14" s="16" t="n">
        <v>-116000.39</v>
      </c>
      <c r="AA14" s="59" t="n">
        <v>-116000.39</v>
      </c>
      <c r="AB14" s="16" t="n">
        <f aca="false">+Q14-Z14</f>
        <v>0</v>
      </c>
      <c r="AC14" s="16" t="n">
        <f aca="false">ROUND(+R14-AA14,2)</f>
        <v>0</v>
      </c>
      <c r="AD14" s="58" t="n">
        <f aca="false">-AC14+'MPR Raptor'!AH69</f>
        <v>0</v>
      </c>
      <c r="AG14" s="60" t="n">
        <f aca="false">+N14*(H14-L14)</f>
        <v>0</v>
      </c>
      <c r="AK14" s="26"/>
      <c r="AL14" s="26"/>
    </row>
    <row r="15" customFormat="false" ht="15.75" hidden="false" customHeight="false" outlineLevel="0" collapsed="false">
      <c r="A15" s="63" t="s">
        <v>50</v>
      </c>
      <c r="B15" s="23" t="n">
        <v>36741</v>
      </c>
      <c r="C15" s="23" t="n">
        <v>37836</v>
      </c>
      <c r="D15" s="24" t="s">
        <v>45</v>
      </c>
      <c r="E15" s="16" t="n">
        <v>0</v>
      </c>
      <c r="F15" s="24" t="s">
        <v>46</v>
      </c>
      <c r="G15" s="25" t="n">
        <f aca="false">IF(H15&gt;0,I15/H15,0)</f>
        <v>86.466565739983</v>
      </c>
      <c r="H15" s="26" t="n">
        <f aca="false">1339286+3603</f>
        <v>1342889</v>
      </c>
      <c r="I15" s="27" t="n">
        <f aca="false">IF(O15&gt;(X15-1),116115000,0)</f>
        <v>116115000</v>
      </c>
      <c r="N15" s="25" t="n">
        <f aca="false">VLOOKUP(+O15,StkPrices,+'Stock Prices'!L$2)</f>
        <v>7.95</v>
      </c>
      <c r="O15" s="28" t="n">
        <f aca="false">+Summary!$C$5</f>
        <v>37134</v>
      </c>
      <c r="P15" s="16" t="n">
        <f aca="false">IF(O15&lt;B15,0,ROUND((+N15*(H15-IF(J15&gt;O15,0,L15))),2)-ROUND(((H15-IF(J15&gt;O15,0,L15))*G15),2))</f>
        <v>-105439032.45</v>
      </c>
      <c r="Q15" s="16" t="n">
        <f aca="false">ROUND((+K15-G15)*L15,2)</f>
        <v>-0</v>
      </c>
      <c r="R15" s="57" t="n">
        <f aca="false">+P15+Q15</f>
        <v>-105439032.45</v>
      </c>
      <c r="S15" s="16" t="n">
        <f aca="false">IF(J15&lt;O15,+Q15,0)</f>
        <v>-0</v>
      </c>
      <c r="T15" s="16" t="n">
        <f aca="false">IF(Summary!$E$5&lt;'Daily Position'!B15,0,ROUND(+U15*(H15-IF(S15=0,0,L15)),2)+IF(S15=0,0,M15)-I15)</f>
        <v>-105371888</v>
      </c>
      <c r="U15" s="25" t="n">
        <f aca="false">IF(O15&gt;X15-1,+VLOOKUP(+Summary!$E$5,StkPrices,'Stock Prices'!L2),0)</f>
        <v>8</v>
      </c>
      <c r="V15" s="25"/>
      <c r="W15" s="58" t="n">
        <f aca="false">+N15*H15-'MPR Raptor'!U51</f>
        <v>0</v>
      </c>
      <c r="X15" s="64" t="n">
        <v>36874</v>
      </c>
      <c r="Y15" s="0" t="s">
        <v>51</v>
      </c>
      <c r="Z15" s="16" t="n">
        <v>0</v>
      </c>
      <c r="AA15" s="59" t="n">
        <v>-86974308.7</v>
      </c>
      <c r="AB15" s="16" t="n">
        <f aca="false">+Q15-Z15</f>
        <v>-0</v>
      </c>
      <c r="AC15" s="16" t="n">
        <f aca="false">ROUND(+R15-AA15,2)</f>
        <v>-18464723.75</v>
      </c>
      <c r="AD15" s="58" t="n">
        <f aca="false">-AC15+'MPR Raptor'!AH51</f>
        <v>0</v>
      </c>
      <c r="AG15" s="60" t="n">
        <f aca="false">+N15*(H15-L15)</f>
        <v>10675967.55</v>
      </c>
      <c r="AK15" s="26"/>
      <c r="AL15" s="26"/>
    </row>
    <row r="16" customFormat="false" ht="15.75" hidden="false" customHeight="false" outlineLevel="0" collapsed="false">
      <c r="A16" s="0" t="s">
        <v>52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G16" s="25" t="n">
        <v>5.875</v>
      </c>
      <c r="H16" s="26" t="n">
        <f aca="false">59891-SUM(H17:H27)</f>
        <v>0</v>
      </c>
      <c r="I16" s="27" t="n">
        <f aca="false">ROUND(+G16*H16,2)</f>
        <v>0</v>
      </c>
      <c r="J16" s="28"/>
      <c r="K16" s="25"/>
      <c r="L16" s="26"/>
      <c r="N16" s="25" t="n">
        <f aca="false">VLOOKUP(+O16,StkPrices,+'Stock Prices'!J$2)</f>
        <v>6.05</v>
      </c>
      <c r="O16" s="28" t="n">
        <f aca="false">+Summary!$C$5</f>
        <v>37134</v>
      </c>
      <c r="P16" s="16" t="n">
        <f aca="false">IF(O16&lt;B16,0,ROUND((+N16*(H16-IF(J16&gt;O16,0,L16))),2)-ROUND(((H16-IF(J16&gt;O16,0,L16))*G16),2))</f>
        <v>0</v>
      </c>
      <c r="Q16" s="16" t="n">
        <f aca="false">ROUND((+K16-G16)*L16,2)</f>
        <v>-0</v>
      </c>
      <c r="R16" s="57" t="n">
        <f aca="false">+P16+Q16</f>
        <v>0</v>
      </c>
      <c r="S16" s="16" t="n">
        <f aca="false">IF(J16&lt;O16,+Q16,0)</f>
        <v>-0</v>
      </c>
      <c r="T16" s="16" t="n">
        <f aca="false">IF(Summary!$E$5&lt;'Daily Position'!B16,0,ROUND(+U16*(H16-IF(S16=0,0,L16)),2)+IF(S16=0,0,M16)-I16)</f>
        <v>0</v>
      </c>
      <c r="U16" s="25" t="n">
        <f aca="false">+VLOOKUP(+Summary!$E$5,StkPrices,+'Stock Prices'!J$2)</f>
        <v>5.75</v>
      </c>
      <c r="V16" s="25"/>
      <c r="W16" s="58" t="n">
        <f aca="false">+N16*(H16-L16)-'MPR Raptor'!U49</f>
        <v>0</v>
      </c>
      <c r="X16" s="62"/>
      <c r="Z16" s="16" t="n">
        <v>0</v>
      </c>
      <c r="AA16" s="59" t="n">
        <v>0</v>
      </c>
      <c r="AB16" s="16" t="n">
        <f aca="false">+SUM(Q16:Q27)-SUM(Z16:Z27)</f>
        <v>0</v>
      </c>
      <c r="AC16" s="16" t="n">
        <f aca="false">ROUND(+SUM(R16:R27)-SUM(AA16:AA27),2)</f>
        <v>0</v>
      </c>
      <c r="AD16" s="58" t="n">
        <f aca="false">-AC16+'MPR Raptor'!AH49</f>
        <v>0</v>
      </c>
      <c r="AG16" s="60" t="n">
        <f aca="false">+N16*(H16-L16)</f>
        <v>0</v>
      </c>
      <c r="AK16" s="26"/>
      <c r="AL16" s="26"/>
    </row>
    <row r="17" customFormat="false" ht="15.75" hidden="false" customHeight="false" outlineLevel="0" collapsed="false">
      <c r="A17" s="0" t="s">
        <v>52</v>
      </c>
      <c r="B17" s="23" t="n">
        <f aca="false">+B15</f>
        <v>36741</v>
      </c>
      <c r="G17" s="25" t="n">
        <f aca="false">+G16</f>
        <v>5.875</v>
      </c>
      <c r="H17" s="61" t="n">
        <f aca="false">+L17</f>
        <v>5500</v>
      </c>
      <c r="I17" s="27" t="n">
        <f aca="false">ROUND(+G17*H17,2)</f>
        <v>32312.5</v>
      </c>
      <c r="J17" s="28" t="n">
        <v>37011</v>
      </c>
      <c r="K17" s="25" t="n">
        <f aca="false">IF(L17=0,0,+M17/L17)</f>
        <v>5.63752727272727</v>
      </c>
      <c r="L17" s="26" t="n">
        <f aca="false">IF(J17&lt;O17+1,+(8000+3000)*0.5,0)</f>
        <v>5500</v>
      </c>
      <c r="M17" s="16" t="n">
        <f aca="false">(44591.3+17098.5+1.5+1.5+320)*0.5</f>
        <v>31006.4</v>
      </c>
      <c r="N17" s="25" t="n">
        <f aca="false">+N16</f>
        <v>6.05</v>
      </c>
      <c r="O17" s="28" t="n">
        <f aca="false">+Summary!$C$5</f>
        <v>37134</v>
      </c>
      <c r="P17" s="16" t="n">
        <f aca="false">IF(O17&lt;B17,0,ROUND((+N17*(H17-IF(J17&gt;O17,0,L17))),2)-ROUND(((H17-IF(J17&gt;O17,0,L17))*G17),2))</f>
        <v>0</v>
      </c>
      <c r="Q17" s="16" t="n">
        <f aca="false">ROUND((+K17-G17)*L17,2)</f>
        <v>-1306.1</v>
      </c>
      <c r="R17" s="57" t="n">
        <f aca="false">+P17+Q17</f>
        <v>-1306.1</v>
      </c>
      <c r="S17" s="16" t="n">
        <f aca="false">IF(J17&lt;O17,+Q17,0)</f>
        <v>-1306.1</v>
      </c>
      <c r="T17" s="16" t="n">
        <f aca="false">IF(Summary!$E$5&lt;'Daily Position'!B17,0,ROUND(+U17*(H17-IF(S17=0,0,L17)),2)+IF(S17=0,0,M17)-I17)</f>
        <v>-1306.1</v>
      </c>
      <c r="U17" s="25" t="n">
        <f aca="false">+U16</f>
        <v>5.75</v>
      </c>
      <c r="V17" s="25"/>
      <c r="W17" s="58"/>
      <c r="X17" s="62"/>
      <c r="Z17" s="16" t="n">
        <v>-1306.1</v>
      </c>
      <c r="AA17" s="59" t="n">
        <v>-1306.1</v>
      </c>
      <c r="AC17" s="16"/>
      <c r="AD17" s="58"/>
      <c r="AG17" s="60"/>
      <c r="AK17" s="26"/>
      <c r="AL17" s="26"/>
    </row>
    <row r="18" customFormat="false" ht="15.75" hidden="false" customHeight="false" outlineLevel="0" collapsed="false">
      <c r="A18" s="0" t="s">
        <v>52</v>
      </c>
      <c r="B18" s="23" t="n">
        <f aca="false">+B16</f>
        <v>36741</v>
      </c>
      <c r="G18" s="25" t="n">
        <f aca="false">+G17</f>
        <v>5.875</v>
      </c>
      <c r="H18" s="61" t="n">
        <f aca="false">+L18</f>
        <v>3950</v>
      </c>
      <c r="I18" s="27" t="n">
        <f aca="false">ROUND(+G18*H18,2)</f>
        <v>23206.25</v>
      </c>
      <c r="J18" s="28" t="n">
        <v>37012</v>
      </c>
      <c r="K18" s="25" t="n">
        <f aca="false">IF(L18=0,0,+M18/L18)</f>
        <v>5.5101</v>
      </c>
      <c r="L18" s="26" t="n">
        <f aca="false">IF(J18&lt;O18+1,7900*0.5,0)</f>
        <v>3950</v>
      </c>
      <c r="M18" s="16" t="n">
        <f aca="false">(43212.34+1.45+316)*0.5</f>
        <v>21764.895</v>
      </c>
      <c r="N18" s="25" t="n">
        <f aca="false">+N16</f>
        <v>6.05</v>
      </c>
      <c r="O18" s="28" t="n">
        <f aca="false">+Summary!$C$5</f>
        <v>37134</v>
      </c>
      <c r="P18" s="16" t="n">
        <f aca="false">IF(O18&lt;B18,0,ROUND((+N18*(H18-IF(J18&gt;O18,0,L18))),2)-ROUND(((H18-IF(J18&gt;O18,0,L18))*G18),2))</f>
        <v>0</v>
      </c>
      <c r="Q18" s="16" t="n">
        <f aca="false">ROUND((+K18-G18)*L18,2)</f>
        <v>-1441.36</v>
      </c>
      <c r="R18" s="57" t="n">
        <f aca="false">+P18+Q18</f>
        <v>-1441.36</v>
      </c>
      <c r="S18" s="16" t="n">
        <f aca="false">IF(J18&lt;O18,+Q18,0)</f>
        <v>-1441.36</v>
      </c>
      <c r="T18" s="16" t="n">
        <f aca="false">IF(Summary!$E$5&lt;'Daily Position'!B18,0,ROUND(+U18*(H18-IF(S18=0,0,L18)),2)+IF(S18=0,0,M18)-I18)</f>
        <v>-1441.355</v>
      </c>
      <c r="U18" s="25" t="n">
        <f aca="false">+U16</f>
        <v>5.75</v>
      </c>
      <c r="V18" s="25"/>
      <c r="W18" s="58"/>
      <c r="X18" s="62"/>
      <c r="Z18" s="16" t="n">
        <v>-1441.36</v>
      </c>
      <c r="AA18" s="59" t="n">
        <v>-1441.36</v>
      </c>
      <c r="AC18" s="16"/>
      <c r="AD18" s="58"/>
      <c r="AG18" s="60"/>
      <c r="AK18" s="26"/>
      <c r="AL18" s="26"/>
    </row>
    <row r="19" customFormat="false" ht="15.75" hidden="false" customHeight="false" outlineLevel="0" collapsed="false">
      <c r="A19" s="0" t="s">
        <v>52</v>
      </c>
      <c r="B19" s="23" t="n">
        <f aca="false">+B17</f>
        <v>36741</v>
      </c>
      <c r="G19" s="25" t="n">
        <f aca="false">+G18</f>
        <v>5.875</v>
      </c>
      <c r="H19" s="61" t="n">
        <f aca="false">+L19</f>
        <v>2050</v>
      </c>
      <c r="I19" s="27" t="n">
        <f aca="false">ROUND(+G19*H19,2)</f>
        <v>12043.75</v>
      </c>
      <c r="J19" s="28" t="n">
        <v>37013</v>
      </c>
      <c r="K19" s="25" t="n">
        <f aca="false">IF(L19=0,0,+M19/L19)</f>
        <v>5.6432</v>
      </c>
      <c r="L19" s="26" t="n">
        <f aca="false">IF(J19&lt;O19+1,4100*0.5,0)</f>
        <v>2050</v>
      </c>
      <c r="M19" s="16" t="n">
        <f aca="false">(22972.35+0.77+164)*0.5</f>
        <v>11568.56</v>
      </c>
      <c r="N19" s="25" t="n">
        <f aca="false">+N17</f>
        <v>6.05</v>
      </c>
      <c r="O19" s="28" t="n">
        <f aca="false">+Summary!$C$5</f>
        <v>37134</v>
      </c>
      <c r="P19" s="16" t="n">
        <f aca="false">IF(O19&lt;B19,0,ROUND((+N19*(H19-IF(J19&gt;O19,0,L19))),2)-ROUND(((H19-IF(J19&gt;O19,0,L19))*G19),2))</f>
        <v>0</v>
      </c>
      <c r="Q19" s="16" t="n">
        <f aca="false">ROUND((+K19-G19)*L19,2)</f>
        <v>-475.19</v>
      </c>
      <c r="R19" s="57" t="n">
        <f aca="false">+P19+Q19</f>
        <v>-475.19</v>
      </c>
      <c r="S19" s="16" t="n">
        <f aca="false">IF(J19&lt;O19,+Q19,0)</f>
        <v>-475.19</v>
      </c>
      <c r="T19" s="16" t="n">
        <f aca="false">IF(Summary!$E$5&lt;'Daily Position'!B19,0,ROUND(+U19*(H19-IF(S19=0,0,L19)),2)+IF(S19=0,0,M19)-I19)</f>
        <v>-475.190000000001</v>
      </c>
      <c r="U19" s="25" t="n">
        <f aca="false">+U17</f>
        <v>5.75</v>
      </c>
      <c r="V19" s="25"/>
      <c r="W19" s="58"/>
      <c r="X19" s="62"/>
      <c r="Z19" s="16" t="n">
        <v>-475.19</v>
      </c>
      <c r="AA19" s="59" t="n">
        <v>-475.19</v>
      </c>
      <c r="AC19" s="16"/>
      <c r="AD19" s="58"/>
      <c r="AG19" s="60"/>
      <c r="AK19" s="26"/>
      <c r="AL19" s="26"/>
    </row>
    <row r="20" customFormat="false" ht="15.75" hidden="false" customHeight="false" outlineLevel="0" collapsed="false">
      <c r="A20" s="0" t="s">
        <v>52</v>
      </c>
      <c r="B20" s="23" t="n">
        <f aca="false">+B18</f>
        <v>36741</v>
      </c>
      <c r="G20" s="25" t="n">
        <f aca="false">+G19</f>
        <v>5.875</v>
      </c>
      <c r="H20" s="61" t="n">
        <f aca="false">+L20</f>
        <v>3850</v>
      </c>
      <c r="I20" s="27" t="n">
        <f aca="false">ROUND(+G20*H20,2)</f>
        <v>22618.75</v>
      </c>
      <c r="J20" s="28" t="n">
        <v>37018</v>
      </c>
      <c r="K20" s="25" t="n">
        <v>5.5712</v>
      </c>
      <c r="L20" s="26" t="n">
        <f aca="false">IF(J20&lt;O20+1,7700*0.5,0)</f>
        <v>3850</v>
      </c>
      <c r="M20" s="16" t="n">
        <f aca="false">L20*K20</f>
        <v>21449.12</v>
      </c>
      <c r="N20" s="25" t="n">
        <f aca="false">+N18</f>
        <v>6.05</v>
      </c>
      <c r="O20" s="28" t="n">
        <f aca="false">+Summary!$C$5</f>
        <v>37134</v>
      </c>
      <c r="P20" s="16" t="n">
        <f aca="false">IF(O20&lt;B20,0,ROUND((+N20*(H20-IF(J20&gt;O20,0,L20))),2)-ROUND(((H20-IF(J20&gt;O20,0,L20))*G20),2))</f>
        <v>0</v>
      </c>
      <c r="Q20" s="16" t="n">
        <f aca="false">ROUND((+K20-G20)*L20,2)</f>
        <v>-1169.63</v>
      </c>
      <c r="R20" s="57" t="n">
        <f aca="false">+P20+Q20</f>
        <v>-1169.63</v>
      </c>
      <c r="S20" s="16" t="n">
        <f aca="false">IF(J20&lt;O20,+Q20,0)</f>
        <v>-1169.63</v>
      </c>
      <c r="T20" s="16" t="n">
        <f aca="false">IF(Summary!$E$5&lt;'Daily Position'!B20,0,ROUND(+U20*(H20-IF(S20=0,0,L20)),2)+IF(S20=0,0,M20)-I20)</f>
        <v>-1169.63</v>
      </c>
      <c r="U20" s="25" t="n">
        <f aca="false">+U18</f>
        <v>5.75</v>
      </c>
      <c r="V20" s="25"/>
      <c r="W20" s="58"/>
      <c r="X20" s="62"/>
      <c r="Z20" s="16" t="n">
        <v>-1169.63</v>
      </c>
      <c r="AA20" s="59" t="n">
        <v>-1169.63</v>
      </c>
      <c r="AC20" s="16"/>
      <c r="AD20" s="58"/>
      <c r="AG20" s="60"/>
      <c r="AK20" s="26"/>
      <c r="AL20" s="26"/>
    </row>
    <row r="21" customFormat="false" ht="15.75" hidden="false" customHeight="false" outlineLevel="0" collapsed="false">
      <c r="A21" s="0" t="s">
        <v>52</v>
      </c>
      <c r="B21" s="23" t="n">
        <f aca="false">+B19</f>
        <v>36741</v>
      </c>
      <c r="G21" s="25" t="n">
        <f aca="false">+G20</f>
        <v>5.875</v>
      </c>
      <c r="H21" s="61" t="n">
        <f aca="false">+L21</f>
        <v>3600</v>
      </c>
      <c r="I21" s="27" t="n">
        <f aca="false">ROUND(+G21*H21,2)</f>
        <v>21150</v>
      </c>
      <c r="J21" s="28" t="n">
        <v>37019</v>
      </c>
      <c r="K21" s="25" t="n">
        <v>5.6611</v>
      </c>
      <c r="L21" s="26" t="n">
        <f aca="false">IF(J21&lt;O21+1,7200*0.5,0)</f>
        <v>3600</v>
      </c>
      <c r="M21" s="16" t="n">
        <f aca="false">L21*K21</f>
        <v>20379.96</v>
      </c>
      <c r="N21" s="25" t="n">
        <f aca="false">+N19</f>
        <v>6.05</v>
      </c>
      <c r="O21" s="28" t="n">
        <f aca="false">+Summary!$C$5</f>
        <v>37134</v>
      </c>
      <c r="P21" s="16" t="n">
        <f aca="false">IF(O21&lt;B21,0,ROUND((+N21*(H21-IF(J21&gt;O21,0,L21))),2)-ROUND(((H21-IF(J21&gt;O21,0,L21))*G21),2))</f>
        <v>0</v>
      </c>
      <c r="Q21" s="16" t="n">
        <f aca="false">ROUND((+K21-G21)*L21,2)</f>
        <v>-770.04</v>
      </c>
      <c r="R21" s="57" t="n">
        <f aca="false">+P21+Q21</f>
        <v>-770.04</v>
      </c>
      <c r="S21" s="16" t="n">
        <f aca="false">IF(J21&lt;O21,+Q21,0)</f>
        <v>-770.04</v>
      </c>
      <c r="T21" s="16" t="n">
        <f aca="false">IF(Summary!$E$5&lt;'Daily Position'!B21,0,ROUND(+U21*(H21-IF(S21=0,0,L21)),2)+IF(S21=0,0,M21)-I21)</f>
        <v>-770.040000000001</v>
      </c>
      <c r="U21" s="25" t="n">
        <f aca="false">+U19</f>
        <v>5.75</v>
      </c>
      <c r="V21" s="25"/>
      <c r="W21" s="58"/>
      <c r="X21" s="62"/>
      <c r="Z21" s="16" t="n">
        <v>-770.04</v>
      </c>
      <c r="AA21" s="59" t="n">
        <v>-770.04</v>
      </c>
      <c r="AC21" s="16"/>
      <c r="AD21" s="58"/>
      <c r="AG21" s="60"/>
      <c r="AK21" s="26"/>
      <c r="AL21" s="26"/>
    </row>
    <row r="22" customFormat="false" ht="15.75" hidden="false" customHeight="false" outlineLevel="0" collapsed="false">
      <c r="A22" s="0" t="s">
        <v>52</v>
      </c>
      <c r="B22" s="23" t="n">
        <f aca="false">+B20</f>
        <v>36741</v>
      </c>
      <c r="G22" s="25" t="n">
        <f aca="false">+G21</f>
        <v>5.875</v>
      </c>
      <c r="H22" s="61" t="n">
        <f aca="false">+L22</f>
        <v>1500</v>
      </c>
      <c r="I22" s="27" t="n">
        <f aca="false">ROUND(+G22*H22,2)</f>
        <v>8812.5</v>
      </c>
      <c r="J22" s="28" t="n">
        <v>37022</v>
      </c>
      <c r="K22" s="25" t="n">
        <v>5.55</v>
      </c>
      <c r="L22" s="26" t="n">
        <f aca="false">IF(J22&lt;O22+1,3000*0.5,0)</f>
        <v>1500</v>
      </c>
      <c r="M22" s="16" t="n">
        <f aca="false">L22*K22</f>
        <v>8325</v>
      </c>
      <c r="N22" s="25" t="n">
        <f aca="false">+N20</f>
        <v>6.05</v>
      </c>
      <c r="O22" s="28" t="n">
        <f aca="false">+Summary!$C$5</f>
        <v>37134</v>
      </c>
      <c r="P22" s="16" t="n">
        <f aca="false">IF(O22&lt;B22,0,ROUND((+N22*(H22-IF(J22&gt;O22,0,L22))),2)-ROUND(((H22-IF(J22&gt;O22,0,L22))*G22),2))</f>
        <v>0</v>
      </c>
      <c r="Q22" s="16" t="n">
        <f aca="false">ROUND((+K22-G22)*L22,2)</f>
        <v>-487.5</v>
      </c>
      <c r="R22" s="57" t="n">
        <f aca="false">+P22+Q22</f>
        <v>-487.5</v>
      </c>
      <c r="S22" s="16" t="n">
        <f aca="false">IF(J22&lt;O22,+Q22,0)</f>
        <v>-487.5</v>
      </c>
      <c r="T22" s="16" t="n">
        <f aca="false">IF(Summary!$E$5&lt;'Daily Position'!B22,0,ROUND(+U22*(H22-IF(S22=0,0,L22)),2)+IF(S22=0,0,M22)-I22)</f>
        <v>-487.5</v>
      </c>
      <c r="U22" s="25" t="n">
        <f aca="false">+U20</f>
        <v>5.75</v>
      </c>
      <c r="V22" s="25"/>
      <c r="W22" s="58"/>
      <c r="X22" s="62"/>
      <c r="Z22" s="16" t="n">
        <v>-487.5</v>
      </c>
      <c r="AA22" s="59" t="n">
        <v>-487.5</v>
      </c>
      <c r="AC22" s="16"/>
      <c r="AD22" s="58"/>
      <c r="AG22" s="60"/>
      <c r="AK22" s="26"/>
      <c r="AL22" s="26"/>
    </row>
    <row r="23" customFormat="false" ht="15.75" hidden="false" customHeight="false" outlineLevel="0" collapsed="false">
      <c r="A23" s="0" t="s">
        <v>52</v>
      </c>
      <c r="B23" s="23" t="n">
        <f aca="false">+B21</f>
        <v>36741</v>
      </c>
      <c r="G23" s="25" t="n">
        <f aca="false">+G22</f>
        <v>5.875</v>
      </c>
      <c r="H23" s="61" t="n">
        <f aca="false">+L23</f>
        <v>700</v>
      </c>
      <c r="I23" s="27" t="n">
        <f aca="false">ROUND(+G23*H23,2)</f>
        <v>4112.5</v>
      </c>
      <c r="J23" s="28" t="n">
        <v>37028</v>
      </c>
      <c r="K23" s="25" t="n">
        <v>5.5121</v>
      </c>
      <c r="L23" s="26" t="n">
        <f aca="false">IF(J23&lt;O23+1,1400*0.5,0)</f>
        <v>700</v>
      </c>
      <c r="M23" s="16" t="n">
        <f aca="false">L23*K23</f>
        <v>3858.47</v>
      </c>
      <c r="N23" s="25" t="n">
        <f aca="false">+N21</f>
        <v>6.05</v>
      </c>
      <c r="O23" s="28" t="n">
        <f aca="false">+Summary!$C$5</f>
        <v>37134</v>
      </c>
      <c r="P23" s="16" t="n">
        <f aca="false">IF(O23&lt;B23,0,ROUND((+N23*(H23-IF(J23&gt;O23,0,L23))),2)-ROUND(((H23-IF(J23&gt;O23,0,L23))*G23),2))</f>
        <v>0</v>
      </c>
      <c r="Q23" s="16" t="n">
        <f aca="false">ROUND((+K23-G23)*L23,2)</f>
        <v>-254.03</v>
      </c>
      <c r="R23" s="57" t="n">
        <f aca="false">+P23+Q23</f>
        <v>-254.03</v>
      </c>
      <c r="S23" s="16" t="n">
        <f aca="false">IF(J23&lt;O23,+Q23,0)</f>
        <v>-254.03</v>
      </c>
      <c r="T23" s="16" t="n">
        <f aca="false">IF(Summary!$E$5&lt;'Daily Position'!B23,0,ROUND(+U23*(H23-IF(S23=0,0,L23)),2)+IF(S23=0,0,M23)-I23)</f>
        <v>-254.03</v>
      </c>
      <c r="U23" s="25" t="n">
        <f aca="false">+U21</f>
        <v>5.75</v>
      </c>
      <c r="V23" s="25"/>
      <c r="W23" s="58"/>
      <c r="X23" s="62"/>
      <c r="Z23" s="16" t="n">
        <v>-254.03</v>
      </c>
      <c r="AA23" s="59" t="n">
        <v>-254.03</v>
      </c>
      <c r="AC23" s="16"/>
      <c r="AD23" s="58"/>
      <c r="AG23" s="60"/>
      <c r="AK23" s="26"/>
      <c r="AL23" s="26"/>
    </row>
    <row r="24" customFormat="false" ht="15.75" hidden="false" customHeight="false" outlineLevel="0" collapsed="false">
      <c r="A24" s="0" t="s">
        <v>52</v>
      </c>
      <c r="B24" s="23" t="n">
        <f aca="false">+B22</f>
        <v>36741</v>
      </c>
      <c r="G24" s="25" t="n">
        <f aca="false">+G23</f>
        <v>5.875</v>
      </c>
      <c r="H24" s="61" t="n">
        <f aca="false">+L24</f>
        <v>12925</v>
      </c>
      <c r="I24" s="27" t="n">
        <f aca="false">ROUND(+G24*H24,2)</f>
        <v>75934.38</v>
      </c>
      <c r="J24" s="28" t="n">
        <v>37029</v>
      </c>
      <c r="K24" s="25" t="n">
        <v>5.6281</v>
      </c>
      <c r="L24" s="26" t="n">
        <f aca="false">IF(J24&lt;O24+1,25850*0.5,0)</f>
        <v>12925</v>
      </c>
      <c r="M24" s="16" t="n">
        <f aca="false">L24*K24</f>
        <v>72743.1925</v>
      </c>
      <c r="N24" s="25" t="n">
        <f aca="false">+N22</f>
        <v>6.05</v>
      </c>
      <c r="O24" s="28" t="n">
        <f aca="false">+Summary!$C$5</f>
        <v>37134</v>
      </c>
      <c r="P24" s="16" t="n">
        <f aca="false">IF(O24&lt;B24,0,ROUND((+N24*(H24-IF(J24&gt;O24,0,L24))),2)-ROUND(((H24-IF(J24&gt;O24,0,L24))*G24),2))</f>
        <v>0</v>
      </c>
      <c r="Q24" s="16" t="n">
        <f aca="false">ROUND((+K24-G24)*L24,2)</f>
        <v>-3191.18</v>
      </c>
      <c r="R24" s="57" t="n">
        <f aca="false">+P24+Q24</f>
        <v>-3191.18</v>
      </c>
      <c r="S24" s="16" t="n">
        <f aca="false">IF(J24&lt;O24,+Q24,0)</f>
        <v>-3191.18</v>
      </c>
      <c r="T24" s="16" t="n">
        <f aca="false">IF(Summary!$E$5&lt;'Daily Position'!B24,0,ROUND(+U24*(H24-IF(S24=0,0,L24)),2)+IF(S24=0,0,M24)-I24)</f>
        <v>-3191.1875</v>
      </c>
      <c r="U24" s="25" t="n">
        <f aca="false">+U22</f>
        <v>5.75</v>
      </c>
      <c r="V24" s="25"/>
      <c r="W24" s="58"/>
      <c r="X24" s="62"/>
      <c r="Z24" s="16" t="n">
        <v>-3191.18</v>
      </c>
      <c r="AA24" s="59" t="n">
        <v>-3191.18</v>
      </c>
      <c r="AC24" s="16"/>
      <c r="AD24" s="58"/>
      <c r="AG24" s="60"/>
      <c r="AK24" s="26"/>
      <c r="AL24" s="26"/>
    </row>
    <row r="25" customFormat="false" ht="15.75" hidden="false" customHeight="false" outlineLevel="0" collapsed="false">
      <c r="A25" s="0" t="s">
        <v>52</v>
      </c>
      <c r="B25" s="23" t="n">
        <f aca="false">+B23</f>
        <v>36741</v>
      </c>
      <c r="G25" s="25" t="n">
        <f aca="false">+G24</f>
        <v>5.875</v>
      </c>
      <c r="H25" s="61" t="n">
        <f aca="false">+L25</f>
        <v>5950</v>
      </c>
      <c r="I25" s="27" t="n">
        <f aca="false">ROUND(+G25*H25,2)</f>
        <v>34956.25</v>
      </c>
      <c r="J25" s="28" t="n">
        <v>37032</v>
      </c>
      <c r="K25" s="25" t="n">
        <v>5.57956</v>
      </c>
      <c r="L25" s="26" t="n">
        <f aca="false">IF(J25&lt;O25+1,11900*0.5,0)</f>
        <v>5950</v>
      </c>
      <c r="M25" s="16" t="n">
        <f aca="false">L25*K25</f>
        <v>33198.382</v>
      </c>
      <c r="N25" s="25" t="n">
        <f aca="false">+N23</f>
        <v>6.05</v>
      </c>
      <c r="O25" s="28" t="n">
        <f aca="false">+Summary!$C$5</f>
        <v>37134</v>
      </c>
      <c r="P25" s="16" t="n">
        <f aca="false">IF(O25&lt;B25,0,ROUND((+N25*(H25-IF(J25&gt;O25,0,L25))),2)-ROUND(((H25-IF(J25&gt;O25,0,L25))*G25),2))</f>
        <v>0</v>
      </c>
      <c r="Q25" s="16" t="n">
        <f aca="false">ROUND((+K25-G25)*L25,2)</f>
        <v>-1757.87</v>
      </c>
      <c r="R25" s="57" t="n">
        <f aca="false">+P25+Q25</f>
        <v>-1757.87</v>
      </c>
      <c r="S25" s="16" t="n">
        <f aca="false">IF(J25&lt;O25,+Q25,0)</f>
        <v>-1757.87</v>
      </c>
      <c r="T25" s="16" t="n">
        <f aca="false">IF(Summary!$E$5&lt;'Daily Position'!B25,0,ROUND(+U25*(H25-IF(S25=0,0,L25)),2)+IF(S25=0,0,M25)-I25)</f>
        <v>-1757.868</v>
      </c>
      <c r="U25" s="25" t="n">
        <f aca="false">+U23</f>
        <v>5.75</v>
      </c>
      <c r="V25" s="25"/>
      <c r="W25" s="58"/>
      <c r="X25" s="62"/>
      <c r="Z25" s="16" t="n">
        <v>-1757.87</v>
      </c>
      <c r="AA25" s="59" t="n">
        <v>-1757.87</v>
      </c>
      <c r="AC25" s="16"/>
      <c r="AD25" s="58"/>
      <c r="AG25" s="60"/>
      <c r="AK25" s="26"/>
      <c r="AL25" s="26"/>
    </row>
    <row r="26" customFormat="false" ht="15.75" hidden="false" customHeight="false" outlineLevel="0" collapsed="false">
      <c r="A26" s="0" t="s">
        <v>52</v>
      </c>
      <c r="B26" s="23" t="n">
        <f aca="false">+B24</f>
        <v>36741</v>
      </c>
      <c r="G26" s="25" t="n">
        <f aca="false">+G25</f>
        <v>5.875</v>
      </c>
      <c r="H26" s="61" t="n">
        <f aca="false">+L26</f>
        <v>18500</v>
      </c>
      <c r="I26" s="27" t="n">
        <f aca="false">ROUND(+G26*H26,2)</f>
        <v>108687.5</v>
      </c>
      <c r="J26" s="28" t="n">
        <v>37033</v>
      </c>
      <c r="K26" s="25" t="n">
        <v>5.5512</v>
      </c>
      <c r="L26" s="26" t="n">
        <f aca="false">IF(J26&lt;O26+1,37000*0.5,0)</f>
        <v>18500</v>
      </c>
      <c r="M26" s="16" t="n">
        <f aca="false">L26*K26</f>
        <v>102697.2</v>
      </c>
      <c r="N26" s="25" t="n">
        <f aca="false">+N24</f>
        <v>6.05</v>
      </c>
      <c r="O26" s="28" t="n">
        <f aca="false">+Summary!$C$5</f>
        <v>37134</v>
      </c>
      <c r="P26" s="16" t="n">
        <f aca="false">IF(O26&lt;B26,0,ROUND((+N26*(H26-IF(J26&gt;O26,0,L26))),2)-ROUND(((H26-IF(J26&gt;O26,0,L26))*G26),2))</f>
        <v>0</v>
      </c>
      <c r="Q26" s="16" t="n">
        <f aca="false">ROUND((+K26-G26)*L26,2)</f>
        <v>-5990.3</v>
      </c>
      <c r="R26" s="57" t="n">
        <f aca="false">+P26+Q26</f>
        <v>-5990.3</v>
      </c>
      <c r="S26" s="16" t="n">
        <f aca="false">IF(J26&lt;O26,+Q26,0)</f>
        <v>-5990.3</v>
      </c>
      <c r="T26" s="16" t="n">
        <f aca="false">IF(Summary!$E$5&lt;'Daily Position'!B26,0,ROUND(+U26*(H26-IF(S26=0,0,L26)),2)+IF(S26=0,0,M26)-I26)</f>
        <v>-5990.3</v>
      </c>
      <c r="U26" s="25" t="n">
        <f aca="false">+U24</f>
        <v>5.75</v>
      </c>
      <c r="V26" s="25"/>
      <c r="W26" s="58"/>
      <c r="X26" s="62"/>
      <c r="Z26" s="16" t="n">
        <v>-5990.3</v>
      </c>
      <c r="AA26" s="59" t="n">
        <v>-5990.3</v>
      </c>
      <c r="AC26" s="16"/>
      <c r="AD26" s="58"/>
      <c r="AG26" s="60"/>
      <c r="AK26" s="26"/>
      <c r="AL26" s="26"/>
    </row>
    <row r="27" customFormat="false" ht="15.75" hidden="false" customHeight="false" outlineLevel="0" collapsed="false">
      <c r="A27" s="0" t="s">
        <v>52</v>
      </c>
      <c r="B27" s="23" t="n">
        <f aca="false">+B25</f>
        <v>36741</v>
      </c>
      <c r="G27" s="25" t="n">
        <f aca="false">+G26</f>
        <v>5.875</v>
      </c>
      <c r="H27" s="61" t="n">
        <f aca="false">+L27</f>
        <v>1366</v>
      </c>
      <c r="I27" s="27" t="n">
        <f aca="false">ROUND(+G27*H27,2)</f>
        <v>8025.25</v>
      </c>
      <c r="J27" s="28" t="n">
        <v>37034</v>
      </c>
      <c r="K27" s="25" t="n">
        <v>5.5296</v>
      </c>
      <c r="L27" s="26" t="n">
        <f aca="false">IF(J27&lt;O27+1,2732*0.5,0)</f>
        <v>1366</v>
      </c>
      <c r="M27" s="16" t="n">
        <f aca="false">L27*K27</f>
        <v>7553.4336</v>
      </c>
      <c r="N27" s="25" t="n">
        <f aca="false">+N25</f>
        <v>6.05</v>
      </c>
      <c r="O27" s="28" t="n">
        <f aca="false">+Summary!$C$5</f>
        <v>37134</v>
      </c>
      <c r="P27" s="16" t="n">
        <f aca="false">IF(O27&lt;B27,0,ROUND((+N27*(H27-IF(J27&gt;O27,0,L27))),2)-ROUND(((H27-IF(J27&gt;O27,0,L27))*G27),2))</f>
        <v>0</v>
      </c>
      <c r="Q27" s="16" t="n">
        <f aca="false">ROUND((+K27-G27)*L27,2)</f>
        <v>-471.82</v>
      </c>
      <c r="R27" s="57" t="n">
        <f aca="false">+P27+Q27</f>
        <v>-471.82</v>
      </c>
      <c r="S27" s="16" t="n">
        <f aca="false">IF(J27&lt;O27,+Q27,0)</f>
        <v>-471.82</v>
      </c>
      <c r="T27" s="16" t="n">
        <f aca="false">IF(Summary!$E$5&lt;'Daily Position'!B27,0,ROUND(+U27*(H27-IF(S27=0,0,L27)),2)+IF(S27=0,0,M27)-I27)</f>
        <v>-471.8164</v>
      </c>
      <c r="U27" s="25" t="n">
        <f aca="false">+U25</f>
        <v>5.75</v>
      </c>
      <c r="V27" s="25"/>
      <c r="W27" s="58"/>
      <c r="X27" s="62"/>
      <c r="Z27" s="16" t="n">
        <v>-471.82</v>
      </c>
      <c r="AA27" s="59" t="n">
        <v>-471.82</v>
      </c>
      <c r="AC27" s="16"/>
      <c r="AD27" s="58"/>
      <c r="AG27" s="60"/>
      <c r="AK27" s="26"/>
      <c r="AL27" s="26"/>
    </row>
    <row r="28" customFormat="false" ht="15.75" hidden="false" customHeight="false" outlineLevel="0" collapsed="false">
      <c r="A28" s="0" t="s">
        <v>53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G28" s="25" t="n">
        <v>1.68395</v>
      </c>
      <c r="H28" s="26" t="n">
        <v>735000</v>
      </c>
      <c r="I28" s="27" t="n">
        <f aca="false">ROUND(+G28*H28,2)</f>
        <v>1237703.25</v>
      </c>
      <c r="J28" s="28" t="n">
        <v>36839</v>
      </c>
      <c r="K28" s="25" t="n">
        <v>1.93798449612403</v>
      </c>
      <c r="L28" s="26" t="n">
        <f aca="false">IF(J28&lt;O28+1,+H28,0)</f>
        <v>735000</v>
      </c>
      <c r="M28" s="16" t="n">
        <f aca="false">+K28*L28</f>
        <v>1424418.60465116</v>
      </c>
      <c r="N28" s="25" t="n">
        <f aca="false">VLOOKUP(+O28,StkPrices,+'Stock Prices'!E$2)</f>
        <v>0</v>
      </c>
      <c r="O28" s="28" t="n">
        <f aca="false">+Summary!$C$5</f>
        <v>37134</v>
      </c>
      <c r="P28" s="16" t="n">
        <f aca="false">IF(O28&lt;B28,0,ROUND((+N28*(H28-IF(J28&gt;O28,0,L28))),2)-ROUND(((H28-IF(J28&gt;O28,0,L28))*G28),2))</f>
        <v>0</v>
      </c>
      <c r="Q28" s="16" t="n">
        <f aca="false">ROUND((+K28-G28)*L28,2)</f>
        <v>186715.35</v>
      </c>
      <c r="R28" s="57" t="n">
        <f aca="false">+P28+Q28</f>
        <v>186715.35</v>
      </c>
      <c r="S28" s="16" t="n">
        <f aca="false">IF(J28&lt;O28,+Q28,0)</f>
        <v>186715.35</v>
      </c>
      <c r="T28" s="16" t="n">
        <f aca="false">IF(Summary!$E$5&lt;'Daily Position'!B28,0,ROUND(+U28*(H28-IF(S28=0,0,L28)),2)+IF(S28=0,0,M28)-I28)</f>
        <v>186715.354651162</v>
      </c>
      <c r="U28" s="25" t="n">
        <f aca="false">IF(X28&gt;O16,+VLOOKUP(+Summary!$E$5,StkPrices,'Stock Prices'!E2),+'Stock Prices'!E76)</f>
        <v>1.93798449612403</v>
      </c>
      <c r="V28" s="25"/>
      <c r="W28" s="58"/>
      <c r="X28" s="65"/>
      <c r="Z28" s="16" t="n">
        <v>186715.35</v>
      </c>
      <c r="AA28" s="59" t="n">
        <v>186715.35</v>
      </c>
      <c r="AB28" s="16" t="n">
        <f aca="false">+Q28-Z28</f>
        <v>0</v>
      </c>
      <c r="AC28" s="16" t="n">
        <f aca="false">ROUND(+R28-AA28,2)</f>
        <v>0</v>
      </c>
      <c r="AD28" s="58"/>
      <c r="AG28" s="60" t="n">
        <f aca="false">+N28*(H28-L28)</f>
        <v>0</v>
      </c>
      <c r="AK28" s="26"/>
      <c r="AL28" s="26"/>
    </row>
    <row r="29" customFormat="false" ht="15.75" hidden="false" customHeight="false" outlineLevel="0" collapsed="false">
      <c r="A29" s="0" t="s">
        <v>54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G29" s="25" t="n">
        <f aca="false">IF(X29&lt;Summary!C5,0.09/(16891/2634952),0.09)</f>
        <v>14.0397655556213</v>
      </c>
      <c r="H29" s="26" t="n">
        <f aca="false">IF(X29&lt;Summary!C5,1580971.2*(16891/2634952),1580971.2)</f>
        <v>10134.6</v>
      </c>
      <c r="I29" s="27" t="n">
        <f aca="false">ROUND(+G29*H29,2)</f>
        <v>142287.41</v>
      </c>
      <c r="J29" s="28" t="n">
        <v>36980</v>
      </c>
      <c r="K29" s="25" t="n">
        <f aca="false">IF(L29=0,0,+M29/L29)</f>
        <v>7.99925996092594</v>
      </c>
      <c r="L29" s="26" t="n">
        <f aca="false">IF(J29&lt;O29+1,+H29,0)</f>
        <v>10134.6</v>
      </c>
      <c r="M29" s="16" t="n">
        <f aca="false">135115.5*0.6</f>
        <v>81069.3</v>
      </c>
      <c r="N29" s="25" t="n">
        <f aca="false">VLOOKUP(+O29,StkPrices,+'Stock Prices'!F$2)</f>
        <v>6</v>
      </c>
      <c r="O29" s="28" t="n">
        <f aca="false">+Summary!$C$5</f>
        <v>37134</v>
      </c>
      <c r="P29" s="16" t="n">
        <f aca="false">IF(O29&lt;B29,0,ROUND((+N29*(H29-IF(J29&gt;O29,0,L29))),2)-ROUND(((H29-IF(J29&gt;O29,0,L29))*G29),2))</f>
        <v>0</v>
      </c>
      <c r="Q29" s="16" t="n">
        <f aca="false">ROUND((+K29-G29)*L29,2)</f>
        <v>-61218.11</v>
      </c>
      <c r="R29" s="57" t="n">
        <f aca="false">+P29+Q29</f>
        <v>-61218.11</v>
      </c>
      <c r="S29" s="16" t="n">
        <f aca="false">IF(J29&lt;O29,+Q29,0)</f>
        <v>-61218.11</v>
      </c>
      <c r="T29" s="16" t="n">
        <f aca="false">IF(Summary!$E$5&lt;'Daily Position'!B29,0,ROUND(+U29*(H29-IF(S29=0,0,L29)),2)+IF(S29=0,0,M29)-I29)</f>
        <v>-61218.11</v>
      </c>
      <c r="U29" s="25" t="n">
        <f aca="false">IF(O29=(X29+1),+'Stock Prices'!F65/(229391/12234952),+VLOOKUP(+Summary!$E$5,StkPrices,'Stock Prices'!F2))</f>
        <v>6.07</v>
      </c>
      <c r="V29" s="25"/>
      <c r="W29" s="58" t="n">
        <f aca="false">+N29*(H29+H30-L29-L30)-'MPR Raptor'!U53</f>
        <v>0</v>
      </c>
      <c r="X29" s="65" t="n">
        <v>36824</v>
      </c>
      <c r="Y29" s="26" t="s">
        <v>55</v>
      </c>
      <c r="Z29" s="16" t="n">
        <v>-61218.11</v>
      </c>
      <c r="AA29" s="59" t="n">
        <v>-61218.11</v>
      </c>
      <c r="AB29" s="16" t="n">
        <f aca="false">+Q29-Z29</f>
        <v>0</v>
      </c>
      <c r="AC29" s="16" t="n">
        <f aca="false">ROUND(+R29-AA29,2)</f>
        <v>0</v>
      </c>
      <c r="AD29" s="58" t="n">
        <f aca="false">-AC29+'MPR Raptor'!AH53</f>
        <v>0</v>
      </c>
      <c r="AG29" s="60" t="n">
        <f aca="false">+N29*(H29-L29)</f>
        <v>0</v>
      </c>
      <c r="AK29" s="26"/>
      <c r="AL29" s="26"/>
    </row>
    <row r="30" customFormat="false" ht="15.75" hidden="false" customHeight="false" outlineLevel="0" collapsed="false">
      <c r="A30" s="0" t="s">
        <v>56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G30" s="25" t="n">
        <f aca="false">IF(X29&lt;Summary!C5,0.09/(212500/9600000),0.09)</f>
        <v>4.06588235294118</v>
      </c>
      <c r="H30" s="26" t="n">
        <f aca="false">IF(X29&lt;Summary!C5,5760000*(212500/9600000),5760000)</f>
        <v>127500</v>
      </c>
      <c r="I30" s="27" t="n">
        <f aca="false">ROUND(+G30*H30,2)</f>
        <v>518400</v>
      </c>
      <c r="J30" s="28" t="n">
        <v>36874</v>
      </c>
      <c r="K30" s="25" t="n">
        <f aca="false">IF(L30=0,0,+M30/L30)</f>
        <v>6.99976470588235</v>
      </c>
      <c r="L30" s="26" t="n">
        <f aca="false">IF(J30&lt;O30+1,+H30,0)</f>
        <v>127500</v>
      </c>
      <c r="M30" s="16" t="n">
        <v>892470</v>
      </c>
      <c r="N30" s="25" t="n">
        <f aca="false">VLOOKUP(+O30,StkPrices,+'Stock Prices'!F$2)</f>
        <v>6</v>
      </c>
      <c r="O30" s="28" t="n">
        <f aca="false">+Summary!$C$5</f>
        <v>37134</v>
      </c>
      <c r="P30" s="16" t="n">
        <f aca="false">IF(O30&lt;B30,0,ROUND((+N30*(H30-IF(J30&gt;O30,0,L30))),2)-ROUND(((H30-IF(J30&gt;O30,0,L30))*G30),2))</f>
        <v>0</v>
      </c>
      <c r="Q30" s="16" t="n">
        <f aca="false">ROUND((+K30-G30)*L30,2)</f>
        <v>374070</v>
      </c>
      <c r="R30" s="57" t="n">
        <f aca="false">+P30+Q30</f>
        <v>374070</v>
      </c>
      <c r="S30" s="16" t="n">
        <f aca="false">IF(J30&lt;O30,+Q30,0)</f>
        <v>374070</v>
      </c>
      <c r="T30" s="16" t="n">
        <f aca="false">IF(Summary!$E$5&lt;'Daily Position'!B30,0,ROUND(+U30*(H30-IF(S30=0,0,L30)),2)+IF(S30=0,0,M30)-I30)</f>
        <v>374070</v>
      </c>
      <c r="U30" s="25" t="n">
        <f aca="false">IF(O30=(X30+1),+'Stock Prices'!F66/(229391/12234952),+VLOOKUP(+Summary!$E$5,StkPrices,'Stock Prices'!F2))</f>
        <v>6.07</v>
      </c>
      <c r="V30" s="25"/>
      <c r="W30" s="58"/>
      <c r="X30" s="65" t="n">
        <v>36824</v>
      </c>
      <c r="Y30" s="26" t="s">
        <v>55</v>
      </c>
      <c r="Z30" s="16" t="n">
        <v>374070</v>
      </c>
      <c r="AA30" s="59" t="n">
        <v>374070</v>
      </c>
      <c r="AB30" s="16" t="n">
        <f aca="false">+Q30-Z30</f>
        <v>0</v>
      </c>
      <c r="AC30" s="16" t="n">
        <f aca="false">ROUND(+R30-AA30,2)</f>
        <v>0</v>
      </c>
      <c r="AD30" s="58"/>
      <c r="AG30" s="60" t="n">
        <f aca="false">+N30*(H30-L30)</f>
        <v>0</v>
      </c>
      <c r="AK30" s="26"/>
      <c r="AL30" s="26"/>
    </row>
    <row r="31" customFormat="false" ht="15.75" hidden="false" customHeight="false" outlineLevel="0" collapsed="false">
      <c r="A31" s="0" t="s">
        <v>57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G31" s="25" t="n">
        <v>7.625</v>
      </c>
      <c r="H31" s="26" t="n">
        <v>804243</v>
      </c>
      <c r="I31" s="27" t="n">
        <f aca="false">ROUND(+G31*H31,2)</f>
        <v>6132352.88</v>
      </c>
      <c r="J31" s="28" t="n">
        <v>36868</v>
      </c>
      <c r="K31" s="25" t="n">
        <f aca="false">IF(L31=0,0,+M31/L31)</f>
        <v>6.7199995523741</v>
      </c>
      <c r="L31" s="26" t="n">
        <f aca="false">IF(J31&lt;O31+1,+H31,0)</f>
        <v>804243</v>
      </c>
      <c r="M31" s="16" t="n">
        <v>5404512.6</v>
      </c>
      <c r="N31" s="25" t="n">
        <f aca="false">VLOOKUP(+O31,StkPrices,+'Stock Prices'!K$2)</f>
        <v>0</v>
      </c>
      <c r="O31" s="28" t="n">
        <f aca="false">+Summary!$C$5</f>
        <v>37134</v>
      </c>
      <c r="P31" s="16" t="n">
        <f aca="false">IF(O31&lt;B31,0,ROUND((+N31*(H31-IF(J31&gt;O31,0,L31))),2)-ROUND(((H31-IF(J31&gt;O31,0,L31))*G31),2))</f>
        <v>0</v>
      </c>
      <c r="Q31" s="16" t="n">
        <f aca="false">ROUND((+K31-G31)*L31,2)</f>
        <v>-727840.28</v>
      </c>
      <c r="R31" s="57" t="n">
        <f aca="false">+P31+Q31</f>
        <v>-727840.28</v>
      </c>
      <c r="S31" s="16" t="n">
        <f aca="false">IF(J31&lt;O31,+Q31,0)</f>
        <v>-727840.28</v>
      </c>
      <c r="T31" s="16" t="n">
        <f aca="false">IF(Summary!$E$5&lt;'Daily Position'!B31,0,ROUND(+U31*(H31-IF(S31=0,0,L31)),2)+IF(S31=0,0,M31)-I31)</f>
        <v>-727840.28</v>
      </c>
      <c r="U31" s="25" t="n">
        <f aca="false">+VLOOKUP(+Summary!$E$5,StkPrices,+'Stock Prices'!K$2)</f>
        <v>0</v>
      </c>
      <c r="V31" s="25"/>
      <c r="W31" s="58"/>
      <c r="X31" s="65"/>
      <c r="Z31" s="16" t="n">
        <v>-727840.28</v>
      </c>
      <c r="AA31" s="59" t="n">
        <v>-727840.28</v>
      </c>
      <c r="AB31" s="16" t="n">
        <f aca="false">+Q31-Z31</f>
        <v>0</v>
      </c>
      <c r="AC31" s="16" t="n">
        <f aca="false">ROUND(+R31-AA31,2)</f>
        <v>0</v>
      </c>
      <c r="AD31" s="58"/>
      <c r="AG31" s="60" t="n">
        <f aca="false">+N31*(H31-L31)</f>
        <v>0</v>
      </c>
      <c r="AK31" s="26"/>
      <c r="AL31" s="26"/>
    </row>
    <row r="32" customFormat="false" ht="15.75" hidden="false" customHeight="false" outlineLevel="0" collapsed="false">
      <c r="N32" s="25"/>
      <c r="P32" s="16"/>
      <c r="Q32" s="16"/>
      <c r="R32" s="57"/>
      <c r="T32" s="16"/>
      <c r="U32" s="16"/>
      <c r="V32" s="16"/>
      <c r="AA32" s="59"/>
      <c r="AC32" s="16"/>
      <c r="AG32" s="60"/>
      <c r="AK32" s="26"/>
      <c r="AL32" s="26"/>
    </row>
    <row r="33" customFormat="false" ht="15.75" hidden="false" customHeight="false" outlineLevel="0" collapsed="false">
      <c r="A33" s="51" t="s">
        <v>58</v>
      </c>
      <c r="N33" s="25"/>
      <c r="P33" s="16"/>
      <c r="Q33" s="16"/>
      <c r="R33" s="57"/>
      <c r="T33" s="16"/>
      <c r="U33" s="16"/>
      <c r="V33" s="16"/>
      <c r="AA33" s="59"/>
      <c r="AC33" s="16"/>
      <c r="AG33" s="66"/>
      <c r="AK33" s="26"/>
      <c r="AL33" s="26"/>
    </row>
    <row r="34" customFormat="false" ht="15.75" hidden="false" customHeight="false" outlineLevel="0" collapsed="false">
      <c r="A34" s="67" t="s">
        <v>59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27" t="n">
        <v>1250000</v>
      </c>
      <c r="N34" s="16" t="n">
        <f aca="false">VLOOKUP(+O34,Privates,V34)</f>
        <v>1250000</v>
      </c>
      <c r="O34" s="28" t="n">
        <f aca="false">+Summary!$C$5</f>
        <v>37134</v>
      </c>
      <c r="P34" s="16" t="n">
        <f aca="false">IF(O34&lt;B34,0,(+N34-I34-Q34))</f>
        <v>0</v>
      </c>
      <c r="Q34" s="16" t="n">
        <v>0</v>
      </c>
      <c r="R34" s="57" t="n">
        <f aca="false">+P34+Q34</f>
        <v>0</v>
      </c>
      <c r="S34" s="16" t="n">
        <v>0</v>
      </c>
      <c r="T34" s="16" t="n">
        <f aca="false">+U34-I34</f>
        <v>0</v>
      </c>
      <c r="U34" s="16" t="n">
        <f aca="false">VLOOKUP(+Summary!$E$5,Privates,V34)</f>
        <v>1250000</v>
      </c>
      <c r="V34" s="68" t="n">
        <v>2</v>
      </c>
      <c r="W34" s="58" t="n">
        <f aca="false">+N34+'Private Cash'!B377-'MPR Raptor'!U40</f>
        <v>0</v>
      </c>
      <c r="Z34" s="16" t="n">
        <v>0</v>
      </c>
      <c r="AA34" s="59" t="n">
        <v>0</v>
      </c>
      <c r="AB34" s="16" t="n">
        <f aca="false">+Q34-Z34</f>
        <v>0</v>
      </c>
      <c r="AC34" s="16" t="n">
        <f aca="false">ROUND(+R34-AA34,2)</f>
        <v>0</v>
      </c>
      <c r="AD34" s="58" t="n">
        <f aca="false">-AC34+'MPR Raptor'!AH43</f>
        <v>0</v>
      </c>
      <c r="AG34" s="66"/>
      <c r="AK34" s="26"/>
      <c r="AL34" s="26"/>
    </row>
    <row r="35" customFormat="false" ht="15.75" hidden="false" customHeight="false" outlineLevel="0" collapsed="false">
      <c r="A35" s="63" t="s">
        <v>60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27" t="n">
        <v>4563600</v>
      </c>
      <c r="N35" s="16" t="n">
        <f aca="false">VLOOKUP(+O35,Privates,V35)</f>
        <v>1209030.26</v>
      </c>
      <c r="O35" s="28" t="n">
        <f aca="false">+Summary!$C$5</f>
        <v>37134</v>
      </c>
      <c r="P35" s="16" t="n">
        <f aca="false">IF(O35&lt;B35,0,(+N35-I35-Q35))</f>
        <v>-3354569.74</v>
      </c>
      <c r="Q35" s="16" t="n">
        <v>0</v>
      </c>
      <c r="R35" s="57" t="n">
        <f aca="false">+P35+Q35</f>
        <v>-3354569.74</v>
      </c>
      <c r="S35" s="16" t="n">
        <v>0</v>
      </c>
      <c r="T35" s="16" t="n">
        <f aca="false">+U35-I35</f>
        <v>-3354569.74</v>
      </c>
      <c r="U35" s="16" t="n">
        <f aca="false">VLOOKUP(+Summary!$E$5,Privates,V35)</f>
        <v>1209030.26</v>
      </c>
      <c r="V35" s="68" t="n">
        <f aca="false">+V34+1</f>
        <v>3</v>
      </c>
      <c r="W35" s="58" t="n">
        <f aca="false">+N35+'Private Cash'!C377-'MPR Raptor'!U10</f>
        <v>0</v>
      </c>
      <c r="Z35" s="16" t="n">
        <v>0</v>
      </c>
      <c r="AA35" s="59" t="n">
        <v>-3354569.74</v>
      </c>
      <c r="AB35" s="16" t="n">
        <f aca="false">+Q35-Z35</f>
        <v>0</v>
      </c>
      <c r="AC35" s="16" t="n">
        <f aca="false">ROUND(+R35-AA35,2)</f>
        <v>0</v>
      </c>
      <c r="AD35" s="58" t="n">
        <f aca="false">-AC35+'MPR Raptor'!AH10</f>
        <v>0</v>
      </c>
      <c r="AG35" s="66"/>
      <c r="AK35" s="26"/>
      <c r="AL35" s="26"/>
    </row>
    <row r="36" customFormat="false" ht="15.75" hidden="false" customHeight="false" outlineLevel="0" collapsed="false">
      <c r="A36" s="63" t="s">
        <v>61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27" t="n">
        <v>2136334</v>
      </c>
      <c r="J36" s="28"/>
      <c r="K36" s="25"/>
      <c r="L36" s="26"/>
      <c r="N36" s="16" t="n">
        <f aca="false">VLOOKUP(+O36,Privates,V36)</f>
        <v>770244.5</v>
      </c>
      <c r="O36" s="28" t="n">
        <f aca="false">+Summary!$C$5</f>
        <v>37134</v>
      </c>
      <c r="P36" s="16" t="n">
        <f aca="false">IF(O36&lt;B36,0,(+N36-I36-Q36))</f>
        <v>-1366089.5</v>
      </c>
      <c r="Q36" s="16" t="n">
        <v>0</v>
      </c>
      <c r="R36" s="57" t="n">
        <f aca="false">+P36+Q36</f>
        <v>-1366089.5</v>
      </c>
      <c r="S36" s="16" t="n">
        <v>0</v>
      </c>
      <c r="T36" s="16" t="n">
        <f aca="false">+U36-I36</f>
        <v>-1366089.5</v>
      </c>
      <c r="U36" s="16" t="n">
        <f aca="false">VLOOKUP(+Summary!$E$5,Privates,V36)-'Private Cash'!D377</f>
        <v>770244.5</v>
      </c>
      <c r="V36" s="68" t="n">
        <f aca="false">+V35+1</f>
        <v>4</v>
      </c>
      <c r="W36" s="58" t="n">
        <f aca="false">+N36+'Private Cash'!D377-'MPR Raptor'!U46-'MPR Raptor'!U43</f>
        <v>0</v>
      </c>
      <c r="Z36" s="16" t="n">
        <v>0</v>
      </c>
      <c r="AA36" s="59" t="n">
        <v>-1366089.5</v>
      </c>
      <c r="AB36" s="16" t="n">
        <f aca="false">+Q36-Z36</f>
        <v>0</v>
      </c>
      <c r="AC36" s="16" t="n">
        <f aca="false">ROUND(+R36-AA36,2)</f>
        <v>0</v>
      </c>
      <c r="AD36" s="58" t="n">
        <f aca="false">-AC36+'MPR Raptor'!AH46+'MPR Raptor'!AH47</f>
        <v>0</v>
      </c>
      <c r="AG36" s="66"/>
      <c r="AK36" s="26"/>
      <c r="AL36" s="26"/>
    </row>
    <row r="37" customFormat="false" ht="15.75" hidden="false" customHeight="false" outlineLevel="0" collapsed="false">
      <c r="A37" s="63" t="s">
        <v>62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27" t="n">
        <v>429975</v>
      </c>
      <c r="J37" s="28" t="n">
        <v>36888</v>
      </c>
      <c r="K37" s="25" t="s">
        <v>63</v>
      </c>
      <c r="L37" s="26"/>
      <c r="M37" s="16" t="n">
        <v>372147.13</v>
      </c>
      <c r="N37" s="16" t="n">
        <f aca="false">VLOOKUP(+O37,Privates,V37)</f>
        <v>0</v>
      </c>
      <c r="O37" s="28" t="n">
        <f aca="false">+Summary!$C$5</f>
        <v>37134</v>
      </c>
      <c r="P37" s="16" t="n">
        <f aca="false">IF(O37&lt;B37,0,IF(O37+1&gt;J37,0,(+N37-I37-Q37)))</f>
        <v>0</v>
      </c>
      <c r="Q37" s="16" t="n">
        <f aca="false">IF(O37+1&gt;J37,+M37-I37,0)</f>
        <v>-57827.87</v>
      </c>
      <c r="R37" s="57" t="n">
        <f aca="false">+P37+Q37</f>
        <v>-57827.87</v>
      </c>
      <c r="S37" s="16" t="n">
        <f aca="false">IF(O37&gt;J37,+Q37,0)</f>
        <v>-57827.87</v>
      </c>
      <c r="T37" s="16" t="n">
        <f aca="false">+U37-I37</f>
        <v>-57827.87</v>
      </c>
      <c r="U37" s="16" t="n">
        <f aca="false">VLOOKUP(+Summary!$E$5,Privates,V37)-'Private Cash'!E377</f>
        <v>372147.13</v>
      </c>
      <c r="V37" s="68" t="n">
        <f aca="false">+V36+1</f>
        <v>5</v>
      </c>
      <c r="W37" s="58"/>
      <c r="Z37" s="16" t="n">
        <v>-57827.87</v>
      </c>
      <c r="AA37" s="59" t="n">
        <v>-57827.87</v>
      </c>
      <c r="AB37" s="16" t="n">
        <f aca="false">+Q37-Z37</f>
        <v>0</v>
      </c>
      <c r="AC37" s="16" t="n">
        <f aca="false">ROUND(+R37-AA37,2)</f>
        <v>0</v>
      </c>
      <c r="AD37" s="58"/>
      <c r="AG37" s="66"/>
      <c r="AK37" s="26"/>
      <c r="AL37" s="26"/>
    </row>
    <row r="38" customFormat="false" ht="15.75" hidden="false" customHeight="false" outlineLevel="0" collapsed="false">
      <c r="A38" s="63" t="s">
        <v>64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27" t="n">
        <f aca="false">12500000</f>
        <v>12500000</v>
      </c>
      <c r="J38" s="28" t="n">
        <v>36831</v>
      </c>
      <c r="K38" s="25" t="s">
        <v>63</v>
      </c>
      <c r="L38" s="26"/>
      <c r="M38" s="16" t="n">
        <f aca="false">12500000+65507.43+3.57</f>
        <v>12565511</v>
      </c>
      <c r="N38" s="16" t="n">
        <f aca="false">VLOOKUP(+O38,Privates,V38)</f>
        <v>0</v>
      </c>
      <c r="O38" s="28" t="n">
        <f aca="false">+Summary!$C$5</f>
        <v>37134</v>
      </c>
      <c r="P38" s="16" t="n">
        <f aca="false">IF(O38&lt;B38,0,IF(O38+1&gt;J38,0,(+N38-I38-Q38)))</f>
        <v>0</v>
      </c>
      <c r="Q38" s="16" t="n">
        <f aca="false">IF(O38+1&gt;J38,+M38-I38,0)</f>
        <v>65511</v>
      </c>
      <c r="R38" s="57" t="n">
        <f aca="false">+P38+Q38</f>
        <v>65511</v>
      </c>
      <c r="S38" s="16" t="n">
        <f aca="false">IF(O38&gt;J38,+Q38,0)</f>
        <v>65511</v>
      </c>
      <c r="T38" s="16" t="n">
        <f aca="false">+U38-I38</f>
        <v>65511</v>
      </c>
      <c r="U38" s="16" t="n">
        <f aca="false">VLOOKUP(+Summary!$E$5,Privates,V38)-'Private Cash'!F377</f>
        <v>12565511</v>
      </c>
      <c r="V38" s="68" t="n">
        <f aca="false">+V37+1</f>
        <v>6</v>
      </c>
      <c r="W38" s="58"/>
      <c r="X38" s="64"/>
      <c r="Z38" s="16" t="n">
        <v>65511</v>
      </c>
      <c r="AA38" s="59" t="n">
        <v>65511</v>
      </c>
      <c r="AB38" s="16" t="n">
        <f aca="false">+Q38-Z38</f>
        <v>0</v>
      </c>
      <c r="AC38" s="16" t="n">
        <f aca="false">ROUND(+R38-AA38,2)</f>
        <v>0</v>
      </c>
      <c r="AD38" s="58"/>
      <c r="AG38" s="66"/>
      <c r="AK38" s="26"/>
      <c r="AL38" s="26"/>
    </row>
    <row r="39" customFormat="false" ht="15.75" hidden="false" customHeight="false" outlineLevel="0" collapsed="false">
      <c r="A39" s="63" t="s">
        <v>65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G39" s="25" t="n">
        <f aca="false">IF(O39&lt;X39,3870.5,0)</f>
        <v>0</v>
      </c>
      <c r="H39" s="26" t="n">
        <f aca="false">IF(O39&lt;X39,30000,0)</f>
        <v>0</v>
      </c>
      <c r="I39" s="27" t="n">
        <f aca="false">ROUND(+G39*H39,2)</f>
        <v>0</v>
      </c>
      <c r="N39" s="16" t="n">
        <f aca="false">VLOOKUP(+O39,Privates,V39)</f>
        <v>0</v>
      </c>
      <c r="O39" s="28" t="n">
        <f aca="false">+Summary!$C$5</f>
        <v>37134</v>
      </c>
      <c r="P39" s="16" t="n">
        <f aca="false">IF(O39&lt;B39,0,(+N39-I39-Q39))</f>
        <v>0</v>
      </c>
      <c r="Q39" s="16" t="n">
        <v>0</v>
      </c>
      <c r="R39" s="57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0</v>
      </c>
      <c r="V39" s="68" t="n">
        <f aca="false">+V38+1</f>
        <v>7</v>
      </c>
      <c r="W39" s="58"/>
      <c r="X39" s="64" t="n">
        <v>36874</v>
      </c>
      <c r="Y39" s="0" t="s">
        <v>51</v>
      </c>
      <c r="Z39" s="16" t="n">
        <v>0</v>
      </c>
      <c r="AA39" s="59" t="n">
        <v>0</v>
      </c>
      <c r="AB39" s="16" t="n">
        <f aca="false">+Q39-Z39</f>
        <v>0</v>
      </c>
      <c r="AC39" s="16" t="n">
        <f aca="false">ROUND(+R39-AA39,2)</f>
        <v>0</v>
      </c>
      <c r="AD39" s="58"/>
      <c r="AG39" s="66"/>
      <c r="AK39" s="26"/>
      <c r="AL39" s="26"/>
    </row>
    <row r="40" customFormat="false" ht="15.75" hidden="false" customHeight="false" outlineLevel="0" collapsed="false">
      <c r="A40" s="63" t="s">
        <v>66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27" t="n">
        <v>1663000</v>
      </c>
      <c r="N40" s="16" t="n">
        <f aca="false">VLOOKUP(+O40,Privates,V40)</f>
        <v>0</v>
      </c>
      <c r="O40" s="28" t="n">
        <f aca="false">+Summary!$C$5</f>
        <v>37134</v>
      </c>
      <c r="P40" s="16" t="n">
        <f aca="false">IF(O40&lt;B40,0,(+N40-I40-Q40))</f>
        <v>-1663000</v>
      </c>
      <c r="Q40" s="16" t="n">
        <v>0</v>
      </c>
      <c r="R40" s="57" t="n">
        <f aca="false">+P40+Q40</f>
        <v>-1663000</v>
      </c>
      <c r="S40" s="16" t="n">
        <v>0</v>
      </c>
      <c r="T40" s="16" t="n">
        <f aca="false">+U40-I40</f>
        <v>-1663000</v>
      </c>
      <c r="U40" s="16" t="n">
        <f aca="false">VLOOKUP(+Summary!$E$5,Privates,V40)</f>
        <v>0</v>
      </c>
      <c r="V40" s="68" t="n">
        <f aca="false">+V39+1</f>
        <v>8</v>
      </c>
      <c r="W40" s="58" t="n">
        <f aca="false">+N40+'Private Cash'!H377-'MPR Raptor'!U44</f>
        <v>0</v>
      </c>
      <c r="Z40" s="16" t="n">
        <v>0</v>
      </c>
      <c r="AA40" s="59" t="n">
        <v>-1663000</v>
      </c>
      <c r="AB40" s="16" t="n">
        <f aca="false">+Q40-Z40</f>
        <v>0</v>
      </c>
      <c r="AC40" s="16" t="n">
        <f aca="false">ROUND(+R40-AA40,2)</f>
        <v>0</v>
      </c>
      <c r="AD40" s="58" t="n">
        <f aca="false">-AC40+'MPR Raptor'!AH44</f>
        <v>0</v>
      </c>
      <c r="AG40" s="66"/>
      <c r="AK40" s="26"/>
      <c r="AL40" s="26"/>
    </row>
    <row r="41" customFormat="false" ht="15.75" hidden="false" customHeight="false" outlineLevel="0" collapsed="false">
      <c r="A41" s="0" t="s">
        <v>67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27" t="n">
        <f aca="false">12878050+0</f>
        <v>12878050</v>
      </c>
      <c r="N41" s="16" t="n">
        <f aca="false">VLOOKUP(+O41,Privates,V41)</f>
        <v>0</v>
      </c>
      <c r="O41" s="28" t="n">
        <f aca="false">+Summary!$C$5</f>
        <v>37134</v>
      </c>
      <c r="P41" s="16" t="n">
        <f aca="false">IF(O41&lt;B41,0,(+N41-I41-Q41))</f>
        <v>-12878050</v>
      </c>
      <c r="Q41" s="16" t="n">
        <v>0</v>
      </c>
      <c r="R41" s="57" t="n">
        <f aca="false">+P41+Q41</f>
        <v>-12878050</v>
      </c>
      <c r="S41" s="16" t="n">
        <v>0</v>
      </c>
      <c r="T41" s="16" t="n">
        <f aca="false">+U41-I41</f>
        <v>-12878050</v>
      </c>
      <c r="U41" s="16" t="n">
        <f aca="false">VLOOKUP(+Summary!$E$5,Privates,V41)</f>
        <v>0</v>
      </c>
      <c r="V41" s="68" t="n">
        <f aca="false">+V40+1</f>
        <v>9</v>
      </c>
      <c r="W41" s="58" t="n">
        <f aca="false">+N41+'Private Cash'!I377-'MPR Raptor'!U56</f>
        <v>0</v>
      </c>
      <c r="Z41" s="16" t="n">
        <v>0</v>
      </c>
      <c r="AA41" s="59" t="n">
        <v>-12878050</v>
      </c>
      <c r="AB41" s="16" t="n">
        <f aca="false">+Q41-Z41</f>
        <v>0</v>
      </c>
      <c r="AC41" s="16" t="n">
        <f aca="false">ROUND(+R41-AA41,2)</f>
        <v>0</v>
      </c>
      <c r="AD41" s="58" t="n">
        <f aca="false">-AC41+'MPR Raptor'!AH56</f>
        <v>0</v>
      </c>
      <c r="AG41" s="66"/>
      <c r="AK41" s="26"/>
      <c r="AL41" s="26"/>
    </row>
    <row r="42" customFormat="false" ht="15.75" hidden="false" customHeight="false" outlineLevel="0" collapsed="false">
      <c r="A42" s="63" t="s">
        <v>68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27" t="n">
        <v>1012500</v>
      </c>
      <c r="J42" s="28" t="n">
        <v>36889</v>
      </c>
      <c r="K42" s="25" t="s">
        <v>63</v>
      </c>
      <c r="L42" s="26"/>
      <c r="M42" s="16" t="n">
        <v>125000</v>
      </c>
      <c r="N42" s="16" t="n">
        <f aca="false">VLOOKUP(+O42,Privates,V42)</f>
        <v>0</v>
      </c>
      <c r="O42" s="28" t="n">
        <f aca="false">+Summary!$C$5</f>
        <v>37134</v>
      </c>
      <c r="P42" s="16" t="n">
        <f aca="false">IF(O42&lt;B42,0,IF(O42+1&gt;J42,0,(+N42-I42-Q42)))</f>
        <v>0</v>
      </c>
      <c r="Q42" s="16" t="n">
        <f aca="false">IF(O42+1&gt;J42,+M42-I42,0)</f>
        <v>-887500</v>
      </c>
      <c r="R42" s="57" t="n">
        <f aca="false">+P42+Q42</f>
        <v>-887500</v>
      </c>
      <c r="S42" s="16" t="n">
        <f aca="false">IF(O42&gt;J42,+Q42,0)</f>
        <v>-887500</v>
      </c>
      <c r="T42" s="16" t="n">
        <f aca="false">+U42-I42</f>
        <v>-887500</v>
      </c>
      <c r="U42" s="16" t="n">
        <f aca="false">VLOOKUP(+Summary!$E$5,Privates,V42)-'Private Cash'!J377</f>
        <v>125000</v>
      </c>
      <c r="V42" s="68" t="n">
        <f aca="false">+V41+1</f>
        <v>10</v>
      </c>
      <c r="W42" s="58"/>
      <c r="Z42" s="16" t="n">
        <v>-887500</v>
      </c>
      <c r="AA42" s="59" t="n">
        <v>-887500</v>
      </c>
      <c r="AB42" s="16" t="n">
        <f aca="false">+Q42-Z42</f>
        <v>0</v>
      </c>
      <c r="AC42" s="16" t="n">
        <f aca="false">ROUND(+R42-AA42,2)</f>
        <v>0</v>
      </c>
      <c r="AD42" s="58"/>
      <c r="AG42" s="66"/>
      <c r="AK42" s="26"/>
      <c r="AL42" s="26"/>
    </row>
    <row r="43" customFormat="false" ht="15.75" hidden="false" customHeight="false" outlineLevel="0" collapsed="false">
      <c r="A43" s="63" t="s">
        <v>69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G43" s="25" t="n">
        <v>136.649295766461</v>
      </c>
      <c r="H43" s="26" t="n">
        <v>172031</v>
      </c>
      <c r="I43" s="27" t="n">
        <f aca="false">ROUND(+G43*H43,2)</f>
        <v>23507915</v>
      </c>
      <c r="N43" s="16" t="n">
        <f aca="false">VLOOKUP(+O43,Privates,V43)</f>
        <v>2.83122062683105E-007</v>
      </c>
      <c r="O43" s="28" t="n">
        <f aca="false">+Summary!$C$5</f>
        <v>37134</v>
      </c>
      <c r="P43" s="16" t="n">
        <f aca="false">IF(O43&lt;B43,0,(+N43-I43-Q43))</f>
        <v>-23507914.9999997</v>
      </c>
      <c r="Q43" s="16" t="n">
        <v>0</v>
      </c>
      <c r="R43" s="57" t="n">
        <f aca="false">+P43+Q43</f>
        <v>-23507914.9999997</v>
      </c>
      <c r="S43" s="16" t="n">
        <v>0</v>
      </c>
      <c r="T43" s="16" t="n">
        <f aca="false">+U43-I43</f>
        <v>-23507914.9999997</v>
      </c>
      <c r="U43" s="16" t="n">
        <f aca="false">VLOOKUP(+Summary!$E$5,Privates,V43)</f>
        <v>2.83122062683105E-007</v>
      </c>
      <c r="V43" s="68" t="n">
        <f aca="false">+V42+1</f>
        <v>11</v>
      </c>
      <c r="W43" s="58" t="n">
        <f aca="false">+N43+'Private Cash'!K377-'MPR Raptor'!U49</f>
        <v>0</v>
      </c>
      <c r="Z43" s="16" t="n">
        <v>0</v>
      </c>
      <c r="AA43" s="59" t="n">
        <v>-23507914.9999997</v>
      </c>
      <c r="AB43" s="16" t="n">
        <f aca="false">+Q43-Z43</f>
        <v>0</v>
      </c>
      <c r="AC43" s="16" t="n">
        <f aca="false">ROUND(+R43-AA43,2)</f>
        <v>0</v>
      </c>
      <c r="AD43" s="58" t="n">
        <f aca="false">-AC43+'MPR Raptor'!AH49</f>
        <v>0</v>
      </c>
      <c r="AG43" s="66"/>
      <c r="AK43" s="26"/>
      <c r="AL43" s="26"/>
    </row>
    <row r="44" customFormat="false" ht="15.75" hidden="false" customHeight="false" outlineLevel="0" collapsed="false">
      <c r="A44" s="63" t="s">
        <v>70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27" t="n">
        <v>10372212</v>
      </c>
      <c r="N44" s="16" t="n">
        <f aca="false">VLOOKUP(+O44,Privates,V44)</f>
        <v>0</v>
      </c>
      <c r="O44" s="28" t="n">
        <f aca="false">+Summary!$C$5</f>
        <v>37134</v>
      </c>
      <c r="P44" s="16" t="n">
        <f aca="false">IF(O44&lt;B44,0,(+N44-I44-Q44))</f>
        <v>-10372212</v>
      </c>
      <c r="Q44" s="16" t="n">
        <v>0</v>
      </c>
      <c r="R44" s="57" t="n">
        <f aca="false">+P44+Q44</f>
        <v>-10372212</v>
      </c>
      <c r="S44" s="16" t="n">
        <v>0</v>
      </c>
      <c r="T44" s="16" t="n">
        <f aca="false">+U44-I44</f>
        <v>-10372212</v>
      </c>
      <c r="U44" s="16" t="n">
        <f aca="false">VLOOKUP(+Summary!$E$5,Privates,V44)</f>
        <v>0</v>
      </c>
      <c r="V44" s="68" t="n">
        <f aca="false">+V43+1</f>
        <v>12</v>
      </c>
      <c r="W44" s="58" t="n">
        <f aca="false">+N44+'Private Cash'!L377-'MPR Raptor'!U50</f>
        <v>0</v>
      </c>
      <c r="Z44" s="16" t="n">
        <v>0</v>
      </c>
      <c r="AA44" s="59" t="n">
        <v>-10372212</v>
      </c>
      <c r="AB44" s="16" t="n">
        <f aca="false">+Q44-Z44</f>
        <v>0</v>
      </c>
      <c r="AC44" s="16" t="n">
        <f aca="false">ROUND(+R44-AA44,2)</f>
        <v>0</v>
      </c>
      <c r="AD44" s="58" t="n">
        <f aca="false">-AC44+'MPR Raptor'!AH50</f>
        <v>0</v>
      </c>
      <c r="AG44" s="66"/>
      <c r="AK44" s="26"/>
      <c r="AL44" s="26"/>
    </row>
    <row r="45" customFormat="false" ht="15.75" hidden="false" customHeight="false" outlineLevel="0" collapsed="false">
      <c r="A45" s="63" t="s">
        <v>71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I45" s="27" t="n">
        <v>1302980</v>
      </c>
      <c r="N45" s="16" t="n">
        <f aca="false">VLOOKUP(+O45,Privates,V45)</f>
        <v>137317.57</v>
      </c>
      <c r="O45" s="28" t="n">
        <f aca="false">+Summary!$C$5</f>
        <v>37134</v>
      </c>
      <c r="P45" s="16" t="n">
        <f aca="false">IF(O45&lt;B45,0,(+N45-I45-Q45))</f>
        <v>-1165662.43</v>
      </c>
      <c r="Q45" s="16" t="n">
        <v>0</v>
      </c>
      <c r="R45" s="57" t="n">
        <f aca="false">+P45+Q45</f>
        <v>-1165662.43</v>
      </c>
      <c r="S45" s="16" t="n">
        <v>0</v>
      </c>
      <c r="T45" s="16" t="n">
        <f aca="false">+U45-I45</f>
        <v>-1165662.43</v>
      </c>
      <c r="U45" s="16" t="n">
        <f aca="false">VLOOKUP(+Summary!$E$5,Privates,V45)</f>
        <v>137317.57</v>
      </c>
      <c r="V45" s="68" t="n">
        <f aca="false">+V44+1</f>
        <v>13</v>
      </c>
      <c r="W45" s="58" t="n">
        <f aca="false">+N45+'Private Cash'!M377-'MPR Raptor'!U57</f>
        <v>0</v>
      </c>
      <c r="Z45" s="16" t="n">
        <v>0</v>
      </c>
      <c r="AA45" s="59" t="n">
        <v>-1165662.43</v>
      </c>
      <c r="AB45" s="16" t="n">
        <f aca="false">+Q45-Z45</f>
        <v>0</v>
      </c>
      <c r="AC45" s="16" t="n">
        <f aca="false">ROUND(+R45-AA45,2)</f>
        <v>0</v>
      </c>
      <c r="AD45" s="58" t="n">
        <f aca="false">-AC45+'MPR Raptor'!AH60</f>
        <v>0</v>
      </c>
      <c r="AG45" s="66"/>
      <c r="AK45" s="26"/>
      <c r="AL45" s="26"/>
    </row>
    <row r="46" customFormat="false" ht="15.75" hidden="false" customHeight="false" outlineLevel="0" collapsed="false">
      <c r="A46" s="63" t="s">
        <v>72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I46" s="27" t="n">
        <v>3486752</v>
      </c>
      <c r="N46" s="16" t="n">
        <f aca="false">VLOOKUP(+O46,Privates,V46)</f>
        <v>0</v>
      </c>
      <c r="O46" s="28" t="n">
        <f aca="false">+Summary!$C$5</f>
        <v>37134</v>
      </c>
      <c r="P46" s="16" t="n">
        <f aca="false">IF(O46&lt;B46,0,(+N46-I46-Q46))</f>
        <v>-3486752</v>
      </c>
      <c r="Q46" s="16" t="n">
        <v>0</v>
      </c>
      <c r="R46" s="57" t="n">
        <f aca="false">+P46+Q46</f>
        <v>-3486752</v>
      </c>
      <c r="S46" s="16" t="n">
        <v>0</v>
      </c>
      <c r="T46" s="16" t="n">
        <f aca="false">+U46-I46</f>
        <v>-3486752</v>
      </c>
      <c r="U46" s="16" t="n">
        <f aca="false">VLOOKUP(+Summary!$E$5,Privates,V46)</f>
        <v>0</v>
      </c>
      <c r="V46" s="68" t="n">
        <f aca="false">+V45+1</f>
        <v>14</v>
      </c>
      <c r="W46" s="58" t="n">
        <f aca="false">+N46+'Private Cash'!N377-'MPR Raptor'!U66</f>
        <v>-4.72031267981969E-007</v>
      </c>
      <c r="Z46" s="16" t="n">
        <v>0</v>
      </c>
      <c r="AA46" s="59" t="n">
        <v>-3486752</v>
      </c>
      <c r="AB46" s="16" t="n">
        <f aca="false">+Q46-Z46</f>
        <v>0</v>
      </c>
      <c r="AC46" s="16" t="n">
        <f aca="false">ROUND(+R46-AA46,2)</f>
        <v>0</v>
      </c>
      <c r="AD46" s="58" t="n">
        <f aca="false">-AC46+'MPR Raptor'!AH66</f>
        <v>-1.46932165739609E-008</v>
      </c>
      <c r="AG46" s="66"/>
      <c r="AK46" s="26"/>
      <c r="AL46" s="26"/>
    </row>
    <row r="47" customFormat="false" ht="15.75" hidden="false" customHeight="false" outlineLevel="0" collapsed="false">
      <c r="A47" s="63" t="s">
        <v>73</v>
      </c>
      <c r="B47" s="23" t="n">
        <v>36741</v>
      </c>
      <c r="C47" s="23" t="n">
        <v>37836</v>
      </c>
      <c r="D47" s="24" t="s">
        <v>45</v>
      </c>
      <c r="E47" s="16" t="n">
        <v>0</v>
      </c>
      <c r="F47" s="24" t="s">
        <v>46</v>
      </c>
      <c r="I47" s="27" t="n">
        <v>429210</v>
      </c>
      <c r="N47" s="16" t="n">
        <f aca="false">VLOOKUP(+O47,Privates,V47)</f>
        <v>1100000</v>
      </c>
      <c r="O47" s="28" t="n">
        <f aca="false">+Summary!$C$5</f>
        <v>37134</v>
      </c>
      <c r="P47" s="16" t="n">
        <f aca="false">IF(O47&lt;B47,0,(+N47-I47-Q47))</f>
        <v>670790</v>
      </c>
      <c r="Q47" s="16" t="n">
        <v>0</v>
      </c>
      <c r="R47" s="57" t="n">
        <f aca="false">+P47+Q47</f>
        <v>670790</v>
      </c>
      <c r="S47" s="16" t="n">
        <v>0</v>
      </c>
      <c r="T47" s="16" t="n">
        <f aca="false">+U47-I47</f>
        <v>670790</v>
      </c>
      <c r="U47" s="16" t="n">
        <f aca="false">VLOOKUP(+Summary!$E$5,Privates,V47)</f>
        <v>1100000</v>
      </c>
      <c r="V47" s="68" t="n">
        <f aca="false">+V46+1</f>
        <v>15</v>
      </c>
      <c r="W47" s="58" t="n">
        <f aca="false">+N47+'Private Cash'!O377-'MPR Raptor'!U58</f>
        <v>0</v>
      </c>
      <c r="Z47" s="16" t="n">
        <v>0</v>
      </c>
      <c r="AA47" s="59" t="n">
        <v>670790</v>
      </c>
      <c r="AB47" s="16" t="n">
        <f aca="false">+Q47-Z47</f>
        <v>0</v>
      </c>
      <c r="AC47" s="16" t="n">
        <f aca="false">ROUND(+R47-AA47,2)</f>
        <v>0</v>
      </c>
      <c r="AD47" s="58" t="n">
        <f aca="false">-AC47+'MPR Raptor'!AH61</f>
        <v>0</v>
      </c>
      <c r="AG47" s="66"/>
      <c r="AK47" s="26"/>
      <c r="AL47" s="26"/>
    </row>
    <row r="48" customFormat="false" ht="15.75" hidden="false" customHeight="false" outlineLevel="0" collapsed="false">
      <c r="A48" s="63" t="s">
        <v>74</v>
      </c>
      <c r="B48" s="23" t="n">
        <v>36741</v>
      </c>
      <c r="C48" s="23" t="n">
        <v>37836</v>
      </c>
      <c r="D48" s="24" t="s">
        <v>45</v>
      </c>
      <c r="E48" s="16" t="n">
        <v>0</v>
      </c>
      <c r="F48" s="24" t="s">
        <v>46</v>
      </c>
      <c r="I48" s="27" t="n">
        <v>470790</v>
      </c>
      <c r="N48" s="16" t="n">
        <f aca="false">VLOOKUP(+O48,Privates,V48)</f>
        <v>0</v>
      </c>
      <c r="O48" s="28" t="n">
        <f aca="false">+Summary!$C$5</f>
        <v>37134</v>
      </c>
      <c r="P48" s="16" t="n">
        <f aca="false">IF(O48&lt;B48,0,(+N48-I48-Q48))</f>
        <v>-470790</v>
      </c>
      <c r="Q48" s="16" t="n">
        <v>0</v>
      </c>
      <c r="R48" s="57" t="n">
        <f aca="false">+P48+Q48</f>
        <v>-470790</v>
      </c>
      <c r="S48" s="16" t="n">
        <v>0</v>
      </c>
      <c r="T48" s="16" t="n">
        <f aca="false">+U48-I48</f>
        <v>-470790</v>
      </c>
      <c r="U48" s="16" t="n">
        <f aca="false">VLOOKUP(+Summary!$E$5,Privates,V48)</f>
        <v>0</v>
      </c>
      <c r="V48" s="68" t="n">
        <f aca="false">+V47+1</f>
        <v>16</v>
      </c>
      <c r="W48" s="58" t="n">
        <f aca="false">+N48+'Private Cash'!P377-'MPR Raptor'!U59</f>
        <v>0</v>
      </c>
      <c r="Z48" s="16" t="n">
        <v>0</v>
      </c>
      <c r="AA48" s="59" t="n">
        <v>-470790</v>
      </c>
      <c r="AB48" s="16" t="n">
        <f aca="false">+Q48-Z48</f>
        <v>0</v>
      </c>
      <c r="AC48" s="16" t="n">
        <f aca="false">ROUND(+R48-AA48,2)</f>
        <v>0</v>
      </c>
      <c r="AD48" s="58" t="n">
        <f aca="false">-AC48+'MPR Raptor'!AH62</f>
        <v>0</v>
      </c>
      <c r="AG48" s="66"/>
      <c r="AK48" s="26"/>
      <c r="AL48" s="26"/>
    </row>
    <row r="49" customFormat="false" ht="15.75" hidden="false" customHeight="false" outlineLevel="0" collapsed="false">
      <c r="A49" s="63" t="s">
        <v>75</v>
      </c>
      <c r="B49" s="23" t="n">
        <v>36741</v>
      </c>
      <c r="C49" s="23" t="n">
        <v>37836</v>
      </c>
      <c r="D49" s="24" t="s">
        <v>45</v>
      </c>
      <c r="E49" s="16" t="n">
        <v>0</v>
      </c>
      <c r="F49" s="24" t="s">
        <v>46</v>
      </c>
      <c r="I49" s="27" t="n">
        <v>27082500</v>
      </c>
      <c r="N49" s="16" t="n">
        <f aca="false">VLOOKUP(+O49,Privates,V49)</f>
        <v>10125000</v>
      </c>
      <c r="O49" s="28" t="n">
        <f aca="false">+Summary!$C$5</f>
        <v>37134</v>
      </c>
      <c r="P49" s="16" t="n">
        <f aca="false">IF(O49&lt;B49,0,(+N49-I49-Q49))</f>
        <v>-16957500</v>
      </c>
      <c r="Q49" s="16" t="n">
        <v>0</v>
      </c>
      <c r="R49" s="57" t="n">
        <f aca="false">+P49+Q49</f>
        <v>-16957500</v>
      </c>
      <c r="S49" s="16" t="n">
        <v>0</v>
      </c>
      <c r="T49" s="16" t="n">
        <f aca="false">+U49-I49</f>
        <v>-16957500</v>
      </c>
      <c r="U49" s="16" t="n">
        <f aca="false">VLOOKUP(+Summary!$E$5,Privates,V49)</f>
        <v>10125000</v>
      </c>
      <c r="V49" s="68" t="n">
        <f aca="false">+V48+1</f>
        <v>17</v>
      </c>
      <c r="W49" s="58" t="n">
        <f aca="false">+N49+'Private Cash'!Q377-'MPR Raptor'!U65</f>
        <v>0</v>
      </c>
      <c r="X49" s="59"/>
      <c r="Z49" s="16" t="n">
        <v>0</v>
      </c>
      <c r="AA49" s="59" t="n">
        <v>-16957500</v>
      </c>
      <c r="AB49" s="16" t="n">
        <f aca="false">+Q49-Z49</f>
        <v>0</v>
      </c>
      <c r="AC49" s="16" t="n">
        <f aca="false">ROUND(+R49-AA49,2)</f>
        <v>0</v>
      </c>
      <c r="AD49" s="58" t="n">
        <f aca="false">-AC49+'MPR Raptor'!AH65</f>
        <v>0</v>
      </c>
      <c r="AG49" s="66"/>
      <c r="AK49" s="26"/>
      <c r="AL49" s="26"/>
    </row>
    <row r="50" customFormat="false" ht="15.75" hidden="false" customHeight="false" outlineLevel="0" collapsed="false">
      <c r="A50" s="63" t="s">
        <v>76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I50" s="27" t="n">
        <v>7121810</v>
      </c>
      <c r="N50" s="16" t="n">
        <f aca="false">VLOOKUP(+O50,Privates,V50)</f>
        <v>7121810</v>
      </c>
      <c r="O50" s="28" t="n">
        <f aca="false">+Summary!$C$5</f>
        <v>37134</v>
      </c>
      <c r="P50" s="16" t="n">
        <f aca="false">IF(O50&lt;B50,0,(+N50-I50-Q50))</f>
        <v>0</v>
      </c>
      <c r="Q50" s="16" t="n">
        <v>0</v>
      </c>
      <c r="R50" s="57" t="n">
        <f aca="false">+P50+Q50</f>
        <v>0</v>
      </c>
      <c r="S50" s="16" t="n">
        <v>0</v>
      </c>
      <c r="T50" s="16" t="n">
        <f aca="false">+U50-I50</f>
        <v>0</v>
      </c>
      <c r="U50" s="16" t="n">
        <f aca="false">VLOOKUP(+Summary!$E$5,Privates,V50)</f>
        <v>7121810</v>
      </c>
      <c r="V50" s="68" t="n">
        <f aca="false">+V49+1</f>
        <v>18</v>
      </c>
      <c r="W50" s="58" t="n">
        <f aca="false">+N50+'Private Cash'!R377-'MPR Raptor'!U60</f>
        <v>0</v>
      </c>
      <c r="Z50" s="16" t="n">
        <v>0</v>
      </c>
      <c r="AA50" s="59" t="n">
        <v>0</v>
      </c>
      <c r="AB50" s="16" t="n">
        <f aca="false">+Q50-Z50</f>
        <v>0</v>
      </c>
      <c r="AC50" s="16" t="n">
        <f aca="false">ROUND(+R50-AA50,2)</f>
        <v>0</v>
      </c>
      <c r="AD50" s="58" t="n">
        <f aca="false">-AC50+'MPR Raptor'!AH63</f>
        <v>0</v>
      </c>
      <c r="AG50" s="66"/>
      <c r="AK50" s="26"/>
      <c r="AL50" s="26"/>
    </row>
    <row r="51" customFormat="false" ht="15.75" hidden="false" customHeight="false" outlineLevel="0" collapsed="false">
      <c r="A51" s="63" t="s">
        <v>77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I51" s="27" t="n">
        <v>5644007</v>
      </c>
      <c r="J51" s="28" t="n">
        <v>36980</v>
      </c>
      <c r="K51" s="25" t="s">
        <v>63</v>
      </c>
      <c r="L51" s="26"/>
      <c r="M51" s="16" t="n">
        <v>5644007</v>
      </c>
      <c r="N51" s="16" t="n">
        <f aca="false">VLOOKUP(+O51,Privates,V51)</f>
        <v>5644007</v>
      </c>
      <c r="O51" s="28" t="n">
        <f aca="false">+Summary!$C$5</f>
        <v>37134</v>
      </c>
      <c r="P51" s="16" t="n">
        <f aca="false">IF(O51&lt;B51,0,IF(O51+1&gt;J51,0,(+N51-I51-Q51)))</f>
        <v>0</v>
      </c>
      <c r="Q51" s="16" t="n">
        <f aca="false">IF(O51+1&gt;J51,+M51-I51,0)</f>
        <v>0</v>
      </c>
      <c r="R51" s="57" t="n">
        <f aca="false">+P51+Q51</f>
        <v>0</v>
      </c>
      <c r="S51" s="16" t="n">
        <f aca="false">IF(O51&gt;J51,+Q51,0)</f>
        <v>0</v>
      </c>
      <c r="T51" s="16" t="n">
        <f aca="false">+U51-I51</f>
        <v>0</v>
      </c>
      <c r="U51" s="16" t="n">
        <f aca="false">VLOOKUP(+Summary!$E$5,Privates,V51)-'Private Cash'!S375</f>
        <v>5644007</v>
      </c>
      <c r="V51" s="68" t="n">
        <f aca="false">+V50+1</f>
        <v>19</v>
      </c>
      <c r="W51" s="58" t="n">
        <f aca="false">+N51+'Private Cash'!S377-'MPR Raptor'!U4</f>
        <v>0</v>
      </c>
      <c r="Z51" s="16" t="n">
        <v>0</v>
      </c>
      <c r="AA51" s="59" t="n">
        <v>0</v>
      </c>
      <c r="AB51" s="16" t="n">
        <f aca="false">+Q51-Z51</f>
        <v>0</v>
      </c>
      <c r="AC51" s="16" t="n">
        <f aca="false">ROUND(+R51-AA51,2)</f>
        <v>0</v>
      </c>
      <c r="AD51" s="58" t="n">
        <f aca="false">-AC51+'MPR Raptor'!AH4</f>
        <v>0</v>
      </c>
      <c r="AG51" s="66"/>
      <c r="AK51" s="26"/>
      <c r="AL51" s="26"/>
    </row>
    <row r="52" customFormat="false" ht="15.75" hidden="false" customHeight="false" outlineLevel="0" collapsed="false">
      <c r="A52" s="63" t="s">
        <v>78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I52" s="27" t="n">
        <v>20916875</v>
      </c>
      <c r="N52" s="16" t="n">
        <f aca="false">VLOOKUP(+O52,Privates,V52)</f>
        <v>20887594.86</v>
      </c>
      <c r="O52" s="28" t="n">
        <f aca="false">+Summary!$C$5</f>
        <v>37134</v>
      </c>
      <c r="P52" s="16" t="n">
        <f aca="false">IF(O52&lt;B52,0,(+N52-I52-Q52))</f>
        <v>-29280.1400000006</v>
      </c>
      <c r="Q52" s="16" t="n">
        <v>0</v>
      </c>
      <c r="R52" s="57" t="n">
        <f aca="false">+P52+Q52</f>
        <v>-29280.1400000006</v>
      </c>
      <c r="S52" s="16" t="n">
        <v>0</v>
      </c>
      <c r="T52" s="16" t="n">
        <f aca="false">+U52-I52</f>
        <v>-29280.1400000006</v>
      </c>
      <c r="U52" s="16" t="n">
        <f aca="false">VLOOKUP(+Summary!$E$5,Privates,V52)</f>
        <v>20887594.86</v>
      </c>
      <c r="V52" s="68" t="n">
        <f aca="false">+V51+1</f>
        <v>20</v>
      </c>
      <c r="W52" s="58" t="n">
        <f aca="false">+N52+'Private Cash'!T377-'MPR Raptor'!U11</f>
        <v>0</v>
      </c>
      <c r="Z52" s="16" t="n">
        <v>0</v>
      </c>
      <c r="AA52" s="59" t="n">
        <v>-29280.1399999969</v>
      </c>
      <c r="AB52" s="16" t="n">
        <f aca="false">+Q52-Z52</f>
        <v>0</v>
      </c>
      <c r="AC52" s="16" t="n">
        <f aca="false">ROUND(+R52-AA52,2)</f>
        <v>-0</v>
      </c>
      <c r="AD52" s="58" t="n">
        <f aca="false">-AC52+'MPR Raptor'!AH11</f>
        <v>0</v>
      </c>
      <c r="AG52" s="66"/>
      <c r="AK52" s="26"/>
      <c r="AL52" s="26"/>
    </row>
    <row r="53" customFormat="false" ht="15.75" hidden="false" customHeight="false" outlineLevel="0" collapsed="false">
      <c r="A53" s="63" t="s">
        <v>79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I53" s="27" t="n">
        <v>2560525</v>
      </c>
      <c r="N53" s="16" t="n">
        <f aca="false">VLOOKUP(+O53,Privates,V53)</f>
        <v>2560525</v>
      </c>
      <c r="O53" s="28" t="n">
        <f aca="false">+Summary!$C$5</f>
        <v>37134</v>
      </c>
      <c r="P53" s="16" t="n">
        <f aca="false">IF(O53&lt;B53,0,(+N53-I53-Q53))</f>
        <v>0</v>
      </c>
      <c r="Q53" s="16" t="n">
        <v>0</v>
      </c>
      <c r="R53" s="57" t="n">
        <f aca="false">+P53+Q53</f>
        <v>0</v>
      </c>
      <c r="S53" s="16" t="n">
        <v>0</v>
      </c>
      <c r="T53" s="16" t="n">
        <f aca="false">+U53-I53</f>
        <v>0</v>
      </c>
      <c r="U53" s="16" t="n">
        <f aca="false">VLOOKUP(+Summary!$E$5,Privates,V53)</f>
        <v>2560525</v>
      </c>
      <c r="V53" s="68" t="n">
        <f aca="false">+V52+1</f>
        <v>21</v>
      </c>
      <c r="W53" s="58" t="n">
        <f aca="false">+N53+'Private Cash'!U377-'MPR Raptor'!U12</f>
        <v>0</v>
      </c>
      <c r="Z53" s="16" t="n">
        <v>0</v>
      </c>
      <c r="AA53" s="59" t="n">
        <v>0</v>
      </c>
      <c r="AB53" s="16" t="n">
        <f aca="false">+Q53-Z53</f>
        <v>0</v>
      </c>
      <c r="AC53" s="16" t="n">
        <f aca="false">ROUND(+R53-AA53,2)</f>
        <v>0</v>
      </c>
      <c r="AD53" s="58" t="n">
        <f aca="false">-AC53+'MPR Raptor'!AH12</f>
        <v>0</v>
      </c>
      <c r="AG53" s="66"/>
      <c r="AK53" s="26"/>
      <c r="AL53" s="26"/>
    </row>
    <row r="54" customFormat="false" ht="15.75" hidden="false" customHeight="false" outlineLevel="0" collapsed="false">
      <c r="A54" s="63" t="s">
        <v>80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I54" s="27" t="n">
        <v>4774950</v>
      </c>
      <c r="J54" s="28" t="n">
        <v>36888</v>
      </c>
      <c r="K54" s="25" t="s">
        <v>63</v>
      </c>
      <c r="L54" s="26"/>
      <c r="M54" s="16" t="n">
        <v>2415598.88</v>
      </c>
      <c r="N54" s="16" t="n">
        <f aca="false">VLOOKUP(+O54,Privates,V54)</f>
        <v>0</v>
      </c>
      <c r="O54" s="28" t="n">
        <f aca="false">+Summary!$C$5</f>
        <v>37134</v>
      </c>
      <c r="P54" s="16" t="n">
        <f aca="false">IF(O54&lt;B54,0,IF(O54+1&gt;J54,0,(+N54-I54-Q54)))</f>
        <v>0</v>
      </c>
      <c r="Q54" s="16" t="n">
        <f aca="false">IF(O54+1&gt;J54,+M54-I54,0)</f>
        <v>-2359351.12</v>
      </c>
      <c r="R54" s="57" t="n">
        <f aca="false">+P54+Q54</f>
        <v>-2359351.12</v>
      </c>
      <c r="S54" s="16" t="n">
        <f aca="false">IF(O54&gt;J54,+Q54,0)</f>
        <v>-2359351.12</v>
      </c>
      <c r="T54" s="16" t="n">
        <f aca="false">+U54-I54</f>
        <v>-2359351.12</v>
      </c>
      <c r="U54" s="16" t="n">
        <f aca="false">VLOOKUP(+Summary!$E$5,Privates,V54)-'Private Cash'!V377</f>
        <v>2415598.88</v>
      </c>
      <c r="V54" s="68" t="n">
        <f aca="false">+V53+1</f>
        <v>22</v>
      </c>
      <c r="W54" s="58"/>
      <c r="X54" s="59"/>
      <c r="Z54" s="16" t="n">
        <v>-2359351.12</v>
      </c>
      <c r="AA54" s="59" t="n">
        <v>-2359351.12</v>
      </c>
      <c r="AB54" s="16" t="n">
        <f aca="false">+Q54-Z54</f>
        <v>0</v>
      </c>
      <c r="AC54" s="16" t="n">
        <f aca="false">ROUND(+R54-AA54,2)</f>
        <v>0</v>
      </c>
      <c r="AD54" s="58"/>
      <c r="AG54" s="66"/>
      <c r="AK54" s="26"/>
      <c r="AL54" s="26"/>
    </row>
    <row r="55" customFormat="false" ht="15.75" hidden="false" customHeight="false" outlineLevel="0" collapsed="false">
      <c r="A55" s="63" t="s">
        <v>81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27" t="n">
        <v>1822363</v>
      </c>
      <c r="N55" s="16" t="n">
        <f aca="false">VLOOKUP(+O55,Privates,V55)</f>
        <v>0</v>
      </c>
      <c r="O55" s="28" t="n">
        <f aca="false">+Summary!$C$5</f>
        <v>37134</v>
      </c>
      <c r="P55" s="16" t="n">
        <f aca="false">IF(O55&lt;B55,0,(+N55-I55-Q55))</f>
        <v>-1822363</v>
      </c>
      <c r="Q55" s="16" t="n">
        <v>0</v>
      </c>
      <c r="R55" s="57" t="n">
        <f aca="false">+P55+Q55</f>
        <v>-1822363</v>
      </c>
      <c r="S55" s="16" t="n">
        <v>0</v>
      </c>
      <c r="T55" s="16" t="n">
        <f aca="false">+U55-I55</f>
        <v>-1822363</v>
      </c>
      <c r="U55" s="16" t="n">
        <f aca="false">VLOOKUP(+Summary!$E$5,Privates,V55)</f>
        <v>0</v>
      </c>
      <c r="V55" s="68" t="n">
        <f aca="false">+V54+1</f>
        <v>23</v>
      </c>
      <c r="W55" s="58" t="n">
        <f aca="false">+N55+'Private Cash'!W377-'MPR Raptor'!U57</f>
        <v>0</v>
      </c>
      <c r="Z55" s="16" t="n">
        <v>0</v>
      </c>
      <c r="AA55" s="59" t="n">
        <v>-1822363</v>
      </c>
      <c r="AB55" s="16" t="n">
        <f aca="false">+Q55-Z55</f>
        <v>0</v>
      </c>
      <c r="AC55" s="16" t="n">
        <f aca="false">ROUND(+R55-AA55,2)</f>
        <v>0</v>
      </c>
      <c r="AD55" s="58" t="n">
        <f aca="false">-AC55+'MPR Raptor'!AH57</f>
        <v>0</v>
      </c>
      <c r="AG55" s="66"/>
      <c r="AK55" s="26"/>
      <c r="AL55" s="26"/>
    </row>
    <row r="56" customFormat="false" ht="15.75" hidden="false" customHeight="false" outlineLevel="0" collapsed="false">
      <c r="A56" s="63" t="s">
        <v>82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27" t="n">
        <v>1374750</v>
      </c>
      <c r="N56" s="16" t="n">
        <f aca="false">VLOOKUP(+O56,Privates,V56)</f>
        <v>0</v>
      </c>
      <c r="O56" s="28" t="n">
        <f aca="false">+Summary!$C$5</f>
        <v>37134</v>
      </c>
      <c r="P56" s="16" t="n">
        <f aca="false">IF(O56&lt;B56,0,(+N56-I56-Q56))</f>
        <v>-1374750</v>
      </c>
      <c r="Q56" s="16" t="n">
        <v>0</v>
      </c>
      <c r="R56" s="57" t="n">
        <f aca="false">+P56+Q56</f>
        <v>-1374750</v>
      </c>
      <c r="S56" s="16" t="n">
        <v>0</v>
      </c>
      <c r="T56" s="16" t="n">
        <f aca="false">+U56-I56</f>
        <v>-1374750</v>
      </c>
      <c r="U56" s="16" t="n">
        <f aca="false">VLOOKUP(+Summary!$E$5,Privates,V56)</f>
        <v>0</v>
      </c>
      <c r="V56" s="68" t="n">
        <f aca="false">+V55+1</f>
        <v>24</v>
      </c>
      <c r="W56" s="58" t="n">
        <f aca="false">+N56+'Private Cash'!X377-'MPR Raptor'!U67</f>
        <v>-1.11723374788594E-014</v>
      </c>
      <c r="Z56" s="16" t="n">
        <v>0</v>
      </c>
      <c r="AA56" s="59" t="n">
        <v>-1374750</v>
      </c>
      <c r="AB56" s="16" t="n">
        <f aca="false">+Q56-Z56</f>
        <v>0</v>
      </c>
      <c r="AC56" s="16" t="n">
        <f aca="false">ROUND(+R56-AA56,2)</f>
        <v>0</v>
      </c>
      <c r="AD56" s="58" t="n">
        <f aca="false">-AC56+'MPR Raptor'!AH67</f>
        <v>-1.64731671504876E-015</v>
      </c>
      <c r="AG56" s="66"/>
      <c r="AK56" s="26"/>
      <c r="AL56" s="26"/>
    </row>
    <row r="57" customFormat="false" ht="15.75" hidden="false" customHeight="false" outlineLevel="0" collapsed="false">
      <c r="A57" s="63" t="s">
        <v>83</v>
      </c>
      <c r="B57" s="23" t="n">
        <v>36741</v>
      </c>
      <c r="C57" s="23" t="n">
        <v>37836</v>
      </c>
      <c r="D57" s="24" t="s">
        <v>45</v>
      </c>
      <c r="E57" s="16" t="n">
        <v>0</v>
      </c>
      <c r="F57" s="24" t="s">
        <v>46</v>
      </c>
      <c r="I57" s="27" t="n">
        <v>1803840</v>
      </c>
      <c r="N57" s="16" t="n">
        <f aca="false">VLOOKUP(+O57,Privates,V57)</f>
        <v>1803840</v>
      </c>
      <c r="O57" s="28" t="n">
        <f aca="false">+Summary!$C$5</f>
        <v>37134</v>
      </c>
      <c r="P57" s="16" t="n">
        <f aca="false">IF(O57&lt;B57,0,(+N57-I57-Q57))</f>
        <v>0</v>
      </c>
      <c r="Q57" s="16" t="n">
        <v>0</v>
      </c>
      <c r="R57" s="57" t="n">
        <f aca="false">+P57+Q57</f>
        <v>0</v>
      </c>
      <c r="S57" s="16" t="n">
        <v>0</v>
      </c>
      <c r="T57" s="16" t="n">
        <f aca="false">+U57-I57</f>
        <v>0</v>
      </c>
      <c r="U57" s="16" t="n">
        <f aca="false">VLOOKUP(+Summary!$E$5,Privates,V57)</f>
        <v>1803840</v>
      </c>
      <c r="V57" s="68" t="n">
        <f aca="false">+V56+1</f>
        <v>25</v>
      </c>
      <c r="W57" s="58" t="n">
        <f aca="false">+N57+'Private Cash'!Y377-'MPR Raptor'!U22</f>
        <v>0</v>
      </c>
      <c r="Z57" s="16" t="n">
        <v>0</v>
      </c>
      <c r="AA57" s="59" t="n">
        <v>0</v>
      </c>
      <c r="AB57" s="16" t="n">
        <f aca="false">+Q57-Z57</f>
        <v>0</v>
      </c>
      <c r="AC57" s="16" t="n">
        <f aca="false">ROUND(+R57-AA57,2)</f>
        <v>0</v>
      </c>
      <c r="AD57" s="58" t="n">
        <f aca="false">-AC57+'MPR Raptor'!AH22</f>
        <v>0</v>
      </c>
      <c r="AG57" s="66"/>
      <c r="AK57" s="26"/>
      <c r="AL57" s="26"/>
    </row>
    <row r="58" customFormat="false" ht="15.75" hidden="false" customHeight="false" outlineLevel="0" collapsed="false">
      <c r="A58" s="63" t="s">
        <v>84</v>
      </c>
      <c r="B58" s="23" t="n">
        <v>36741</v>
      </c>
      <c r="C58" s="23" t="n">
        <v>37836</v>
      </c>
      <c r="D58" s="24" t="s">
        <v>45</v>
      </c>
      <c r="E58" s="16" t="n">
        <v>0</v>
      </c>
      <c r="F58" s="24" t="s">
        <v>46</v>
      </c>
      <c r="I58" s="27" t="n">
        <v>2300803</v>
      </c>
      <c r="N58" s="16" t="n">
        <f aca="false">VLOOKUP(+O58,Privates,V58)</f>
        <v>2300803</v>
      </c>
      <c r="O58" s="28" t="n">
        <f aca="false">+Summary!$C$5</f>
        <v>37134</v>
      </c>
      <c r="P58" s="16" t="n">
        <f aca="false">IF(O58&lt;B58,0,(+N58-I58-Q58))</f>
        <v>0</v>
      </c>
      <c r="Q58" s="16" t="n">
        <v>0</v>
      </c>
      <c r="R58" s="57" t="n">
        <f aca="false">+P58+Q58</f>
        <v>0</v>
      </c>
      <c r="S58" s="16" t="n">
        <v>0</v>
      </c>
      <c r="T58" s="16" t="n">
        <f aca="false">+U58-I58</f>
        <v>0</v>
      </c>
      <c r="U58" s="16" t="n">
        <f aca="false">VLOOKUP(+Summary!$E$5,Privates,V58)</f>
        <v>2300803</v>
      </c>
      <c r="V58" s="68" t="n">
        <f aca="false">+V57+1</f>
        <v>26</v>
      </c>
      <c r="W58" s="58" t="n">
        <f aca="false">+N58+'Private Cash'!Z377-'MPR Raptor'!U23</f>
        <v>0</v>
      </c>
      <c r="Z58" s="16" t="n">
        <v>0</v>
      </c>
      <c r="AA58" s="59" t="n">
        <v>0</v>
      </c>
      <c r="AB58" s="16" t="n">
        <f aca="false">+Q58-Z58</f>
        <v>0</v>
      </c>
      <c r="AC58" s="16" t="n">
        <f aca="false">ROUND(+R58-AA58,2)</f>
        <v>0</v>
      </c>
      <c r="AD58" s="58" t="n">
        <f aca="false">-AC58+'MPR Raptor'!AH23</f>
        <v>0</v>
      </c>
      <c r="AG58" s="66"/>
      <c r="AK58" s="26"/>
      <c r="AL58" s="26"/>
    </row>
    <row r="59" customFormat="false" ht="15.75" hidden="false" customHeight="false" outlineLevel="0" collapsed="false">
      <c r="A59" s="63" t="s">
        <v>85</v>
      </c>
      <c r="B59" s="23" t="n">
        <v>36741</v>
      </c>
      <c r="C59" s="23" t="n">
        <v>37836</v>
      </c>
      <c r="D59" s="24" t="s">
        <v>45</v>
      </c>
      <c r="E59" s="16" t="n">
        <v>0</v>
      </c>
      <c r="F59" s="24" t="s">
        <v>46</v>
      </c>
      <c r="I59" s="27" t="n">
        <v>7483750</v>
      </c>
      <c r="N59" s="16" t="n">
        <f aca="false">VLOOKUP(+O59,Privates,V59)</f>
        <v>8971988.34</v>
      </c>
      <c r="O59" s="28" t="n">
        <f aca="false">+Summary!$C$5</f>
        <v>37134</v>
      </c>
      <c r="P59" s="16" t="n">
        <f aca="false">IF(O59&lt;B59,0,(+N59-I59-Q59))</f>
        <v>1488238.34</v>
      </c>
      <c r="Q59" s="16" t="n">
        <v>0</v>
      </c>
      <c r="R59" s="57" t="n">
        <f aca="false">+P59+Q59</f>
        <v>1488238.34</v>
      </c>
      <c r="S59" s="16" t="n">
        <v>0</v>
      </c>
      <c r="T59" s="16" t="n">
        <f aca="false">+U59-I59</f>
        <v>1488238.34</v>
      </c>
      <c r="U59" s="16" t="n">
        <f aca="false">VLOOKUP(+Summary!$E$5,Privates,V59)</f>
        <v>8971988.34</v>
      </c>
      <c r="V59" s="68" t="n">
        <f aca="false">+V58+1</f>
        <v>27</v>
      </c>
      <c r="W59" s="58" t="n">
        <f aca="false">+N59+'Private Cash'!AA377-'MPR Raptor'!U13</f>
        <v>0</v>
      </c>
      <c r="Z59" s="16" t="n">
        <v>0</v>
      </c>
      <c r="AA59" s="59" t="n">
        <v>1488238.34</v>
      </c>
      <c r="AB59" s="16" t="n">
        <f aca="false">+Q59-Z59</f>
        <v>0</v>
      </c>
      <c r="AC59" s="16" t="n">
        <f aca="false">ROUND(+R59-AA59,2)</f>
        <v>0</v>
      </c>
      <c r="AD59" s="58" t="n">
        <f aca="false">-AC59+'MPR Raptor'!AH13</f>
        <v>0</v>
      </c>
      <c r="AG59" s="66"/>
      <c r="AK59" s="26"/>
      <c r="AL59" s="26"/>
    </row>
    <row r="60" customFormat="false" ht="15.75" hidden="false" customHeight="false" outlineLevel="0" collapsed="false">
      <c r="A60" s="63" t="s">
        <v>86</v>
      </c>
      <c r="B60" s="23" t="n">
        <v>36741</v>
      </c>
      <c r="C60" s="23" t="n">
        <v>37836</v>
      </c>
      <c r="D60" s="24" t="s">
        <v>45</v>
      </c>
      <c r="E60" s="16" t="n">
        <v>0</v>
      </c>
      <c r="F60" s="24" t="s">
        <v>46</v>
      </c>
      <c r="I60" s="27" t="n">
        <v>2343750</v>
      </c>
      <c r="N60" s="16" t="n">
        <f aca="false">VLOOKUP(+O60,Privates,V60)</f>
        <v>2343750</v>
      </c>
      <c r="O60" s="28" t="n">
        <f aca="false">+Summary!$C$5</f>
        <v>37134</v>
      </c>
      <c r="P60" s="16" t="n">
        <f aca="false">IF(O60&lt;B60,0,(+N60-I60-Q60))</f>
        <v>0</v>
      </c>
      <c r="Q60" s="16" t="n">
        <v>0</v>
      </c>
      <c r="R60" s="57" t="n">
        <f aca="false">+P60+Q60</f>
        <v>0</v>
      </c>
      <c r="S60" s="16" t="n">
        <v>0</v>
      </c>
      <c r="T60" s="16" t="n">
        <f aca="false">+U60-I60</f>
        <v>0</v>
      </c>
      <c r="U60" s="16" t="n">
        <f aca="false">VLOOKUP(+Summary!$E$5,Privates,V60)</f>
        <v>2343750</v>
      </c>
      <c r="V60" s="68" t="n">
        <f aca="false">+V59+1</f>
        <v>28</v>
      </c>
      <c r="W60" s="58" t="n">
        <f aca="false">+N60+'Private Cash'!AB377-'MPR Raptor'!U14</f>
        <v>0</v>
      </c>
      <c r="Z60" s="16" t="n">
        <v>0</v>
      </c>
      <c r="AA60" s="59" t="n">
        <v>0</v>
      </c>
      <c r="AB60" s="16" t="n">
        <f aca="false">+Q60-Z60</f>
        <v>0</v>
      </c>
      <c r="AC60" s="16" t="n">
        <f aca="false">ROUND(+R60-AA60,2)</f>
        <v>0</v>
      </c>
      <c r="AD60" s="58" t="n">
        <f aca="false">-AC60+'MPR Raptor'!AH14</f>
        <v>0</v>
      </c>
      <c r="AG60" s="66"/>
      <c r="AK60" s="26"/>
      <c r="AL60" s="26"/>
    </row>
    <row r="61" customFormat="false" ht="15.75" hidden="false" customHeight="false" outlineLevel="0" collapsed="false">
      <c r="A61" s="0" t="s">
        <v>87</v>
      </c>
      <c r="B61" s="23" t="n">
        <v>36741</v>
      </c>
      <c r="C61" s="23" t="n">
        <v>37836</v>
      </c>
      <c r="D61" s="24" t="s">
        <v>45</v>
      </c>
      <c r="E61" s="16" t="n">
        <v>0</v>
      </c>
      <c r="F61" s="24" t="s">
        <v>46</v>
      </c>
      <c r="I61" s="27" t="n">
        <v>16316247</v>
      </c>
      <c r="N61" s="16" t="n">
        <f aca="false">VLOOKUP(+O61,Privates,V61)</f>
        <v>16316247</v>
      </c>
      <c r="O61" s="28" t="n">
        <f aca="false">+Summary!$C$5</f>
        <v>37134</v>
      </c>
      <c r="P61" s="16" t="n">
        <f aca="false">IF(O61&lt;B61,0,(+N61-I61-Q61))</f>
        <v>0</v>
      </c>
      <c r="Q61" s="16" t="n">
        <v>0</v>
      </c>
      <c r="R61" s="57" t="n">
        <f aca="false">+P61+Q61</f>
        <v>0</v>
      </c>
      <c r="S61" s="16" t="n">
        <v>0</v>
      </c>
      <c r="T61" s="16" t="n">
        <f aca="false">+U61-I61</f>
        <v>0</v>
      </c>
      <c r="U61" s="16" t="n">
        <f aca="false">VLOOKUP(+Summary!$E$5,Privates,V61)</f>
        <v>16316247</v>
      </c>
      <c r="V61" s="68" t="n">
        <f aca="false">+V60+1</f>
        <v>29</v>
      </c>
      <c r="W61" s="58" t="n">
        <f aca="false">+N61+'Private Cash'!AC377-'MPR Raptor'!U15</f>
        <v>0</v>
      </c>
      <c r="Z61" s="16" t="n">
        <v>0</v>
      </c>
      <c r="AA61" s="59" t="n">
        <v>0</v>
      </c>
      <c r="AB61" s="16" t="n">
        <f aca="false">+Q61-Z61</f>
        <v>0</v>
      </c>
      <c r="AC61" s="16" t="n">
        <f aca="false">ROUND(+R61-AA61,2)</f>
        <v>0</v>
      </c>
      <c r="AD61" s="58" t="n">
        <f aca="false">-AC61+'MPR Raptor'!AH15</f>
        <v>0</v>
      </c>
      <c r="AG61" s="66"/>
      <c r="AK61" s="26"/>
      <c r="AL61" s="26"/>
    </row>
    <row r="62" customFormat="false" ht="15.75" hidden="false" customHeight="false" outlineLevel="0" collapsed="false">
      <c r="A62" s="0" t="s">
        <v>88</v>
      </c>
      <c r="B62" s="23" t="n">
        <v>36741</v>
      </c>
      <c r="C62" s="23" t="n">
        <v>37836</v>
      </c>
      <c r="D62" s="24" t="s">
        <v>45</v>
      </c>
      <c r="E62" s="16" t="n">
        <v>0</v>
      </c>
      <c r="F62" s="24" t="s">
        <v>46</v>
      </c>
      <c r="I62" s="27" t="n">
        <v>1050000</v>
      </c>
      <c r="N62" s="16" t="n">
        <f aca="false">VLOOKUP(+O62,Privates,V62)</f>
        <v>1050000</v>
      </c>
      <c r="O62" s="28" t="n">
        <f aca="false">+Summary!$C$5</f>
        <v>37134</v>
      </c>
      <c r="P62" s="16" t="n">
        <f aca="false">IF(O62&lt;B62,0,(+N62-I62-Q62))</f>
        <v>0</v>
      </c>
      <c r="Q62" s="16" t="n">
        <v>0</v>
      </c>
      <c r="R62" s="57" t="n">
        <f aca="false">+P62+Q62</f>
        <v>0</v>
      </c>
      <c r="S62" s="16" t="n">
        <v>0</v>
      </c>
      <c r="T62" s="16" t="n">
        <f aca="false">+U62-I62</f>
        <v>0</v>
      </c>
      <c r="U62" s="16" t="n">
        <f aca="false">VLOOKUP(+Summary!$E$5,Privates,V62)</f>
        <v>1050000</v>
      </c>
      <c r="V62" s="68" t="n">
        <f aca="false">+V61+1</f>
        <v>30</v>
      </c>
      <c r="W62" s="58" t="n">
        <f aca="false">+N62+'Private Cash'!AD377-'MPR Raptor'!U16</f>
        <v>0</v>
      </c>
      <c r="Z62" s="16" t="n">
        <v>0</v>
      </c>
      <c r="AA62" s="59" t="n">
        <v>0</v>
      </c>
      <c r="AB62" s="16" t="n">
        <f aca="false">+Q62-Z62</f>
        <v>0</v>
      </c>
      <c r="AC62" s="16" t="n">
        <f aca="false">ROUND(+R62-AA62,2)</f>
        <v>0</v>
      </c>
      <c r="AD62" s="58" t="n">
        <f aca="false">-AC62+'MPR Raptor'!AH16</f>
        <v>0</v>
      </c>
      <c r="AG62" s="66"/>
      <c r="AK62" s="26"/>
      <c r="AL62" s="26"/>
    </row>
    <row r="63" customFormat="false" ht="15.75" hidden="false" customHeight="false" outlineLevel="0" collapsed="false">
      <c r="A63" s="63" t="s">
        <v>89</v>
      </c>
      <c r="B63" s="23" t="n">
        <v>36741</v>
      </c>
      <c r="C63" s="23" t="n">
        <v>37836</v>
      </c>
      <c r="D63" s="24" t="s">
        <v>45</v>
      </c>
      <c r="E63" s="16" t="n">
        <v>0</v>
      </c>
      <c r="F63" s="24" t="s">
        <v>46</v>
      </c>
      <c r="G63" s="25" t="n">
        <v>217.28</v>
      </c>
      <c r="H63" s="26" t="n">
        <v>375000</v>
      </c>
      <c r="I63" s="27" t="n">
        <f aca="false">ROUND(+G63*H63,2)</f>
        <v>81480000</v>
      </c>
      <c r="N63" s="16" t="n">
        <f aca="false">VLOOKUP(+O63,Privates,V63)</f>
        <v>44836040.1</v>
      </c>
      <c r="O63" s="28" t="n">
        <f aca="false">+Summary!$C$5</f>
        <v>37134</v>
      </c>
      <c r="P63" s="16" t="n">
        <f aca="false">IF(O63&lt;B63,0,(+N63-I63-Q63))</f>
        <v>-36643959.9</v>
      </c>
      <c r="Q63" s="16" t="n">
        <v>0</v>
      </c>
      <c r="R63" s="57" t="n">
        <f aca="false">+P63+Q63</f>
        <v>-36643959.9</v>
      </c>
      <c r="S63" s="16" t="n">
        <v>0</v>
      </c>
      <c r="T63" s="16" t="n">
        <f aca="false">+U63-I63</f>
        <v>-36643959.9</v>
      </c>
      <c r="U63" s="16" t="n">
        <f aca="false">VLOOKUP(+Summary!$E$5,Privates,V63)</f>
        <v>44836040.1</v>
      </c>
      <c r="V63" s="68" t="n">
        <f aca="false">+V62+1</f>
        <v>31</v>
      </c>
      <c r="W63" s="58" t="n">
        <f aca="false">+N63+'Private Cash'!AE377-'MPR Raptor'!U38</f>
        <v>0</v>
      </c>
      <c r="X63" s="59"/>
      <c r="Z63" s="16" t="n">
        <v>0</v>
      </c>
      <c r="AA63" s="59" t="n">
        <v>-36643959.9</v>
      </c>
      <c r="AB63" s="16" t="n">
        <f aca="false">+Q63-Z63</f>
        <v>0</v>
      </c>
      <c r="AC63" s="16" t="n">
        <f aca="false">ROUND(+R63-AA63,2)</f>
        <v>0</v>
      </c>
      <c r="AD63" s="58" t="n">
        <f aca="false">-AC63+'MPR Raptor'!AH41</f>
        <v>0</v>
      </c>
      <c r="AG63" s="66"/>
      <c r="AK63" s="26"/>
      <c r="AL63" s="26"/>
    </row>
    <row r="64" customFormat="false" ht="15.75" hidden="false" customHeight="false" outlineLevel="0" collapsed="false">
      <c r="A64" s="63" t="s">
        <v>90</v>
      </c>
      <c r="B64" s="23" t="n">
        <v>36741</v>
      </c>
      <c r="C64" s="23" t="n">
        <v>37836</v>
      </c>
      <c r="D64" s="24" t="s">
        <v>45</v>
      </c>
      <c r="E64" s="16" t="n">
        <v>0</v>
      </c>
      <c r="F64" s="24" t="s">
        <v>46</v>
      </c>
      <c r="G64" s="25" t="n">
        <v>1360</v>
      </c>
      <c r="H64" s="26" t="n">
        <v>1000</v>
      </c>
      <c r="I64" s="27" t="n">
        <f aca="false">ROUND(+G64*H64,2)</f>
        <v>1360000</v>
      </c>
      <c r="J64" s="28" t="n">
        <v>37078</v>
      </c>
      <c r="K64" s="25" t="s">
        <v>63</v>
      </c>
      <c r="L64" s="26"/>
      <c r="M64" s="16" t="n">
        <v>0</v>
      </c>
      <c r="N64" s="16" t="n">
        <f aca="false">VLOOKUP(+O64,Privates,V64)</f>
        <v>0</v>
      </c>
      <c r="O64" s="28" t="n">
        <f aca="false">+Summary!$C$5</f>
        <v>37134</v>
      </c>
      <c r="P64" s="16" t="n">
        <f aca="false">IF(O64&lt;B64,0,IF(O64+1&gt;J64,0,(+N64-I64-Q64)))</f>
        <v>0</v>
      </c>
      <c r="Q64" s="16" t="n">
        <f aca="false">IF(O64+1&gt;J64,+M64-I64,0)</f>
        <v>-1360000</v>
      </c>
      <c r="R64" s="57" t="n">
        <f aca="false">+P64+Q64</f>
        <v>-1360000</v>
      </c>
      <c r="S64" s="16" t="n">
        <f aca="false">IF(O64&gt;J64,+Q64,0)</f>
        <v>-1360000</v>
      </c>
      <c r="T64" s="16" t="n">
        <f aca="false">+U64-I64</f>
        <v>-1360000</v>
      </c>
      <c r="U64" s="16" t="n">
        <f aca="false">VLOOKUP(+Summary!$E$5,Privates,V64)</f>
        <v>0</v>
      </c>
      <c r="V64" s="68" t="n">
        <f aca="false">+V63+1</f>
        <v>32</v>
      </c>
      <c r="W64" s="58" t="n">
        <f aca="false">+N64+'Private Cash'!AF377-'MPR Raptor'!U45</f>
        <v>0</v>
      </c>
      <c r="Z64" s="16" t="n">
        <v>0</v>
      </c>
      <c r="AA64" s="59" t="n">
        <v>-1360000</v>
      </c>
      <c r="AB64" s="16" t="n">
        <f aca="false">+Q64-Z64</f>
        <v>-1360000</v>
      </c>
      <c r="AC64" s="16" t="n">
        <f aca="false">ROUND(+R64-AA64,2)</f>
        <v>0</v>
      </c>
      <c r="AD64" s="58" t="n">
        <f aca="false">-AC64+'MPR Raptor'!AH48</f>
        <v>0</v>
      </c>
      <c r="AG64" s="66"/>
      <c r="AK64" s="26"/>
      <c r="AL64" s="26"/>
    </row>
    <row r="65" customFormat="false" ht="15.75" hidden="false" customHeight="false" outlineLevel="0" collapsed="false">
      <c r="A65" s="63" t="s">
        <v>91</v>
      </c>
      <c r="B65" s="23" t="n">
        <v>36741</v>
      </c>
      <c r="C65" s="23" t="n">
        <v>37836</v>
      </c>
      <c r="D65" s="24" t="s">
        <v>92</v>
      </c>
      <c r="E65" s="16" t="n">
        <v>36066314</v>
      </c>
      <c r="F65" s="24" t="s">
        <v>93</v>
      </c>
      <c r="I65" s="27" t="n">
        <f aca="false">93746590-I66</f>
        <v>63109023.64</v>
      </c>
      <c r="J65" s="28" t="n">
        <v>36910</v>
      </c>
      <c r="K65" s="25" t="s">
        <v>94</v>
      </c>
      <c r="L65" s="26"/>
      <c r="M65" s="16" t="n">
        <v>63109023.64</v>
      </c>
      <c r="N65" s="16" t="n">
        <f aca="false">IF(O65&gt;(J65-1),0,VLOOKUP(+O65,Privates,V65))</f>
        <v>0</v>
      </c>
      <c r="O65" s="28" t="n">
        <f aca="false">+Summary!$C$5</f>
        <v>37134</v>
      </c>
      <c r="P65" s="16" t="n">
        <f aca="false">IF(O65&lt;B65,0,(+N65-I65-Q65))</f>
        <v>0</v>
      </c>
      <c r="Q65" s="16" t="n">
        <f aca="false">IF(O65&gt;(J65-1),-M65,0)</f>
        <v>-63109023.64</v>
      </c>
      <c r="R65" s="57" t="n">
        <f aca="false">+P65+Q65</f>
        <v>-63109023.64</v>
      </c>
      <c r="S65" s="16" t="n">
        <f aca="false">IF((O65-1)&gt;(J65-1),-M65,0)</f>
        <v>-63109023.64</v>
      </c>
      <c r="T65" s="16" t="n">
        <f aca="false">+U65-I65</f>
        <v>-63109023.64</v>
      </c>
      <c r="U65" s="16" t="n">
        <f aca="false">VLOOKUP(+Summary!$E$5,Privates,V65)</f>
        <v>0</v>
      </c>
      <c r="V65" s="68" t="n">
        <f aca="false">+V64+1</f>
        <v>33</v>
      </c>
      <c r="W65" s="58" t="n">
        <f aca="false">+N65+'Private Cash'!AG377-'MPR Raptor'!U58</f>
        <v>0</v>
      </c>
      <c r="Z65" s="16" t="n">
        <v>-63109023.64</v>
      </c>
      <c r="AA65" s="59" t="n">
        <v>-63109023.64</v>
      </c>
      <c r="AB65" s="16" t="n">
        <f aca="false">+Q65-Z65</f>
        <v>0</v>
      </c>
      <c r="AC65" s="16" t="n">
        <f aca="false">ROUND(+R65-AA65,2)</f>
        <v>0</v>
      </c>
      <c r="AD65" s="58" t="n">
        <f aca="false">-AC65+'MPR Raptor'!AH58</f>
        <v>0</v>
      </c>
      <c r="AG65" s="66"/>
      <c r="AK65" s="26"/>
      <c r="AL65" s="26"/>
    </row>
    <row r="66" customFormat="false" ht="15.75" hidden="false" customHeight="false" outlineLevel="0" collapsed="false">
      <c r="A66" s="63" t="s">
        <v>91</v>
      </c>
      <c r="F66" s="24" t="s">
        <v>93</v>
      </c>
      <c r="I66" s="27" t="n">
        <f aca="false">93746590-M65</f>
        <v>30637566.36</v>
      </c>
      <c r="J66" s="28" t="n">
        <v>37071</v>
      </c>
      <c r="K66" s="25" t="s">
        <v>94</v>
      </c>
      <c r="L66" s="26"/>
      <c r="M66" s="16" t="n">
        <f aca="false">+I66</f>
        <v>30637566.36</v>
      </c>
      <c r="N66" s="16" t="n">
        <f aca="false">IF(N65=0,VLOOKUP(+O65,Privates,V65),0)</f>
        <v>0</v>
      </c>
      <c r="O66" s="28" t="n">
        <f aca="false">+Summary!$C$5</f>
        <v>37134</v>
      </c>
      <c r="P66" s="16" t="n">
        <f aca="false">IF(O66&lt;B66,0,(+N66-I66-Q66))</f>
        <v>0</v>
      </c>
      <c r="Q66" s="16" t="n">
        <f aca="false">IF(O66&gt;(J66-1),-M66,0)</f>
        <v>-30637566.36</v>
      </c>
      <c r="R66" s="57" t="n">
        <f aca="false">+P66+Q66</f>
        <v>-30637566.36</v>
      </c>
      <c r="S66" s="16" t="n">
        <f aca="false">IF((O66-1)&gt;(J66-1),-M66,0)</f>
        <v>-30637566.36</v>
      </c>
      <c r="T66" s="16" t="n">
        <f aca="false">+U66-I66</f>
        <v>-30637566.36</v>
      </c>
      <c r="U66" s="16"/>
      <c r="V66" s="68"/>
      <c r="W66" s="58"/>
      <c r="Z66" s="16" t="n">
        <v>-30637566.36</v>
      </c>
      <c r="AA66" s="59" t="n">
        <v>-30637566.36</v>
      </c>
      <c r="AB66" s="16" t="n">
        <f aca="false">+Q66-Z66</f>
        <v>0</v>
      </c>
      <c r="AC66" s="16" t="n">
        <f aca="false">ROUND(+R66-AA66,2)</f>
        <v>0</v>
      </c>
      <c r="AD66" s="58"/>
      <c r="AG66" s="66"/>
      <c r="AK66" s="26"/>
      <c r="AL66" s="26"/>
    </row>
    <row r="67" customFormat="false" ht="15.75" hidden="false" customHeight="false" outlineLevel="0" collapsed="false">
      <c r="A67" s="63"/>
      <c r="N67" s="16"/>
      <c r="P67" s="16"/>
      <c r="Q67" s="16"/>
      <c r="R67" s="57"/>
      <c r="T67" s="16"/>
      <c r="U67" s="16"/>
      <c r="V67" s="68"/>
      <c r="W67" s="58"/>
      <c r="AA67" s="59"/>
      <c r="AC67" s="16"/>
      <c r="AD67" s="58"/>
      <c r="AG67" s="66"/>
      <c r="AK67" s="26"/>
      <c r="AL67" s="26"/>
    </row>
    <row r="68" customFormat="false" ht="15.75" hidden="false" customHeight="false" outlineLevel="0" collapsed="false">
      <c r="A68" s="63" t="s">
        <v>95</v>
      </c>
      <c r="N68" s="16"/>
      <c r="P68" s="16"/>
      <c r="Q68" s="16"/>
      <c r="R68" s="57"/>
      <c r="T68" s="16"/>
      <c r="U68" s="16"/>
      <c r="V68" s="68"/>
      <c r="W68" s="58"/>
      <c r="AA68" s="59"/>
      <c r="AC68" s="16"/>
      <c r="AD68" s="58"/>
      <c r="AG68" s="66"/>
      <c r="AK68" s="26"/>
      <c r="AL68" s="26"/>
    </row>
    <row r="69" customFormat="false" ht="15.75" hidden="false" customHeight="false" outlineLevel="0" collapsed="false">
      <c r="A69" s="0" t="s">
        <v>44</v>
      </c>
      <c r="B69" s="23" t="n">
        <v>36741</v>
      </c>
      <c r="C69" s="23" t="n">
        <v>37836</v>
      </c>
      <c r="D69" s="24" t="s">
        <v>45</v>
      </c>
      <c r="E69" s="16" t="n">
        <v>0</v>
      </c>
      <c r="F69" s="24" t="s">
        <v>46</v>
      </c>
      <c r="G69" s="25" t="n">
        <f aca="false">+G4</f>
        <v>1.17868389193476</v>
      </c>
      <c r="H69" s="26" t="n">
        <f aca="false">ROUND(+H4/0.6*0.3612,2)</f>
        <v>46956</v>
      </c>
      <c r="I69" s="27" t="n">
        <f aca="false">ROUND(+G69*H69,2)</f>
        <v>55346.28</v>
      </c>
      <c r="J69" s="28" t="n">
        <v>37069</v>
      </c>
      <c r="K69" s="25" t="n">
        <f aca="false">104000/130000</f>
        <v>0.8</v>
      </c>
      <c r="L69" s="26" t="n">
        <f aca="false">ROUND(+L4/0.6*0.3612,2)</f>
        <v>46956</v>
      </c>
      <c r="M69" s="16" t="n">
        <f aca="false">L69*K69</f>
        <v>37564.8</v>
      </c>
      <c r="N69" s="25" t="n">
        <f aca="false">+N4</f>
        <v>1.43235095882812</v>
      </c>
      <c r="O69" s="28" t="n">
        <f aca="false">+Summary!$C$5</f>
        <v>37134</v>
      </c>
      <c r="P69" s="16" t="n">
        <f aca="false">IF(O69&lt;B69,0,ROUND((+N69*(H69-IF(J69&gt;O69,0,L69))),2)-ROUND(((H69-IF(J69&gt;O69,0,L69))*G69),2))</f>
        <v>0</v>
      </c>
      <c r="Q69" s="16" t="n">
        <f aca="false">ROUND((+K69-G69)*L69,2)</f>
        <v>-17781.48</v>
      </c>
      <c r="R69" s="57" t="n">
        <f aca="false">+P69+Q69</f>
        <v>-17781.48</v>
      </c>
      <c r="S69" s="16" t="n">
        <f aca="false">IF(J69&lt;O69,+Q69,0)</f>
        <v>-17781.48</v>
      </c>
      <c r="T69" s="16" t="n">
        <f aca="false">IF(Summary!$E$5&lt;'Daily Position'!B69,0,ROUND(+U69*(H69-IF(S69=0,0,L69)),2)+IF(S69=0,0,M69)-I69)</f>
        <v>-17781.48</v>
      </c>
      <c r="U69" s="25" t="n">
        <f aca="false">+U4</f>
        <v>1.43312815745542</v>
      </c>
      <c r="V69" s="25"/>
      <c r="W69" s="58" t="n">
        <f aca="false">+N69*(H69-L69)-'MPR Raptor'!U19</f>
        <v>0</v>
      </c>
      <c r="Z69" s="16" t="n">
        <v>-17781.48</v>
      </c>
      <c r="AA69" s="59" t="n">
        <v>-17781.48</v>
      </c>
      <c r="AB69" s="16" t="n">
        <f aca="false">+Q69-Z69</f>
        <v>0</v>
      </c>
      <c r="AC69" s="16" t="n">
        <f aca="false">ROUND(+R69-AA69,2)</f>
        <v>0</v>
      </c>
      <c r="AD69" s="58" t="n">
        <f aca="false">-AC69+'MPR Raptor'!AH19</f>
        <v>0</v>
      </c>
      <c r="AG69" s="60" t="n">
        <f aca="false">+N69*(H69-L69)</f>
        <v>0</v>
      </c>
      <c r="AK69" s="26"/>
      <c r="AL69" s="26"/>
    </row>
    <row r="70" customFormat="false" ht="15.75" hidden="false" customHeight="false" outlineLevel="0" collapsed="false">
      <c r="A70" s="0" t="s">
        <v>53</v>
      </c>
      <c r="B70" s="23" t="n">
        <v>36741</v>
      </c>
      <c r="C70" s="23" t="n">
        <v>37836</v>
      </c>
      <c r="D70" s="24" t="s">
        <v>45</v>
      </c>
      <c r="E70" s="16" t="n">
        <v>0</v>
      </c>
      <c r="F70" s="24" t="s">
        <v>46</v>
      </c>
      <c r="G70" s="25" t="n">
        <f aca="false">+G28</f>
        <v>1.68395</v>
      </c>
      <c r="H70" s="26" t="n">
        <f aca="false">ROUND(+H28/0.6*0.3612,2)</f>
        <v>442470</v>
      </c>
      <c r="I70" s="27" t="n">
        <f aca="false">ROUND(+G70*H70,2)-2</f>
        <v>745095.36</v>
      </c>
      <c r="J70" s="28" t="n">
        <f aca="false">+J28</f>
        <v>36839</v>
      </c>
      <c r="K70" s="25" t="n">
        <f aca="false">+K28</f>
        <v>1.93798449612403</v>
      </c>
      <c r="L70" s="26" t="n">
        <f aca="false">ROUND(+L28/0.6*0.3612,2)</f>
        <v>442470</v>
      </c>
      <c r="M70" s="16" t="n">
        <f aca="false">ROUND(+K70*L70,2)-2</f>
        <v>857498</v>
      </c>
      <c r="N70" s="25" t="n">
        <f aca="false">+N28</f>
        <v>0</v>
      </c>
      <c r="O70" s="28" t="n">
        <f aca="false">+Summary!$C$5</f>
        <v>37134</v>
      </c>
      <c r="P70" s="16" t="n">
        <f aca="false">IF(O70&lt;B70,0,ROUND((+N70*(H70-L70)),2)-ROUND(((H70-L70)*G70),2))</f>
        <v>0</v>
      </c>
      <c r="Q70" s="16" t="n">
        <f aca="false">IF(J70&lt;(O70+1),(+K70-G70)*L70,0)</f>
        <v>112402.6435</v>
      </c>
      <c r="R70" s="57" t="n">
        <f aca="false">+P70+Q70</f>
        <v>112402.6435</v>
      </c>
      <c r="S70" s="16" t="n">
        <f aca="false">IF(J70&lt;O70,+Q70,0)</f>
        <v>112402.6435</v>
      </c>
      <c r="T70" s="16" t="n">
        <f aca="false">IF(Summary!$E$5&lt;'Daily Position'!B70,0,ROUND(+U70*(H70-L70),2)+M70-I70)</f>
        <v>112402.64</v>
      </c>
      <c r="U70" s="25" t="n">
        <f aca="false">+U28</f>
        <v>1.93798449612403</v>
      </c>
      <c r="V70" s="25"/>
      <c r="W70" s="58"/>
      <c r="X70" s="62"/>
      <c r="Z70" s="16" t="n">
        <v>112402.6435</v>
      </c>
      <c r="AA70" s="59" t="n">
        <v>112402.6435</v>
      </c>
      <c r="AB70" s="16" t="n">
        <f aca="false">+Q70-Z70</f>
        <v>0</v>
      </c>
      <c r="AC70" s="16" t="n">
        <f aca="false">ROUND(+R70-AA70,2)</f>
        <v>0</v>
      </c>
      <c r="AD70" s="58"/>
      <c r="AG70" s="60" t="n">
        <f aca="false">+N70*(H70-L70)</f>
        <v>0</v>
      </c>
      <c r="AK70" s="26"/>
      <c r="AL70" s="26"/>
    </row>
    <row r="71" customFormat="false" ht="15.75" hidden="false" customHeight="false" outlineLevel="0" collapsed="false">
      <c r="A71" s="0" t="str">
        <f aca="false">+A29</f>
        <v>DevX Energy Common</v>
      </c>
      <c r="B71" s="23" t="n">
        <v>36741</v>
      </c>
      <c r="C71" s="23" t="n">
        <v>37836</v>
      </c>
      <c r="D71" s="24" t="s">
        <v>45</v>
      </c>
      <c r="E71" s="16" t="n">
        <v>0</v>
      </c>
      <c r="F71" s="24" t="s">
        <v>46</v>
      </c>
      <c r="G71" s="25" t="n">
        <f aca="false">+G29</f>
        <v>14.0397655556213</v>
      </c>
      <c r="H71" s="26" t="n">
        <f aca="false">ROUND(+H29/0.6*0.3612,4)</f>
        <v>6101.0292</v>
      </c>
      <c r="I71" s="27" t="n">
        <f aca="false">ROUND(+G71*H71,2)</f>
        <v>85657.02</v>
      </c>
      <c r="J71" s="28" t="n">
        <f aca="false">+J29</f>
        <v>36980</v>
      </c>
      <c r="K71" s="25" t="n">
        <f aca="false">+K29</f>
        <v>7.99925996092594</v>
      </c>
      <c r="L71" s="26" t="n">
        <f aca="false">ROUND(+L29/0.6*0.3612,4)</f>
        <v>6101.0292</v>
      </c>
      <c r="M71" s="16" t="n">
        <f aca="false">ROUND(+K71*L71,2)</f>
        <v>48803.72</v>
      </c>
      <c r="N71" s="25" t="n">
        <f aca="false">+N29</f>
        <v>6</v>
      </c>
      <c r="O71" s="28" t="n">
        <f aca="false">+Summary!$C$5</f>
        <v>37134</v>
      </c>
      <c r="P71" s="16" t="n">
        <f aca="false">IF(O71&lt;B71,0,ROUND((+N71*(H71-L71)),2)-ROUND(((H71-L71)*G71),2))</f>
        <v>0</v>
      </c>
      <c r="Q71" s="16" t="n">
        <f aca="false">IF(J71&lt;(O71+1),(+K71-G71)*L71,0)</f>
        <v>-36853.301016</v>
      </c>
      <c r="R71" s="57" t="n">
        <f aca="false">+P71+Q71</f>
        <v>-36853.301016</v>
      </c>
      <c r="S71" s="16" t="n">
        <f aca="false">IF(J71&lt;O71,+Q71,0)</f>
        <v>-36853.301016</v>
      </c>
      <c r="T71" s="16" t="n">
        <f aca="false">IF(Summary!$E$5&lt;'Daily Position'!B71,0,ROUND(+U71*(H71-L71),2)+M71-I71)</f>
        <v>-36853.3</v>
      </c>
      <c r="U71" s="25" t="n">
        <f aca="false">+U29</f>
        <v>6.07</v>
      </c>
      <c r="V71" s="25"/>
      <c r="W71" s="58" t="n">
        <f aca="false">+N71*(H71+H72-L71-L72)-'MPR Raptor'!U31</f>
        <v>0</v>
      </c>
      <c r="X71" s="62"/>
      <c r="Z71" s="16" t="n">
        <v>-36853.301016</v>
      </c>
      <c r="AA71" s="59" t="n">
        <v>-36853.301016</v>
      </c>
      <c r="AB71" s="16" t="n">
        <f aca="false">+Q71-Z71</f>
        <v>0</v>
      </c>
      <c r="AC71" s="16" t="n">
        <f aca="false">ROUND(+R71-AA71,2)</f>
        <v>0</v>
      </c>
      <c r="AD71" s="58" t="n">
        <f aca="false">-AC71+'MPR Raptor'!AH31</f>
        <v>0</v>
      </c>
      <c r="AG71" s="60" t="n">
        <f aca="false">+N71*(H71-L71)</f>
        <v>0</v>
      </c>
      <c r="AK71" s="26"/>
      <c r="AL71" s="26"/>
    </row>
    <row r="72" customFormat="false" ht="15.75" hidden="false" customHeight="false" outlineLevel="0" collapsed="false">
      <c r="A72" s="0" t="str">
        <f aca="false">+A30</f>
        <v>DevX Energy Pref</v>
      </c>
      <c r="B72" s="23" t="n">
        <v>36741</v>
      </c>
      <c r="C72" s="23" t="n">
        <v>37836</v>
      </c>
      <c r="D72" s="24" t="s">
        <v>45</v>
      </c>
      <c r="E72" s="16" t="n">
        <v>0</v>
      </c>
      <c r="F72" s="24" t="s">
        <v>46</v>
      </c>
      <c r="G72" s="25" t="n">
        <f aca="false">+G30</f>
        <v>4.06588235294118</v>
      </c>
      <c r="H72" s="26" t="n">
        <f aca="false">ROUND(+H30/0.6*0.3612,4)</f>
        <v>76755</v>
      </c>
      <c r="I72" s="27" t="n">
        <f aca="false">ROUND(+G72*H72,2)</f>
        <v>312076.8</v>
      </c>
      <c r="J72" s="28" t="n">
        <f aca="false">+J30</f>
        <v>36874</v>
      </c>
      <c r="K72" s="25" t="n">
        <f aca="false">+K30</f>
        <v>6.99976470588235</v>
      </c>
      <c r="L72" s="26" t="n">
        <f aca="false">ROUND(+L30/0.6*0.3612,4)</f>
        <v>76755</v>
      </c>
      <c r="M72" s="16" t="n">
        <f aca="false">ROUND(+K72*L72,2)</f>
        <v>537266.94</v>
      </c>
      <c r="N72" s="25" t="n">
        <f aca="false">+N30</f>
        <v>6</v>
      </c>
      <c r="O72" s="28" t="n">
        <f aca="false">+Summary!$C$5</f>
        <v>37134</v>
      </c>
      <c r="P72" s="16" t="n">
        <f aca="false">IF(O72&lt;B72,0,ROUND((+N72*(H72-L72)),2)-ROUND(((H72-L72)*G72),2))</f>
        <v>0</v>
      </c>
      <c r="Q72" s="16" t="n">
        <f aca="false">IF(J72&lt;(O72+1),(+K72-G72)*L72,0)</f>
        <v>225190.14</v>
      </c>
      <c r="R72" s="57" t="n">
        <f aca="false">+P72+Q72</f>
        <v>225190.14</v>
      </c>
      <c r="S72" s="16" t="n">
        <f aca="false">IF(J72&lt;O72,+Q72,0)</f>
        <v>225190.14</v>
      </c>
      <c r="T72" s="16" t="n">
        <f aca="false">IF(Summary!$E$5&lt;'Daily Position'!B72,0,ROUND(+U72*(H72-L72),2)+M72-I72)</f>
        <v>225190.14</v>
      </c>
      <c r="U72" s="25" t="n">
        <f aca="false">+U30</f>
        <v>6.07</v>
      </c>
      <c r="V72" s="25"/>
      <c r="W72" s="58"/>
      <c r="X72" s="62"/>
      <c r="Z72" s="16" t="n">
        <v>225190.14</v>
      </c>
      <c r="AA72" s="59" t="n">
        <v>225190.14</v>
      </c>
      <c r="AB72" s="16" t="n">
        <f aca="false">+Q72-Z72</f>
        <v>0</v>
      </c>
      <c r="AC72" s="16" t="n">
        <f aca="false">ROUND(+R72-AA72,2)</f>
        <v>0</v>
      </c>
      <c r="AD72" s="58"/>
      <c r="AG72" s="60" t="n">
        <f aca="false">+N72*(H72-L72)</f>
        <v>0</v>
      </c>
      <c r="AK72" s="26"/>
      <c r="AL72" s="26"/>
    </row>
    <row r="73" customFormat="false" ht="15.75" hidden="false" customHeight="false" outlineLevel="0" collapsed="false">
      <c r="A73" s="0" t="s">
        <v>57</v>
      </c>
      <c r="B73" s="23" t="n">
        <v>36741</v>
      </c>
      <c r="C73" s="23" t="n">
        <v>37836</v>
      </c>
      <c r="D73" s="24" t="s">
        <v>45</v>
      </c>
      <c r="E73" s="16" t="n">
        <v>0</v>
      </c>
      <c r="F73" s="24" t="s">
        <v>46</v>
      </c>
      <c r="G73" s="25" t="n">
        <f aca="false">+G31</f>
        <v>7.625</v>
      </c>
      <c r="H73" s="26" t="n">
        <f aca="false">ROUND(+H31/0.6*0.3612,3)</f>
        <v>484154.286</v>
      </c>
      <c r="I73" s="27" t="n">
        <f aca="false">ROUND(+G73*H73,2)</f>
        <v>3691676.43</v>
      </c>
      <c r="J73" s="28" t="n">
        <f aca="false">+J31</f>
        <v>36868</v>
      </c>
      <c r="K73" s="25" t="n">
        <f aca="false">+K31</f>
        <v>6.7199995523741</v>
      </c>
      <c r="L73" s="26" t="n">
        <f aca="false">ROUND(+L31/0.6*0.3612,3)</f>
        <v>484154.286</v>
      </c>
      <c r="M73" s="16" t="n">
        <f aca="false">ROUND(+K73*L73,2)</f>
        <v>3253516.59</v>
      </c>
      <c r="N73" s="25" t="n">
        <f aca="false">+N31</f>
        <v>0</v>
      </c>
      <c r="O73" s="28" t="n">
        <f aca="false">+Summary!$C$5</f>
        <v>37134</v>
      </c>
      <c r="P73" s="16" t="n">
        <f aca="false">IF(O73&lt;B73,0,ROUND((+N73*(H73-L73)),2)-ROUND(((H73-L73)*G73),2))</f>
        <v>0</v>
      </c>
      <c r="Q73" s="16" t="n">
        <f aca="false">IF(J73&lt;(O73+1),(+K73-G73)*L73,0)</f>
        <v>-438159.84555</v>
      </c>
      <c r="R73" s="57" t="n">
        <f aca="false">+P73+Q73</f>
        <v>-438159.84555</v>
      </c>
      <c r="S73" s="16" t="n">
        <f aca="false">IF(J73&lt;O73,+Q73,0)</f>
        <v>-438159.84555</v>
      </c>
      <c r="T73" s="16" t="n">
        <f aca="false">IF(Summary!$E$5&lt;'Daily Position'!B73,0,ROUND(+U73*(H73-L73),2)+M73-I73)</f>
        <v>-438159.84</v>
      </c>
      <c r="U73" s="25" t="n">
        <f aca="false">+U31</f>
        <v>0</v>
      </c>
      <c r="V73" s="25"/>
      <c r="W73" s="58"/>
      <c r="X73" s="62"/>
      <c r="Z73" s="16" t="n">
        <v>-438159.84555</v>
      </c>
      <c r="AA73" s="59" t="n">
        <v>-438159.84555</v>
      </c>
      <c r="AB73" s="16" t="n">
        <f aca="false">+Q73-Z73</f>
        <v>0</v>
      </c>
      <c r="AC73" s="16" t="n">
        <f aca="false">ROUND(+R73-AA73,2)</f>
        <v>0</v>
      </c>
      <c r="AD73" s="58"/>
      <c r="AK73" s="26"/>
      <c r="AL73" s="26"/>
    </row>
    <row r="74" customFormat="false" ht="15.75" hidden="false" customHeight="false" outlineLevel="0" collapsed="false">
      <c r="A74" s="63" t="s">
        <v>60</v>
      </c>
      <c r="B74" s="23" t="n">
        <v>36741</v>
      </c>
      <c r="C74" s="23" t="n">
        <v>37836</v>
      </c>
      <c r="D74" s="24" t="s">
        <v>45</v>
      </c>
      <c r="E74" s="16" t="n">
        <v>0</v>
      </c>
      <c r="F74" s="24" t="s">
        <v>46</v>
      </c>
      <c r="I74" s="27" t="n">
        <f aca="false">ROUND(+I35/0.6*0.3612,2)</f>
        <v>2747287.2</v>
      </c>
      <c r="M74" s="16" t="n">
        <f aca="false">ROUND(+M35/0.6*0.3612,2)</f>
        <v>0</v>
      </c>
      <c r="N74" s="16" t="n">
        <f aca="false">ROUND(+N35/0.6*0.3612,2)</f>
        <v>727836.22</v>
      </c>
      <c r="O74" s="28" t="n">
        <f aca="false">+Summary!$C$5</f>
        <v>37134</v>
      </c>
      <c r="P74" s="16" t="n">
        <f aca="false">IF(O74&lt;B74,0,(+N74-I74-Q74))</f>
        <v>-2019450.98</v>
      </c>
      <c r="Q74" s="16" t="n">
        <v>0</v>
      </c>
      <c r="R74" s="57" t="n">
        <f aca="false">+P74+Q74</f>
        <v>-2019450.98</v>
      </c>
      <c r="S74" s="16" t="n">
        <v>0</v>
      </c>
      <c r="T74" s="16" t="n">
        <f aca="false">+U74-I74</f>
        <v>-2019450.98</v>
      </c>
      <c r="U74" s="16" t="n">
        <f aca="false">ROUND(+U35/0.6*0.3612,2)</f>
        <v>727836.22</v>
      </c>
      <c r="V74" s="68"/>
      <c r="W74" s="58" t="n">
        <f aca="false">+N74+'Private Cash'!C377/0.6*0.3612-'MPR Raptor'!U29</f>
        <v>-304679.2339</v>
      </c>
      <c r="Z74" s="16" t="n">
        <v>0</v>
      </c>
      <c r="AA74" s="59" t="n">
        <v>-2019450.98</v>
      </c>
      <c r="AB74" s="16" t="n">
        <f aca="false">+Q74-Z74</f>
        <v>0</v>
      </c>
      <c r="AC74" s="16" t="n">
        <f aca="false">ROUND(+R74-AA74,2)</f>
        <v>0</v>
      </c>
      <c r="AD74" s="58" t="n">
        <f aca="false">-AC74+'MPR Raptor'!AH29</f>
        <v>0</v>
      </c>
      <c r="AK74" s="26"/>
      <c r="AL74" s="26"/>
    </row>
    <row r="75" customFormat="false" ht="15.75" hidden="false" customHeight="false" outlineLevel="0" collapsed="false">
      <c r="A75" s="63" t="s">
        <v>74</v>
      </c>
      <c r="B75" s="23" t="n">
        <v>36741</v>
      </c>
      <c r="C75" s="23" t="n">
        <v>37836</v>
      </c>
      <c r="D75" s="24" t="s">
        <v>45</v>
      </c>
      <c r="E75" s="16" t="n">
        <v>0</v>
      </c>
      <c r="F75" s="24" t="s">
        <v>46</v>
      </c>
      <c r="I75" s="27" t="n">
        <f aca="false">ROUND(+I48/0.6*0.3612,2)</f>
        <v>283415.58</v>
      </c>
      <c r="M75" s="16" t="n">
        <f aca="false">ROUND(+M48/0.6*0.3612,2)</f>
        <v>0</v>
      </c>
      <c r="N75" s="16" t="n">
        <f aca="false">ROUND(+N48/0.6*0.3612,2)</f>
        <v>0</v>
      </c>
      <c r="O75" s="28" t="n">
        <f aca="false">+Summary!$C$5</f>
        <v>37134</v>
      </c>
      <c r="P75" s="16" t="n">
        <f aca="false">IF(O75&lt;B75,0,(+N75-I75-Q75))</f>
        <v>-283415.58</v>
      </c>
      <c r="Q75" s="16" t="n">
        <v>0</v>
      </c>
      <c r="R75" s="57" t="n">
        <f aca="false">+P75+Q75</f>
        <v>-283415.58</v>
      </c>
      <c r="S75" s="16" t="n">
        <v>0</v>
      </c>
      <c r="T75" s="16" t="n">
        <f aca="false">+U75-I75</f>
        <v>-283415.58</v>
      </c>
      <c r="U75" s="16" t="n">
        <f aca="false">ROUND(+U48/0.6*0.3612,2)</f>
        <v>0</v>
      </c>
      <c r="V75" s="68"/>
      <c r="W75" s="58" t="n">
        <f aca="false">+N75+'Private Cash'!P377/0.6*0.3612-'MPR Raptor'!U33</f>
        <v>0</v>
      </c>
      <c r="Z75" s="16" t="n">
        <v>0</v>
      </c>
      <c r="AA75" s="59" t="n">
        <v>-283415.58</v>
      </c>
      <c r="AB75" s="16" t="n">
        <f aca="false">+Q75-Z75</f>
        <v>0</v>
      </c>
      <c r="AC75" s="16" t="n">
        <f aca="false">ROUND(+R75-AA75,2)</f>
        <v>0</v>
      </c>
      <c r="AD75" s="58" t="n">
        <f aca="false">-AC75+'MPR Raptor'!AH33</f>
        <v>0</v>
      </c>
      <c r="AK75" s="26"/>
      <c r="AL75" s="26"/>
    </row>
    <row r="76" customFormat="false" ht="15.75" hidden="false" customHeight="false" outlineLevel="0" collapsed="false">
      <c r="A76" s="63"/>
      <c r="N76" s="16"/>
      <c r="P76" s="16"/>
      <c r="Q76" s="16"/>
      <c r="R76" s="57"/>
      <c r="T76" s="16"/>
      <c r="U76" s="16"/>
      <c r="V76" s="68"/>
      <c r="W76" s="58"/>
      <c r="AA76" s="16"/>
      <c r="AC76" s="16"/>
      <c r="AK76" s="26"/>
      <c r="AL76" s="26"/>
    </row>
    <row r="77" customFormat="false" ht="15.75" hidden="false" customHeight="false" outlineLevel="0" collapsed="false">
      <c r="R77" s="66"/>
      <c r="AK77" s="26"/>
      <c r="AL77" s="26"/>
    </row>
    <row r="78" customFormat="false" ht="16.5" hidden="false" customHeight="false" outlineLevel="0" collapsed="false">
      <c r="B78" s="69" t="s">
        <v>96</v>
      </c>
      <c r="E78" s="70" t="n">
        <f aca="false">SUM(E4:E77)</f>
        <v>36066314</v>
      </c>
      <c r="I78" s="71" t="n">
        <f aca="false">SUM(I3:I77)</f>
        <v>733681676.07</v>
      </c>
      <c r="P78" s="70" t="n">
        <f aca="false">SUM(P3:P77)</f>
        <v>-409960543.64</v>
      </c>
      <c r="Q78" s="70" t="n">
        <f aca="false">SUM(Q3:Q77)</f>
        <v>-126932303.763066</v>
      </c>
      <c r="R78" s="72" t="n">
        <f aca="false">SUM(R3:R77)</f>
        <v>-536892847.403066</v>
      </c>
      <c r="S78" s="73" t="n">
        <f aca="false">SUM(S3:S77)</f>
        <v>-126932303.763066</v>
      </c>
      <c r="T78" s="70" t="n">
        <f aca="false">SUM(T3:T77)</f>
        <v>-536551679.044649</v>
      </c>
      <c r="U78" s="12"/>
      <c r="V78" s="12"/>
      <c r="W78" s="70" t="n">
        <f aca="false">SUM(W3:W77)</f>
        <v>-304679.233900472</v>
      </c>
      <c r="Z78" s="73" t="n">
        <v>-125572303.763066</v>
      </c>
      <c r="AA78" s="70" t="n">
        <v>-509068158.633066</v>
      </c>
      <c r="AB78" s="73" t="n">
        <f aca="false">SUM(AB3:AB77)</f>
        <v>-1360000</v>
      </c>
      <c r="AC78" s="70" t="n">
        <f aca="false">SUM(AC3:AC77)</f>
        <v>-27824688.77</v>
      </c>
      <c r="AD78" s="70" t="n">
        <f aca="false">SUM(AD3:AD77)</f>
        <v>-1.46932182212776E-008</v>
      </c>
      <c r="AK78" s="26"/>
      <c r="AL78" s="26"/>
    </row>
    <row r="79" customFormat="false" ht="16.5" hidden="false" customHeight="false" outlineLevel="0" collapsed="false">
      <c r="AK79" s="7"/>
      <c r="AL79" s="7"/>
    </row>
    <row r="80" customFormat="false" ht="15.75" hidden="false" customHeight="false" outlineLevel="0" collapsed="false">
      <c r="G80" s="25" t="s">
        <v>22</v>
      </c>
      <c r="P80" s="59" t="n">
        <f aca="false">+I84+P78</f>
        <v>139594440.202835</v>
      </c>
      <c r="Q80" s="25" t="n">
        <f aca="false">SUMIF(Q3:Q77,"&lt;0",Q3:Q77)</f>
        <v>-127896192.896566</v>
      </c>
      <c r="R80" s="0" t="s">
        <v>97</v>
      </c>
      <c r="T80" s="74" t="n">
        <f aca="false">I84+P78</f>
        <v>139594440.202835</v>
      </c>
      <c r="W80" s="59"/>
      <c r="Z80" s="16" t="n">
        <v>-126536192.896566</v>
      </c>
      <c r="AA80" s="59" t="s">
        <v>97</v>
      </c>
      <c r="AC80" s="75" t="n">
        <f aca="false">+AC78+AD78-'MPR Raptor'!AH78+'MPR Raptor'!AH74+'MPR Raptor'!AH72+'MPR Raptor'!AH38+'MPR Raptor'!AH35</f>
        <v>-18464723.75</v>
      </c>
      <c r="AD80" s="0" t="s">
        <v>98</v>
      </c>
      <c r="AK80" s="7"/>
      <c r="AL80" s="76"/>
    </row>
    <row r="81" customFormat="false" ht="15.75" hidden="false" customHeight="false" outlineLevel="0" collapsed="false">
      <c r="G81" s="25" t="s">
        <v>99</v>
      </c>
      <c r="I81" s="27" t="n">
        <f aca="false">+L4*G4+SUM(I6:I12)+L13*G13+L14*G14+SUM(I17:I27)+L28*G28+L29*G29+L30*G30+L31*G31+L69*G69+L70*G70-2+L71*G71+L72*G72+L73*G73</f>
        <v>64658670.2271658</v>
      </c>
      <c r="Q81" s="25" t="n">
        <f aca="false">SUMIF(Q3:Q77,"&gt;0",Q3:Q77)</f>
        <v>963889.1335</v>
      </c>
      <c r="R81" s="0" t="s">
        <v>100</v>
      </c>
      <c r="T81" s="77" t="s">
        <v>101</v>
      </c>
      <c r="W81" s="59"/>
      <c r="Z81" s="16" t="n">
        <v>963889.1335</v>
      </c>
      <c r="AA81" s="26" t="s">
        <v>100</v>
      </c>
    </row>
    <row r="82" customFormat="false" ht="15.75" hidden="false" customHeight="false" outlineLevel="0" collapsed="false">
      <c r="G82" s="25" t="s">
        <v>102</v>
      </c>
      <c r="I82" s="78" t="n">
        <f aca="false">+I37+I38+I42+I51+I54+I64+I65+I66</f>
        <v>119468022</v>
      </c>
      <c r="Q82" s="75" t="n">
        <f aca="false">+Q80+Q81-Q78</f>
        <v>0</v>
      </c>
      <c r="R82" s="0" t="s">
        <v>98</v>
      </c>
      <c r="W82" s="59"/>
      <c r="Z82" s="16" t="n">
        <v>0</v>
      </c>
      <c r="AA82" s="59" t="s">
        <v>98</v>
      </c>
    </row>
    <row r="83" customFormat="false" ht="15.75" hidden="false" customHeight="false" outlineLevel="0" collapsed="false">
      <c r="W83" s="75"/>
    </row>
    <row r="84" customFormat="false" ht="15.75" hidden="false" customHeight="false" outlineLevel="0" collapsed="false">
      <c r="G84" s="25" t="s">
        <v>103</v>
      </c>
      <c r="I84" s="27" t="n">
        <f aca="false">+I78-I81-I82</f>
        <v>549554983.842834</v>
      </c>
      <c r="W84" s="79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273" activePane="bottomLeft" state="frozen"/>
      <selection pane="topLeft" activeCell="A1" activeCellId="0" sqref="A1"/>
      <selection pane="bottomLeft" activeCell="A276" activeCellId="0" sqref="A2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4" width="9.99"/>
    <col collapsed="false" customWidth="true" hidden="false" outlineLevel="0" max="2" min="2" style="80" width="14.74"/>
    <col collapsed="false" customWidth="true" hidden="false" outlineLevel="0" max="3" min="3" style="80" width="9.74"/>
    <col collapsed="false" customWidth="true" hidden="false" outlineLevel="0" max="4" min="4" style="80" width="9.12"/>
    <col collapsed="false" customWidth="true" hidden="false" outlineLevel="0" max="5" min="5" style="80" width="11.24"/>
    <col collapsed="false" customWidth="true" hidden="false" outlineLevel="0" max="8" min="6" style="80" width="9.12"/>
    <col collapsed="false" customWidth="true" hidden="false" outlineLevel="0" max="9" min="9" style="80" width="9.74"/>
    <col collapsed="false" customWidth="true" hidden="false" outlineLevel="0" max="12" min="10" style="80" width="9.12"/>
  </cols>
  <sheetData>
    <row r="1" customFormat="false" ht="15.75" hidden="false" customHeight="false" outlineLevel="0" collapsed="false">
      <c r="A1" s="81" t="s">
        <v>104</v>
      </c>
      <c r="B1" s="82"/>
      <c r="C1" s="83"/>
    </row>
    <row r="2" customFormat="false" ht="15.75" hidden="false" customHeight="false" outlineLevel="0" collapsed="false">
      <c r="B2" s="84" t="n">
        <v>2</v>
      </c>
      <c r="C2" s="84" t="n">
        <f aca="false">+B2+1</f>
        <v>3</v>
      </c>
      <c r="D2" s="84" t="n">
        <f aca="false">+C2+1</f>
        <v>4</v>
      </c>
      <c r="E2" s="84" t="n">
        <f aca="false">+D2+1</f>
        <v>5</v>
      </c>
      <c r="F2" s="84" t="n">
        <f aca="false">+E2+1</f>
        <v>6</v>
      </c>
      <c r="G2" s="84" t="n">
        <f aca="false">+F2+1</f>
        <v>7</v>
      </c>
      <c r="H2" s="84" t="n">
        <f aca="false">+G2+1</f>
        <v>8</v>
      </c>
      <c r="I2" s="84" t="n">
        <f aca="false">+H2+1</f>
        <v>9</v>
      </c>
      <c r="J2" s="84" t="n">
        <f aca="false">+I2+1</f>
        <v>10</v>
      </c>
      <c r="K2" s="84" t="n">
        <f aca="false">+J2+1</f>
        <v>11</v>
      </c>
      <c r="L2" s="84" t="n">
        <f aca="false">+K2+1</f>
        <v>12</v>
      </c>
    </row>
    <row r="3" customFormat="false" ht="47.25" hidden="false" customHeight="false" outlineLevel="0" collapsed="false">
      <c r="A3" s="85"/>
      <c r="B3" s="86" t="s">
        <v>105</v>
      </c>
      <c r="C3" s="86" t="s">
        <v>48</v>
      </c>
      <c r="D3" s="86" t="s">
        <v>47</v>
      </c>
      <c r="E3" s="86" t="s">
        <v>106</v>
      </c>
      <c r="F3" s="86" t="s">
        <v>107</v>
      </c>
      <c r="G3" s="86" t="s">
        <v>49</v>
      </c>
      <c r="H3" s="86" t="s">
        <v>44</v>
      </c>
      <c r="I3" s="86" t="s">
        <v>108</v>
      </c>
      <c r="J3" s="86" t="s">
        <v>52</v>
      </c>
      <c r="K3" s="86" t="s">
        <v>57</v>
      </c>
      <c r="L3" s="86" t="s">
        <v>109</v>
      </c>
    </row>
    <row r="4" customFormat="false" ht="15.75" hidden="false" customHeight="false" outlineLevel="0" collapsed="false">
      <c r="A4" s="87" t="s">
        <v>31</v>
      </c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107</v>
      </c>
      <c r="G4" s="88" t="s">
        <v>114</v>
      </c>
      <c r="H4" s="88" t="s">
        <v>115</v>
      </c>
      <c r="I4" s="88" t="s">
        <v>116</v>
      </c>
      <c r="J4" s="88" t="s">
        <v>117</v>
      </c>
      <c r="K4" s="88" t="s">
        <v>118</v>
      </c>
      <c r="L4" s="88" t="s">
        <v>119</v>
      </c>
    </row>
    <row r="5" customFormat="false" ht="15.75" hidden="false" customHeight="false" outlineLevel="0" collapsed="false">
      <c r="A5" s="64" t="n">
        <v>36739</v>
      </c>
      <c r="B5" s="83" t="n">
        <v>76</v>
      </c>
      <c r="C5" s="83" t="n">
        <v>107.5</v>
      </c>
      <c r="D5" s="80" t="n">
        <v>51.7666719158748</v>
      </c>
      <c r="E5" s="80" t="n">
        <v>1.74707700577879</v>
      </c>
      <c r="F5" s="80" t="n">
        <v>0.094</v>
      </c>
      <c r="G5" s="80" t="n">
        <v>3.347881383</v>
      </c>
      <c r="H5" s="80" t="n">
        <v>1.091023692</v>
      </c>
      <c r="I5" s="80" t="n">
        <v>1.091023692</v>
      </c>
      <c r="J5" s="80" t="n">
        <v>6</v>
      </c>
      <c r="K5" s="80" t="n">
        <v>7.125</v>
      </c>
      <c r="N5" s="89"/>
      <c r="O5" s="90"/>
    </row>
    <row r="6" customFormat="false" ht="15.75" hidden="false" customHeight="false" outlineLevel="0" collapsed="false">
      <c r="A6" s="64" t="n">
        <v>36740</v>
      </c>
      <c r="B6" s="83" t="n">
        <v>77.625</v>
      </c>
      <c r="C6" s="83" t="n">
        <v>132</v>
      </c>
      <c r="D6" s="80" t="n">
        <v>51.7666719158748</v>
      </c>
      <c r="E6" s="80" t="n">
        <v>1.75557056043214</v>
      </c>
      <c r="F6" s="80" t="n">
        <v>0.078</v>
      </c>
      <c r="G6" s="80" t="n">
        <v>3.347385044</v>
      </c>
      <c r="H6" s="80" t="n">
        <v>1.195439165</v>
      </c>
      <c r="I6" s="80" t="n">
        <v>1.195439165</v>
      </c>
      <c r="J6" s="80" t="n">
        <v>6</v>
      </c>
      <c r="K6" s="80" t="n">
        <v>7.313</v>
      </c>
      <c r="N6" s="89"/>
      <c r="O6" s="90"/>
    </row>
    <row r="7" customFormat="false" ht="15.75" hidden="false" customHeight="false" outlineLevel="0" collapsed="false">
      <c r="A7" s="64" t="n">
        <v>36741</v>
      </c>
      <c r="B7" s="83" t="n">
        <v>78.016</v>
      </c>
      <c r="C7" s="83" t="n">
        <v>163.5</v>
      </c>
      <c r="D7" s="80" t="n">
        <v>51.7666719158748</v>
      </c>
      <c r="E7" s="80" t="n">
        <v>1.68395527414792</v>
      </c>
      <c r="F7" s="80" t="n">
        <v>0.094</v>
      </c>
      <c r="G7" s="80" t="n">
        <v>4.195402515</v>
      </c>
      <c r="H7" s="80" t="n">
        <v>1.178683892</v>
      </c>
      <c r="I7" s="80" t="n">
        <v>1.178683892</v>
      </c>
      <c r="J7" s="80" t="n">
        <v>5.875</v>
      </c>
      <c r="K7" s="80" t="n">
        <v>7.625</v>
      </c>
      <c r="N7" s="89"/>
      <c r="O7" s="90"/>
    </row>
    <row r="8" customFormat="false" ht="15.75" hidden="false" customHeight="false" outlineLevel="0" collapsed="false">
      <c r="A8" s="64" t="n">
        <v>36742</v>
      </c>
      <c r="B8" s="83" t="n">
        <v>78</v>
      </c>
      <c r="C8" s="83" t="n">
        <v>156</v>
      </c>
      <c r="D8" s="80" t="n">
        <v>51.7666719158748</v>
      </c>
      <c r="E8" s="80" t="n">
        <v>1.67841557569654</v>
      </c>
      <c r="F8" s="80" t="n">
        <v>0.063</v>
      </c>
      <c r="G8" s="80" t="n">
        <v>4.217262234</v>
      </c>
      <c r="H8" s="80" t="n">
        <v>1.135536521</v>
      </c>
      <c r="I8" s="80" t="n">
        <v>1.135536521</v>
      </c>
      <c r="J8" s="80" t="n">
        <v>5.625</v>
      </c>
      <c r="K8" s="80" t="n">
        <v>7.5</v>
      </c>
      <c r="N8" s="89"/>
      <c r="O8" s="90"/>
    </row>
    <row r="9" customFormat="false" ht="15.75" hidden="false" customHeight="false" outlineLevel="0" collapsed="false">
      <c r="A9" s="64" t="n">
        <v>36745</v>
      </c>
      <c r="B9" s="83" t="n">
        <v>80.266</v>
      </c>
      <c r="C9" s="83" t="n">
        <v>140.625</v>
      </c>
      <c r="D9" s="80" t="n">
        <v>51.7666719158748</v>
      </c>
      <c r="E9" s="80" t="n">
        <v>1.68123739071957</v>
      </c>
      <c r="F9" s="80" t="n">
        <v>0.063</v>
      </c>
      <c r="G9" s="80" t="n">
        <v>4.479516674</v>
      </c>
      <c r="H9" s="80" t="n">
        <v>1.099220151</v>
      </c>
      <c r="I9" s="80" t="n">
        <v>1.099220151</v>
      </c>
      <c r="J9" s="80" t="n">
        <v>5.75</v>
      </c>
      <c r="K9" s="80" t="n">
        <v>7.75</v>
      </c>
      <c r="N9" s="89"/>
      <c r="O9" s="90"/>
    </row>
    <row r="10" customFormat="false" ht="15.75" hidden="false" customHeight="false" outlineLevel="0" collapsed="false">
      <c r="A10" s="64" t="n">
        <v>36746</v>
      </c>
      <c r="B10" s="83" t="n">
        <v>82.438</v>
      </c>
      <c r="C10" s="83" t="n">
        <v>125.672</v>
      </c>
      <c r="D10" s="80" t="n">
        <v>52.75</v>
      </c>
      <c r="E10" s="80" t="n">
        <v>1.68067226890756</v>
      </c>
      <c r="F10" s="80" t="n">
        <v>0.078</v>
      </c>
      <c r="G10" s="80" t="n">
        <v>5.058480426</v>
      </c>
      <c r="H10" s="80" t="n">
        <v>1.113244336</v>
      </c>
      <c r="I10" s="80" t="n">
        <v>1.113244336</v>
      </c>
      <c r="J10" s="80" t="n">
        <v>5.75</v>
      </c>
      <c r="K10" s="80" t="n">
        <v>7.688</v>
      </c>
      <c r="N10" s="89"/>
      <c r="O10" s="90"/>
    </row>
    <row r="11" customFormat="false" ht="15.75" hidden="false" customHeight="false" outlineLevel="0" collapsed="false">
      <c r="A11" s="64" t="n">
        <v>36747</v>
      </c>
      <c r="B11" s="83" t="n">
        <v>82.297</v>
      </c>
      <c r="C11" s="83" t="n">
        <v>138.375</v>
      </c>
      <c r="D11" s="80" t="n">
        <v>52</v>
      </c>
      <c r="E11" s="80" t="n">
        <v>1.61855948206097</v>
      </c>
      <c r="F11" s="80" t="n">
        <v>0.063</v>
      </c>
      <c r="G11" s="80" t="n">
        <v>4.998384501</v>
      </c>
      <c r="H11" s="80" t="n">
        <v>1.256169847</v>
      </c>
      <c r="I11" s="80" t="n">
        <v>1.256169847</v>
      </c>
      <c r="J11" s="80" t="n">
        <v>6.0625</v>
      </c>
      <c r="K11" s="80" t="n">
        <v>7.75</v>
      </c>
      <c r="N11" s="89"/>
      <c r="O11" s="90"/>
    </row>
    <row r="12" customFormat="false" ht="15.75" hidden="false" customHeight="false" outlineLevel="0" collapsed="false">
      <c r="A12" s="64" t="n">
        <v>36748</v>
      </c>
      <c r="B12" s="83" t="n">
        <v>80.766</v>
      </c>
      <c r="C12" s="83" t="n">
        <v>132.875</v>
      </c>
      <c r="D12" s="80" t="n">
        <v>42.625</v>
      </c>
      <c r="E12" s="80" t="n">
        <v>1.68634064080944</v>
      </c>
      <c r="F12" s="80" t="n">
        <v>0.078</v>
      </c>
      <c r="G12" s="80" t="n">
        <v>5.055350564</v>
      </c>
      <c r="H12" s="80" t="n">
        <v>1.272361051</v>
      </c>
      <c r="I12" s="80" t="n">
        <v>1.272361051</v>
      </c>
      <c r="J12" s="80" t="n">
        <v>5.75</v>
      </c>
      <c r="K12" s="80" t="n">
        <v>7.75</v>
      </c>
      <c r="N12" s="89"/>
      <c r="O12" s="90"/>
    </row>
    <row r="13" customFormat="false" ht="15.75" hidden="false" customHeight="false" outlineLevel="0" collapsed="false">
      <c r="A13" s="64" t="n">
        <v>36749</v>
      </c>
      <c r="B13" s="83" t="n">
        <v>80.25</v>
      </c>
      <c r="C13" s="83" t="n">
        <v>130.5</v>
      </c>
      <c r="D13" s="80" t="n">
        <v>44.813</v>
      </c>
      <c r="E13" s="80" t="n">
        <v>1.62508428860418</v>
      </c>
      <c r="F13" s="80" t="n">
        <v>0.063</v>
      </c>
      <c r="G13" s="80" t="n">
        <v>4.827922625</v>
      </c>
      <c r="H13" s="80" t="n">
        <v>1.315273496</v>
      </c>
      <c r="I13" s="80" t="n">
        <v>1.315273496</v>
      </c>
      <c r="J13" s="80" t="n">
        <v>6</v>
      </c>
      <c r="K13" s="80" t="n">
        <v>7.875</v>
      </c>
      <c r="N13" s="89"/>
      <c r="O13" s="90"/>
    </row>
    <row r="14" customFormat="false" ht="15.75" hidden="false" customHeight="false" outlineLevel="0" collapsed="false">
      <c r="A14" s="64" t="n">
        <v>36752</v>
      </c>
      <c r="B14" s="83" t="n">
        <v>84.25</v>
      </c>
      <c r="C14" s="83" t="n">
        <v>128.25</v>
      </c>
      <c r="D14" s="80" t="n">
        <v>47.75</v>
      </c>
      <c r="E14" s="80" t="n">
        <v>1.58206543691935</v>
      </c>
      <c r="F14" s="80" t="n">
        <v>0.063</v>
      </c>
      <c r="G14" s="80" t="n">
        <v>5.207184395</v>
      </c>
      <c r="H14" s="80" t="n">
        <v>1.487949299</v>
      </c>
      <c r="I14" s="80" t="n">
        <v>1.487949299</v>
      </c>
      <c r="J14" s="80" t="n">
        <v>6</v>
      </c>
      <c r="K14" s="80" t="n">
        <v>8.188</v>
      </c>
      <c r="N14" s="89"/>
      <c r="O14" s="90"/>
    </row>
    <row r="15" customFormat="false" ht="15.75" hidden="false" customHeight="false" outlineLevel="0" collapsed="false">
      <c r="A15" s="64" t="n">
        <v>36753</v>
      </c>
      <c r="B15" s="83" t="n">
        <v>82.125</v>
      </c>
      <c r="C15" s="83" t="n">
        <v>128.469</v>
      </c>
      <c r="D15" s="80" t="n">
        <v>45.75</v>
      </c>
      <c r="E15" s="80" t="n">
        <v>1.61779575328615</v>
      </c>
      <c r="F15" s="80" t="n">
        <v>0.063</v>
      </c>
      <c r="G15" s="80" t="n">
        <v>5.83250348</v>
      </c>
      <c r="H15" s="80" t="n">
        <v>1.745488257</v>
      </c>
      <c r="I15" s="80" t="n">
        <v>1.745488257</v>
      </c>
      <c r="J15" s="80" t="n">
        <v>6.0625</v>
      </c>
      <c r="K15" s="80" t="n">
        <v>7.938</v>
      </c>
      <c r="N15" s="89"/>
      <c r="O15" s="90"/>
    </row>
    <row r="16" customFormat="false" ht="15.75" hidden="false" customHeight="false" outlineLevel="0" collapsed="false">
      <c r="A16" s="64" t="n">
        <v>36754</v>
      </c>
      <c r="B16" s="80" t="n">
        <v>84.016</v>
      </c>
      <c r="C16" s="80" t="n">
        <v>137.75</v>
      </c>
      <c r="D16" s="80" t="n">
        <v>46.813</v>
      </c>
      <c r="E16" s="80" t="n">
        <v>1.63745855605927</v>
      </c>
      <c r="F16" s="80" t="n">
        <v>0.063</v>
      </c>
      <c r="G16" s="80" t="n">
        <v>5.418667411</v>
      </c>
      <c r="H16" s="80" t="n">
        <v>1.7456441</v>
      </c>
      <c r="I16" s="80" t="n">
        <v>1.7456441</v>
      </c>
      <c r="J16" s="80" t="n">
        <v>5.8125</v>
      </c>
      <c r="K16" s="80" t="n">
        <v>7.75</v>
      </c>
      <c r="N16" s="89"/>
      <c r="O16" s="90"/>
    </row>
    <row r="17" customFormat="false" ht="15.75" hidden="false" customHeight="false" outlineLevel="0" collapsed="false">
      <c r="A17" s="64" t="n">
        <v>36755</v>
      </c>
      <c r="B17" s="80" t="n">
        <v>90</v>
      </c>
      <c r="C17" s="80" t="n">
        <v>153.938</v>
      </c>
      <c r="D17" s="80" t="n">
        <v>50.719</v>
      </c>
      <c r="E17" s="80" t="n">
        <v>1.83791115632418</v>
      </c>
      <c r="F17" s="80" t="n">
        <v>0.078</v>
      </c>
      <c r="G17" s="80" t="n">
        <v>5.714406672</v>
      </c>
      <c r="H17" s="80" t="n">
        <v>1.743570252</v>
      </c>
      <c r="I17" s="80" t="n">
        <v>1.743570252</v>
      </c>
      <c r="J17" s="80" t="n">
        <v>5.75</v>
      </c>
      <c r="K17" s="80" t="n">
        <v>7.75</v>
      </c>
      <c r="N17" s="89"/>
      <c r="O17" s="90"/>
    </row>
    <row r="18" customFormat="false" ht="15.75" hidden="false" customHeight="false" outlineLevel="0" collapsed="false">
      <c r="A18" s="64" t="n">
        <v>36756</v>
      </c>
      <c r="B18" s="80" t="n">
        <v>86.938</v>
      </c>
      <c r="C18" s="80" t="n">
        <v>152</v>
      </c>
      <c r="D18" s="80" t="n">
        <v>49.125</v>
      </c>
      <c r="E18" s="80" t="n">
        <v>1.84281842818428</v>
      </c>
      <c r="F18" s="80" t="n">
        <v>0.079</v>
      </c>
      <c r="G18" s="80" t="n">
        <v>5.297874748</v>
      </c>
      <c r="H18" s="80" t="n">
        <v>1.722050953</v>
      </c>
      <c r="I18" s="80" t="n">
        <v>1.722050953</v>
      </c>
      <c r="J18" s="80" t="n">
        <v>5.75</v>
      </c>
      <c r="K18" s="80" t="n">
        <v>7.75</v>
      </c>
      <c r="N18" s="89"/>
      <c r="O18" s="90"/>
    </row>
    <row r="19" customFormat="false" ht="15.75" hidden="false" customHeight="false" outlineLevel="0" collapsed="false">
      <c r="A19" s="64" t="n">
        <v>36759</v>
      </c>
      <c r="B19" s="80" t="n">
        <v>87.875</v>
      </c>
      <c r="C19" s="80" t="n">
        <v>142</v>
      </c>
      <c r="D19" s="80" t="n">
        <v>48.25</v>
      </c>
      <c r="E19" s="80" t="n">
        <v>1.81016949152542</v>
      </c>
      <c r="F19" s="80" t="n">
        <v>0.079</v>
      </c>
      <c r="G19" s="80" t="n">
        <v>6.096966301</v>
      </c>
      <c r="H19" s="80" t="n">
        <v>1.872408948</v>
      </c>
      <c r="I19" s="80" t="n">
        <v>1.872408948</v>
      </c>
      <c r="J19" s="80" t="n">
        <v>5.5625</v>
      </c>
      <c r="K19" s="80" t="n">
        <v>8.1875</v>
      </c>
      <c r="N19" s="89"/>
      <c r="O19" s="90"/>
    </row>
    <row r="20" customFormat="false" ht="15.75" hidden="false" customHeight="false" outlineLevel="0" collapsed="false">
      <c r="A20" s="64" t="n">
        <v>36760</v>
      </c>
      <c r="B20" s="80" t="n">
        <v>87.5</v>
      </c>
      <c r="C20" s="80" t="n">
        <v>131.25</v>
      </c>
      <c r="D20" s="80" t="n">
        <v>45.125</v>
      </c>
      <c r="E20" s="80" t="n">
        <v>1.82864883169658</v>
      </c>
      <c r="F20" s="80" t="n">
        <v>0.063</v>
      </c>
      <c r="G20" s="80" t="n">
        <v>7.935352409</v>
      </c>
      <c r="H20" s="80" t="n">
        <v>1.778100884</v>
      </c>
      <c r="I20" s="80" t="n">
        <v>1.778100884</v>
      </c>
      <c r="J20" s="80" t="n">
        <v>5.5625</v>
      </c>
      <c r="K20" s="80" t="n">
        <v>8.375</v>
      </c>
    </row>
    <row r="21" customFormat="false" ht="15.75" hidden="false" customHeight="false" outlineLevel="0" collapsed="false">
      <c r="A21" s="64" t="n">
        <v>36761</v>
      </c>
      <c r="B21" s="80" t="n">
        <v>90</v>
      </c>
      <c r="C21" s="80" t="n">
        <v>137.875</v>
      </c>
      <c r="D21" s="80" t="n">
        <v>49.609</v>
      </c>
      <c r="E21" s="80" t="n">
        <v>1.85247558100371</v>
      </c>
      <c r="F21" s="80" t="n">
        <v>0.063</v>
      </c>
      <c r="G21" s="80" t="n">
        <v>7.564614422</v>
      </c>
      <c r="H21" s="80" t="n">
        <v>1.884052797</v>
      </c>
      <c r="I21" s="80" t="n">
        <v>1.884052797</v>
      </c>
      <c r="J21" s="80" t="n">
        <v>5.969</v>
      </c>
      <c r="K21" s="80" t="n">
        <v>8.313</v>
      </c>
    </row>
    <row r="22" customFormat="false" ht="15.75" hidden="false" customHeight="false" outlineLevel="0" collapsed="false">
      <c r="A22" s="64" t="n">
        <v>36762</v>
      </c>
      <c r="B22" s="80" t="n">
        <v>86</v>
      </c>
      <c r="C22" s="80" t="n">
        <v>131</v>
      </c>
      <c r="D22" s="80" t="n">
        <v>49.625</v>
      </c>
      <c r="E22" s="80" t="n">
        <v>1.78883658372562</v>
      </c>
      <c r="F22" s="80" t="n">
        <v>0.07</v>
      </c>
      <c r="G22" s="80" t="n">
        <v>7.31670345315086</v>
      </c>
      <c r="H22" s="80" t="n">
        <v>1.96922929687188</v>
      </c>
      <c r="I22" s="80" t="n">
        <v>1.96922929687188</v>
      </c>
      <c r="J22" s="80" t="n">
        <v>5.96875</v>
      </c>
      <c r="K22" s="80" t="n">
        <v>8.3125</v>
      </c>
    </row>
    <row r="23" customFormat="false" ht="15.75" hidden="false" customHeight="false" outlineLevel="0" collapsed="false">
      <c r="A23" s="64" t="n">
        <v>36763</v>
      </c>
      <c r="B23" s="80" t="n">
        <v>84.875</v>
      </c>
      <c r="C23" s="80" t="n">
        <v>133</v>
      </c>
      <c r="D23" s="80" t="n">
        <v>47.75</v>
      </c>
      <c r="E23" s="80" t="n">
        <v>1.78451178451178</v>
      </c>
      <c r="F23" s="80" t="n">
        <v>0.08</v>
      </c>
      <c r="G23" s="80" t="n">
        <v>7.19532579615669</v>
      </c>
      <c r="H23" s="80" t="n">
        <v>2.11069603883862</v>
      </c>
      <c r="I23" s="80" t="n">
        <v>2.11069603883862</v>
      </c>
      <c r="J23" s="80" t="n">
        <v>5.875</v>
      </c>
      <c r="K23" s="80" t="n">
        <v>8.25</v>
      </c>
    </row>
    <row r="24" customFormat="false" ht="15.75" hidden="false" customHeight="false" outlineLevel="0" collapsed="false">
      <c r="A24" s="64" t="n">
        <v>36766</v>
      </c>
      <c r="B24" s="80" t="n">
        <v>86.625</v>
      </c>
      <c r="C24" s="80" t="n">
        <v>133</v>
      </c>
      <c r="D24" s="80" t="n">
        <v>52.75</v>
      </c>
      <c r="E24" s="80" t="n">
        <v>1.69365721997301</v>
      </c>
      <c r="F24" s="80" t="n">
        <v>0.07</v>
      </c>
      <c r="G24" s="80" t="n">
        <v>8.04734238856761</v>
      </c>
      <c r="H24" s="80" t="n">
        <v>2.48589208912185</v>
      </c>
      <c r="I24" s="80" t="n">
        <v>2.48589208912185</v>
      </c>
      <c r="J24" s="80" t="n">
        <v>6.25</v>
      </c>
      <c r="K24" s="80" t="n">
        <v>8.5</v>
      </c>
    </row>
    <row r="25" customFormat="false" ht="15.75" hidden="false" customHeight="false" outlineLevel="0" collapsed="false">
      <c r="A25" s="64" t="n">
        <v>36767</v>
      </c>
      <c r="B25" s="80" t="n">
        <v>86.25</v>
      </c>
      <c r="C25" s="80" t="n">
        <v>131</v>
      </c>
      <c r="D25" s="80" t="n">
        <v>61.875</v>
      </c>
      <c r="E25" s="80" t="n">
        <v>1.77032848680668</v>
      </c>
      <c r="F25" s="80" t="n">
        <v>0.07</v>
      </c>
      <c r="G25" s="80" t="n">
        <v>8.47743438900871</v>
      </c>
      <c r="H25" s="80" t="n">
        <v>2.33343064416889</v>
      </c>
      <c r="I25" s="80" t="n">
        <v>2.33343064416889</v>
      </c>
      <c r="J25" s="80" t="n">
        <v>6.25</v>
      </c>
      <c r="K25" s="80" t="n">
        <v>8.5</v>
      </c>
    </row>
    <row r="26" customFormat="false" ht="15.75" hidden="false" customHeight="false" outlineLevel="0" collapsed="false">
      <c r="A26" s="64" t="n">
        <v>36768</v>
      </c>
      <c r="B26" s="80" t="n">
        <v>84.875</v>
      </c>
      <c r="C26" s="80" t="n">
        <v>134.5</v>
      </c>
      <c r="D26" s="80" t="n">
        <v>59.4375</v>
      </c>
      <c r="E26" s="80" t="n">
        <v>1.69939065673663</v>
      </c>
      <c r="F26" s="80" t="n">
        <v>0.085</v>
      </c>
      <c r="G26" s="80" t="n">
        <v>7.98871774042421</v>
      </c>
      <c r="H26" s="80" t="n">
        <v>2.51143561330825</v>
      </c>
      <c r="I26" s="80" t="n">
        <v>2.51143561330825</v>
      </c>
      <c r="J26" s="80" t="n">
        <v>6.125</v>
      </c>
      <c r="K26" s="80" t="n">
        <v>8.375</v>
      </c>
    </row>
    <row r="27" customFormat="false" ht="15.75" hidden="false" customHeight="false" outlineLevel="0" collapsed="false">
      <c r="A27" s="64" t="n">
        <v>36769</v>
      </c>
      <c r="B27" s="80" t="n">
        <v>84.875</v>
      </c>
      <c r="C27" s="80" t="n">
        <v>149.8125</v>
      </c>
      <c r="D27" s="80" t="n">
        <v>70.25</v>
      </c>
      <c r="E27" s="80" t="n">
        <v>1.66496772001359</v>
      </c>
      <c r="F27" s="80" t="n">
        <v>0.08</v>
      </c>
      <c r="G27" s="80" t="n">
        <v>7.79543959102719</v>
      </c>
      <c r="H27" s="80" t="n">
        <v>2.68330399528542</v>
      </c>
      <c r="I27" s="80" t="n">
        <v>2.68330399528542</v>
      </c>
      <c r="J27" s="80" t="n">
        <v>5.9375</v>
      </c>
      <c r="K27" s="80" t="n">
        <v>8.3125</v>
      </c>
    </row>
    <row r="28" customFormat="false" ht="15.75" hidden="false" customHeight="false" outlineLevel="0" collapsed="false">
      <c r="A28" s="64" t="n">
        <v>36770</v>
      </c>
      <c r="B28" s="80" t="n">
        <v>85.328</v>
      </c>
      <c r="C28" s="80" t="n">
        <v>144</v>
      </c>
      <c r="D28" s="80" t="n">
        <v>64.9375</v>
      </c>
      <c r="E28" s="80" t="n">
        <v>1.73151354654716</v>
      </c>
      <c r="F28" s="80" t="n">
        <v>0.075</v>
      </c>
      <c r="G28" s="80" t="n">
        <v>7.78644103169332</v>
      </c>
      <c r="H28" s="80" t="n">
        <v>2.66912275399257</v>
      </c>
      <c r="I28" s="80" t="n">
        <v>2.66912275399257</v>
      </c>
      <c r="J28" s="80" t="n">
        <v>5.875</v>
      </c>
      <c r="K28" s="80" t="n">
        <v>8.5625</v>
      </c>
    </row>
    <row r="29" customFormat="false" ht="15.75" hidden="false" customHeight="false" outlineLevel="0" collapsed="false">
      <c r="A29" s="64" t="n">
        <v>36774</v>
      </c>
      <c r="B29" s="80" t="n">
        <v>85</v>
      </c>
      <c r="C29" s="80" t="n">
        <v>133</v>
      </c>
      <c r="D29" s="80" t="n">
        <v>66</v>
      </c>
      <c r="E29" s="80" t="n">
        <v>1.74061433447099</v>
      </c>
      <c r="F29" s="80" t="n">
        <v>0.07</v>
      </c>
      <c r="G29" s="80" t="n">
        <v>7.05692633346725</v>
      </c>
      <c r="H29" s="80" t="n">
        <v>2.02487566873098</v>
      </c>
      <c r="I29" s="80" t="n">
        <v>2.02487566873098</v>
      </c>
      <c r="J29" s="80" t="n">
        <v>5.875</v>
      </c>
      <c r="K29" s="80" t="n">
        <v>8.5625</v>
      </c>
    </row>
    <row r="30" customFormat="false" ht="15.75" hidden="false" customHeight="false" outlineLevel="0" collapsed="false">
      <c r="A30" s="64" t="n">
        <v>36775</v>
      </c>
      <c r="B30" s="80" t="n">
        <v>84.375</v>
      </c>
      <c r="C30" s="80" t="n">
        <v>130.375</v>
      </c>
      <c r="D30" s="80" t="n">
        <v>67</v>
      </c>
      <c r="E30" s="80" t="n">
        <v>1.82210824672695</v>
      </c>
      <c r="F30" s="80" t="n">
        <v>0.069</v>
      </c>
      <c r="G30" s="80" t="n">
        <v>7.36099375650126</v>
      </c>
      <c r="H30" s="80" t="n">
        <v>2.2939211643714</v>
      </c>
      <c r="I30" s="80" t="n">
        <v>2.2939211643714</v>
      </c>
      <c r="J30" s="80" t="n">
        <v>6.125</v>
      </c>
      <c r="K30" s="80" t="n">
        <v>8.375</v>
      </c>
    </row>
    <row r="31" customFormat="false" ht="15.75" hidden="false" customHeight="false" outlineLevel="0" collapsed="false">
      <c r="A31" s="64" t="n">
        <v>36776</v>
      </c>
      <c r="B31" s="80" t="n">
        <v>83.875</v>
      </c>
      <c r="C31" s="80" t="n">
        <v>136</v>
      </c>
      <c r="D31" s="80" t="n">
        <v>68</v>
      </c>
      <c r="E31" s="80" t="n">
        <v>1.62381596752368</v>
      </c>
      <c r="F31" s="80" t="n">
        <v>0.069</v>
      </c>
      <c r="G31" s="80" t="n">
        <v>8.76401821287865</v>
      </c>
      <c r="H31" s="80" t="n">
        <v>2.44826736322499</v>
      </c>
      <c r="I31" s="80" t="n">
        <v>2.44826736322499</v>
      </c>
      <c r="J31" s="80" t="n">
        <v>6</v>
      </c>
      <c r="K31" s="80" t="n">
        <v>8.3125</v>
      </c>
    </row>
    <row r="32" customFormat="false" ht="15.75" hidden="false" customHeight="false" outlineLevel="0" collapsed="false">
      <c r="A32" s="64" t="n">
        <v>36777</v>
      </c>
      <c r="B32" s="80" t="n">
        <v>84.219</v>
      </c>
      <c r="C32" s="80" t="n">
        <v>127.390625</v>
      </c>
      <c r="D32" s="80" t="n">
        <v>63.125</v>
      </c>
      <c r="E32" s="80" t="n">
        <v>1.68607800650054</v>
      </c>
      <c r="F32" s="80" t="n">
        <v>0.064</v>
      </c>
      <c r="G32" s="80" t="n">
        <v>8.14995112127725</v>
      </c>
      <c r="H32" s="80" t="n">
        <v>2.28817732274471</v>
      </c>
      <c r="I32" s="80" t="n">
        <v>2.28817732274471</v>
      </c>
      <c r="J32" s="80" t="n">
        <v>6</v>
      </c>
      <c r="K32" s="80" t="n">
        <v>8.1875</v>
      </c>
    </row>
    <row r="33" customFormat="false" ht="15.75" hidden="false" customHeight="false" outlineLevel="0" collapsed="false">
      <c r="A33" s="64" t="n">
        <v>36780</v>
      </c>
      <c r="B33" s="80" t="n">
        <v>86.016</v>
      </c>
      <c r="C33" s="80" t="n">
        <v>116.0625</v>
      </c>
      <c r="D33" s="80" t="n">
        <v>57.375</v>
      </c>
      <c r="E33" s="80" t="n">
        <v>1.68861870989531</v>
      </c>
      <c r="F33" s="80" t="n">
        <v>0.06</v>
      </c>
      <c r="G33" s="80" t="n">
        <v>9.00733150813746</v>
      </c>
      <c r="H33" s="80" t="n">
        <v>2.04104842839145</v>
      </c>
      <c r="I33" s="80" t="n">
        <v>2.04710696049208</v>
      </c>
      <c r="J33" s="80" t="n">
        <v>6.125</v>
      </c>
      <c r="K33" s="80" t="n">
        <v>8.375</v>
      </c>
    </row>
    <row r="34" customFormat="false" ht="15.75" hidden="false" customHeight="false" outlineLevel="0" collapsed="false">
      <c r="A34" s="64" t="n">
        <v>36781</v>
      </c>
      <c r="B34" s="80" t="n">
        <v>86.125</v>
      </c>
      <c r="C34" s="80" t="n">
        <v>102</v>
      </c>
      <c r="D34" s="80" t="n">
        <v>65.734375</v>
      </c>
      <c r="E34" s="80" t="n">
        <v>1.68804861580013</v>
      </c>
      <c r="F34" s="80" t="n">
        <v>0.055</v>
      </c>
      <c r="G34" s="80" t="n">
        <v>8.09036202569263</v>
      </c>
      <c r="H34" s="80" t="n">
        <v>2.18384643595271</v>
      </c>
      <c r="I34" s="80" t="n">
        <v>2.19019654904089</v>
      </c>
      <c r="J34" s="80" t="n">
        <v>6</v>
      </c>
      <c r="K34" s="80" t="n">
        <v>8.375</v>
      </c>
    </row>
    <row r="35" customFormat="false" ht="15.75" hidden="false" customHeight="false" outlineLevel="0" collapsed="false">
      <c r="A35" s="64" t="n">
        <v>36782</v>
      </c>
      <c r="B35" s="80" t="n">
        <v>86.688</v>
      </c>
      <c r="C35" s="80" t="n">
        <v>101.625</v>
      </c>
      <c r="D35" s="80" t="n">
        <v>72.75</v>
      </c>
      <c r="E35" s="80" t="n">
        <v>1.56492411467116</v>
      </c>
      <c r="F35" s="80" t="n">
        <v>0.06</v>
      </c>
      <c r="G35" s="80" t="n">
        <v>8.20608573306799</v>
      </c>
      <c r="H35" s="80" t="n">
        <v>2.42741630263048</v>
      </c>
      <c r="I35" s="80" t="n">
        <v>2.43424202997399</v>
      </c>
      <c r="J35" s="80" t="n">
        <v>6</v>
      </c>
      <c r="K35" s="80" t="n">
        <v>8.25</v>
      </c>
    </row>
    <row r="36" customFormat="false" ht="15.75" hidden="false" customHeight="false" outlineLevel="0" collapsed="false">
      <c r="A36" s="64" t="n">
        <v>36783</v>
      </c>
      <c r="B36" s="80" t="n">
        <v>86.703</v>
      </c>
      <c r="C36" s="80" t="n">
        <v>100.125</v>
      </c>
      <c r="D36" s="80" t="n">
        <v>68.5</v>
      </c>
      <c r="E36" s="80" t="n">
        <v>1.64783427495292</v>
      </c>
      <c r="F36" s="80" t="n">
        <v>0.06</v>
      </c>
      <c r="G36" s="80" t="n">
        <v>8.26821138653683</v>
      </c>
      <c r="H36" s="80" t="n">
        <v>2.17443830383699</v>
      </c>
      <c r="I36" s="80" t="n">
        <v>2.18077267787115</v>
      </c>
      <c r="J36" s="80" t="n">
        <v>5.875</v>
      </c>
      <c r="K36" s="80" t="n">
        <v>8.375</v>
      </c>
    </row>
    <row r="37" customFormat="false" ht="15.75" hidden="false" customHeight="false" outlineLevel="0" collapsed="false">
      <c r="A37" s="64" t="n">
        <v>36784</v>
      </c>
      <c r="B37" s="80" t="n">
        <v>89.438</v>
      </c>
      <c r="C37" s="80" t="n">
        <v>95.5</v>
      </c>
      <c r="D37" s="80" t="n">
        <v>73.5625</v>
      </c>
      <c r="E37" s="80" t="n">
        <v>1.65205664194201</v>
      </c>
      <c r="F37" s="80" t="n">
        <v>0.062</v>
      </c>
      <c r="G37" s="80" t="n">
        <v>9.05992498935469</v>
      </c>
      <c r="H37" s="80" t="n">
        <v>2.12076709551677</v>
      </c>
      <c r="I37" s="80" t="n">
        <v>2.12699461689176</v>
      </c>
      <c r="J37" s="80" t="n">
        <v>6</v>
      </c>
      <c r="K37" s="80" t="n">
        <v>8.625</v>
      </c>
    </row>
    <row r="38" customFormat="false" ht="15.75" hidden="false" customHeight="false" outlineLevel="0" collapsed="false">
      <c r="A38" s="64" t="n">
        <v>36787</v>
      </c>
      <c r="B38" s="80" t="n">
        <v>89.625</v>
      </c>
      <c r="C38" s="80" t="n">
        <v>88.375</v>
      </c>
      <c r="D38" s="80" t="n">
        <v>70.0625</v>
      </c>
      <c r="E38" s="80" t="n">
        <v>1.64650537634409</v>
      </c>
      <c r="F38" s="80" t="n">
        <v>0.06</v>
      </c>
      <c r="G38" s="80" t="n">
        <v>9.91778603070276</v>
      </c>
      <c r="H38" s="80" t="n">
        <v>2.01580783907124</v>
      </c>
      <c r="I38" s="80" t="n">
        <v>2.02182065046327</v>
      </c>
      <c r="J38" s="80" t="n">
        <v>6.03125</v>
      </c>
      <c r="K38" s="80" t="n">
        <v>8.25</v>
      </c>
    </row>
    <row r="39" customFormat="false" ht="15.75" hidden="false" customHeight="false" outlineLevel="0" collapsed="false">
      <c r="A39" s="64" t="n">
        <v>36788</v>
      </c>
      <c r="B39" s="80" t="n">
        <v>84.875</v>
      </c>
      <c r="C39" s="80" t="n">
        <v>104.1875</v>
      </c>
      <c r="D39" s="80" t="n">
        <v>68.875</v>
      </c>
      <c r="E39" s="80" t="n">
        <v>1.61943319838057</v>
      </c>
      <c r="F39" s="80" t="n">
        <v>0.06</v>
      </c>
      <c r="G39" s="80" t="n">
        <v>9.36913216381038</v>
      </c>
      <c r="H39" s="80" t="n">
        <v>2.01844351161863</v>
      </c>
      <c r="I39" s="80" t="n">
        <v>2.02445978440251</v>
      </c>
      <c r="J39" s="80" t="n">
        <v>6</v>
      </c>
      <c r="K39" s="80" t="n">
        <v>8.5</v>
      </c>
    </row>
    <row r="40" customFormat="false" ht="15.75" hidden="false" customHeight="false" outlineLevel="0" collapsed="false">
      <c r="A40" s="64" t="n">
        <v>36789</v>
      </c>
      <c r="B40" s="80" t="n">
        <v>82.172</v>
      </c>
      <c r="C40" s="80" t="n">
        <v>112.0625</v>
      </c>
      <c r="D40" s="80" t="n">
        <v>67.3125</v>
      </c>
      <c r="E40" s="80" t="n">
        <v>1.55070118662352</v>
      </c>
      <c r="F40" s="80" t="n">
        <v>0.065</v>
      </c>
      <c r="G40" s="80" t="n">
        <v>9.00661434501966</v>
      </c>
      <c r="H40" s="80" t="n">
        <v>2.06992384791027</v>
      </c>
      <c r="I40" s="80" t="n">
        <v>2.07604441951154</v>
      </c>
      <c r="J40" s="80" t="n">
        <v>6</v>
      </c>
      <c r="K40" s="80" t="n">
        <v>8.625</v>
      </c>
    </row>
    <row r="41" customFormat="false" ht="15.75" hidden="false" customHeight="false" outlineLevel="0" collapsed="false">
      <c r="A41" s="64" t="n">
        <v>36790</v>
      </c>
      <c r="B41" s="80" t="n">
        <v>80.75</v>
      </c>
      <c r="C41" s="80" t="n">
        <v>110.625</v>
      </c>
      <c r="D41" s="80" t="n">
        <v>70</v>
      </c>
      <c r="E41" s="80" t="n">
        <v>1.5130119023603</v>
      </c>
      <c r="F41" s="80" t="n">
        <v>0.055</v>
      </c>
      <c r="G41" s="80" t="n">
        <v>8.14952848777012</v>
      </c>
      <c r="H41" s="80" t="n">
        <v>2.0194621249881</v>
      </c>
      <c r="I41" s="80" t="n">
        <v>2.02547848167394</v>
      </c>
      <c r="J41" s="80" t="n">
        <v>6.875</v>
      </c>
      <c r="K41" s="80" t="n">
        <v>8.5</v>
      </c>
    </row>
    <row r="42" customFormat="false" ht="15.75" hidden="false" customHeight="false" outlineLevel="0" collapsed="false">
      <c r="A42" s="64" t="n">
        <v>36791</v>
      </c>
      <c r="B42" s="80" t="n">
        <v>83</v>
      </c>
      <c r="C42" s="80" t="n">
        <v>115.5</v>
      </c>
      <c r="D42" s="80" t="n">
        <v>68.625</v>
      </c>
      <c r="E42" s="80" t="n">
        <v>1.51118275236752</v>
      </c>
      <c r="F42" s="80" t="n">
        <v>0.06</v>
      </c>
      <c r="G42" s="80" t="n">
        <v>6.99243665013428</v>
      </c>
      <c r="H42" s="80" t="n">
        <v>2.15752127811018</v>
      </c>
      <c r="I42" s="80" t="n">
        <v>2.16382344275712</v>
      </c>
      <c r="J42" s="80" t="n">
        <v>6.625</v>
      </c>
      <c r="K42" s="80" t="n">
        <v>8.75</v>
      </c>
    </row>
    <row r="43" customFormat="false" ht="15.75" hidden="false" customHeight="false" outlineLevel="0" collapsed="false">
      <c r="A43" s="64" t="n">
        <v>36794</v>
      </c>
      <c r="B43" s="80" t="n">
        <v>84.438</v>
      </c>
      <c r="C43" s="80" t="n">
        <v>115.984375</v>
      </c>
      <c r="D43" s="80" t="n">
        <v>66</v>
      </c>
      <c r="E43" s="80" t="n">
        <v>1.34535180949818</v>
      </c>
      <c r="F43" s="80" t="n">
        <v>0.055</v>
      </c>
      <c r="G43" s="80" t="n">
        <v>6.44867079036328</v>
      </c>
      <c r="H43" s="80" t="n">
        <v>1.69150871065227</v>
      </c>
      <c r="I43" s="80" t="n">
        <v>1.69680866754153</v>
      </c>
      <c r="J43" s="80" t="n">
        <v>6.375</v>
      </c>
      <c r="K43" s="80" t="n">
        <v>8.75</v>
      </c>
    </row>
    <row r="44" customFormat="false" ht="15.75" hidden="false" customHeight="false" outlineLevel="0" collapsed="false">
      <c r="A44" s="64" t="n">
        <v>36795</v>
      </c>
      <c r="B44" s="80" t="n">
        <v>85.5</v>
      </c>
      <c r="C44" s="80" t="n">
        <v>104.8125</v>
      </c>
      <c r="D44" s="80" t="n">
        <v>64.375</v>
      </c>
      <c r="E44" s="80" t="n">
        <v>1.34508036855202</v>
      </c>
      <c r="F44" s="80" t="n">
        <v>0.05</v>
      </c>
      <c r="G44" s="80" t="n">
        <v>6.80397610221069</v>
      </c>
      <c r="H44" s="80" t="n">
        <v>1.55825514547757</v>
      </c>
      <c r="I44" s="80" t="n">
        <v>1.55825514547757</v>
      </c>
      <c r="J44" s="80" t="n">
        <v>6.25</v>
      </c>
      <c r="K44" s="80" t="n">
        <v>8.75</v>
      </c>
    </row>
    <row r="45" customFormat="false" ht="15.75" hidden="false" customHeight="false" outlineLevel="0" collapsed="false">
      <c r="A45" s="64" t="n">
        <v>36796</v>
      </c>
      <c r="B45" s="80" t="n">
        <v>87.453</v>
      </c>
      <c r="C45" s="80" t="n">
        <v>101.5625</v>
      </c>
      <c r="D45" s="80" t="n">
        <v>65.125</v>
      </c>
      <c r="E45" s="80" t="n">
        <v>1.53794717485791</v>
      </c>
      <c r="F45" s="80" t="n">
        <v>0.05</v>
      </c>
      <c r="G45" s="80" t="n">
        <v>6.68261667107225</v>
      </c>
      <c r="H45" s="80" t="n">
        <v>1.68260675957748</v>
      </c>
      <c r="I45" s="80" t="n">
        <v>1.68260675957748</v>
      </c>
      <c r="J45" s="80" t="n">
        <v>6.375</v>
      </c>
      <c r="K45" s="80" t="n">
        <v>8.8125</v>
      </c>
    </row>
    <row r="46" customFormat="false" ht="15.75" hidden="false" customHeight="false" outlineLevel="0" collapsed="false">
      <c r="A46" s="64" t="n">
        <v>36797</v>
      </c>
      <c r="B46" s="80" t="n">
        <v>89.25</v>
      </c>
      <c r="C46" s="80" t="n">
        <v>102.875</v>
      </c>
      <c r="D46" s="80" t="n">
        <v>60</v>
      </c>
      <c r="E46" s="80" t="n">
        <v>1.49950016661113</v>
      </c>
      <c r="F46" s="80" t="n">
        <v>0.045</v>
      </c>
      <c r="G46" s="80" t="n">
        <v>6.77399787639798</v>
      </c>
      <c r="H46" s="80" t="n">
        <v>1.70446183414704</v>
      </c>
      <c r="I46" s="80" t="n">
        <v>1.70446183414704</v>
      </c>
      <c r="J46" s="80" t="n">
        <v>6.4375</v>
      </c>
      <c r="K46" s="80" t="n">
        <v>8.8125</v>
      </c>
    </row>
    <row r="47" customFormat="false" ht="15.75" hidden="false" customHeight="false" outlineLevel="0" collapsed="false">
      <c r="A47" s="64" t="n">
        <v>36798</v>
      </c>
      <c r="B47" s="80" t="n">
        <v>87.641</v>
      </c>
      <c r="C47" s="80" t="n">
        <v>95.125</v>
      </c>
      <c r="D47" s="80" t="n">
        <v>62</v>
      </c>
      <c r="E47" s="80" t="n">
        <v>1.51392813887767</v>
      </c>
      <c r="F47" s="80" t="n">
        <v>0.055</v>
      </c>
      <c r="G47" s="80" t="n">
        <v>10.9559576843785</v>
      </c>
      <c r="H47" s="80" t="n">
        <v>1.80744497033479</v>
      </c>
      <c r="I47" s="80" t="n">
        <v>1.80744497033479</v>
      </c>
      <c r="J47" s="80" t="n">
        <v>6.4375</v>
      </c>
      <c r="K47" s="80" t="n">
        <v>9.75</v>
      </c>
    </row>
    <row r="48" customFormat="false" ht="15.75" hidden="false" customHeight="false" outlineLevel="0" collapsed="false">
      <c r="A48" s="64" t="n">
        <v>36801</v>
      </c>
      <c r="B48" s="80" t="n">
        <v>86.438</v>
      </c>
      <c r="C48" s="80" t="n">
        <v>80.375</v>
      </c>
      <c r="D48" s="80" t="n">
        <v>60.875</v>
      </c>
      <c r="E48" s="80" t="n">
        <v>1.49649053105549</v>
      </c>
      <c r="F48" s="80" t="n">
        <v>0.045</v>
      </c>
      <c r="G48" s="80" t="n">
        <v>9.22115137587907</v>
      </c>
      <c r="H48" s="80" t="n">
        <v>1.76494222925574</v>
      </c>
      <c r="I48" s="80" t="n">
        <v>1.76494222925574</v>
      </c>
      <c r="J48" s="80" t="n">
        <v>6.5</v>
      </c>
      <c r="K48" s="80" t="n">
        <v>9.25</v>
      </c>
    </row>
    <row r="49" customFormat="false" ht="15.75" hidden="false" customHeight="false" outlineLevel="0" collapsed="false">
      <c r="A49" s="64" t="n">
        <v>36802</v>
      </c>
      <c r="B49" s="80" t="n">
        <v>85.563</v>
      </c>
      <c r="C49" s="80" t="n">
        <v>84.0625</v>
      </c>
      <c r="D49" s="80" t="n">
        <v>55.5</v>
      </c>
      <c r="E49" s="80" t="n">
        <v>1.42904619474909</v>
      </c>
      <c r="F49" s="80" t="n">
        <v>0.045</v>
      </c>
      <c r="G49" s="80" t="n">
        <v>8.98496440269683</v>
      </c>
      <c r="H49" s="80" t="n">
        <v>1.82277419863068</v>
      </c>
      <c r="I49" s="80" t="n">
        <v>1.82277419863068</v>
      </c>
      <c r="J49" s="80" t="n">
        <v>7</v>
      </c>
      <c r="K49" s="80" t="n">
        <v>9.125</v>
      </c>
    </row>
    <row r="50" customFormat="false" ht="15.75" hidden="false" customHeight="false" outlineLevel="0" collapsed="false">
      <c r="A50" s="64" t="n">
        <v>36803</v>
      </c>
      <c r="B50" s="80" t="n">
        <v>83.063</v>
      </c>
      <c r="C50" s="80" t="n">
        <v>80.515625</v>
      </c>
      <c r="D50" s="80" t="n">
        <v>52.125</v>
      </c>
      <c r="E50" s="80" t="n">
        <v>1.40487021675141</v>
      </c>
      <c r="F50" s="80" t="n">
        <v>0.049</v>
      </c>
      <c r="G50" s="80" t="n">
        <v>8.49821736347245</v>
      </c>
      <c r="H50" s="80" t="n">
        <v>1.80098242032159</v>
      </c>
      <c r="I50" s="80" t="n">
        <v>1.80098242032159</v>
      </c>
      <c r="J50" s="80" t="n">
        <v>6.3125</v>
      </c>
      <c r="K50" s="80" t="n">
        <v>9.5</v>
      </c>
    </row>
    <row r="51" customFormat="false" ht="15.75" hidden="false" customHeight="false" outlineLevel="0" collapsed="false">
      <c r="A51" s="64" t="n">
        <v>36804</v>
      </c>
      <c r="B51" s="80" t="n">
        <v>83</v>
      </c>
      <c r="C51" s="80" t="n">
        <v>81.5</v>
      </c>
      <c r="D51" s="80" t="n">
        <v>45.0625</v>
      </c>
      <c r="E51" s="80" t="n">
        <v>1.97126628800535</v>
      </c>
      <c r="F51" s="80" t="n">
        <v>0.04</v>
      </c>
      <c r="G51" s="80" t="n">
        <v>8.00964743794523</v>
      </c>
      <c r="H51" s="80" t="n">
        <v>1.58285666776238</v>
      </c>
      <c r="I51" s="80" t="n">
        <v>1.58285666776238</v>
      </c>
      <c r="J51" s="80" t="n">
        <v>6.125</v>
      </c>
      <c r="K51" s="80" t="n">
        <v>9.375</v>
      </c>
    </row>
    <row r="52" customFormat="false" ht="15.75" hidden="false" customHeight="false" outlineLevel="0" collapsed="false">
      <c r="A52" s="64" t="n">
        <v>36805</v>
      </c>
      <c r="B52" s="80" t="n">
        <v>81.625</v>
      </c>
      <c r="C52" s="80" t="n">
        <v>77.6875</v>
      </c>
      <c r="D52" s="80" t="n">
        <v>40.875</v>
      </c>
      <c r="E52" s="80" t="n">
        <v>1.97267577474175</v>
      </c>
      <c r="F52" s="80" t="n">
        <v>0.04</v>
      </c>
      <c r="G52" s="80" t="n">
        <v>7.5118515285041</v>
      </c>
      <c r="H52" s="80" t="n">
        <v>1.56591200522142</v>
      </c>
      <c r="I52" s="80" t="n">
        <v>1.56591200522142</v>
      </c>
      <c r="J52" s="80" t="n">
        <v>5.875</v>
      </c>
      <c r="K52" s="80" t="n">
        <v>8.875</v>
      </c>
    </row>
    <row r="53" customFormat="false" ht="15.75" hidden="false" customHeight="false" outlineLevel="0" collapsed="false">
      <c r="A53" s="64" t="n">
        <v>36808</v>
      </c>
      <c r="B53" s="80" t="n">
        <v>83</v>
      </c>
      <c r="C53" s="80" t="n">
        <v>77</v>
      </c>
      <c r="D53" s="80" t="n">
        <v>38</v>
      </c>
      <c r="E53" s="80" t="n">
        <v>1.97267577474175</v>
      </c>
      <c r="F53" s="80" t="n">
        <v>0.045</v>
      </c>
      <c r="G53" s="80" t="n">
        <v>8.11795505698355</v>
      </c>
      <c r="H53" s="80" t="n">
        <v>1.43836548324531</v>
      </c>
      <c r="I53" s="80" t="n">
        <v>1.43836548324531</v>
      </c>
      <c r="J53" s="80" t="n">
        <v>6.25</v>
      </c>
      <c r="K53" s="80" t="n">
        <v>8.9375</v>
      </c>
    </row>
    <row r="54" customFormat="false" ht="15.75" hidden="false" customHeight="false" outlineLevel="0" collapsed="false">
      <c r="A54" s="64" t="n">
        <v>36809</v>
      </c>
      <c r="B54" s="80" t="n">
        <v>81.688</v>
      </c>
      <c r="C54" s="80" t="n">
        <v>69</v>
      </c>
      <c r="D54" s="80" t="n">
        <v>31.75</v>
      </c>
      <c r="E54" s="80" t="n">
        <v>1.98679911994133</v>
      </c>
      <c r="F54" s="80" t="n">
        <v>0.046875</v>
      </c>
      <c r="G54" s="80" t="n">
        <v>8.11501490253338</v>
      </c>
      <c r="H54" s="80" t="n">
        <v>1.73424907249247</v>
      </c>
      <c r="I54" s="80" t="n">
        <v>1.73424907249247</v>
      </c>
      <c r="J54" s="80" t="n">
        <v>6.125</v>
      </c>
      <c r="K54" s="80" t="n">
        <v>9</v>
      </c>
    </row>
    <row r="55" customFormat="false" ht="15.75" hidden="false" customHeight="false" outlineLevel="0" collapsed="false">
      <c r="A55" s="64" t="n">
        <v>36810</v>
      </c>
      <c r="B55" s="80" t="n">
        <v>82.813</v>
      </c>
      <c r="C55" s="80" t="n">
        <v>78.8125</v>
      </c>
      <c r="D55" s="80" t="n">
        <v>31.875</v>
      </c>
      <c r="E55" s="80" t="n">
        <v>1.95322880680308</v>
      </c>
      <c r="F55" s="80" t="n">
        <v>0.045</v>
      </c>
      <c r="G55" s="80" t="n">
        <v>8.59854210841411</v>
      </c>
      <c r="H55" s="80" t="n">
        <v>1.76402835782779</v>
      </c>
      <c r="I55" s="80" t="n">
        <v>1.76402835782779</v>
      </c>
      <c r="J55" s="80" t="n">
        <v>5.9375</v>
      </c>
      <c r="K55" s="80" t="n">
        <v>9.125</v>
      </c>
    </row>
    <row r="56" customFormat="false" ht="15.75" hidden="false" customHeight="false" outlineLevel="0" collapsed="false">
      <c r="A56" s="64" t="n">
        <v>36811</v>
      </c>
      <c r="B56" s="80" t="n">
        <v>79.875</v>
      </c>
      <c r="C56" s="80" t="n">
        <v>76.5</v>
      </c>
      <c r="D56" s="80" t="n">
        <v>38.0625</v>
      </c>
      <c r="E56" s="80" t="n">
        <v>1.94740676955687</v>
      </c>
      <c r="F56" s="80" t="n">
        <v>0.05</v>
      </c>
      <c r="G56" s="80" t="n">
        <v>9.3216382824495</v>
      </c>
      <c r="H56" s="80" t="n">
        <v>2.07086255496214</v>
      </c>
      <c r="I56" s="80" t="n">
        <v>2.07086255496214</v>
      </c>
      <c r="J56" s="80" t="n">
        <v>5.5</v>
      </c>
      <c r="K56" s="80" t="n">
        <v>9.75</v>
      </c>
    </row>
    <row r="57" customFormat="false" ht="15.75" hidden="false" customHeight="false" outlineLevel="0" collapsed="false">
      <c r="A57" s="64" t="n">
        <v>36812</v>
      </c>
      <c r="B57" s="80" t="n">
        <v>79.5</v>
      </c>
      <c r="C57" s="80" t="n">
        <v>81</v>
      </c>
      <c r="D57" s="80" t="n">
        <v>45.25</v>
      </c>
      <c r="E57" s="80" t="n">
        <v>1.94986072423398</v>
      </c>
      <c r="F57" s="80" t="n">
        <v>0.04</v>
      </c>
      <c r="G57" s="80" t="n">
        <v>8.58577046682003</v>
      </c>
      <c r="H57" s="80" t="n">
        <v>1.70450297192277</v>
      </c>
      <c r="I57" s="80" t="n">
        <v>1.70450297192277</v>
      </c>
      <c r="J57" s="80" t="n">
        <v>5.5</v>
      </c>
      <c r="K57" s="80" t="n">
        <v>9.5</v>
      </c>
    </row>
    <row r="58" customFormat="false" ht="15.75" hidden="false" customHeight="false" outlineLevel="0" collapsed="false">
      <c r="A58" s="28" t="n">
        <v>36815</v>
      </c>
      <c r="B58" s="80" t="n">
        <v>80</v>
      </c>
      <c r="C58" s="80" t="n">
        <v>85.6875</v>
      </c>
      <c r="D58" s="80" t="n">
        <v>46.5</v>
      </c>
      <c r="E58" s="80" t="n">
        <v>1.94142810134913</v>
      </c>
      <c r="F58" s="80" t="n">
        <v>0.049</v>
      </c>
      <c r="G58" s="80" t="n">
        <v>8.40691726976271</v>
      </c>
      <c r="H58" s="80" t="n">
        <v>1.57720320387439</v>
      </c>
      <c r="I58" s="80" t="n">
        <v>1.57720320387439</v>
      </c>
      <c r="J58" s="80" t="n">
        <v>5.5625</v>
      </c>
      <c r="K58" s="80" t="n">
        <v>9.5</v>
      </c>
    </row>
    <row r="59" customFormat="false" ht="15.75" hidden="false" customHeight="false" outlineLevel="0" collapsed="false">
      <c r="A59" s="28" t="n">
        <v>36816</v>
      </c>
      <c r="B59" s="80" t="n">
        <v>79.188</v>
      </c>
      <c r="C59" s="80" t="n">
        <v>80.25</v>
      </c>
      <c r="D59" s="80" t="n">
        <v>39.875</v>
      </c>
      <c r="E59" s="80" t="n">
        <v>1.96117143797302</v>
      </c>
      <c r="F59" s="80" t="n">
        <v>0.05</v>
      </c>
      <c r="G59" s="80" t="n">
        <v>8.27442133518271</v>
      </c>
      <c r="H59" s="80" t="n">
        <v>1.48579639674671</v>
      </c>
      <c r="I59" s="80" t="n">
        <v>1.48579639674671</v>
      </c>
      <c r="J59" s="80" t="n">
        <v>5.75</v>
      </c>
      <c r="K59" s="80" t="n">
        <v>9.4375</v>
      </c>
    </row>
    <row r="60" customFormat="false" ht="15.75" hidden="false" customHeight="false" outlineLevel="0" collapsed="false">
      <c r="A60" s="28" t="n">
        <v>36817</v>
      </c>
      <c r="B60" s="80" t="n">
        <v>78.75</v>
      </c>
      <c r="C60" s="80" t="n">
        <v>72</v>
      </c>
      <c r="D60" s="80" t="n">
        <v>37.125</v>
      </c>
      <c r="E60" s="80" t="n">
        <v>1.95250659630607</v>
      </c>
      <c r="F60" s="80" t="n">
        <v>0.055</v>
      </c>
      <c r="G60" s="80" t="n">
        <v>7.72719845641886</v>
      </c>
      <c r="H60" s="80" t="n">
        <v>1.91427274546924</v>
      </c>
      <c r="I60" s="80" t="n">
        <v>1.91427274546924</v>
      </c>
      <c r="J60" s="80" t="n">
        <v>5.625</v>
      </c>
      <c r="K60" s="80" t="n">
        <v>8.875</v>
      </c>
    </row>
    <row r="61" customFormat="false" ht="15.75" hidden="false" customHeight="false" outlineLevel="0" collapsed="false">
      <c r="A61" s="28" t="n">
        <v>36818</v>
      </c>
      <c r="B61" s="80" t="n">
        <v>79</v>
      </c>
      <c r="C61" s="80" t="n">
        <v>65.25</v>
      </c>
      <c r="D61" s="80" t="n">
        <v>39.3125</v>
      </c>
      <c r="E61" s="80" t="n">
        <v>1.9785600847009</v>
      </c>
      <c r="F61" s="80" t="n">
        <v>0.056</v>
      </c>
      <c r="G61" s="80" t="n">
        <v>7.0021410904302</v>
      </c>
      <c r="H61" s="80" t="n">
        <v>1.91436579081252</v>
      </c>
      <c r="I61" s="80" t="n">
        <v>1.91436579081252</v>
      </c>
      <c r="J61" s="80" t="n">
        <v>5.625</v>
      </c>
      <c r="K61" s="80" t="n">
        <v>9.5</v>
      </c>
    </row>
    <row r="62" customFormat="false" ht="15.75" hidden="false" customHeight="false" outlineLevel="0" collapsed="false">
      <c r="A62" s="28" t="n">
        <v>36819</v>
      </c>
      <c r="B62" s="80" t="n">
        <v>80.5</v>
      </c>
      <c r="C62" s="80" t="n">
        <v>67.25</v>
      </c>
      <c r="D62" s="80" t="n">
        <v>40.5</v>
      </c>
      <c r="E62" s="80" t="n">
        <v>1.97725168628488</v>
      </c>
      <c r="F62" s="80" t="n">
        <v>0.05</v>
      </c>
      <c r="G62" s="80" t="n">
        <v>7.00120136870129</v>
      </c>
      <c r="H62" s="80" t="n">
        <v>1.86603653061583</v>
      </c>
      <c r="I62" s="80" t="n">
        <v>1.86603653061583</v>
      </c>
      <c r="J62" s="80" t="n">
        <v>5.5</v>
      </c>
      <c r="K62" s="80" t="n">
        <v>9.4375</v>
      </c>
    </row>
    <row r="63" customFormat="false" ht="15.75" hidden="false" customHeight="false" outlineLevel="0" collapsed="false">
      <c r="A63" s="28" t="n">
        <v>36822</v>
      </c>
      <c r="B63" s="80" t="n">
        <v>82</v>
      </c>
      <c r="C63" s="80" t="n">
        <v>68</v>
      </c>
      <c r="D63" s="80" t="n">
        <v>39.625</v>
      </c>
      <c r="E63" s="80" t="n">
        <v>1.96221411998674</v>
      </c>
      <c r="F63" s="80" t="n">
        <v>0.048</v>
      </c>
      <c r="G63" s="80" t="n">
        <v>6.51277798787854</v>
      </c>
      <c r="H63" s="80" t="n">
        <v>1.87750908557981</v>
      </c>
      <c r="I63" s="80" t="n">
        <v>1.87750908557981</v>
      </c>
      <c r="J63" s="80" t="n">
        <v>5.5</v>
      </c>
      <c r="K63" s="80" t="n">
        <v>9.4375</v>
      </c>
    </row>
    <row r="64" customFormat="false" ht="15.75" hidden="false" customHeight="false" outlineLevel="0" collapsed="false">
      <c r="A64" s="28" t="n">
        <v>36823</v>
      </c>
      <c r="B64" s="80" t="n">
        <v>80.1875</v>
      </c>
      <c r="C64" s="80" t="n">
        <f aca="false">62.875</f>
        <v>62.875</v>
      </c>
      <c r="D64" s="80" t="n">
        <v>47.125</v>
      </c>
      <c r="E64" s="80" t="n">
        <v>1.98281559814937</v>
      </c>
      <c r="F64" s="80" t="n">
        <v>0.045</v>
      </c>
      <c r="G64" s="80" t="n">
        <v>6.15552527919896</v>
      </c>
      <c r="H64" s="80" t="n">
        <v>1.74566462710183</v>
      </c>
      <c r="I64" s="80" t="n">
        <v>1.74566462710183</v>
      </c>
      <c r="J64" s="80" t="n">
        <v>5.78125</v>
      </c>
      <c r="K64" s="80" t="n">
        <v>9.125</v>
      </c>
    </row>
    <row r="65" customFormat="false" ht="15.75" hidden="false" customHeight="false" outlineLevel="0" collapsed="false">
      <c r="A65" s="28" t="n">
        <v>36824</v>
      </c>
      <c r="B65" s="80" t="n">
        <v>76.125</v>
      </c>
      <c r="C65" s="80" t="n">
        <v>51.75</v>
      </c>
      <c r="D65" s="80" t="n">
        <v>41.875</v>
      </c>
      <c r="E65" s="80" t="n">
        <v>1.97563384919328</v>
      </c>
      <c r="F65" s="80" t="n">
        <v>0.045</v>
      </c>
      <c r="G65" s="80" t="n">
        <v>5.74381668549387</v>
      </c>
      <c r="H65" s="80" t="n">
        <v>1.92856208581061</v>
      </c>
      <c r="I65" s="80" t="n">
        <v>1.92856208581061</v>
      </c>
      <c r="J65" s="80" t="n">
        <v>5.5</v>
      </c>
      <c r="K65" s="80" t="n">
        <v>8.8125</v>
      </c>
    </row>
    <row r="66" customFormat="false" ht="15.75" hidden="false" customHeight="false" outlineLevel="0" collapsed="false">
      <c r="A66" s="28" t="n">
        <v>36825</v>
      </c>
      <c r="B66" s="80" t="n">
        <v>77.5</v>
      </c>
      <c r="C66" s="80" t="n">
        <v>44.125</v>
      </c>
      <c r="D66" s="80" t="n">
        <v>41.9375</v>
      </c>
      <c r="E66" s="80" t="n">
        <v>1.94945848375451</v>
      </c>
      <c r="F66" s="80" t="n">
        <v>7.015625</v>
      </c>
      <c r="G66" s="80" t="n">
        <v>6.16120679589233</v>
      </c>
      <c r="H66" s="80" t="n">
        <v>1.4756079801316</v>
      </c>
      <c r="I66" s="80" t="n">
        <v>1.4756079801316</v>
      </c>
      <c r="J66" s="80" t="n">
        <v>5.75</v>
      </c>
      <c r="K66" s="80" t="n">
        <v>8.375</v>
      </c>
    </row>
    <row r="67" customFormat="false" ht="15.75" hidden="false" customHeight="false" outlineLevel="0" collapsed="false">
      <c r="A67" s="28" t="n">
        <v>36826</v>
      </c>
      <c r="B67" s="80" t="n">
        <v>78.875</v>
      </c>
      <c r="C67" s="80" t="n">
        <v>45.375</v>
      </c>
      <c r="D67" s="80" t="n">
        <v>40.5</v>
      </c>
      <c r="E67" s="80" t="n">
        <v>1.96206671026815</v>
      </c>
      <c r="F67" s="80" t="n">
        <v>7.125</v>
      </c>
      <c r="G67" s="80" t="n">
        <v>6.64474884532821</v>
      </c>
      <c r="H67" s="80" t="n">
        <v>1.35974524742169</v>
      </c>
      <c r="I67" s="80" t="n">
        <v>1.35974524742169</v>
      </c>
      <c r="J67" s="80" t="n">
        <v>5.25</v>
      </c>
      <c r="K67" s="80" t="n">
        <v>7.875</v>
      </c>
    </row>
    <row r="68" customFormat="false" ht="15.75" hidden="false" customHeight="false" outlineLevel="0" collapsed="false">
      <c r="A68" s="28" t="n">
        <v>36829</v>
      </c>
      <c r="B68" s="80" t="n">
        <v>80.688</v>
      </c>
      <c r="C68" s="80" t="n">
        <v>40</v>
      </c>
      <c r="D68" s="80" t="n">
        <v>36</v>
      </c>
      <c r="E68" s="80" t="n">
        <v>1.96078431372549</v>
      </c>
      <c r="F68" s="80" t="n">
        <v>7.25</v>
      </c>
      <c r="G68" s="80" t="n">
        <v>6.52293533761587</v>
      </c>
      <c r="H68" s="80" t="n">
        <v>1.55335302791254</v>
      </c>
      <c r="I68" s="80" t="n">
        <v>1.55335302791254</v>
      </c>
      <c r="J68" s="80" t="n">
        <v>5.25</v>
      </c>
      <c r="K68" s="80" t="n">
        <v>7.75</v>
      </c>
    </row>
    <row r="69" customFormat="false" ht="15.75" hidden="false" customHeight="false" outlineLevel="0" collapsed="false">
      <c r="A69" s="28" t="n">
        <v>36830</v>
      </c>
      <c r="B69" s="80" t="n">
        <v>82.063</v>
      </c>
      <c r="C69" s="80" t="n">
        <v>43.375</v>
      </c>
      <c r="D69" s="80" t="n">
        <v>38.125</v>
      </c>
      <c r="E69" s="80" t="n">
        <v>1.98373963259882</v>
      </c>
      <c r="F69" s="80" t="n">
        <v>7</v>
      </c>
      <c r="G69" s="80" t="n">
        <v>6.52245675357263</v>
      </c>
      <c r="H69" s="80" t="n">
        <v>1.80710154498455</v>
      </c>
      <c r="I69" s="80" t="n">
        <v>1.80710154498455</v>
      </c>
      <c r="J69" s="80" t="n">
        <v>5.375</v>
      </c>
      <c r="K69" s="80" t="n">
        <v>7.75</v>
      </c>
    </row>
    <row r="70" customFormat="false" ht="15.75" hidden="false" customHeight="false" outlineLevel="0" collapsed="false">
      <c r="A70" s="28" t="n">
        <v>36831</v>
      </c>
      <c r="B70" s="80" t="n">
        <v>83.25</v>
      </c>
      <c r="C70" s="80" t="n">
        <v>39.9375</v>
      </c>
      <c r="D70" s="80" t="n">
        <v>36.875</v>
      </c>
      <c r="E70" s="80" t="n">
        <v>1.95669188625098</v>
      </c>
      <c r="F70" s="80" t="n">
        <v>7.125</v>
      </c>
      <c r="G70" s="80" t="n">
        <v>6.99940772976985</v>
      </c>
      <c r="H70" s="80" t="n">
        <v>1.75554171941046</v>
      </c>
      <c r="I70" s="80" t="n">
        <v>1.75554171941046</v>
      </c>
      <c r="J70" s="80" t="n">
        <v>5.875</v>
      </c>
      <c r="K70" s="80" t="n">
        <v>8.3125</v>
      </c>
    </row>
    <row r="71" customFormat="false" ht="15.75" hidden="false" customHeight="false" outlineLevel="0" collapsed="false">
      <c r="A71" s="28" t="n">
        <v>36832</v>
      </c>
      <c r="B71" s="80" t="n">
        <v>81.75</v>
      </c>
      <c r="C71" s="80" t="n">
        <v>45.875</v>
      </c>
      <c r="D71" s="80" t="n">
        <v>33.875</v>
      </c>
      <c r="E71" s="80" t="n">
        <v>1.95950359242325</v>
      </c>
      <c r="F71" s="80" t="n">
        <v>7</v>
      </c>
      <c r="G71" s="80" t="n">
        <v>6.99766074755838</v>
      </c>
      <c r="H71" s="80" t="n">
        <v>1.60278096238992</v>
      </c>
      <c r="I71" s="80" t="n">
        <v>1.60278096238992</v>
      </c>
      <c r="J71" s="80" t="n">
        <v>5.625</v>
      </c>
      <c r="K71" s="80" t="n">
        <v>8.5625</v>
      </c>
    </row>
    <row r="72" customFormat="false" ht="15.75" hidden="false" customHeight="false" outlineLevel="0" collapsed="false">
      <c r="A72" s="28" t="n">
        <v>36833</v>
      </c>
      <c r="B72" s="80" t="n">
        <v>77.375</v>
      </c>
      <c r="C72" s="80" t="n">
        <v>50.5</v>
      </c>
      <c r="D72" s="80" t="n">
        <v>31</v>
      </c>
      <c r="E72" s="80" t="n">
        <v>1.95822454308094</v>
      </c>
      <c r="F72" s="80" t="n">
        <v>7.0625</v>
      </c>
      <c r="G72" s="80" t="n">
        <v>6.70485645667854</v>
      </c>
      <c r="H72" s="80" t="n">
        <v>1.89252391136891</v>
      </c>
      <c r="I72" s="80" t="n">
        <v>1.89252391136891</v>
      </c>
      <c r="J72" s="80" t="n">
        <v>5.875</v>
      </c>
      <c r="K72" s="80" t="n">
        <v>9.5</v>
      </c>
    </row>
    <row r="73" customFormat="false" ht="15.75" hidden="false" customHeight="false" outlineLevel="0" collapsed="false">
      <c r="A73" s="28" t="n">
        <v>36836</v>
      </c>
      <c r="B73" s="80" t="n">
        <v>81.563</v>
      </c>
      <c r="C73" s="80" t="n">
        <v>45.125</v>
      </c>
      <c r="D73" s="80" t="n">
        <v>28.5</v>
      </c>
      <c r="E73" s="80" t="n">
        <v>1.96078431372549</v>
      </c>
      <c r="F73" s="80" t="n">
        <v>7</v>
      </c>
      <c r="G73" s="80" t="n">
        <v>7.49281867143489</v>
      </c>
      <c r="H73" s="80" t="n">
        <v>1.44378127696956</v>
      </c>
      <c r="I73" s="80" t="n">
        <v>1.44378127696957</v>
      </c>
      <c r="J73" s="80" t="n">
        <v>5.875</v>
      </c>
      <c r="K73" s="80" t="n">
        <v>9</v>
      </c>
    </row>
    <row r="74" customFormat="false" ht="15.75" hidden="false" customHeight="false" outlineLevel="0" collapsed="false">
      <c r="A74" s="28" t="n">
        <v>36837</v>
      </c>
      <c r="B74" s="80" t="n">
        <v>81.813</v>
      </c>
      <c r="C74" s="80" t="n">
        <v>47.6875</v>
      </c>
      <c r="D74" s="80" t="n">
        <v>27.4375</v>
      </c>
      <c r="E74" s="80" t="n">
        <v>1.95669188625098</v>
      </c>
      <c r="F74" s="80" t="n">
        <v>7.03125</v>
      </c>
      <c r="G74" s="80" t="n">
        <v>7.12870767322689</v>
      </c>
      <c r="H74" s="80" t="n">
        <v>1.58381834585802</v>
      </c>
      <c r="I74" s="80" t="n">
        <v>1.58381834585802</v>
      </c>
      <c r="J74" s="80" t="n">
        <v>5.875</v>
      </c>
      <c r="K74" s="80" t="n">
        <v>9.125</v>
      </c>
    </row>
    <row r="75" customFormat="false" ht="15.75" hidden="false" customHeight="false" outlineLevel="0" collapsed="false">
      <c r="A75" s="28" t="n">
        <v>36838</v>
      </c>
      <c r="B75" s="80" t="n">
        <v>82.125</v>
      </c>
      <c r="C75" s="80" t="n">
        <v>44.015625</v>
      </c>
      <c r="D75" s="80" t="n">
        <v>26</v>
      </c>
      <c r="E75" s="80" t="n">
        <v>1.94805194805195</v>
      </c>
      <c r="F75" s="80" t="n">
        <v>7</v>
      </c>
      <c r="G75" s="80" t="n">
        <v>7.00717786042533</v>
      </c>
      <c r="H75" s="80" t="n">
        <v>1.75227778866355</v>
      </c>
      <c r="I75" s="80" t="n">
        <v>1.75227778866355</v>
      </c>
      <c r="J75" s="80" t="n">
        <v>5.65625</v>
      </c>
      <c r="K75" s="80" t="n">
        <v>9.25</v>
      </c>
    </row>
    <row r="76" customFormat="false" ht="15.75" hidden="false" customHeight="false" outlineLevel="0" collapsed="false">
      <c r="A76" s="28" t="n">
        <v>36839</v>
      </c>
      <c r="B76" s="80" t="n">
        <v>82.938</v>
      </c>
      <c r="C76" s="80" t="n">
        <v>44.875</v>
      </c>
      <c r="D76" s="80" t="n">
        <v>23.375</v>
      </c>
      <c r="E76" s="80" t="n">
        <v>1.93798449612403</v>
      </c>
      <c r="F76" s="80" t="n">
        <v>7.0625</v>
      </c>
      <c r="G76" s="80" t="n">
        <v>7.00653928828444</v>
      </c>
      <c r="H76" s="80" t="n">
        <v>1.7720101180633</v>
      </c>
      <c r="I76" s="80" t="n">
        <v>1.7720101180633</v>
      </c>
      <c r="J76" s="80" t="n">
        <v>5.75</v>
      </c>
      <c r="K76" s="80" t="n">
        <v>8.8125</v>
      </c>
    </row>
    <row r="77" customFormat="false" ht="15.75" hidden="false" customHeight="false" outlineLevel="0" collapsed="false">
      <c r="A77" s="28" t="n">
        <v>36840</v>
      </c>
      <c r="B77" s="80" t="n">
        <f aca="false">82+0.9375</f>
        <v>82.9375</v>
      </c>
      <c r="C77" s="80" t="n">
        <v>41.25</v>
      </c>
      <c r="D77" s="80" t="n">
        <v>20.5625</v>
      </c>
      <c r="E77" s="80" t="n">
        <f aca="false">+E76</f>
        <v>1.93798449612403</v>
      </c>
      <c r="F77" s="80" t="n">
        <v>7</v>
      </c>
      <c r="G77" s="80" t="n">
        <v>6.75685877340168</v>
      </c>
      <c r="H77" s="80" t="n">
        <v>1.78410974514493</v>
      </c>
      <c r="I77" s="80" t="n">
        <v>1.78410974514493</v>
      </c>
      <c r="J77" s="80" t="n">
        <v>5.75</v>
      </c>
      <c r="K77" s="80" t="n">
        <v>9.125</v>
      </c>
    </row>
    <row r="78" customFormat="false" ht="15.75" hidden="false" customHeight="false" outlineLevel="0" collapsed="false">
      <c r="A78" s="28" t="n">
        <v>36843</v>
      </c>
      <c r="B78" s="80" t="n">
        <v>79.438</v>
      </c>
      <c r="C78" s="80" t="n">
        <v>39.6875</v>
      </c>
      <c r="D78" s="80" t="n">
        <v>20</v>
      </c>
      <c r="E78" s="80" t="n">
        <f aca="false">+E77</f>
        <v>1.93798449612403</v>
      </c>
      <c r="F78" s="80" t="n">
        <v>7.0625</v>
      </c>
      <c r="G78" s="80" t="n">
        <v>6.87176597245666</v>
      </c>
      <c r="H78" s="80" t="n">
        <v>1.64512207102282</v>
      </c>
      <c r="I78" s="80" t="n">
        <v>1.64512207102282</v>
      </c>
      <c r="J78" s="80" t="n">
        <v>5.75</v>
      </c>
      <c r="K78" s="80" t="n">
        <v>8.8125</v>
      </c>
    </row>
    <row r="79" customFormat="false" ht="15.75" hidden="false" customHeight="false" outlineLevel="0" collapsed="false">
      <c r="A79" s="28" t="n">
        <v>36844</v>
      </c>
      <c r="B79" s="80" t="n">
        <v>79.563</v>
      </c>
      <c r="C79" s="80" t="n">
        <v>43</v>
      </c>
      <c r="D79" s="80" t="n">
        <v>22.875</v>
      </c>
      <c r="E79" s="80" t="n">
        <v>1.92295241178375</v>
      </c>
      <c r="F79" s="80" t="n">
        <v>7.0625</v>
      </c>
      <c r="G79" s="80" t="n">
        <v>6.9321352961034</v>
      </c>
      <c r="H79" s="80" t="n">
        <v>1.6868108532553</v>
      </c>
      <c r="I79" s="80" t="n">
        <v>1.6868108532553</v>
      </c>
      <c r="J79" s="80" t="n">
        <v>5.3125</v>
      </c>
      <c r="K79" s="80" t="n">
        <v>8.875</v>
      </c>
    </row>
    <row r="80" customFormat="false" ht="15.75" hidden="false" customHeight="false" outlineLevel="0" collapsed="false">
      <c r="A80" s="28" t="n">
        <v>36845</v>
      </c>
      <c r="B80" s="80" t="n">
        <v>80.375</v>
      </c>
      <c r="C80" s="80" t="n">
        <v>40.4375</v>
      </c>
      <c r="D80" s="80" t="n">
        <v>20.375</v>
      </c>
      <c r="E80" s="80" t="n">
        <v>1.91242755956214</v>
      </c>
      <c r="F80" s="80" t="n">
        <v>7.0625</v>
      </c>
      <c r="G80" s="80" t="n">
        <v>7.22915448097465</v>
      </c>
      <c r="H80" s="80" t="n">
        <v>1.66003635311601</v>
      </c>
      <c r="I80" s="80" t="n">
        <v>1.66003635311601</v>
      </c>
      <c r="J80" s="80" t="n">
        <v>5.5</v>
      </c>
      <c r="K80" s="80" t="n">
        <v>8.875</v>
      </c>
    </row>
    <row r="81" customFormat="false" ht="15.75" hidden="false" customHeight="false" outlineLevel="0" collapsed="false">
      <c r="A81" s="28" t="n">
        <v>36846</v>
      </c>
      <c r="B81" s="80" t="n">
        <v>81.25</v>
      </c>
      <c r="C81" s="80" t="n">
        <v>35.25</v>
      </c>
      <c r="D81" s="80" t="n">
        <v>20.25</v>
      </c>
      <c r="E81" s="80" t="n">
        <v>1.91119691119691</v>
      </c>
      <c r="F81" s="80" t="n">
        <v>7.03125</v>
      </c>
      <c r="G81" s="80" t="n">
        <v>6.98218279450574</v>
      </c>
      <c r="H81" s="80" t="n">
        <v>1.67586066062454</v>
      </c>
      <c r="I81" s="80" t="n">
        <v>1.67586066062454</v>
      </c>
      <c r="J81" s="80" t="n">
        <v>5.40625</v>
      </c>
      <c r="K81" s="80" t="n">
        <v>9</v>
      </c>
    </row>
    <row r="82" customFormat="false" ht="15.75" hidden="false" customHeight="false" outlineLevel="0" collapsed="false">
      <c r="A82" s="28" t="n">
        <v>36847</v>
      </c>
      <c r="B82" s="80" t="n">
        <v>81.5</v>
      </c>
      <c r="C82" s="80" t="n">
        <v>28.875</v>
      </c>
      <c r="D82" s="80" t="n">
        <v>18.6875</v>
      </c>
      <c r="E82" s="80" t="n">
        <v>1.90567853705486</v>
      </c>
      <c r="F82" s="80" t="n">
        <v>7.0625</v>
      </c>
      <c r="G82" s="80" t="n">
        <v>6.38203674169892</v>
      </c>
      <c r="H82" s="80" t="n">
        <v>1.67495907959865</v>
      </c>
      <c r="I82" s="80" t="n">
        <v>1.67495907959865</v>
      </c>
      <c r="J82" s="80" t="n">
        <v>5.6875</v>
      </c>
      <c r="K82" s="80" t="n">
        <v>9</v>
      </c>
    </row>
    <row r="83" customFormat="false" ht="15.75" hidden="false" customHeight="false" outlineLevel="0" collapsed="false">
      <c r="A83" s="28" t="n">
        <v>36850</v>
      </c>
      <c r="B83" s="80" t="n">
        <v>80.25</v>
      </c>
      <c r="C83" s="80" t="n">
        <v>24.25</v>
      </c>
      <c r="D83" s="80" t="n">
        <v>18</v>
      </c>
      <c r="E83" s="80" t="n">
        <v>1.90690208667737</v>
      </c>
      <c r="F83" s="80" t="n">
        <v>7.0625</v>
      </c>
      <c r="G83" s="80" t="n">
        <v>5.42513033319289</v>
      </c>
      <c r="H83" s="80" t="n">
        <v>1.58409369811109</v>
      </c>
      <c r="I83" s="80" t="n">
        <v>1.58409369811109</v>
      </c>
      <c r="J83" s="80" t="n">
        <v>5.6875</v>
      </c>
      <c r="K83" s="80" t="n">
        <v>8.625</v>
      </c>
    </row>
    <row r="84" customFormat="false" ht="15.75" hidden="false" customHeight="false" outlineLevel="0" collapsed="false">
      <c r="A84" s="28" t="n">
        <v>36851</v>
      </c>
      <c r="B84" s="80" t="n">
        <v>80.375</v>
      </c>
      <c r="C84" s="80" t="n">
        <v>26.5</v>
      </c>
      <c r="D84" s="80" t="n">
        <v>18.625</v>
      </c>
      <c r="E84" s="80" t="n">
        <v>1.91551112544341</v>
      </c>
      <c r="F84" s="80" t="n">
        <v>7.0625</v>
      </c>
      <c r="G84" s="80" t="n">
        <v>5.78376210086535</v>
      </c>
      <c r="H84" s="80" t="n">
        <v>1.62737553301254</v>
      </c>
      <c r="I84" s="80" t="n">
        <v>1.62737553301254</v>
      </c>
      <c r="J84" s="80" t="n">
        <v>5.6875</v>
      </c>
      <c r="K84" s="80" t="n">
        <v>8.75</v>
      </c>
    </row>
    <row r="85" customFormat="false" ht="15.75" hidden="false" customHeight="false" outlineLevel="0" collapsed="false">
      <c r="A85" s="28" t="n">
        <v>36852</v>
      </c>
      <c r="B85" s="80" t="n">
        <v>75.563</v>
      </c>
      <c r="C85" s="80" t="n">
        <v>21.75</v>
      </c>
      <c r="D85" s="80" t="n">
        <v>16.6875</v>
      </c>
      <c r="E85" s="80" t="n">
        <v>1.9411193788418</v>
      </c>
      <c r="F85" s="80" t="n">
        <v>7.25</v>
      </c>
      <c r="G85" s="80" t="n">
        <v>5.30913935255554</v>
      </c>
      <c r="H85" s="80" t="n">
        <v>1.66751641091997</v>
      </c>
      <c r="I85" s="80" t="n">
        <v>1.66751641091997</v>
      </c>
      <c r="J85" s="80" t="n">
        <v>5.25</v>
      </c>
      <c r="K85" s="80" t="n">
        <v>9</v>
      </c>
    </row>
    <row r="86" customFormat="false" ht="15.75" hidden="false" customHeight="false" outlineLevel="0" collapsed="false">
      <c r="A86" s="28" t="n">
        <v>36854</v>
      </c>
      <c r="B86" s="80" t="n">
        <v>77.75</v>
      </c>
      <c r="C86" s="80" t="n">
        <v>23.125</v>
      </c>
      <c r="D86" s="80" t="n">
        <v>18.375</v>
      </c>
      <c r="E86" s="80" t="n">
        <v>1.94868463786944</v>
      </c>
      <c r="F86" s="80" t="n">
        <v>7.25</v>
      </c>
      <c r="G86" s="80" t="n">
        <v>6.01590789243294</v>
      </c>
      <c r="H86" s="80" t="n">
        <v>1.65998115074932</v>
      </c>
      <c r="I86" s="80" t="n">
        <v>1.65998115074932</v>
      </c>
      <c r="J86" s="80" t="n">
        <v>5.1875</v>
      </c>
      <c r="K86" s="80" t="n">
        <v>9</v>
      </c>
    </row>
    <row r="87" customFormat="false" ht="15.75" hidden="false" customHeight="false" outlineLevel="0" collapsed="false">
      <c r="A87" s="28" t="n">
        <v>36857</v>
      </c>
      <c r="B87" s="80" t="n">
        <v>78.875</v>
      </c>
      <c r="C87" s="80" t="n">
        <v>19.8125</v>
      </c>
      <c r="D87" s="80" t="n">
        <v>17.5</v>
      </c>
      <c r="E87" s="80" t="n">
        <v>1.95439739413681</v>
      </c>
      <c r="F87" s="80" t="n">
        <v>7.25</v>
      </c>
      <c r="G87" s="80" t="n">
        <v>6.07340089730164</v>
      </c>
      <c r="H87" s="80" t="n">
        <v>1.65297083940159</v>
      </c>
      <c r="I87" s="80" t="n">
        <v>1.65297083940159</v>
      </c>
      <c r="J87" s="80" t="n">
        <v>5</v>
      </c>
      <c r="K87" s="80" t="n">
        <v>8.5625</v>
      </c>
    </row>
    <row r="88" customFormat="false" ht="15.75" hidden="false" customHeight="false" outlineLevel="0" collapsed="false">
      <c r="A88" s="28" t="n">
        <v>36858</v>
      </c>
      <c r="B88" s="80" t="n">
        <v>78.438</v>
      </c>
      <c r="C88" s="80" t="n">
        <v>17.0625</v>
      </c>
      <c r="D88" s="80" t="n">
        <v>15.1875</v>
      </c>
      <c r="E88" s="80" t="n">
        <v>1.953125</v>
      </c>
      <c r="F88" s="80" t="n">
        <v>7.0625</v>
      </c>
      <c r="G88" s="80" t="n">
        <v>5.53107990467275</v>
      </c>
      <c r="H88" s="80" t="n">
        <v>1.64465248199356</v>
      </c>
      <c r="I88" s="80" t="n">
        <v>1.64465248199357</v>
      </c>
      <c r="J88" s="80" t="n">
        <v>4.75</v>
      </c>
      <c r="K88" s="80" t="n">
        <v>8.375</v>
      </c>
    </row>
    <row r="89" customFormat="false" ht="15.75" hidden="false" customHeight="false" outlineLevel="0" collapsed="false">
      <c r="A89" s="28" t="n">
        <v>36859</v>
      </c>
      <c r="B89" s="80" t="n">
        <v>70.25</v>
      </c>
      <c r="C89" s="80" t="n">
        <v>19.75</v>
      </c>
      <c r="D89" s="80" t="n">
        <v>14.375</v>
      </c>
      <c r="E89" s="80" t="n">
        <v>1.94615634122608</v>
      </c>
      <c r="F89" s="80" t="n">
        <v>7.0625</v>
      </c>
      <c r="G89" s="80" t="n">
        <v>5.88086945114303</v>
      </c>
      <c r="H89" s="80" t="n">
        <v>1.61520223772368</v>
      </c>
      <c r="I89" s="80" t="n">
        <v>1.61520223772368</v>
      </c>
      <c r="J89" s="80" t="n">
        <v>4.75</v>
      </c>
      <c r="K89" s="80" t="n">
        <v>8.3125</v>
      </c>
    </row>
    <row r="90" customFormat="false" ht="15.75" hidden="false" customHeight="false" outlineLevel="0" collapsed="false">
      <c r="A90" s="28" t="n">
        <v>36860</v>
      </c>
      <c r="B90" s="80" t="n">
        <v>64.75</v>
      </c>
      <c r="C90" s="80" t="n">
        <v>21.125</v>
      </c>
      <c r="D90" s="80" t="n">
        <v>13.6875</v>
      </c>
      <c r="E90" s="80" t="n">
        <v>1.91285177019842</v>
      </c>
      <c r="F90" s="80" t="n">
        <v>6.8125</v>
      </c>
      <c r="G90" s="80" t="n">
        <v>5.0406456673465</v>
      </c>
      <c r="H90" s="80" t="n">
        <v>1.62236386141363</v>
      </c>
      <c r="I90" s="80" t="n">
        <v>1.62236386141363</v>
      </c>
      <c r="J90" s="80" t="n">
        <v>4.5625</v>
      </c>
      <c r="K90" s="80" t="n">
        <v>8.1875</v>
      </c>
    </row>
    <row r="91" customFormat="false" ht="15.75" hidden="false" customHeight="false" outlineLevel="0" collapsed="false">
      <c r="A91" s="28" t="n">
        <v>36861</v>
      </c>
      <c r="B91" s="80" t="n">
        <v>65.5</v>
      </c>
      <c r="C91" s="80" t="n">
        <v>21.75</v>
      </c>
      <c r="D91" s="80" t="n">
        <v>16.8125</v>
      </c>
      <c r="E91" s="80" t="n">
        <v>1.90876738919444</v>
      </c>
      <c r="F91" s="80" t="n">
        <v>6.875</v>
      </c>
      <c r="G91" s="80" t="n">
        <v>4.92930804014004</v>
      </c>
      <c r="H91" s="80" t="n">
        <v>1.60532144670841</v>
      </c>
      <c r="I91" s="80" t="n">
        <v>1.60532144670842</v>
      </c>
      <c r="J91" s="80" t="n">
        <v>4.75</v>
      </c>
      <c r="K91" s="80" t="n">
        <v>8</v>
      </c>
    </row>
    <row r="92" customFormat="false" ht="15.75" hidden="false" customHeight="false" outlineLevel="0" collapsed="false">
      <c r="A92" s="28" t="n">
        <v>36864</v>
      </c>
      <c r="B92" s="80" t="n">
        <v>65.938</v>
      </c>
      <c r="C92" s="80" t="n">
        <v>18</v>
      </c>
      <c r="D92" s="80" t="n">
        <v>17</v>
      </c>
      <c r="E92" s="80" t="n">
        <v>1.91186001296176</v>
      </c>
      <c r="F92" s="80" t="n">
        <v>7</v>
      </c>
      <c r="G92" s="80" t="n">
        <v>5.27698949845046</v>
      </c>
      <c r="H92" s="80" t="n">
        <v>1.61653519002923</v>
      </c>
      <c r="I92" s="80" t="n">
        <v>1.61653519002923</v>
      </c>
      <c r="J92" s="80" t="n">
        <v>4.875</v>
      </c>
      <c r="K92" s="80" t="n">
        <v>8.5</v>
      </c>
    </row>
    <row r="93" customFormat="false" ht="15.75" hidden="false" customHeight="false" outlineLevel="0" collapsed="false">
      <c r="A93" s="28" t="n">
        <v>36865</v>
      </c>
      <c r="B93" s="80" t="n">
        <v>68.25</v>
      </c>
      <c r="C93" s="80" t="n">
        <v>31.75</v>
      </c>
      <c r="D93" s="80" t="n">
        <v>20</v>
      </c>
      <c r="E93" s="80" t="n">
        <v>1.78224238496436</v>
      </c>
      <c r="F93" s="80" t="n">
        <v>7.125</v>
      </c>
      <c r="G93" s="80" t="n">
        <v>5.85987453058916</v>
      </c>
      <c r="H93" s="80" t="n">
        <v>1.56455155526132</v>
      </c>
      <c r="I93" s="80" t="n">
        <v>1.56455155526132</v>
      </c>
      <c r="J93" s="80" t="n">
        <v>4.875</v>
      </c>
      <c r="K93" s="80" t="n">
        <v>8.25</v>
      </c>
    </row>
    <row r="94" customFormat="false" ht="15.75" hidden="false" customHeight="false" outlineLevel="0" collapsed="false">
      <c r="A94" s="28" t="n">
        <v>36866</v>
      </c>
      <c r="B94" s="80" t="n">
        <v>71.938</v>
      </c>
      <c r="C94" s="80" t="n">
        <v>32.375</v>
      </c>
      <c r="D94" s="80" t="n">
        <v>22.625</v>
      </c>
      <c r="E94" s="80" t="n">
        <v>1.80032733224223</v>
      </c>
      <c r="F94" s="80" t="n">
        <v>7.0625</v>
      </c>
      <c r="G94" s="80" t="n">
        <v>5.37544122502547</v>
      </c>
      <c r="H94" s="80" t="n">
        <v>1.72088860026587</v>
      </c>
      <c r="I94" s="80" t="n">
        <v>1.72088860026587</v>
      </c>
      <c r="J94" s="80" t="n">
        <v>4.875</v>
      </c>
      <c r="K94" s="80" t="n">
        <v>7.875</v>
      </c>
    </row>
    <row r="95" customFormat="false" ht="15.75" hidden="false" customHeight="false" outlineLevel="0" collapsed="false">
      <c r="A95" s="28" t="n">
        <v>36867</v>
      </c>
      <c r="B95" s="80" t="n">
        <v>72.875</v>
      </c>
      <c r="C95" s="80" t="n">
        <v>34.5625</v>
      </c>
      <c r="D95" s="80" t="n">
        <v>19.0625</v>
      </c>
      <c r="E95" s="80" t="n">
        <v>1.79832592205075</v>
      </c>
      <c r="F95" s="80" t="n">
        <v>7.09375</v>
      </c>
      <c r="G95" s="80" t="n">
        <v>5.61229678987528</v>
      </c>
      <c r="H95" s="80" t="n">
        <v>1.74223112866764</v>
      </c>
      <c r="I95" s="80" t="n">
        <v>1.74223112866764</v>
      </c>
      <c r="J95" s="80" t="n">
        <v>4.8125</v>
      </c>
      <c r="K95" s="80" t="n">
        <v>7.875</v>
      </c>
    </row>
    <row r="96" customFormat="false" ht="15.75" hidden="false" customHeight="false" outlineLevel="0" collapsed="false">
      <c r="A96" s="28" t="n">
        <v>36868</v>
      </c>
      <c r="B96" s="80" t="n">
        <v>73.063</v>
      </c>
      <c r="C96" s="80" t="n">
        <v>38.9375</v>
      </c>
      <c r="D96" s="80" t="n">
        <v>23.4375</v>
      </c>
      <c r="E96" s="80" t="n">
        <v>1.81016324381253</v>
      </c>
      <c r="F96" s="80" t="n">
        <v>7.0625</v>
      </c>
      <c r="G96" s="80" t="n">
        <v>5.73520829191936</v>
      </c>
      <c r="H96" s="80" t="n">
        <v>1.74475231163089</v>
      </c>
      <c r="I96" s="80" t="n">
        <v>1.74475231163089</v>
      </c>
      <c r="J96" s="80" t="n">
        <v>4.8125</v>
      </c>
      <c r="K96" s="80" t="n">
        <v>8</v>
      </c>
    </row>
    <row r="97" customFormat="false" ht="15.75" hidden="false" customHeight="false" outlineLevel="0" collapsed="false">
      <c r="A97" s="28" t="n">
        <v>36871</v>
      </c>
      <c r="B97" s="80" t="n">
        <v>76.5</v>
      </c>
      <c r="C97" s="80" t="n">
        <v>42.375</v>
      </c>
      <c r="D97" s="80" t="n">
        <v>25.875</v>
      </c>
      <c r="E97" s="80" t="n">
        <v>1.80209698558322</v>
      </c>
      <c r="F97" s="80" t="n">
        <v>7.1875</v>
      </c>
      <c r="G97" s="80" t="n">
        <v>7.17540968399729</v>
      </c>
      <c r="H97" s="80" t="n">
        <v>1.67756105459986</v>
      </c>
      <c r="I97" s="80" t="n">
        <v>1.67756105459986</v>
      </c>
      <c r="J97" s="80" t="n">
        <v>4.75</v>
      </c>
      <c r="K97" s="80" t="n">
        <v>8.5</v>
      </c>
    </row>
    <row r="98" customFormat="false" ht="15.75" hidden="false" customHeight="false" outlineLevel="0" collapsed="false">
      <c r="A98" s="28" t="n">
        <v>36872</v>
      </c>
      <c r="B98" s="80" t="n">
        <v>77.188</v>
      </c>
      <c r="C98" s="80" t="n">
        <v>40.25</v>
      </c>
      <c r="D98" s="80" t="n">
        <v>23.125</v>
      </c>
      <c r="E98" s="80" t="n">
        <v>1.80032733224223</v>
      </c>
      <c r="F98" s="80" t="n">
        <v>7.1875</v>
      </c>
      <c r="G98" s="80" t="n">
        <v>5.97279156570645</v>
      </c>
      <c r="H98" s="80" t="n">
        <v>1.65395093336837</v>
      </c>
      <c r="I98" s="80" t="n">
        <v>1.65395093336837</v>
      </c>
      <c r="J98" s="80" t="n">
        <v>4.9375</v>
      </c>
      <c r="K98" s="80" t="n">
        <v>8.25</v>
      </c>
    </row>
    <row r="99" customFormat="false" ht="15.75" hidden="false" customHeight="false" outlineLevel="0" collapsed="false">
      <c r="A99" s="28" t="n">
        <v>36873</v>
      </c>
      <c r="B99" s="80" t="n">
        <v>74.5</v>
      </c>
      <c r="C99" s="80" t="n">
        <v>37.6875</v>
      </c>
      <c r="D99" s="80" t="n">
        <v>22.625</v>
      </c>
      <c r="E99" s="80" t="n">
        <v>1.80683311432326</v>
      </c>
      <c r="F99" s="80" t="n">
        <v>7.125</v>
      </c>
      <c r="G99" s="80" t="n">
        <v>6.68323537409834</v>
      </c>
      <c r="H99" s="80" t="n">
        <v>1.58245148727971</v>
      </c>
      <c r="I99" s="80" t="n">
        <v>1.58245148727971</v>
      </c>
      <c r="J99" s="80" t="n">
        <v>4.875</v>
      </c>
      <c r="K99" s="80" t="n">
        <v>8.125</v>
      </c>
    </row>
    <row r="100" customFormat="false" ht="15.75" hidden="false" customHeight="false" outlineLevel="0" collapsed="false">
      <c r="A100" s="28" t="n">
        <v>36874</v>
      </c>
      <c r="B100" s="80" t="n">
        <v>76.5</v>
      </c>
      <c r="C100" s="80" t="n">
        <v>33.3125</v>
      </c>
      <c r="D100" s="80" t="n">
        <v>22.0625</v>
      </c>
      <c r="E100" s="80" t="n">
        <v>1.81219110378913</v>
      </c>
      <c r="F100" s="80" t="n">
        <v>7.125</v>
      </c>
      <c r="G100" s="80" t="n">
        <v>6.31602250876487</v>
      </c>
      <c r="H100" s="80" t="n">
        <v>1.65820401117404</v>
      </c>
      <c r="I100" s="80" t="n">
        <v>1.65820401117404</v>
      </c>
      <c r="J100" s="80" t="n">
        <v>4.625</v>
      </c>
      <c r="K100" s="80" t="n">
        <v>8.1875</v>
      </c>
      <c r="L100" s="80" t="n">
        <v>13.125</v>
      </c>
    </row>
    <row r="101" customFormat="false" ht="15.75" hidden="false" customHeight="false" outlineLevel="0" collapsed="false">
      <c r="A101" s="28" t="n">
        <v>36875</v>
      </c>
      <c r="B101" s="80" t="n">
        <v>77.563</v>
      </c>
      <c r="C101" s="80" t="n">
        <v>31.25</v>
      </c>
      <c r="D101" s="80" t="n">
        <v>19.875</v>
      </c>
      <c r="E101" s="80" t="n">
        <v>1.81040157998683</v>
      </c>
      <c r="F101" s="80" t="n">
        <v>7.0625</v>
      </c>
      <c r="G101" s="80" t="n">
        <v>5.59650898241801</v>
      </c>
      <c r="H101" s="80" t="n">
        <v>1.6519507510517</v>
      </c>
      <c r="I101" s="80" t="n">
        <v>1.6519507510517</v>
      </c>
      <c r="J101" s="80" t="n">
        <v>4.5</v>
      </c>
      <c r="K101" s="80" t="n">
        <v>8.25</v>
      </c>
      <c r="L101" s="80" t="n">
        <v>12.875</v>
      </c>
    </row>
    <row r="102" customFormat="false" ht="15.75" hidden="false" customHeight="false" outlineLevel="0" collapsed="false">
      <c r="A102" s="28" t="n">
        <v>36878</v>
      </c>
      <c r="B102" s="80" t="n">
        <v>79.563</v>
      </c>
      <c r="C102" s="80" t="n">
        <v>27.9375</v>
      </c>
      <c r="D102" s="80" t="n">
        <v>18.5</v>
      </c>
      <c r="E102" s="80" t="n">
        <v>1.79973821989529</v>
      </c>
      <c r="F102" s="80" t="n">
        <v>7.25</v>
      </c>
      <c r="G102" s="80" t="n">
        <v>6.36444205219484</v>
      </c>
      <c r="H102" s="80" t="n">
        <v>1.4982622859237</v>
      </c>
      <c r="I102" s="80" t="n">
        <v>1.4982622859237</v>
      </c>
      <c r="J102" s="80" t="n">
        <v>4.5</v>
      </c>
      <c r="K102" s="80" t="n">
        <v>8.3125</v>
      </c>
      <c r="L102" s="80" t="n">
        <v>13.75</v>
      </c>
    </row>
    <row r="103" customFormat="false" ht="15.75" hidden="false" customHeight="false" outlineLevel="0" collapsed="false">
      <c r="A103" s="28" t="n">
        <v>36879</v>
      </c>
      <c r="B103" s="80" t="n">
        <v>79.75</v>
      </c>
      <c r="C103" s="80" t="n">
        <v>22.8125</v>
      </c>
      <c r="D103" s="80" t="n">
        <v>17.625</v>
      </c>
      <c r="E103" s="80" t="n">
        <v>1.64149704530532</v>
      </c>
      <c r="F103" s="80" t="n">
        <v>7.25</v>
      </c>
      <c r="G103" s="80" t="n">
        <v>5.94827078194142</v>
      </c>
      <c r="H103" s="80" t="n">
        <v>1.62063590498705</v>
      </c>
      <c r="I103" s="80" t="n">
        <v>1.62063590498705</v>
      </c>
      <c r="J103" s="80" t="n">
        <v>4.625</v>
      </c>
      <c r="K103" s="80" t="n">
        <v>8</v>
      </c>
      <c r="L103" s="80" t="n">
        <v>13.688</v>
      </c>
    </row>
    <row r="104" customFormat="false" ht="15.75" hidden="false" customHeight="false" outlineLevel="0" collapsed="false">
      <c r="A104" s="28" t="n">
        <v>36880</v>
      </c>
      <c r="B104" s="80" t="n">
        <v>79.75</v>
      </c>
      <c r="C104" s="80" t="n">
        <v>18.875</v>
      </c>
      <c r="D104" s="80" t="n">
        <v>15.25</v>
      </c>
      <c r="E104" s="80" t="n">
        <v>1.64149704530532</v>
      </c>
      <c r="F104" s="80" t="n">
        <v>7.5</v>
      </c>
      <c r="G104" s="80" t="n">
        <v>5.57949136097187</v>
      </c>
      <c r="H104" s="80" t="n">
        <v>1.66914413201882</v>
      </c>
      <c r="I104" s="80" t="n">
        <v>1.66914413201882</v>
      </c>
      <c r="J104" s="80" t="n">
        <v>4.4375</v>
      </c>
      <c r="K104" s="80" t="n">
        <v>8</v>
      </c>
      <c r="L104" s="80" t="n">
        <v>14.938</v>
      </c>
    </row>
    <row r="105" customFormat="false" ht="15.75" hidden="false" customHeight="false" outlineLevel="0" collapsed="false">
      <c r="A105" s="28" t="n">
        <v>36881</v>
      </c>
      <c r="B105" s="80" t="n">
        <v>79.313</v>
      </c>
      <c r="C105" s="80" t="n">
        <v>19.8125</v>
      </c>
      <c r="D105" s="80" t="n">
        <v>16.9375</v>
      </c>
      <c r="E105" s="80" t="n">
        <v>1.64473684210526</v>
      </c>
      <c r="F105" s="80" t="n">
        <v>7.5</v>
      </c>
      <c r="G105" s="80" t="n">
        <v>4.98338655448854</v>
      </c>
      <c r="H105" s="80" t="n">
        <v>1.47621097653787</v>
      </c>
      <c r="I105" s="80" t="n">
        <v>1.47621097653787</v>
      </c>
      <c r="J105" s="80" t="n">
        <v>4.34375</v>
      </c>
      <c r="K105" s="80" t="n">
        <v>7.875</v>
      </c>
      <c r="L105" s="80" t="n">
        <v>16.5</v>
      </c>
    </row>
    <row r="106" customFormat="false" ht="15.75" hidden="false" customHeight="false" outlineLevel="0" collapsed="false">
      <c r="A106" s="28" t="n">
        <v>36882</v>
      </c>
      <c r="B106" s="80" t="n">
        <v>81.188</v>
      </c>
      <c r="C106" s="80" t="n">
        <v>24.9375</v>
      </c>
      <c r="D106" s="80" t="n">
        <v>17.4375</v>
      </c>
      <c r="E106" s="80" t="n">
        <v>1.6463615409944</v>
      </c>
      <c r="F106" s="80" t="n">
        <v>7.4375</v>
      </c>
      <c r="G106" s="80" t="n">
        <v>5.21719887179508</v>
      </c>
      <c r="H106" s="80" t="n">
        <v>1.6151803860862</v>
      </c>
      <c r="I106" s="80" t="n">
        <v>1.6151803860862</v>
      </c>
      <c r="J106" s="80" t="n">
        <v>4.75</v>
      </c>
      <c r="K106" s="80" t="n">
        <v>8.25</v>
      </c>
      <c r="L106" s="80" t="n">
        <v>16.4375</v>
      </c>
    </row>
    <row r="107" customFormat="false" ht="15.75" hidden="false" customHeight="false" outlineLevel="0" collapsed="false">
      <c r="A107" s="28" t="n">
        <v>36886</v>
      </c>
      <c r="B107" s="80" t="n">
        <v>83.5</v>
      </c>
      <c r="C107" s="80" t="n">
        <v>26.25</v>
      </c>
      <c r="D107" s="80" t="n">
        <v>20.375</v>
      </c>
      <c r="E107" s="80" t="n">
        <v>1.6463615409944</v>
      </c>
      <c r="F107" s="80" t="n">
        <v>7.75</v>
      </c>
      <c r="G107" s="80" t="n">
        <v>6.15819726841122</v>
      </c>
      <c r="H107" s="80" t="n">
        <v>1.58170036971591</v>
      </c>
      <c r="I107" s="80" t="n">
        <v>1.58170036971591</v>
      </c>
      <c r="J107" s="80" t="n">
        <v>4.75</v>
      </c>
      <c r="K107" s="80" t="n">
        <v>8.375</v>
      </c>
      <c r="L107" s="80" t="n">
        <v>16.25</v>
      </c>
    </row>
    <row r="108" customFormat="false" ht="15.75" hidden="false" customHeight="false" outlineLevel="0" collapsed="false">
      <c r="A108" s="28" t="n">
        <v>36887</v>
      </c>
      <c r="B108" s="80" t="n">
        <v>82.813</v>
      </c>
      <c r="C108" s="80" t="n">
        <v>25.25</v>
      </c>
      <c r="D108" s="80" t="n">
        <v>20.875</v>
      </c>
      <c r="E108" s="80" t="n">
        <v>1.65289256198347</v>
      </c>
      <c r="F108" s="80" t="n">
        <v>7.75</v>
      </c>
      <c r="G108" s="80" t="n">
        <v>5.68908130993848</v>
      </c>
      <c r="H108" s="80" t="n">
        <v>1.75330469703613</v>
      </c>
      <c r="I108" s="80" t="n">
        <v>1.75330469703613</v>
      </c>
      <c r="J108" s="80" t="n">
        <v>4.25</v>
      </c>
      <c r="K108" s="80" t="n">
        <v>8.4375</v>
      </c>
      <c r="L108" s="80" t="n">
        <v>17.25</v>
      </c>
    </row>
    <row r="109" customFormat="false" ht="15.75" hidden="false" customHeight="false" outlineLevel="0" collapsed="false">
      <c r="A109" s="28" t="n">
        <v>36888</v>
      </c>
      <c r="B109" s="80" t="n">
        <v>84.625</v>
      </c>
      <c r="C109" s="80" t="n">
        <v>27.5</v>
      </c>
      <c r="D109" s="80" t="n">
        <v>24.5</v>
      </c>
      <c r="E109" s="80" t="n">
        <v>1.66500166500167</v>
      </c>
      <c r="F109" s="80" t="n">
        <v>7.9375</v>
      </c>
      <c r="G109" s="80" t="n">
        <v>5.69303564623114</v>
      </c>
      <c r="H109" s="80" t="n">
        <v>2.85728942183967</v>
      </c>
      <c r="I109" s="80" t="n">
        <v>2.85728942183967</v>
      </c>
      <c r="J109" s="80" t="n">
        <v>4.5</v>
      </c>
      <c r="K109" s="80" t="n">
        <v>9.75</v>
      </c>
      <c r="L109" s="80" t="n">
        <v>18</v>
      </c>
    </row>
    <row r="110" customFormat="false" ht="15.75" hidden="false" customHeight="false" outlineLevel="0" collapsed="false">
      <c r="A110" s="28" t="n">
        <v>36889</v>
      </c>
      <c r="B110" s="80" t="n">
        <v>83.125</v>
      </c>
      <c r="C110" s="80" t="n">
        <v>24.625</v>
      </c>
      <c r="D110" s="80" t="n">
        <v>21.9375</v>
      </c>
      <c r="E110" s="80" t="n">
        <v>1.64214398318445</v>
      </c>
      <c r="F110" s="80" t="n">
        <v>7.875</v>
      </c>
      <c r="G110" s="80" t="n">
        <v>6.04601220724392</v>
      </c>
      <c r="H110" s="80" t="n">
        <v>2.71493414202131</v>
      </c>
      <c r="I110" s="80" t="n">
        <v>2.71493414202131</v>
      </c>
      <c r="J110" s="80" t="n">
        <v>4.5</v>
      </c>
      <c r="K110" s="80" t="n">
        <v>9.625</v>
      </c>
      <c r="L110" s="80" t="n">
        <v>17.25</v>
      </c>
    </row>
    <row r="111" customFormat="false" ht="15.75" hidden="false" customHeight="false" outlineLevel="0" collapsed="false">
      <c r="A111" s="28" t="n">
        <v>36893</v>
      </c>
      <c r="B111" s="80" t="n">
        <v>79.875</v>
      </c>
      <c r="C111" s="80" t="n">
        <v>23.25</v>
      </c>
      <c r="D111" s="80" t="n">
        <v>20</v>
      </c>
      <c r="E111" s="80" t="n">
        <v>1.67358414781095</v>
      </c>
      <c r="F111" s="80" t="n">
        <v>7.5625</v>
      </c>
      <c r="G111" s="80" t="n">
        <v>6.04358386691883</v>
      </c>
      <c r="H111" s="80" t="n">
        <v>2.26962395502388</v>
      </c>
      <c r="I111" s="80" t="n">
        <v>2.26962395502388</v>
      </c>
      <c r="J111" s="80" t="n">
        <v>4.25</v>
      </c>
      <c r="K111" s="80" t="n">
        <v>10.375</v>
      </c>
      <c r="L111" s="80" t="n">
        <v>17.25</v>
      </c>
    </row>
    <row r="112" customFormat="false" ht="15.75" hidden="false" customHeight="false" outlineLevel="0" collapsed="false">
      <c r="A112" s="28" t="n">
        <v>36894</v>
      </c>
      <c r="B112" s="80" t="n">
        <v>75.063</v>
      </c>
      <c r="C112" s="80" t="n">
        <v>26</v>
      </c>
      <c r="D112" s="80" t="n">
        <v>20.5625</v>
      </c>
      <c r="E112" s="80" t="n">
        <v>1.66833500166834</v>
      </c>
      <c r="F112" s="80" t="n">
        <v>7.375</v>
      </c>
      <c r="G112" s="80" t="n">
        <v>5.45011993011772</v>
      </c>
      <c r="H112" s="80" t="n">
        <v>2.09723227092025</v>
      </c>
      <c r="I112" s="80" t="n">
        <v>2.09723227092025</v>
      </c>
      <c r="J112" s="80" t="n">
        <v>4.625</v>
      </c>
      <c r="K112" s="80" t="n">
        <v>9.625</v>
      </c>
      <c r="L112" s="80" t="n">
        <v>16.9375</v>
      </c>
    </row>
    <row r="113" customFormat="false" ht="15.75" hidden="false" customHeight="false" outlineLevel="0" collapsed="false">
      <c r="A113" s="28" t="n">
        <v>36895</v>
      </c>
      <c r="B113" s="80" t="n">
        <v>72</v>
      </c>
      <c r="C113" s="80" t="n">
        <v>24.9375</v>
      </c>
      <c r="D113" s="80" t="n">
        <v>19.9375</v>
      </c>
      <c r="E113" s="80" t="n">
        <v>1.66833500166834</v>
      </c>
      <c r="F113" s="80" t="n">
        <v>7.375</v>
      </c>
      <c r="G113" s="80" t="n">
        <v>5.90856261173477</v>
      </c>
      <c r="H113" s="80" t="n">
        <v>2.05352314830026</v>
      </c>
      <c r="I113" s="80" t="n">
        <v>2.05352314830026</v>
      </c>
      <c r="J113" s="80" t="n">
        <v>4.625</v>
      </c>
      <c r="K113" s="80" t="n">
        <v>9.625</v>
      </c>
      <c r="L113" s="80" t="n">
        <v>16.9375</v>
      </c>
    </row>
    <row r="114" customFormat="false" ht="15.75" hidden="false" customHeight="false" outlineLevel="0" collapsed="false">
      <c r="A114" s="28" t="n">
        <v>36896</v>
      </c>
      <c r="B114" s="80" t="n">
        <v>71.375</v>
      </c>
      <c r="C114" s="80" t="n">
        <v>21.3125</v>
      </c>
      <c r="D114" s="80" t="n">
        <v>19.8125</v>
      </c>
      <c r="E114" s="80" t="n">
        <v>1.66666666666667</v>
      </c>
      <c r="F114" s="80" t="n">
        <v>7.375</v>
      </c>
      <c r="G114" s="80" t="n">
        <v>5.83383823472754</v>
      </c>
      <c r="H114" s="80" t="n">
        <v>2.03149543598042</v>
      </c>
      <c r="I114" s="80" t="n">
        <v>2.03149543598042</v>
      </c>
      <c r="J114" s="80" t="n">
        <v>4.75</v>
      </c>
      <c r="K114" s="80" t="n">
        <v>9.875</v>
      </c>
      <c r="L114" s="80" t="n">
        <v>16.0625</v>
      </c>
    </row>
    <row r="115" customFormat="false" ht="15.75" hidden="false" customHeight="false" outlineLevel="0" collapsed="false">
      <c r="A115" s="28" t="n">
        <v>36899</v>
      </c>
      <c r="B115" s="80" t="n">
        <v>71.25</v>
      </c>
      <c r="C115" s="80" t="n">
        <v>19.75</v>
      </c>
      <c r="D115" s="80" t="n">
        <v>20.25</v>
      </c>
      <c r="E115" s="80" t="n">
        <v>1.67280026764804</v>
      </c>
      <c r="F115" s="80" t="n">
        <v>7.1875</v>
      </c>
      <c r="G115" s="80" t="n">
        <v>5.88568633072496</v>
      </c>
      <c r="H115" s="80" t="n">
        <v>2.06359782489636</v>
      </c>
      <c r="I115" s="80" t="n">
        <v>2.06359782489636</v>
      </c>
      <c r="J115" s="80" t="n">
        <v>4.75</v>
      </c>
      <c r="K115" s="80" t="n">
        <v>10</v>
      </c>
      <c r="L115" s="80" t="n">
        <v>15.375</v>
      </c>
    </row>
    <row r="116" customFormat="false" ht="15.75" hidden="false" customHeight="false" outlineLevel="0" collapsed="false">
      <c r="A116" s="28" t="n">
        <v>36900</v>
      </c>
      <c r="B116" s="80" t="n">
        <v>68.625</v>
      </c>
      <c r="C116" s="80" t="n">
        <v>26.1875</v>
      </c>
      <c r="D116" s="80" t="n">
        <v>20.5</v>
      </c>
      <c r="F116" s="80" t="n">
        <v>7.1875</v>
      </c>
      <c r="G116" s="80" t="n">
        <v>6.25514726015408</v>
      </c>
      <c r="H116" s="80" t="n">
        <v>2.3424289733841</v>
      </c>
      <c r="I116" s="80" t="n">
        <v>2.3424289733841</v>
      </c>
      <c r="J116" s="80" t="n">
        <v>4.375</v>
      </c>
      <c r="L116" s="80" t="n">
        <v>15</v>
      </c>
    </row>
    <row r="117" customFormat="false" ht="15.75" hidden="false" customHeight="false" outlineLevel="0" collapsed="false">
      <c r="A117" s="28" t="n">
        <v>36901</v>
      </c>
      <c r="B117" s="80" t="n">
        <v>68.938</v>
      </c>
      <c r="C117" s="80" t="n">
        <v>30.125</v>
      </c>
      <c r="D117" s="80" t="n">
        <v>20.125</v>
      </c>
      <c r="F117" s="80" t="n">
        <v>7.25</v>
      </c>
      <c r="G117" s="80" t="n">
        <v>6.02634006723585</v>
      </c>
      <c r="H117" s="80" t="n">
        <v>2.37631606686358</v>
      </c>
      <c r="I117" s="80" t="n">
        <v>2.37631606686358</v>
      </c>
      <c r="J117" s="80" t="n">
        <v>4.375</v>
      </c>
      <c r="L117" s="80" t="n">
        <v>14.75</v>
      </c>
    </row>
    <row r="118" customFormat="false" ht="15.75" hidden="false" customHeight="false" outlineLevel="0" collapsed="false">
      <c r="A118" s="28" t="n">
        <v>36902</v>
      </c>
      <c r="B118" s="80" t="n">
        <v>69.438</v>
      </c>
      <c r="C118" s="80" t="n">
        <v>35.5625</v>
      </c>
      <c r="D118" s="80" t="n">
        <v>22.75</v>
      </c>
      <c r="F118" s="80" t="n">
        <v>7.5</v>
      </c>
      <c r="G118" s="80" t="n">
        <v>6.59550195449267</v>
      </c>
      <c r="H118" s="80" t="n">
        <v>2.76262750827664</v>
      </c>
      <c r="I118" s="80" t="n">
        <v>2.76262750827664</v>
      </c>
      <c r="J118" s="80" t="n">
        <v>4.375</v>
      </c>
      <c r="L118" s="80" t="n">
        <v>14.25</v>
      </c>
    </row>
    <row r="119" customFormat="false" ht="15.75" hidden="false" customHeight="false" outlineLevel="0" collapsed="false">
      <c r="A119" s="28" t="n">
        <v>36903</v>
      </c>
      <c r="B119" s="80" t="n">
        <v>70.438</v>
      </c>
      <c r="C119" s="80" t="n">
        <v>37.125</v>
      </c>
      <c r="D119" s="80" t="n">
        <v>23.625</v>
      </c>
      <c r="F119" s="80" t="n">
        <v>7.4375</v>
      </c>
      <c r="G119" s="80" t="n">
        <v>6.87885911867309</v>
      </c>
      <c r="H119" s="80" t="n">
        <v>2.80634674048819</v>
      </c>
      <c r="I119" s="80" t="n">
        <v>2.8063467404882</v>
      </c>
      <c r="J119" s="80" t="n">
        <v>4.625</v>
      </c>
      <c r="L119" s="80" t="n">
        <v>14.125</v>
      </c>
    </row>
    <row r="120" customFormat="false" ht="15.75" hidden="false" customHeight="false" outlineLevel="0" collapsed="false">
      <c r="A120" s="28" t="n">
        <v>36907</v>
      </c>
      <c r="B120" s="80" t="n">
        <v>68.438</v>
      </c>
      <c r="C120" s="80" t="n">
        <v>33.9375</v>
      </c>
      <c r="D120" s="80" t="n">
        <v>27.625</v>
      </c>
      <c r="F120" s="80" t="n">
        <v>7.375</v>
      </c>
      <c r="G120" s="80" t="n">
        <v>6.63565928261737</v>
      </c>
      <c r="H120" s="80" t="n">
        <v>2.93118730967633</v>
      </c>
      <c r="I120" s="80" t="n">
        <v>2.93118730967633</v>
      </c>
      <c r="J120" s="80" t="n">
        <v>4.75</v>
      </c>
      <c r="L120" s="80" t="n">
        <v>13.9375</v>
      </c>
    </row>
    <row r="121" customFormat="false" ht="15.75" hidden="false" customHeight="false" outlineLevel="0" collapsed="false">
      <c r="A121" s="28" t="n">
        <v>36908</v>
      </c>
      <c r="B121" s="80" t="n">
        <v>71.125</v>
      </c>
      <c r="C121" s="80" t="n">
        <v>34.9375</v>
      </c>
      <c r="D121" s="80" t="n">
        <v>24</v>
      </c>
      <c r="F121" s="80" t="n">
        <v>7.5</v>
      </c>
      <c r="G121" s="80" t="n">
        <v>6.98685817481912</v>
      </c>
      <c r="H121" s="80" t="n">
        <v>2.16991706715457</v>
      </c>
      <c r="I121" s="80" t="n">
        <v>2.16991706715457</v>
      </c>
      <c r="J121" s="80" t="n">
        <v>4.75</v>
      </c>
      <c r="L121" s="80" t="n">
        <v>14.375</v>
      </c>
    </row>
    <row r="122" customFormat="false" ht="15.75" hidden="false" customHeight="false" outlineLevel="0" collapsed="false">
      <c r="A122" s="28" t="n">
        <v>36909</v>
      </c>
      <c r="B122" s="80" t="n">
        <v>72.063</v>
      </c>
      <c r="C122" s="80" t="n">
        <v>34.0625</v>
      </c>
      <c r="D122" s="80" t="n">
        <v>26.75</v>
      </c>
      <c r="F122" s="80" t="n">
        <v>7.625</v>
      </c>
      <c r="G122" s="80" t="n">
        <v>6.25305379391598</v>
      </c>
      <c r="H122" s="80" t="n">
        <v>2.22451207705069</v>
      </c>
      <c r="I122" s="80" t="n">
        <v>2.22451207705069</v>
      </c>
      <c r="J122" s="80" t="n">
        <v>4.5</v>
      </c>
      <c r="L122" s="80" t="n">
        <v>14.375</v>
      </c>
    </row>
    <row r="123" customFormat="false" ht="15.75" hidden="false" customHeight="false" outlineLevel="0" collapsed="false">
      <c r="A123" s="28" t="n">
        <v>36910</v>
      </c>
      <c r="B123" s="80" t="n">
        <v>70.875</v>
      </c>
      <c r="C123" s="80" t="n">
        <v>31.1875</v>
      </c>
      <c r="D123" s="80" t="n">
        <v>29.0625</v>
      </c>
      <c r="F123" s="80" t="n">
        <v>7.4375</v>
      </c>
      <c r="G123" s="80" t="n">
        <v>5.54595171961968</v>
      </c>
      <c r="H123" s="80" t="n">
        <v>2.08579893868369</v>
      </c>
      <c r="I123" s="80" t="n">
        <v>2.08579893868369</v>
      </c>
      <c r="J123" s="80" t="n">
        <v>4.375</v>
      </c>
      <c r="L123" s="80" t="n">
        <v>14.5</v>
      </c>
    </row>
    <row r="124" customFormat="false" ht="15.75" hidden="false" customHeight="false" outlineLevel="0" collapsed="false">
      <c r="A124" s="28" t="n">
        <v>36913</v>
      </c>
      <c r="B124" s="80" t="n">
        <v>75.0625</v>
      </c>
      <c r="C124" s="80" t="n">
        <v>28.875</v>
      </c>
      <c r="D124" s="80" t="n">
        <v>27.3125</v>
      </c>
      <c r="F124" s="80" t="n">
        <v>7.3125</v>
      </c>
      <c r="G124" s="80" t="n">
        <v>5.90241193590941</v>
      </c>
      <c r="H124" s="80" t="n">
        <v>2.0570799938372</v>
      </c>
      <c r="I124" s="80" t="n">
        <v>2.0570799938372</v>
      </c>
      <c r="J124" s="80" t="n">
        <v>4.8125</v>
      </c>
      <c r="L124" s="80" t="n">
        <v>14.25</v>
      </c>
    </row>
    <row r="125" customFormat="false" ht="15.75" hidden="false" customHeight="false" outlineLevel="0" collapsed="false">
      <c r="A125" s="28" t="n">
        <v>36914</v>
      </c>
      <c r="B125" s="80" t="n">
        <v>78.563</v>
      </c>
      <c r="C125" s="80" t="n">
        <v>37</v>
      </c>
      <c r="D125" s="80" t="n">
        <v>25.5</v>
      </c>
      <c r="F125" s="80" t="n">
        <v>7.1875</v>
      </c>
      <c r="G125" s="80" t="n">
        <v>6.26794488519327</v>
      </c>
      <c r="H125" s="80" t="n">
        <v>2.04023481473328</v>
      </c>
      <c r="I125" s="80" t="n">
        <v>2.04023481473328</v>
      </c>
      <c r="J125" s="80" t="n">
        <v>5</v>
      </c>
      <c r="L125" s="80" t="n">
        <v>14.125</v>
      </c>
    </row>
    <row r="126" customFormat="false" ht="15.75" hidden="false" customHeight="false" outlineLevel="0" collapsed="false">
      <c r="A126" s="28" t="n">
        <v>36915</v>
      </c>
      <c r="B126" s="80" t="n">
        <v>79.75</v>
      </c>
      <c r="C126" s="80" t="n">
        <v>33.4375</v>
      </c>
      <c r="D126" s="80" t="n">
        <v>24</v>
      </c>
      <c r="F126" s="80" t="n">
        <v>7.3125</v>
      </c>
      <c r="G126" s="80" t="n">
        <v>6.5077461294767</v>
      </c>
      <c r="H126" s="80" t="n">
        <v>1.97332572310912</v>
      </c>
      <c r="I126" s="80" t="n">
        <v>1.97332572310912</v>
      </c>
      <c r="J126" s="80" t="n">
        <v>5</v>
      </c>
      <c r="L126" s="80" t="n">
        <v>14.3125</v>
      </c>
    </row>
    <row r="127" customFormat="false" ht="15.75" hidden="false" customHeight="false" outlineLevel="0" collapsed="false">
      <c r="A127" s="28" t="n">
        <v>36916</v>
      </c>
      <c r="B127" s="80" t="n">
        <v>82</v>
      </c>
      <c r="C127" s="80" t="n">
        <v>31.625</v>
      </c>
      <c r="D127" s="80" t="n">
        <v>20</v>
      </c>
      <c r="F127" s="80" t="n">
        <v>7.25</v>
      </c>
      <c r="G127" s="80" t="n">
        <v>6.63098688935516</v>
      </c>
      <c r="H127" s="80" t="n">
        <v>1.99523225391544</v>
      </c>
      <c r="I127" s="80" t="n">
        <v>1.99523225391544</v>
      </c>
      <c r="J127" s="80" t="n">
        <v>5.0625</v>
      </c>
      <c r="L127" s="80" t="n">
        <v>14.125</v>
      </c>
    </row>
    <row r="128" customFormat="false" ht="15.75" hidden="false" customHeight="false" outlineLevel="0" collapsed="false">
      <c r="A128" s="28" t="n">
        <v>36917</v>
      </c>
      <c r="B128" s="80" t="n">
        <v>82</v>
      </c>
      <c r="C128" s="80" t="n">
        <v>31.25</v>
      </c>
      <c r="D128" s="80" t="n">
        <v>23</v>
      </c>
      <c r="F128" s="80" t="n">
        <v>7.25</v>
      </c>
      <c r="G128" s="80" t="n">
        <v>6.86937117381268</v>
      </c>
      <c r="H128" s="80" t="n">
        <v>2.0372206953942</v>
      </c>
      <c r="I128" s="80" t="n">
        <v>2.0372206953942</v>
      </c>
      <c r="J128" s="80" t="n">
        <v>5</v>
      </c>
      <c r="L128" s="80" t="n">
        <v>14.3125</v>
      </c>
    </row>
    <row r="129" customFormat="false" ht="15.75" hidden="false" customHeight="false" outlineLevel="0" collapsed="false">
      <c r="A129" s="28" t="n">
        <v>36920</v>
      </c>
      <c r="B129" s="80" t="n">
        <v>80.77</v>
      </c>
      <c r="C129" s="80" t="n">
        <v>32</v>
      </c>
      <c r="D129" s="80" t="n">
        <v>22.875</v>
      </c>
      <c r="F129" s="80" t="n">
        <v>7.1875</v>
      </c>
      <c r="G129" s="80" t="n">
        <v>6.98981681689042</v>
      </c>
      <c r="H129" s="80" t="n">
        <v>2.09998087913356</v>
      </c>
      <c r="I129" s="80" t="n">
        <v>2.09998087913356</v>
      </c>
      <c r="J129" s="80" t="n">
        <v>5</v>
      </c>
      <c r="L129" s="80" t="n">
        <v>14.75</v>
      </c>
    </row>
    <row r="130" customFormat="false" ht="15.75" hidden="false" customHeight="false" outlineLevel="0" collapsed="false">
      <c r="A130" s="28" t="n">
        <v>36921</v>
      </c>
      <c r="B130" s="80" t="n">
        <v>78.5</v>
      </c>
      <c r="C130" s="80" t="n">
        <v>32.25</v>
      </c>
      <c r="D130" s="80" t="n">
        <v>25</v>
      </c>
      <c r="F130" s="80" t="n">
        <v>7.21875</v>
      </c>
      <c r="G130" s="80" t="n">
        <v>6.25563476634463</v>
      </c>
      <c r="H130" s="80" t="n">
        <v>1.88122255485945</v>
      </c>
      <c r="I130" s="80" t="n">
        <v>1.88122255485945</v>
      </c>
      <c r="J130" s="80" t="n">
        <v>5</v>
      </c>
      <c r="L130" s="80" t="n">
        <v>16</v>
      </c>
    </row>
    <row r="131" customFormat="false" ht="15.75" hidden="false" customHeight="false" outlineLevel="0" collapsed="false">
      <c r="A131" s="28" t="n">
        <v>36922</v>
      </c>
      <c r="B131" s="80" t="n">
        <v>80</v>
      </c>
      <c r="C131" s="80" t="n">
        <v>35.5</v>
      </c>
      <c r="D131" s="80" t="n">
        <v>23.75</v>
      </c>
      <c r="F131" s="80" t="n">
        <v>7.8125</v>
      </c>
      <c r="G131" s="80" t="n">
        <v>6.18550247917769</v>
      </c>
      <c r="H131" s="80" t="n">
        <v>2.2133836526168</v>
      </c>
      <c r="I131" s="80" t="n">
        <v>2.2133836526168</v>
      </c>
      <c r="J131" s="80" t="n">
        <v>5</v>
      </c>
      <c r="L131" s="80" t="n">
        <v>16.625</v>
      </c>
    </row>
    <row r="132" customFormat="false" ht="15.75" hidden="false" customHeight="false" outlineLevel="0" collapsed="false">
      <c r="A132" s="28" t="n">
        <v>36923</v>
      </c>
      <c r="B132" s="80" t="n">
        <v>78.79</v>
      </c>
      <c r="C132" s="80" t="n">
        <v>35.8125</v>
      </c>
      <c r="D132" s="80" t="n">
        <v>22</v>
      </c>
      <c r="F132" s="80" t="n">
        <v>7.4375</v>
      </c>
      <c r="G132" s="80" t="n">
        <v>6.59909246173168</v>
      </c>
      <c r="H132" s="80" t="n">
        <v>2.52618043547721</v>
      </c>
      <c r="I132" s="80" t="n">
        <v>2.52618043547721</v>
      </c>
      <c r="J132" s="80" t="n">
        <v>5.125</v>
      </c>
      <c r="L132" s="80" t="n">
        <v>16.25</v>
      </c>
    </row>
    <row r="133" customFormat="false" ht="15.75" hidden="false" customHeight="false" outlineLevel="0" collapsed="false">
      <c r="A133" s="28" t="n">
        <v>36924</v>
      </c>
      <c r="B133" s="80" t="n">
        <v>79.98</v>
      </c>
      <c r="C133" s="80" t="n">
        <v>34.5</v>
      </c>
      <c r="D133" s="80" t="n">
        <v>20.5625</v>
      </c>
      <c r="F133" s="80" t="n">
        <v>7.75</v>
      </c>
      <c r="G133" s="80" t="n">
        <v>6.12947227408568</v>
      </c>
      <c r="H133" s="80" t="n">
        <v>2.36022900881721</v>
      </c>
      <c r="I133" s="80" t="n">
        <v>2.36022900881721</v>
      </c>
      <c r="J133" s="80" t="n">
        <v>5.125</v>
      </c>
      <c r="L133" s="80" t="n">
        <v>16.625</v>
      </c>
    </row>
    <row r="134" customFormat="false" ht="15.75" hidden="false" customHeight="false" outlineLevel="0" collapsed="false">
      <c r="A134" s="28" t="n">
        <v>36927</v>
      </c>
      <c r="B134" s="80" t="n">
        <v>81.81</v>
      </c>
      <c r="C134" s="80" t="n">
        <v>31.625</v>
      </c>
      <c r="D134" s="80" t="n">
        <v>20.5</v>
      </c>
      <c r="F134" s="80" t="n">
        <v>7.875</v>
      </c>
      <c r="G134" s="80" t="n">
        <v>6.72899346759678</v>
      </c>
      <c r="H134" s="80" t="n">
        <v>2.45546192241598</v>
      </c>
      <c r="I134" s="80" t="n">
        <v>2.45546192241598</v>
      </c>
      <c r="J134" s="80" t="n">
        <v>5.375</v>
      </c>
      <c r="L134" s="80" t="n">
        <v>16.5</v>
      </c>
    </row>
    <row r="135" customFormat="false" ht="15.75" hidden="false" customHeight="false" outlineLevel="0" collapsed="false">
      <c r="A135" s="28" t="n">
        <v>36928</v>
      </c>
      <c r="B135" s="80" t="n">
        <v>80.15</v>
      </c>
      <c r="C135" s="80" t="n">
        <v>31.125</v>
      </c>
      <c r="D135" s="80" t="n">
        <v>23.75</v>
      </c>
      <c r="F135" s="80" t="n">
        <v>8</v>
      </c>
      <c r="G135" s="80" t="n">
        <v>6.25331724398526</v>
      </c>
      <c r="H135" s="80" t="n">
        <v>2.53515688797107</v>
      </c>
      <c r="I135" s="80" t="n">
        <v>2.53515688797107</v>
      </c>
      <c r="J135" s="80" t="n">
        <v>5.75</v>
      </c>
      <c r="L135" s="80" t="n">
        <v>16</v>
      </c>
    </row>
    <row r="136" customFormat="false" ht="15.75" hidden="false" customHeight="false" outlineLevel="0" collapsed="false">
      <c r="A136" s="28" t="n">
        <v>36929</v>
      </c>
      <c r="B136" s="80" t="n">
        <v>80.35</v>
      </c>
      <c r="C136" s="80" t="n">
        <v>27.5625</v>
      </c>
      <c r="D136" s="80" t="n">
        <v>22.6875</v>
      </c>
      <c r="F136" s="80" t="n">
        <v>8</v>
      </c>
      <c r="G136" s="80" t="n">
        <v>6.04213270268797</v>
      </c>
      <c r="H136" s="80" t="n">
        <v>2.60756363912809</v>
      </c>
      <c r="I136" s="80" t="n">
        <v>2.60756363912809</v>
      </c>
      <c r="J136" s="80" t="n">
        <v>5.5625</v>
      </c>
      <c r="L136" s="80" t="n">
        <v>15.875</v>
      </c>
    </row>
    <row r="137" customFormat="false" ht="15.75" hidden="false" customHeight="false" outlineLevel="0" collapsed="false">
      <c r="A137" s="28" t="n">
        <v>36930</v>
      </c>
      <c r="B137" s="80" t="n">
        <v>80</v>
      </c>
      <c r="C137" s="80" t="n">
        <v>25.5</v>
      </c>
      <c r="D137" s="80" t="n">
        <v>21.3125</v>
      </c>
      <c r="F137" s="80" t="n">
        <v>8.1875</v>
      </c>
      <c r="G137" s="80" t="n">
        <v>5.89438302580871</v>
      </c>
      <c r="H137" s="80" t="n">
        <v>2.58211022383837</v>
      </c>
      <c r="I137" s="80" t="n">
        <v>2.58211022383837</v>
      </c>
      <c r="J137" s="80" t="n">
        <v>5.4375</v>
      </c>
      <c r="L137" s="80" t="n">
        <v>16.25</v>
      </c>
    </row>
    <row r="138" customFormat="false" ht="15.75" hidden="false" customHeight="false" outlineLevel="0" collapsed="false">
      <c r="A138" s="28" t="n">
        <v>36931</v>
      </c>
      <c r="B138" s="80" t="n">
        <v>80.2</v>
      </c>
      <c r="C138" s="80" t="n">
        <v>25.0625</v>
      </c>
      <c r="D138" s="80" t="n">
        <v>20</v>
      </c>
      <c r="F138" s="80" t="n">
        <v>8.25</v>
      </c>
      <c r="G138" s="80" t="n">
        <v>5.70711780576669</v>
      </c>
      <c r="H138" s="80" t="n">
        <v>2.65255223406644</v>
      </c>
      <c r="I138" s="80" t="n">
        <v>2.65255223406644</v>
      </c>
      <c r="J138" s="80" t="n">
        <v>5.4375</v>
      </c>
      <c r="L138" s="80" t="n">
        <v>15.6875</v>
      </c>
    </row>
    <row r="139" customFormat="false" ht="15.75" hidden="false" customHeight="false" outlineLevel="0" collapsed="false">
      <c r="A139" s="28" t="n">
        <v>36934</v>
      </c>
      <c r="B139" s="80" t="n">
        <v>79.8</v>
      </c>
      <c r="C139" s="80" t="n">
        <v>23.875</v>
      </c>
      <c r="D139" s="80" t="n">
        <v>19.4375</v>
      </c>
      <c r="F139" s="80" t="n">
        <v>8.375</v>
      </c>
      <c r="G139" s="80" t="n">
        <v>5.54396737188</v>
      </c>
      <c r="H139" s="80" t="n">
        <v>2.64582908383801</v>
      </c>
      <c r="I139" s="80" t="n">
        <v>2.64582908383801</v>
      </c>
      <c r="J139" s="80" t="n">
        <v>5.625</v>
      </c>
      <c r="L139" s="80" t="n">
        <v>14.875</v>
      </c>
    </row>
    <row r="140" customFormat="false" ht="15.75" hidden="false" customHeight="false" outlineLevel="0" collapsed="false">
      <c r="A140" s="28" t="n">
        <v>36935</v>
      </c>
      <c r="B140" s="80" t="n">
        <v>81.15</v>
      </c>
      <c r="C140" s="80" t="n">
        <v>20.75</v>
      </c>
      <c r="D140" s="80" t="n">
        <v>21.0625</v>
      </c>
      <c r="F140" s="80" t="n">
        <v>8.1875</v>
      </c>
      <c r="G140" s="80" t="n">
        <v>5.47351850204663</v>
      </c>
      <c r="H140" s="80" t="n">
        <v>2.93780897842548</v>
      </c>
      <c r="I140" s="80" t="n">
        <v>2.93780897842548</v>
      </c>
      <c r="J140" s="80" t="n">
        <v>5.8125</v>
      </c>
      <c r="L140" s="80" t="n">
        <v>15</v>
      </c>
    </row>
    <row r="141" customFormat="false" ht="15.75" hidden="false" customHeight="false" outlineLevel="0" collapsed="false">
      <c r="A141" s="28" t="n">
        <v>36936</v>
      </c>
      <c r="B141" s="80" t="n">
        <v>80</v>
      </c>
      <c r="C141" s="80" t="n">
        <v>19.875</v>
      </c>
      <c r="D141" s="80" t="n">
        <v>20.8125</v>
      </c>
      <c r="F141" s="80" t="n">
        <v>8.5</v>
      </c>
      <c r="G141" s="80" t="n">
        <v>5.30185386703987</v>
      </c>
      <c r="H141" s="80" t="n">
        <v>2.87090003797343</v>
      </c>
      <c r="I141" s="80" t="n">
        <v>2.87090003797343</v>
      </c>
      <c r="J141" s="80" t="n">
        <v>5.8125</v>
      </c>
      <c r="L141" s="80" t="n">
        <v>16.125</v>
      </c>
    </row>
    <row r="142" customFormat="false" ht="15.75" hidden="false" customHeight="false" outlineLevel="0" collapsed="false">
      <c r="A142" s="28" t="n">
        <v>36937</v>
      </c>
      <c r="B142" s="80" t="n">
        <v>77.9</v>
      </c>
      <c r="C142" s="80" t="n">
        <v>22.5625</v>
      </c>
      <c r="D142" s="80" t="n">
        <v>20.5</v>
      </c>
      <c r="F142" s="80" t="n">
        <v>8.375</v>
      </c>
      <c r="G142" s="80" t="n">
        <v>5.27765921376617</v>
      </c>
      <c r="H142" s="80" t="n">
        <v>2.73370314228067</v>
      </c>
      <c r="I142" s="80" t="n">
        <v>2.73370314228067</v>
      </c>
      <c r="J142" s="80" t="n">
        <v>6</v>
      </c>
      <c r="L142" s="80" t="n">
        <v>17</v>
      </c>
    </row>
    <row r="143" customFormat="false" ht="15.75" hidden="false" customHeight="false" outlineLevel="0" collapsed="false">
      <c r="A143" s="28" t="n">
        <v>36938</v>
      </c>
      <c r="B143" s="80" t="n">
        <v>76.19</v>
      </c>
      <c r="C143" s="80" t="n">
        <v>20.625</v>
      </c>
      <c r="D143" s="80" t="n">
        <v>20.375</v>
      </c>
      <c r="F143" s="80" t="n">
        <v>8.4375</v>
      </c>
      <c r="G143" s="80" t="n">
        <v>5.17567461305716</v>
      </c>
      <c r="H143" s="80" t="n">
        <v>2.63264367676332</v>
      </c>
      <c r="I143" s="80" t="n">
        <v>2.63264367676332</v>
      </c>
      <c r="J143" s="80" t="n">
        <v>6</v>
      </c>
      <c r="L143" s="80" t="n">
        <v>16.9375</v>
      </c>
    </row>
    <row r="144" customFormat="false" ht="15.75" hidden="false" customHeight="false" outlineLevel="0" collapsed="false">
      <c r="A144" s="28" t="n">
        <v>36942</v>
      </c>
      <c r="B144" s="80" t="n">
        <v>75.09</v>
      </c>
      <c r="C144" s="80" t="n">
        <v>17.640625</v>
      </c>
      <c r="D144" s="80" t="n">
        <v>20.625</v>
      </c>
      <c r="F144" s="80" t="n">
        <v>8.25</v>
      </c>
      <c r="G144" s="80" t="n">
        <v>5.3497548177857</v>
      </c>
      <c r="H144" s="80" t="n">
        <v>2.41643186290642</v>
      </c>
      <c r="I144" s="80" t="n">
        <v>2.41643186290642</v>
      </c>
      <c r="J144" s="80" t="n">
        <v>5.84375</v>
      </c>
      <c r="L144" s="80" t="n">
        <v>16.9375</v>
      </c>
    </row>
    <row r="145" customFormat="false" ht="15.75" hidden="false" customHeight="false" outlineLevel="0" collapsed="false">
      <c r="A145" s="28" t="n">
        <v>36943</v>
      </c>
      <c r="B145" s="80" t="n">
        <v>73.09</v>
      </c>
      <c r="C145" s="80" t="n">
        <v>15.125</v>
      </c>
      <c r="D145" s="80" t="n">
        <v>20.375</v>
      </c>
      <c r="F145" s="80" t="n">
        <v>8.375</v>
      </c>
      <c r="G145" s="80" t="n">
        <v>5.2920242898519</v>
      </c>
      <c r="H145" s="80" t="n">
        <v>2.67196066030649</v>
      </c>
      <c r="I145" s="80" t="n">
        <v>2.67196066030649</v>
      </c>
      <c r="J145" s="80" t="n">
        <v>5.875</v>
      </c>
      <c r="L145" s="80" t="n">
        <v>16.9375</v>
      </c>
    </row>
    <row r="146" customFormat="false" ht="15.75" hidden="false" customHeight="false" outlineLevel="0" collapsed="false">
      <c r="A146" s="28" t="n">
        <v>36944</v>
      </c>
      <c r="B146" s="80" t="n">
        <v>72.15</v>
      </c>
      <c r="C146" s="80" t="n">
        <v>13.0625</v>
      </c>
      <c r="D146" s="80" t="n">
        <v>19.5</v>
      </c>
      <c r="F146" s="80" t="n">
        <v>8.0625</v>
      </c>
      <c r="G146" s="80" t="n">
        <v>4.87586831060209</v>
      </c>
      <c r="H146" s="80" t="n">
        <v>2.6596689453851</v>
      </c>
      <c r="I146" s="80" t="n">
        <v>2.6596689453851</v>
      </c>
      <c r="J146" s="80" t="n">
        <v>5.875</v>
      </c>
      <c r="L146" s="80" t="n">
        <v>16.9375</v>
      </c>
    </row>
    <row r="147" customFormat="false" ht="15.75" hidden="false" customHeight="false" outlineLevel="0" collapsed="false">
      <c r="A147" s="28" t="n">
        <v>36945</v>
      </c>
      <c r="B147" s="80" t="n">
        <v>71</v>
      </c>
      <c r="C147" s="80" t="n">
        <v>16.109375</v>
      </c>
      <c r="D147" s="80" t="n">
        <v>20.625</v>
      </c>
      <c r="F147" s="80" t="n">
        <v>7.875</v>
      </c>
      <c r="G147" s="80" t="n">
        <v>4.4037629028499</v>
      </c>
      <c r="H147" s="80" t="n">
        <v>2.64409631551075</v>
      </c>
      <c r="I147" s="80" t="n">
        <v>2.64409631551075</v>
      </c>
      <c r="J147" s="80" t="n">
        <v>5.53125</v>
      </c>
      <c r="L147" s="80" t="n">
        <v>16.9375</v>
      </c>
    </row>
    <row r="148" customFormat="false" ht="15.75" hidden="false" customHeight="false" outlineLevel="0" collapsed="false">
      <c r="A148" s="28" t="n">
        <v>36948</v>
      </c>
      <c r="B148" s="80" t="n">
        <v>70.56</v>
      </c>
      <c r="C148" s="80" t="n">
        <v>16.5625</v>
      </c>
      <c r="D148" s="80" t="n">
        <v>21.375</v>
      </c>
      <c r="F148" s="80" t="n">
        <v>7.46875</v>
      </c>
      <c r="G148" s="80" t="n">
        <v>4.45472496134301</v>
      </c>
      <c r="H148" s="80" t="n">
        <v>2.06259132973025</v>
      </c>
      <c r="I148" s="80" t="n">
        <v>2.06259132973025</v>
      </c>
      <c r="J148" s="80" t="n">
        <v>5.6875</v>
      </c>
      <c r="L148" s="80" t="n">
        <v>16.625</v>
      </c>
    </row>
    <row r="149" customFormat="false" ht="15.75" hidden="false" customHeight="false" outlineLevel="0" collapsed="false">
      <c r="A149" s="28" t="n">
        <v>36949</v>
      </c>
      <c r="B149" s="80" t="n">
        <v>70.04</v>
      </c>
      <c r="C149" s="80" t="n">
        <v>15.75</v>
      </c>
      <c r="D149" s="80" t="n">
        <v>21.5625</v>
      </c>
      <c r="F149" s="80" t="n">
        <v>7.125</v>
      </c>
      <c r="G149" s="80" t="n">
        <v>4.56794087186471</v>
      </c>
      <c r="H149" s="80" t="n">
        <v>2.10543514452462</v>
      </c>
      <c r="I149" s="80" t="n">
        <v>2.10543514452462</v>
      </c>
      <c r="J149" s="80" t="n">
        <v>5.6875</v>
      </c>
      <c r="L149" s="80" t="n">
        <v>16.9375</v>
      </c>
    </row>
    <row r="150" customFormat="false" ht="15.75" hidden="false" customHeight="false" outlineLevel="0" collapsed="false">
      <c r="A150" s="28" t="n">
        <v>36950</v>
      </c>
      <c r="B150" s="80" t="n">
        <v>68.5</v>
      </c>
      <c r="C150" s="80" t="n">
        <v>15.0625</v>
      </c>
      <c r="D150" s="80" t="n">
        <v>19.875</v>
      </c>
      <c r="F150" s="80" t="n">
        <v>7.125</v>
      </c>
      <c r="G150" s="80" t="n">
        <v>4.33021108590191</v>
      </c>
      <c r="H150" s="80" t="n">
        <v>2.18932620959619</v>
      </c>
      <c r="I150" s="80" t="n">
        <v>2.18932620959619</v>
      </c>
      <c r="J150" s="80" t="n">
        <v>5.5</v>
      </c>
      <c r="L150" s="80" t="n">
        <v>16.25</v>
      </c>
    </row>
    <row r="151" customFormat="false" ht="15.75" hidden="false" customHeight="false" outlineLevel="0" collapsed="false">
      <c r="A151" s="28" t="n">
        <v>36951</v>
      </c>
      <c r="B151" s="80" t="n">
        <v>68.68</v>
      </c>
      <c r="C151" s="80" t="n">
        <v>16.25</v>
      </c>
      <c r="D151" s="80" t="n">
        <v>18.75</v>
      </c>
      <c r="F151" s="80" t="n">
        <v>7.125</v>
      </c>
      <c r="G151" s="80" t="n">
        <v>4.04148452888378</v>
      </c>
      <c r="H151" s="80" t="n">
        <v>2.25658278148969</v>
      </c>
      <c r="I151" s="80" t="n">
        <v>2.25658278148969</v>
      </c>
      <c r="J151" s="80" t="n">
        <v>5.375</v>
      </c>
      <c r="L151" s="80" t="n">
        <v>17</v>
      </c>
    </row>
    <row r="152" customFormat="false" ht="15.75" hidden="false" customHeight="false" outlineLevel="0" collapsed="false">
      <c r="A152" s="28" t="n">
        <v>36952</v>
      </c>
      <c r="B152" s="80" t="n">
        <v>70.19</v>
      </c>
      <c r="C152" s="80" t="n">
        <v>14.6875</v>
      </c>
      <c r="D152" s="80" t="n">
        <v>18</v>
      </c>
      <c r="F152" s="80" t="n">
        <v>7.375</v>
      </c>
      <c r="G152" s="80" t="n">
        <v>4.334033264079</v>
      </c>
      <c r="H152" s="80" t="n">
        <v>2.31188643553899</v>
      </c>
      <c r="I152" s="80" t="n">
        <v>2.31188643553899</v>
      </c>
      <c r="J152" s="80" t="n">
        <v>5.875</v>
      </c>
      <c r="L152" s="80" t="n">
        <v>16.8125</v>
      </c>
    </row>
    <row r="153" customFormat="false" ht="15.75" hidden="false" customHeight="false" outlineLevel="0" collapsed="false">
      <c r="A153" s="28" t="n">
        <v>36955</v>
      </c>
      <c r="B153" s="80" t="n">
        <v>70.11</v>
      </c>
      <c r="C153" s="80" t="n">
        <v>14.375</v>
      </c>
      <c r="D153" s="80" t="n">
        <v>17.375</v>
      </c>
      <c r="F153" s="80" t="n">
        <v>7.5</v>
      </c>
      <c r="G153" s="80" t="n">
        <v>4.27709055794239</v>
      </c>
      <c r="H153" s="80" t="n">
        <v>2.55741856202205</v>
      </c>
      <c r="I153" s="80" t="n">
        <v>2.55741856202205</v>
      </c>
      <c r="J153" s="80" t="n">
        <v>5.9375</v>
      </c>
      <c r="L153" s="80" t="n">
        <v>17</v>
      </c>
    </row>
    <row r="154" customFormat="false" ht="15.75" hidden="false" customHeight="false" outlineLevel="0" collapsed="false">
      <c r="A154" s="28" t="n">
        <v>36956</v>
      </c>
      <c r="B154" s="80" t="n">
        <v>68.87</v>
      </c>
      <c r="C154" s="80" t="n">
        <v>14.0625</v>
      </c>
      <c r="D154" s="80" t="n">
        <v>18.25</v>
      </c>
      <c r="F154" s="80" t="n">
        <v>8.25</v>
      </c>
      <c r="G154" s="80" t="n">
        <v>4.44931555250145</v>
      </c>
      <c r="H154" s="80" t="n">
        <v>2.50286118489073</v>
      </c>
      <c r="I154" s="80" t="n">
        <v>2.50286118489073</v>
      </c>
      <c r="J154" s="80" t="n">
        <v>6</v>
      </c>
      <c r="L154" s="80" t="n">
        <v>17</v>
      </c>
    </row>
    <row r="155" customFormat="false" ht="15.75" hidden="false" customHeight="false" outlineLevel="0" collapsed="false">
      <c r="A155" s="28" t="n">
        <v>36957</v>
      </c>
      <c r="B155" s="80" t="n">
        <v>70</v>
      </c>
      <c r="C155" s="80" t="n">
        <v>14.375</v>
      </c>
      <c r="D155" s="80" t="n">
        <v>20.5</v>
      </c>
      <c r="F155" s="80" t="n">
        <v>8.375</v>
      </c>
      <c r="G155" s="80" t="n">
        <v>5.49539566866229</v>
      </c>
      <c r="H155" s="80" t="n">
        <v>2.75256836324937</v>
      </c>
      <c r="I155" s="80" t="n">
        <v>2.75256836324937</v>
      </c>
      <c r="J155" s="80" t="n">
        <v>6</v>
      </c>
      <c r="L155" s="80" t="n">
        <v>16.75</v>
      </c>
    </row>
    <row r="156" customFormat="false" ht="15.75" hidden="false" customHeight="false" outlineLevel="0" collapsed="false">
      <c r="A156" s="28" t="n">
        <v>36958</v>
      </c>
      <c r="B156" s="80" t="n">
        <v>70.59</v>
      </c>
      <c r="C156" s="80" t="n">
        <v>13.8125</v>
      </c>
      <c r="D156" s="80" t="n">
        <v>19.5</v>
      </c>
      <c r="F156" s="80" t="n">
        <v>8.1875</v>
      </c>
      <c r="G156" s="80" t="n">
        <v>5.60983200700501</v>
      </c>
      <c r="H156" s="80" t="n">
        <v>2.82601636547243</v>
      </c>
      <c r="I156" s="80" t="n">
        <v>2.82601636547243</v>
      </c>
      <c r="J156" s="80" t="n">
        <v>6</v>
      </c>
      <c r="L156" s="80" t="n">
        <v>17.5</v>
      </c>
    </row>
    <row r="157" customFormat="false" ht="15.75" hidden="false" customHeight="false" outlineLevel="0" collapsed="false">
      <c r="A157" s="28" t="n">
        <v>36959</v>
      </c>
      <c r="B157" s="80" t="n">
        <v>68.84</v>
      </c>
      <c r="C157" s="80" t="n">
        <v>13.9375</v>
      </c>
      <c r="D157" s="80" t="n">
        <v>18.75</v>
      </c>
      <c r="F157" s="80" t="n">
        <v>8.1875</v>
      </c>
      <c r="G157" s="80" t="n">
        <v>5.14289189834461</v>
      </c>
      <c r="H157" s="80" t="n">
        <v>2.85861555797261</v>
      </c>
      <c r="I157" s="80" t="n">
        <v>2.85861555797261</v>
      </c>
      <c r="J157" s="80" t="n">
        <v>6</v>
      </c>
      <c r="L157" s="80" t="n">
        <v>17.875</v>
      </c>
    </row>
    <row r="158" customFormat="false" ht="15.75" hidden="false" customHeight="false" outlineLevel="0" collapsed="false">
      <c r="A158" s="28" t="n">
        <v>36962</v>
      </c>
      <c r="B158" s="80" t="n">
        <v>61.27</v>
      </c>
      <c r="C158" s="80" t="n">
        <v>10.3125</v>
      </c>
      <c r="D158" s="80" t="n">
        <v>17.5625</v>
      </c>
      <c r="F158" s="80" t="n">
        <v>8.3125</v>
      </c>
      <c r="G158" s="80" t="n">
        <v>4.67022178822679</v>
      </c>
      <c r="H158" s="80" t="n">
        <v>2.55045605898546</v>
      </c>
      <c r="I158" s="80" t="n">
        <v>2.55045605898546</v>
      </c>
      <c r="J158" s="80" t="n">
        <v>5.84375</v>
      </c>
      <c r="L158" s="80" t="n">
        <v>17.6875</v>
      </c>
    </row>
    <row r="159" customFormat="false" ht="15.75" hidden="false" customHeight="false" outlineLevel="0" collapsed="false">
      <c r="A159" s="28" t="n">
        <v>36963</v>
      </c>
      <c r="B159" s="91" t="n">
        <v>62.05</v>
      </c>
      <c r="C159" s="80" t="n">
        <v>13.9375</v>
      </c>
      <c r="D159" s="80" t="n">
        <v>17.75</v>
      </c>
      <c r="F159" s="80" t="n">
        <v>8.4375</v>
      </c>
      <c r="G159" s="80" t="n">
        <v>3.83875532517776</v>
      </c>
      <c r="H159" s="80" t="n">
        <v>2.54797366398577</v>
      </c>
      <c r="I159" s="80" t="n">
        <v>2.54797366398577</v>
      </c>
      <c r="J159" s="80" t="n">
        <v>5.6875</v>
      </c>
      <c r="L159" s="80" t="n">
        <v>17.5625</v>
      </c>
    </row>
    <row r="160" customFormat="false" ht="15.75" hidden="false" customHeight="false" outlineLevel="0" collapsed="false">
      <c r="A160" s="28" t="n">
        <v>36964</v>
      </c>
      <c r="B160" s="91" t="n">
        <v>62.75</v>
      </c>
      <c r="C160" s="80" t="n">
        <v>13.5625</v>
      </c>
      <c r="D160" s="80" t="n">
        <v>17.125</v>
      </c>
      <c r="F160" s="80" t="n">
        <v>8.25</v>
      </c>
      <c r="G160" s="80" t="n">
        <v>3.87038288250247</v>
      </c>
      <c r="H160" s="80" t="n">
        <v>2.25569625294794</v>
      </c>
      <c r="I160" s="80" t="n">
        <v>2.25569625294794</v>
      </c>
      <c r="J160" s="80" t="n">
        <v>5.25</v>
      </c>
      <c r="L160" s="80" t="n">
        <v>17.125</v>
      </c>
    </row>
    <row r="161" customFormat="false" ht="15.75" hidden="false" customHeight="false" outlineLevel="0" collapsed="false">
      <c r="A161" s="28" t="n">
        <v>36965</v>
      </c>
      <c r="B161" s="91" t="n">
        <v>66.53</v>
      </c>
      <c r="C161" s="80" t="n">
        <v>14.8125</v>
      </c>
      <c r="D161" s="80" t="n">
        <v>18.5</v>
      </c>
      <c r="F161" s="80" t="n">
        <v>8.375</v>
      </c>
      <c r="G161" s="80" t="n">
        <v>3.73437733525633</v>
      </c>
      <c r="H161" s="80" t="n">
        <v>2.24070354630591</v>
      </c>
      <c r="I161" s="80" t="n">
        <v>2.24070354630591</v>
      </c>
      <c r="J161" s="80" t="n">
        <v>5.4375</v>
      </c>
      <c r="L161" s="80" t="n">
        <v>16.9375</v>
      </c>
    </row>
    <row r="162" customFormat="false" ht="15.75" hidden="false" customHeight="false" outlineLevel="0" collapsed="false">
      <c r="A162" s="28" t="n">
        <v>36966</v>
      </c>
      <c r="B162" s="91" t="n">
        <v>62.24</v>
      </c>
      <c r="C162" s="80" t="n">
        <v>15.5</v>
      </c>
      <c r="D162" s="80" t="n">
        <v>17.75</v>
      </c>
      <c r="F162" s="80" t="n">
        <v>8.375</v>
      </c>
      <c r="G162" s="80" t="n">
        <v>3.17682343853314</v>
      </c>
      <c r="H162" s="80" t="n">
        <v>2.28623322922089</v>
      </c>
      <c r="I162" s="80" t="n">
        <v>2.28623322922089</v>
      </c>
      <c r="J162" s="80" t="n">
        <v>5.3125</v>
      </c>
      <c r="L162" s="80" t="n">
        <v>16.875</v>
      </c>
    </row>
    <row r="163" customFormat="false" ht="15.75" hidden="false" customHeight="false" outlineLevel="0" collapsed="false">
      <c r="A163" s="28" t="n">
        <v>36969</v>
      </c>
      <c r="B163" s="91" t="n">
        <v>61.8</v>
      </c>
      <c r="C163" s="80" t="n">
        <v>17.484375</v>
      </c>
      <c r="D163" s="80" t="n">
        <v>18</v>
      </c>
      <c r="F163" s="80" t="n">
        <v>8.375</v>
      </c>
      <c r="G163" s="80" t="n">
        <v>2.80127049792944</v>
      </c>
      <c r="H163" s="80" t="n">
        <v>2.28672657412255</v>
      </c>
      <c r="I163" s="80" t="n">
        <v>2.28672657412255</v>
      </c>
      <c r="J163" s="80" t="n">
        <v>5.625</v>
      </c>
      <c r="L163" s="80" t="n">
        <v>17</v>
      </c>
    </row>
    <row r="164" customFormat="false" ht="15.75" hidden="false" customHeight="false" outlineLevel="0" collapsed="false">
      <c r="A164" s="28" t="n">
        <v>36970</v>
      </c>
      <c r="B164" s="91" t="n">
        <v>60.95</v>
      </c>
      <c r="C164" s="80" t="n">
        <v>15.375</v>
      </c>
      <c r="D164" s="80" t="n">
        <v>18.5</v>
      </c>
      <c r="F164" s="80" t="n">
        <v>8.375</v>
      </c>
      <c r="G164" s="80" t="n">
        <v>3.06481161816109</v>
      </c>
      <c r="H164" s="80" t="n">
        <v>2.27450680509674</v>
      </c>
      <c r="I164" s="80" t="n">
        <v>2.27450680509674</v>
      </c>
      <c r="J164" s="80" t="n">
        <v>5.125</v>
      </c>
      <c r="L164" s="80" t="n">
        <v>17.25</v>
      </c>
    </row>
    <row r="165" customFormat="false" ht="15.75" hidden="false" customHeight="false" outlineLevel="0" collapsed="false">
      <c r="A165" s="28" t="n">
        <v>36971</v>
      </c>
      <c r="B165" s="91" t="n">
        <v>55.89</v>
      </c>
      <c r="C165" s="80" t="n">
        <v>14.875</v>
      </c>
      <c r="D165" s="80" t="n">
        <v>17.1875</v>
      </c>
      <c r="F165" s="80" t="n">
        <v>8.125</v>
      </c>
      <c r="G165" s="80" t="n">
        <v>3.06348452102393</v>
      </c>
      <c r="H165" s="80" t="n">
        <v>2.26996090210442</v>
      </c>
      <c r="I165" s="80" t="n">
        <v>2.26996090210442</v>
      </c>
      <c r="J165" s="80" t="n">
        <v>5.0625</v>
      </c>
      <c r="L165" s="80" t="n">
        <v>17</v>
      </c>
    </row>
    <row r="166" customFormat="false" ht="15.75" hidden="false" customHeight="false" outlineLevel="0" collapsed="false">
      <c r="A166" s="28" t="n">
        <v>36972</v>
      </c>
      <c r="B166" s="91" t="n">
        <v>55.02</v>
      </c>
      <c r="C166" s="80" t="n">
        <v>14.4375</v>
      </c>
      <c r="D166" s="80" t="n">
        <v>17.5</v>
      </c>
      <c r="F166" s="80" t="n">
        <v>8.1875</v>
      </c>
      <c r="G166" s="80" t="n">
        <v>3.60892565278732</v>
      </c>
      <c r="H166" s="80" t="n">
        <v>2.28338315220164</v>
      </c>
      <c r="I166" s="80" t="n">
        <v>2.28338315220164</v>
      </c>
      <c r="J166" s="80" t="n">
        <v>5.125</v>
      </c>
      <c r="L166" s="80" t="n">
        <v>16.4375</v>
      </c>
    </row>
    <row r="167" customFormat="false" ht="15.75" hidden="false" customHeight="false" outlineLevel="0" collapsed="false">
      <c r="A167" s="28" t="n">
        <v>36973</v>
      </c>
      <c r="B167" s="91" t="n">
        <v>59.4</v>
      </c>
      <c r="C167" s="80" t="n">
        <v>13.5</v>
      </c>
      <c r="D167" s="80" t="n">
        <v>18</v>
      </c>
      <c r="F167" s="80" t="n">
        <v>8.125</v>
      </c>
      <c r="G167" s="80" t="n">
        <v>3.0909181318857</v>
      </c>
      <c r="H167" s="80" t="n">
        <v>2.19593961736444</v>
      </c>
      <c r="I167" s="80" t="n">
        <v>2.19593961736444</v>
      </c>
      <c r="J167" s="80" t="n">
        <v>5.4375</v>
      </c>
      <c r="L167" s="80" t="n">
        <v>17.4375</v>
      </c>
    </row>
    <row r="168" customFormat="false" ht="15.75" hidden="false" customHeight="false" outlineLevel="0" collapsed="false">
      <c r="A168" s="28" t="n">
        <v>36976</v>
      </c>
      <c r="B168" s="91" t="n">
        <v>61.48</v>
      </c>
      <c r="C168" s="80" t="n">
        <v>13.421875</v>
      </c>
      <c r="D168" s="80" t="n">
        <v>18.375</v>
      </c>
      <c r="F168" s="80" t="n">
        <v>8.09375</v>
      </c>
      <c r="G168" s="80" t="n">
        <v>3.06530240750017</v>
      </c>
      <c r="H168" s="80" t="n">
        <v>1.7648348598576</v>
      </c>
      <c r="I168" s="80" t="n">
        <v>1.7648348598576</v>
      </c>
      <c r="J168" s="80" t="n">
        <v>5.5</v>
      </c>
      <c r="L168" s="80" t="n">
        <v>17</v>
      </c>
    </row>
    <row r="169" customFormat="false" ht="15.75" hidden="false" customHeight="false" outlineLevel="0" collapsed="false">
      <c r="A169" s="28" t="n">
        <v>36977</v>
      </c>
      <c r="B169" s="91" t="n">
        <v>60.46</v>
      </c>
      <c r="C169" s="80" t="n">
        <v>12.3125</v>
      </c>
      <c r="D169" s="80" t="n">
        <v>19.875</v>
      </c>
      <c r="F169" s="80" t="n">
        <v>8.0625</v>
      </c>
      <c r="G169" s="80" t="n">
        <v>3.74064403744015</v>
      </c>
      <c r="H169" s="80" t="n">
        <v>1.90650933172031</v>
      </c>
      <c r="I169" s="80" t="n">
        <v>1.90650933172031</v>
      </c>
      <c r="J169" s="80" t="n">
        <v>5.5</v>
      </c>
      <c r="L169" s="80" t="n">
        <v>18</v>
      </c>
    </row>
    <row r="170" customFormat="false" ht="15.75" hidden="false" customHeight="false" outlineLevel="0" collapsed="false">
      <c r="A170" s="28" t="n">
        <v>36978</v>
      </c>
      <c r="B170" s="91" t="n">
        <v>58.1</v>
      </c>
      <c r="C170" s="80" t="n">
        <v>10.375</v>
      </c>
      <c r="D170" s="80" t="n">
        <v>19.8125</v>
      </c>
      <c r="F170" s="80" t="n">
        <v>8.3125</v>
      </c>
      <c r="G170" s="80" t="n">
        <v>3.6261375781102</v>
      </c>
      <c r="H170" s="80" t="n">
        <v>1.77066477579508</v>
      </c>
      <c r="I170" s="80" t="n">
        <v>1.77066477579508</v>
      </c>
      <c r="J170" s="80" t="n">
        <v>5.5</v>
      </c>
      <c r="L170" s="80" t="n">
        <v>17.625</v>
      </c>
    </row>
    <row r="171" customFormat="false" ht="15.75" hidden="false" customHeight="false" outlineLevel="0" collapsed="false">
      <c r="A171" s="28" t="n">
        <v>36979</v>
      </c>
      <c r="B171" s="91" t="n">
        <v>55.31</v>
      </c>
      <c r="C171" s="80" t="n">
        <v>9.6875</v>
      </c>
      <c r="D171" s="80" t="n">
        <v>19.4375</v>
      </c>
      <c r="F171" s="80" t="n">
        <v>8.3125</v>
      </c>
      <c r="G171" s="80" t="n">
        <v>3.96043217514321</v>
      </c>
      <c r="H171" s="80" t="n">
        <v>1.65958069330988</v>
      </c>
      <c r="I171" s="80" t="n">
        <v>1.65958069330988</v>
      </c>
      <c r="J171" s="80" t="n">
        <v>5.4375</v>
      </c>
      <c r="L171" s="80" t="n">
        <v>19.1875</v>
      </c>
    </row>
    <row r="172" customFormat="false" ht="15.75" hidden="false" customHeight="false" outlineLevel="0" collapsed="false">
      <c r="A172" s="28" t="n">
        <v>36980</v>
      </c>
      <c r="B172" s="91" t="n">
        <v>58.1</v>
      </c>
      <c r="C172" s="80" t="n">
        <v>8</v>
      </c>
      <c r="D172" s="80" t="n">
        <v>20.3125</v>
      </c>
      <c r="F172" s="80" t="n">
        <v>8.40625</v>
      </c>
      <c r="G172" s="80" t="n">
        <v>3.50302374644862</v>
      </c>
      <c r="H172" s="80" t="n">
        <v>1.8181706897765</v>
      </c>
      <c r="I172" s="80" t="n">
        <v>1.8181706897765</v>
      </c>
      <c r="J172" s="80" t="n">
        <v>5.25</v>
      </c>
      <c r="L172" s="80" t="n">
        <v>20.9375</v>
      </c>
    </row>
    <row r="173" customFormat="false" ht="15.75" hidden="false" customHeight="false" outlineLevel="0" collapsed="false">
      <c r="A173" s="28" t="n">
        <v>36981</v>
      </c>
      <c r="B173" s="91" t="n">
        <v>58.1</v>
      </c>
      <c r="C173" s="80" t="n">
        <v>8</v>
      </c>
      <c r="D173" s="80" t="n">
        <v>20.3125</v>
      </c>
      <c r="F173" s="80" t="n">
        <v>8.40625</v>
      </c>
      <c r="G173" s="80" t="n">
        <v>3.50302374644862</v>
      </c>
      <c r="H173" s="80" t="n">
        <v>1.8181706897765</v>
      </c>
      <c r="I173" s="80" t="n">
        <v>1.8181706897765</v>
      </c>
      <c r="J173" s="80" t="n">
        <v>5.25</v>
      </c>
      <c r="L173" s="80" t="n">
        <v>20.9375</v>
      </c>
    </row>
    <row r="174" customFormat="false" ht="15.75" hidden="false" customHeight="false" outlineLevel="0" collapsed="false">
      <c r="A174" s="28" t="n">
        <v>36983</v>
      </c>
      <c r="B174" s="91" t="n">
        <v>56.57</v>
      </c>
      <c r="C174" s="80" t="n">
        <v>8.8125</v>
      </c>
      <c r="D174" s="80" t="n">
        <v>18.9375</v>
      </c>
      <c r="F174" s="80" t="n">
        <v>8.25</v>
      </c>
      <c r="G174" s="80" t="n">
        <v>3.22954718203144</v>
      </c>
      <c r="H174" s="80" t="n">
        <v>1.69043370786002</v>
      </c>
      <c r="I174" s="80" t="n">
        <v>1.69043370786002</v>
      </c>
      <c r="J174" s="80" t="n">
        <v>5.1875</v>
      </c>
      <c r="L174" s="80" t="n">
        <v>19.5625</v>
      </c>
    </row>
    <row r="175" customFormat="false" ht="15.75" hidden="false" customHeight="false" outlineLevel="0" collapsed="false">
      <c r="A175" s="28" t="n">
        <v>36984</v>
      </c>
      <c r="B175" s="91" t="n">
        <v>54.06</v>
      </c>
      <c r="C175" s="80" t="n">
        <v>8.8125</v>
      </c>
      <c r="D175" s="80" t="n">
        <v>17.25</v>
      </c>
      <c r="F175" s="80" t="n">
        <v>8.21875</v>
      </c>
      <c r="G175" s="80" t="n">
        <v>2.94929998696096</v>
      </c>
      <c r="H175" s="80" t="n">
        <v>1.49768407466731</v>
      </c>
      <c r="I175" s="80" t="n">
        <v>1.49768407466731</v>
      </c>
      <c r="J175" s="80" t="n">
        <v>5.125</v>
      </c>
      <c r="L175" s="80" t="n">
        <v>19.5625</v>
      </c>
    </row>
    <row r="176" customFormat="false" ht="15.75" hidden="false" customHeight="false" outlineLevel="0" collapsed="false">
      <c r="A176" s="28" t="n">
        <v>36985</v>
      </c>
      <c r="B176" s="91" t="n">
        <v>53.72</v>
      </c>
      <c r="C176" s="80" t="n">
        <v>8.28125</v>
      </c>
      <c r="D176" s="80" t="n">
        <v>16.375</v>
      </c>
      <c r="F176" s="80" t="n">
        <v>8.25</v>
      </c>
      <c r="G176" s="80" t="n">
        <v>3.30181730421709</v>
      </c>
      <c r="H176" s="80" t="n">
        <v>1.51315523311192</v>
      </c>
      <c r="I176" s="80" t="n">
        <v>1.51315523311192</v>
      </c>
      <c r="J176" s="80" t="n">
        <v>4.96875</v>
      </c>
      <c r="L176" s="80" t="n">
        <v>17.125</v>
      </c>
    </row>
    <row r="177" customFormat="false" ht="15.75" hidden="false" customHeight="false" outlineLevel="0" collapsed="false">
      <c r="A177" s="28" t="n">
        <v>36986</v>
      </c>
      <c r="B177" s="91" t="n">
        <v>55.7</v>
      </c>
      <c r="C177" s="80" t="n">
        <v>9.5625</v>
      </c>
      <c r="D177" s="80" t="n">
        <v>17.75</v>
      </c>
      <c r="F177" s="80" t="n">
        <v>8.3125</v>
      </c>
      <c r="G177" s="80" t="n">
        <v>3.28226796572918</v>
      </c>
      <c r="H177" s="80" t="n">
        <v>1.60307079206471</v>
      </c>
      <c r="I177" s="80" t="n">
        <v>1.60307079206471</v>
      </c>
      <c r="J177" s="80" t="n">
        <v>5.03125</v>
      </c>
      <c r="L177" s="80" t="n">
        <v>16.6875</v>
      </c>
    </row>
    <row r="178" customFormat="false" ht="15.75" hidden="false" customHeight="false" outlineLevel="0" collapsed="false">
      <c r="A178" s="28" t="n">
        <v>36987</v>
      </c>
      <c r="B178" s="91" t="n">
        <v>53.5</v>
      </c>
      <c r="C178" s="80" t="n">
        <v>8</v>
      </c>
      <c r="D178" s="80" t="n">
        <v>19.125</v>
      </c>
      <c r="F178" s="80" t="n">
        <v>8.5</v>
      </c>
      <c r="G178" s="80" t="n">
        <v>3.26745223104</v>
      </c>
      <c r="H178" s="80" t="n">
        <v>1.66289241213316</v>
      </c>
      <c r="I178" s="80" t="n">
        <v>1.66289241213316</v>
      </c>
      <c r="J178" s="80" t="n">
        <v>5.125</v>
      </c>
      <c r="L178" s="80" t="n">
        <v>17.125</v>
      </c>
    </row>
    <row r="179" customFormat="false" ht="15.75" hidden="false" customHeight="false" outlineLevel="0" collapsed="false">
      <c r="A179" s="28" t="n">
        <v>36990</v>
      </c>
      <c r="B179" s="91" t="n">
        <v>55.96</v>
      </c>
      <c r="C179" s="80" t="n">
        <v>8.55</v>
      </c>
      <c r="D179" s="80" t="n">
        <v>18.62</v>
      </c>
      <c r="F179" s="80" t="n">
        <v>8.5</v>
      </c>
      <c r="G179" s="80" t="n">
        <v>3.15459988911148</v>
      </c>
      <c r="H179" s="80" t="n">
        <v>1.79469492988105</v>
      </c>
      <c r="I179" s="80" t="n">
        <v>1.79469492988105</v>
      </c>
      <c r="J179" s="80" t="n">
        <v>5.3</v>
      </c>
      <c r="L179" s="80" t="n">
        <v>16.85</v>
      </c>
    </row>
    <row r="180" customFormat="false" ht="15.75" hidden="false" customHeight="false" outlineLevel="0" collapsed="false">
      <c r="A180" s="28" t="n">
        <v>36991</v>
      </c>
      <c r="B180" s="91" t="n">
        <v>58.82</v>
      </c>
      <c r="C180" s="80" t="n">
        <v>11.24</v>
      </c>
      <c r="D180" s="80" t="n">
        <v>19.57</v>
      </c>
      <c r="F180" s="80" t="n">
        <v>8.72</v>
      </c>
      <c r="G180" s="80" t="n">
        <v>3.45667141551169</v>
      </c>
      <c r="H180" s="80" t="n">
        <v>1.84724287830374</v>
      </c>
      <c r="I180" s="80" t="n">
        <v>1.84724287830374</v>
      </c>
      <c r="J180" s="80" t="n">
        <v>5</v>
      </c>
      <c r="L180" s="80" t="n">
        <v>17.12</v>
      </c>
    </row>
    <row r="181" customFormat="false" ht="15.75" hidden="false" customHeight="false" outlineLevel="0" collapsed="false">
      <c r="A181" s="28" t="n">
        <v>36992</v>
      </c>
      <c r="B181" s="91" t="n">
        <v>58.51</v>
      </c>
      <c r="C181" s="80" t="n">
        <v>11.23</v>
      </c>
      <c r="D181" s="80" t="n">
        <v>20.17</v>
      </c>
      <c r="F181" s="80" t="n">
        <v>8.51</v>
      </c>
      <c r="G181" s="80" t="n">
        <v>4.17383580047617</v>
      </c>
      <c r="H181" s="80" t="n">
        <v>1.76574833065246</v>
      </c>
      <c r="I181" s="80" t="n">
        <v>1.76574833065246</v>
      </c>
      <c r="J181" s="80" t="n">
        <v>5</v>
      </c>
      <c r="L181" s="80" t="n">
        <v>15.88</v>
      </c>
    </row>
    <row r="182" customFormat="false" ht="15.75" hidden="false" customHeight="false" outlineLevel="0" collapsed="false">
      <c r="A182" s="28" t="n">
        <v>36993</v>
      </c>
      <c r="B182" s="91" t="n">
        <v>57.3</v>
      </c>
      <c r="C182" s="80" t="n">
        <v>12.75</v>
      </c>
      <c r="D182" s="80" t="n">
        <v>20.41</v>
      </c>
      <c r="F182" s="80" t="n">
        <v>8.4</v>
      </c>
      <c r="G182" s="80" t="n">
        <v>4.26489526105787</v>
      </c>
      <c r="H182" s="80" t="n">
        <v>2.03107535581137</v>
      </c>
      <c r="I182" s="80" t="n">
        <v>2.03107535581137</v>
      </c>
      <c r="J182" s="80" t="n">
        <v>5</v>
      </c>
      <c r="L182" s="80" t="n">
        <v>16</v>
      </c>
    </row>
    <row r="183" customFormat="false" ht="15.75" hidden="false" customHeight="false" outlineLevel="0" collapsed="false">
      <c r="A183" s="28" t="n">
        <v>36997</v>
      </c>
      <c r="B183" s="91" t="n">
        <v>59.44</v>
      </c>
      <c r="C183" s="80" t="n">
        <v>12.29</v>
      </c>
      <c r="D183" s="80" t="n">
        <v>19.83</v>
      </c>
      <c r="F183" s="80" t="n">
        <v>8.5</v>
      </c>
      <c r="G183" s="80" t="n">
        <v>4.1604400417474</v>
      </c>
      <c r="H183" s="80" t="n">
        <v>2.30764000044651</v>
      </c>
      <c r="I183" s="80" t="n">
        <v>2.30764000044651</v>
      </c>
      <c r="J183" s="80" t="n">
        <v>5</v>
      </c>
      <c r="L183" s="80" t="n">
        <v>16</v>
      </c>
    </row>
    <row r="184" customFormat="false" ht="15.75" hidden="false" customHeight="false" outlineLevel="0" collapsed="false">
      <c r="A184" s="28" t="n">
        <v>36998</v>
      </c>
      <c r="B184" s="91" t="n">
        <v>60</v>
      </c>
      <c r="C184" s="80" t="n">
        <v>12.81</v>
      </c>
      <c r="D184" s="80" t="n">
        <v>21.5</v>
      </c>
      <c r="F184" s="80" t="n">
        <v>8.4</v>
      </c>
      <c r="G184" s="80" t="n">
        <v>4.05148962188844</v>
      </c>
      <c r="H184" s="80" t="n">
        <v>2.30929315350738</v>
      </c>
      <c r="I184" s="80" t="n">
        <v>2.30929315350738</v>
      </c>
      <c r="J184" s="80" t="n">
        <v>5</v>
      </c>
      <c r="L184" s="80" t="n">
        <v>16.06</v>
      </c>
    </row>
    <row r="185" customFormat="false" ht="15.75" hidden="false" customHeight="false" outlineLevel="0" collapsed="false">
      <c r="A185" s="28" t="n">
        <v>36999</v>
      </c>
      <c r="B185" s="91" t="n">
        <v>61.62</v>
      </c>
      <c r="C185" s="80" t="n">
        <v>14.3</v>
      </c>
      <c r="D185" s="80" t="n">
        <v>23.05</v>
      </c>
      <c r="F185" s="80" t="n">
        <v>8.35</v>
      </c>
      <c r="G185" s="80" t="n">
        <v>4.05455606241982</v>
      </c>
      <c r="H185" s="80" t="n">
        <v>2.28619885529632</v>
      </c>
      <c r="I185" s="80" t="n">
        <v>2.28619885529632</v>
      </c>
      <c r="J185" s="80" t="n">
        <v>5.15</v>
      </c>
      <c r="L185" s="80" t="n">
        <v>16</v>
      </c>
    </row>
    <row r="186" customFormat="false" ht="15.75" hidden="false" customHeight="false" outlineLevel="0" collapsed="false">
      <c r="A186" s="28" t="n">
        <v>37000</v>
      </c>
      <c r="B186" s="91" t="n">
        <v>61.16</v>
      </c>
      <c r="C186" s="80" t="n">
        <v>14.86</v>
      </c>
      <c r="D186" s="80" t="n">
        <v>20.26</v>
      </c>
      <c r="F186" s="80" t="n">
        <v>8.5</v>
      </c>
      <c r="G186" s="80" t="n">
        <v>4.11972383576585</v>
      </c>
      <c r="H186" s="80" t="n">
        <v>2.11939941785844</v>
      </c>
      <c r="I186" s="80" t="n">
        <v>2.11939941785844</v>
      </c>
      <c r="J186" s="80" t="n">
        <v>5</v>
      </c>
      <c r="L186" s="80" t="n">
        <v>15.6</v>
      </c>
    </row>
    <row r="187" customFormat="false" ht="15.75" hidden="false" customHeight="false" outlineLevel="0" collapsed="false">
      <c r="A187" s="28" t="n">
        <v>37001</v>
      </c>
      <c r="B187" s="91" t="n">
        <v>59.99</v>
      </c>
      <c r="C187" s="80" t="n">
        <v>14.07</v>
      </c>
      <c r="D187" s="80" t="n">
        <v>21.5</v>
      </c>
      <c r="F187" s="80" t="n">
        <v>8.5</v>
      </c>
      <c r="G187" s="80" t="n">
        <v>4.11843914516926</v>
      </c>
      <c r="H187" s="80" t="n">
        <v>1.98182914864533</v>
      </c>
      <c r="I187" s="80" t="n">
        <v>1.98182914864533</v>
      </c>
      <c r="J187" s="80" t="n">
        <v>4.99</v>
      </c>
      <c r="L187" s="80" t="n">
        <v>14.5</v>
      </c>
    </row>
    <row r="188" customFormat="false" ht="15.75" hidden="false" customHeight="false" outlineLevel="0" collapsed="false">
      <c r="A188" s="28" t="n">
        <v>37004</v>
      </c>
      <c r="B188" s="91" t="n">
        <v>61.65</v>
      </c>
      <c r="C188" s="80" t="n">
        <v>11.54</v>
      </c>
      <c r="D188" s="80" t="n">
        <v>21</v>
      </c>
      <c r="F188" s="80" t="n">
        <v>8.4</v>
      </c>
      <c r="G188" s="80" t="n">
        <v>4.15302233195845</v>
      </c>
      <c r="H188" s="80" t="n">
        <v>1.96632569656638</v>
      </c>
      <c r="I188" s="80" t="n">
        <v>1.96632569656638</v>
      </c>
      <c r="J188" s="80" t="n">
        <v>5.22</v>
      </c>
      <c r="L188" s="80" t="n">
        <v>14.8</v>
      </c>
    </row>
    <row r="189" customFormat="false" ht="15.75" hidden="false" customHeight="false" outlineLevel="0" collapsed="false">
      <c r="A189" s="28" t="n">
        <v>37005</v>
      </c>
      <c r="B189" s="91" t="n">
        <v>61.87</v>
      </c>
      <c r="C189" s="80" t="n">
        <v>11.37</v>
      </c>
      <c r="D189" s="80" t="n">
        <v>20.42</v>
      </c>
      <c r="F189" s="80" t="n">
        <v>8.05</v>
      </c>
      <c r="G189" s="80" t="n">
        <v>4.07058175391412</v>
      </c>
      <c r="H189" s="80" t="n">
        <v>2.13599547531869</v>
      </c>
      <c r="I189" s="80" t="n">
        <v>2.13599547531869</v>
      </c>
      <c r="J189" s="80" t="n">
        <v>5.2</v>
      </c>
      <c r="L189" s="80" t="n">
        <v>14.75</v>
      </c>
    </row>
    <row r="190" customFormat="false" ht="15.75" hidden="false" customHeight="false" outlineLevel="0" collapsed="false">
      <c r="A190" s="28" t="n">
        <v>37006</v>
      </c>
      <c r="B190" s="91" t="n">
        <v>62.88</v>
      </c>
      <c r="C190" s="80" t="n">
        <v>11.37</v>
      </c>
      <c r="D190" s="80" t="n">
        <v>21.31</v>
      </c>
      <c r="F190" s="80" t="n">
        <v>7.95</v>
      </c>
      <c r="G190" s="80" t="n">
        <v>4.07756501612228</v>
      </c>
      <c r="H190" s="80" t="n">
        <v>2.21558251461002</v>
      </c>
      <c r="I190" s="80" t="n">
        <v>2.21558251461002</v>
      </c>
      <c r="J190" s="80" t="n">
        <v>5.23</v>
      </c>
      <c r="L190" s="80" t="n">
        <v>15.25</v>
      </c>
    </row>
    <row r="191" customFormat="false" ht="15.75" hidden="false" customHeight="false" outlineLevel="0" collapsed="false">
      <c r="A191" s="28" t="n">
        <v>37007</v>
      </c>
      <c r="B191" s="91" t="n">
        <v>63.66</v>
      </c>
      <c r="C191" s="80" t="n">
        <v>10.32</v>
      </c>
      <c r="D191" s="80" t="n">
        <v>22.45</v>
      </c>
      <c r="F191" s="80" t="n">
        <v>7.95</v>
      </c>
      <c r="G191" s="80" t="n">
        <v>4.17979347817721</v>
      </c>
      <c r="H191" s="80" t="n">
        <v>2.26123628158227</v>
      </c>
      <c r="I191" s="80" t="n">
        <v>2.26123628158227</v>
      </c>
      <c r="J191" s="80" t="n">
        <v>5.22</v>
      </c>
      <c r="L191" s="80" t="n">
        <v>14.9</v>
      </c>
    </row>
    <row r="192" customFormat="false" ht="15.75" hidden="false" customHeight="false" outlineLevel="0" collapsed="false">
      <c r="A192" s="28" t="n">
        <v>37008</v>
      </c>
      <c r="B192" s="91" t="n">
        <v>63.5</v>
      </c>
      <c r="C192" s="80" t="n">
        <v>10.08</v>
      </c>
      <c r="D192" s="80" t="n">
        <v>22.78</v>
      </c>
      <c r="F192" s="80" t="n">
        <v>7.93</v>
      </c>
      <c r="G192" s="80" t="n">
        <v>4.19159691943613</v>
      </c>
      <c r="H192" s="80" t="n">
        <v>2.24353542750925</v>
      </c>
      <c r="I192" s="80" t="n">
        <v>2.24353542750925</v>
      </c>
      <c r="J192" s="80" t="n">
        <v>5.51</v>
      </c>
      <c r="L192" s="80" t="n">
        <v>15.52</v>
      </c>
    </row>
    <row r="193" customFormat="false" ht="15.75" hidden="false" customHeight="false" outlineLevel="0" collapsed="false">
      <c r="A193" s="28" t="n">
        <v>37011</v>
      </c>
      <c r="B193" s="91" t="n">
        <v>62.72</v>
      </c>
      <c r="C193" s="80" t="n">
        <v>10.1</v>
      </c>
      <c r="D193" s="80" t="n">
        <v>22.35</v>
      </c>
      <c r="F193" s="80" t="n">
        <v>8.05</v>
      </c>
      <c r="G193" s="80" t="n">
        <v>3.97288453474623</v>
      </c>
      <c r="H193" s="80" t="n">
        <v>2.23113931294623</v>
      </c>
      <c r="I193" s="80" t="n">
        <v>2.23113931294623</v>
      </c>
      <c r="J193" s="80" t="n">
        <v>5.77</v>
      </c>
      <c r="L193" s="80" t="n">
        <v>16.5</v>
      </c>
    </row>
    <row r="194" customFormat="false" ht="15.75" hidden="false" customHeight="false" outlineLevel="0" collapsed="false">
      <c r="A194" s="28" t="n">
        <v>37012</v>
      </c>
      <c r="B194" s="91" t="n">
        <v>62.41</v>
      </c>
      <c r="C194" s="80" t="n">
        <v>11.51</v>
      </c>
      <c r="D194" s="80" t="n">
        <v>25.36</v>
      </c>
      <c r="F194" s="80" t="n">
        <v>8</v>
      </c>
      <c r="G194" s="80" t="n">
        <v>4.33429411972799</v>
      </c>
      <c r="H194" s="80" t="n">
        <v>2.25152295402766</v>
      </c>
      <c r="I194" s="80" t="n">
        <v>2.25152295402766</v>
      </c>
      <c r="J194" s="80" t="n">
        <v>5.79</v>
      </c>
      <c r="L194" s="80" t="n">
        <v>16</v>
      </c>
    </row>
    <row r="195" customFormat="false" ht="15.75" hidden="false" customHeight="false" outlineLevel="0" collapsed="false">
      <c r="A195" s="28" t="n">
        <v>37013</v>
      </c>
      <c r="B195" s="91" t="n">
        <v>60.5</v>
      </c>
      <c r="C195" s="80" t="n">
        <v>13.99</v>
      </c>
      <c r="D195" s="80" t="n">
        <v>24.59</v>
      </c>
      <c r="F195" s="80" t="n">
        <v>8</v>
      </c>
      <c r="G195" s="80" t="n">
        <v>4.18783730175785</v>
      </c>
      <c r="H195" s="80" t="n">
        <v>2.08501006645072</v>
      </c>
      <c r="I195" s="80" t="n">
        <v>2.08501006645072</v>
      </c>
      <c r="J195" s="80" t="n">
        <v>5.55</v>
      </c>
      <c r="L195" s="80" t="n">
        <v>17.22</v>
      </c>
    </row>
    <row r="196" customFormat="false" ht="15.75" hidden="false" customHeight="false" outlineLevel="0" collapsed="false">
      <c r="A196" s="28" t="n">
        <v>37014</v>
      </c>
      <c r="B196" s="91" t="n">
        <v>58.35</v>
      </c>
      <c r="C196" s="80" t="n">
        <v>14.65</v>
      </c>
      <c r="D196" s="80" t="n">
        <v>24.16</v>
      </c>
      <c r="F196" s="80" t="n">
        <v>7.89</v>
      </c>
      <c r="G196" s="80" t="n">
        <v>3.99001847679178</v>
      </c>
      <c r="H196" s="80" t="n">
        <v>2.06635348417287</v>
      </c>
      <c r="I196" s="80" t="n">
        <v>2.06635348417288</v>
      </c>
      <c r="J196" s="80" t="n">
        <v>5.56</v>
      </c>
      <c r="L196" s="80" t="n">
        <v>17.05</v>
      </c>
    </row>
    <row r="197" customFormat="false" ht="15.75" hidden="false" customHeight="false" outlineLevel="0" collapsed="false">
      <c r="A197" s="28" t="n">
        <v>37015</v>
      </c>
      <c r="B197" s="91" t="n">
        <v>59.48</v>
      </c>
      <c r="C197" s="80" t="n">
        <v>14.98</v>
      </c>
      <c r="D197" s="80" t="n">
        <v>24.6</v>
      </c>
      <c r="F197" s="80" t="n">
        <v>7.96</v>
      </c>
      <c r="G197" s="80" t="n">
        <v>3.92865229953306</v>
      </c>
      <c r="H197" s="80" t="n">
        <v>2.0874148665474</v>
      </c>
      <c r="I197" s="80" t="n">
        <v>2.0874148665474</v>
      </c>
      <c r="J197" s="80" t="n">
        <v>5.56</v>
      </c>
      <c r="L197" s="80" t="n">
        <v>17</v>
      </c>
    </row>
    <row r="198" customFormat="false" ht="15.75" hidden="false" customHeight="false" outlineLevel="0" collapsed="false">
      <c r="A198" s="28" t="n">
        <v>37018</v>
      </c>
      <c r="B198" s="91" t="n">
        <v>58.04</v>
      </c>
      <c r="C198" s="80" t="n">
        <v>14.64</v>
      </c>
      <c r="D198" s="80" t="n">
        <v>24.65</v>
      </c>
      <c r="F198" s="80" t="n">
        <v>7.88</v>
      </c>
      <c r="G198" s="80" t="n">
        <v>3.99903761558779</v>
      </c>
      <c r="H198" s="80" t="n">
        <v>2.13711041957935</v>
      </c>
      <c r="I198" s="80" t="n">
        <v>2.13711041957935</v>
      </c>
      <c r="J198" s="80" t="n">
        <v>5.6</v>
      </c>
      <c r="L198" s="80" t="n">
        <v>16.15</v>
      </c>
    </row>
    <row r="199" customFormat="false" ht="15.75" hidden="false" customHeight="false" outlineLevel="0" collapsed="false">
      <c r="A199" s="28" t="n">
        <v>37019</v>
      </c>
      <c r="B199" s="91" t="n">
        <v>56.11</v>
      </c>
      <c r="C199" s="80" t="n">
        <v>14.25</v>
      </c>
      <c r="D199" s="80" t="n">
        <v>24.2</v>
      </c>
      <c r="F199" s="80" t="n">
        <v>7.9</v>
      </c>
      <c r="G199" s="80" t="n">
        <v>3.75226390011481</v>
      </c>
      <c r="H199" s="80" t="n">
        <v>2.11736109907572</v>
      </c>
      <c r="I199" s="80" t="n">
        <v>2.11736109907572</v>
      </c>
      <c r="J199" s="80" t="n">
        <v>5.6</v>
      </c>
      <c r="L199" s="80" t="n">
        <v>16.4</v>
      </c>
    </row>
    <row r="200" customFormat="false" ht="15.75" hidden="false" customHeight="false" outlineLevel="0" collapsed="false">
      <c r="A200" s="28" t="n">
        <v>37020</v>
      </c>
      <c r="B200" s="91" t="n">
        <v>59.2</v>
      </c>
      <c r="C200" s="80" t="n">
        <v>13.51</v>
      </c>
      <c r="D200" s="80" t="n">
        <v>25.65</v>
      </c>
      <c r="F200" s="80" t="n">
        <v>7.91</v>
      </c>
      <c r="G200" s="80" t="n">
        <v>3.83067378394219</v>
      </c>
      <c r="H200" s="80" t="n">
        <v>2.02388479101159</v>
      </c>
      <c r="I200" s="80" t="n">
        <v>2.02388479101159</v>
      </c>
      <c r="J200" s="80" t="n">
        <v>5.79</v>
      </c>
      <c r="L200" s="80" t="n">
        <v>18</v>
      </c>
    </row>
    <row r="201" customFormat="false" ht="15.75" hidden="false" customHeight="false" outlineLevel="0" collapsed="false">
      <c r="A201" s="28" t="n">
        <v>37021</v>
      </c>
      <c r="B201" s="91" t="n">
        <v>57.6</v>
      </c>
      <c r="C201" s="80" t="n">
        <v>12.86</v>
      </c>
      <c r="D201" s="80" t="n">
        <v>25.8</v>
      </c>
      <c r="F201" s="80" t="n">
        <v>7.91</v>
      </c>
      <c r="G201" s="80" t="n">
        <v>3.80184738865094</v>
      </c>
      <c r="H201" s="80" t="n">
        <v>2.11488088459091</v>
      </c>
      <c r="I201" s="80" t="n">
        <v>2.11488088459091</v>
      </c>
      <c r="J201" s="80" t="n">
        <v>5.6</v>
      </c>
      <c r="L201" s="80" t="n">
        <v>17.95</v>
      </c>
    </row>
    <row r="202" customFormat="false" ht="15.75" hidden="false" customHeight="false" outlineLevel="0" collapsed="false">
      <c r="A202" s="28" t="n">
        <v>37022</v>
      </c>
      <c r="B202" s="91" t="n">
        <v>58.2</v>
      </c>
      <c r="C202" s="80" t="n">
        <v>13.59</v>
      </c>
      <c r="D202" s="80" t="n">
        <v>26.66</v>
      </c>
      <c r="F202" s="80" t="n">
        <v>7.92</v>
      </c>
      <c r="G202" s="80" t="n">
        <v>3.72962390703416</v>
      </c>
      <c r="H202" s="80" t="n">
        <v>2.21220496107437</v>
      </c>
      <c r="I202" s="80" t="n">
        <v>2.21220496107437</v>
      </c>
      <c r="J202" s="80" t="n">
        <v>5.55</v>
      </c>
      <c r="L202" s="80" t="n">
        <v>17.4</v>
      </c>
    </row>
    <row r="203" customFormat="false" ht="15.75" hidden="false" customHeight="false" outlineLevel="0" collapsed="false">
      <c r="A203" s="28" t="n">
        <v>37025</v>
      </c>
      <c r="B203" s="91" t="n">
        <v>58.75</v>
      </c>
      <c r="C203" s="80" t="n">
        <v>12.62</v>
      </c>
      <c r="D203" s="80" t="n">
        <v>26.1</v>
      </c>
      <c r="F203" s="80" t="n">
        <v>7.87</v>
      </c>
      <c r="G203" s="80" t="n">
        <v>3.81232059774154</v>
      </c>
      <c r="H203" s="80" t="n">
        <v>2.21828771793047</v>
      </c>
      <c r="I203" s="80" t="n">
        <v>2.21828771793047</v>
      </c>
      <c r="J203" s="80" t="n">
        <v>5.6</v>
      </c>
      <c r="L203" s="80" t="n">
        <v>17.85</v>
      </c>
    </row>
    <row r="204" customFormat="false" ht="15.75" hidden="false" customHeight="false" outlineLevel="0" collapsed="false">
      <c r="A204" s="28" t="n">
        <v>37026</v>
      </c>
      <c r="B204" s="91" t="n">
        <v>56.99</v>
      </c>
      <c r="C204" s="80" t="n">
        <v>11.54</v>
      </c>
      <c r="D204" s="80" t="n">
        <v>26.17</v>
      </c>
      <c r="F204" s="80" t="n">
        <v>7.95</v>
      </c>
      <c r="G204" s="80" t="n">
        <v>3.97532415033303</v>
      </c>
      <c r="H204" s="80" t="n">
        <v>2.98218463121011</v>
      </c>
      <c r="I204" s="80" t="n">
        <v>2.98218463121011</v>
      </c>
      <c r="J204" s="80" t="n">
        <v>5.6</v>
      </c>
      <c r="L204" s="80" t="n">
        <v>17.9</v>
      </c>
    </row>
    <row r="205" customFormat="false" ht="15.75" hidden="false" customHeight="false" outlineLevel="0" collapsed="false">
      <c r="A205" s="28" t="n">
        <v>37027</v>
      </c>
      <c r="B205" s="91" t="n">
        <v>55.01</v>
      </c>
      <c r="C205" s="80" t="n">
        <v>12.4</v>
      </c>
      <c r="D205" s="80" t="n">
        <v>27.12</v>
      </c>
      <c r="F205" s="80" t="n">
        <v>8</v>
      </c>
      <c r="G205" s="80" t="n">
        <v>4.16531164410805</v>
      </c>
      <c r="H205" s="80" t="n">
        <v>2.76848883412834</v>
      </c>
      <c r="I205" s="80" t="n">
        <v>2.76848883412834</v>
      </c>
      <c r="J205" s="80" t="n">
        <v>5.5</v>
      </c>
      <c r="L205" s="80" t="n">
        <v>18.2</v>
      </c>
    </row>
    <row r="206" customFormat="false" ht="15.75" hidden="false" customHeight="false" outlineLevel="0" collapsed="false">
      <c r="A206" s="28" t="n">
        <v>37028</v>
      </c>
      <c r="B206" s="91" t="n">
        <v>52.2</v>
      </c>
      <c r="C206" s="80" t="n">
        <v>12.4</v>
      </c>
      <c r="D206" s="80" t="n">
        <v>28.75</v>
      </c>
      <c r="F206" s="80" t="n">
        <v>8.05</v>
      </c>
      <c r="G206" s="80" t="n">
        <v>4.29822789581112</v>
      </c>
      <c r="H206" s="80" t="n">
        <v>2.81711559196095</v>
      </c>
      <c r="I206" s="80" t="n">
        <v>2.81711559196095</v>
      </c>
      <c r="J206" s="80" t="n">
        <v>5.47</v>
      </c>
      <c r="L206" s="80" t="n">
        <v>19.35</v>
      </c>
    </row>
    <row r="207" customFormat="false" ht="15.75" hidden="false" customHeight="false" outlineLevel="0" collapsed="false">
      <c r="A207" s="28" t="n">
        <v>37029</v>
      </c>
      <c r="B207" s="91" t="n">
        <v>54.9</v>
      </c>
      <c r="C207" s="80" t="n">
        <v>12.79</v>
      </c>
      <c r="D207" s="80" t="n">
        <v>29.95</v>
      </c>
      <c r="F207" s="80" t="n">
        <v>8.19</v>
      </c>
      <c r="G207" s="80" t="n">
        <v>4.27979336315356</v>
      </c>
      <c r="H207" s="80" t="n">
        <v>3.33270433761109</v>
      </c>
      <c r="I207" s="80" t="n">
        <v>3.33270433761109</v>
      </c>
      <c r="J207" s="80" t="n">
        <v>5.5</v>
      </c>
      <c r="L207" s="80" t="n">
        <v>20.46</v>
      </c>
    </row>
    <row r="208" customFormat="false" ht="15.75" hidden="false" customHeight="false" outlineLevel="0" collapsed="false">
      <c r="A208" s="28" t="n">
        <v>37032</v>
      </c>
      <c r="B208" s="91" t="n">
        <v>54.99</v>
      </c>
      <c r="C208" s="80" t="n">
        <v>13.7</v>
      </c>
      <c r="D208" s="80" t="n">
        <v>29.13</v>
      </c>
      <c r="F208" s="80" t="n">
        <v>8.28</v>
      </c>
      <c r="G208" s="80" t="n">
        <v>4.27721649720469</v>
      </c>
      <c r="H208" s="80" t="n">
        <v>3.41514165418389</v>
      </c>
      <c r="I208" s="80" t="n">
        <v>3.41514165418389</v>
      </c>
      <c r="J208" s="80" t="n">
        <v>5.5</v>
      </c>
      <c r="L208" s="80" t="n">
        <v>21.8</v>
      </c>
    </row>
    <row r="209" customFormat="false" ht="15.75" hidden="false" customHeight="false" outlineLevel="0" collapsed="false">
      <c r="A209" s="28" t="n">
        <v>37033</v>
      </c>
      <c r="B209" s="91" t="n">
        <v>54.95</v>
      </c>
      <c r="C209" s="80" t="n">
        <v>14.57</v>
      </c>
      <c r="D209" s="80" t="n">
        <v>28.05</v>
      </c>
      <c r="F209" s="80" t="n">
        <v>8.45</v>
      </c>
      <c r="G209" s="80" t="n">
        <v>4.21911705992229</v>
      </c>
      <c r="H209" s="80" t="n">
        <v>3.25743889459151</v>
      </c>
      <c r="I209" s="80" t="n">
        <v>3.25743889459152</v>
      </c>
      <c r="J209" s="80" t="n">
        <v>5.51</v>
      </c>
      <c r="L209" s="80" t="n">
        <v>20.79</v>
      </c>
    </row>
    <row r="210" customFormat="false" ht="15.75" hidden="false" customHeight="false" outlineLevel="0" collapsed="false">
      <c r="A210" s="28" t="n">
        <v>37034</v>
      </c>
      <c r="B210" s="91" t="n">
        <v>55.35</v>
      </c>
      <c r="C210" s="80" t="n">
        <v>13.62</v>
      </c>
      <c r="D210" s="80" t="n">
        <v>24.94</v>
      </c>
      <c r="F210" s="80" t="n">
        <v>8.55</v>
      </c>
      <c r="G210" s="80" t="n">
        <v>4.05907604068821</v>
      </c>
      <c r="H210" s="80" t="n">
        <v>3.11853479792737</v>
      </c>
      <c r="I210" s="80" t="n">
        <v>3.11853479792737</v>
      </c>
      <c r="J210" s="80" t="n">
        <v>5.75</v>
      </c>
      <c r="L210" s="80" t="n">
        <v>19.81</v>
      </c>
    </row>
    <row r="211" customFormat="false" ht="15.75" hidden="false" customHeight="false" outlineLevel="0" collapsed="false">
      <c r="A211" s="28" t="n">
        <v>37035</v>
      </c>
      <c r="B211" s="91" t="n">
        <v>54.16</v>
      </c>
      <c r="C211" s="80" t="n">
        <v>13.94</v>
      </c>
      <c r="D211" s="80" t="n">
        <v>26.4</v>
      </c>
      <c r="F211" s="80" t="n">
        <v>8.55</v>
      </c>
      <c r="G211" s="80" t="n">
        <v>4.03769755293769</v>
      </c>
      <c r="H211" s="80" t="n">
        <v>3.13904530758932</v>
      </c>
      <c r="I211" s="80" t="n">
        <v>3.13904530758932</v>
      </c>
      <c r="J211" s="80" t="n">
        <v>6</v>
      </c>
      <c r="L211" s="80" t="n">
        <v>19.75</v>
      </c>
    </row>
    <row r="212" customFormat="false" ht="15.75" hidden="false" customHeight="false" outlineLevel="0" collapsed="false">
      <c r="A212" s="28" t="n">
        <v>37036</v>
      </c>
      <c r="B212" s="91" t="n">
        <v>53</v>
      </c>
      <c r="C212" s="80" t="n">
        <v>13.27</v>
      </c>
      <c r="D212" s="80" t="n">
        <v>27.3</v>
      </c>
      <c r="F212" s="80" t="n">
        <v>8.74</v>
      </c>
      <c r="G212" s="80" t="n">
        <v>3.98960574251566</v>
      </c>
      <c r="H212" s="80" t="n">
        <v>3.16775623183286</v>
      </c>
      <c r="I212" s="80" t="n">
        <v>3.16775623183286</v>
      </c>
      <c r="J212" s="80" t="n">
        <v>6.59</v>
      </c>
      <c r="L212" s="80" t="n">
        <v>20.98</v>
      </c>
    </row>
    <row r="213" customFormat="false" ht="15.75" hidden="false" customHeight="false" outlineLevel="0" collapsed="false">
      <c r="A213" s="28" t="n">
        <v>37040</v>
      </c>
      <c r="B213" s="91" t="n">
        <v>53.05</v>
      </c>
      <c r="C213" s="80" t="n">
        <v>11.42</v>
      </c>
      <c r="D213" s="80" t="n">
        <v>27.36</v>
      </c>
      <c r="F213" s="80" t="n">
        <v>8.6</v>
      </c>
      <c r="G213" s="80" t="n">
        <v>3.88877592997197</v>
      </c>
      <c r="H213" s="80" t="n">
        <v>3.08619056596306</v>
      </c>
      <c r="I213" s="80" t="n">
        <v>3.08619056596306</v>
      </c>
      <c r="J213" s="80" t="n">
        <v>6.68</v>
      </c>
      <c r="L213" s="80" t="n">
        <v>20.75</v>
      </c>
    </row>
    <row r="214" customFormat="false" ht="15.75" hidden="false" customHeight="false" outlineLevel="0" collapsed="false">
      <c r="A214" s="28" t="n">
        <v>37041</v>
      </c>
      <c r="B214" s="91" t="n">
        <v>53.23</v>
      </c>
      <c r="C214" s="80" t="n">
        <v>10.11</v>
      </c>
      <c r="D214" s="80" t="n">
        <v>24.03</v>
      </c>
      <c r="F214" s="80" t="n">
        <v>8.19</v>
      </c>
      <c r="G214" s="80" t="n">
        <v>3.82450973130261</v>
      </c>
      <c r="H214" s="80" t="n">
        <v>2.16644582890828</v>
      </c>
      <c r="I214" s="80" t="n">
        <v>2.16644582890829</v>
      </c>
      <c r="J214" s="80" t="n">
        <v>6.3</v>
      </c>
      <c r="L214" s="80" t="n">
        <v>19.47</v>
      </c>
    </row>
    <row r="215" customFormat="false" ht="15.75" hidden="false" customHeight="false" outlineLevel="0" collapsed="false">
      <c r="A215" s="28" t="n">
        <v>37042</v>
      </c>
      <c r="B215" s="91" t="n">
        <v>52.91</v>
      </c>
      <c r="C215" s="80" t="n">
        <v>10.13</v>
      </c>
      <c r="D215" s="80" t="n">
        <v>24.45</v>
      </c>
      <c r="F215" s="80" t="n">
        <v>8.14</v>
      </c>
      <c r="G215" s="80" t="n">
        <v>3.61580825725341</v>
      </c>
      <c r="H215" s="80" t="n">
        <v>2.42505990667107</v>
      </c>
      <c r="I215" s="80" t="n">
        <v>2.42505990667107</v>
      </c>
      <c r="J215" s="80" t="n">
        <v>6.34</v>
      </c>
      <c r="L215" s="80" t="n">
        <v>19.25</v>
      </c>
    </row>
    <row r="216" customFormat="false" ht="15.75" hidden="false" customHeight="false" outlineLevel="0" collapsed="false">
      <c r="A216" s="28" t="n">
        <v>37043</v>
      </c>
      <c r="B216" s="91" t="n">
        <v>53.04</v>
      </c>
      <c r="C216" s="80" t="n">
        <v>10.18</v>
      </c>
      <c r="D216" s="80" t="n">
        <v>24.9</v>
      </c>
      <c r="F216" s="80" t="n">
        <v>7.95</v>
      </c>
      <c r="G216" s="80" t="n">
        <v>3.04798308010038</v>
      </c>
      <c r="H216" s="80" t="n">
        <v>2.56734504762949</v>
      </c>
      <c r="I216" s="80" t="n">
        <v>2.56734504762949</v>
      </c>
      <c r="J216" s="80" t="n">
        <v>6.33</v>
      </c>
      <c r="L216" s="80" t="n">
        <v>19.2</v>
      </c>
    </row>
    <row r="217" customFormat="false" ht="15.75" hidden="false" customHeight="false" outlineLevel="0" collapsed="false">
      <c r="A217" s="28" t="n">
        <v>37046</v>
      </c>
      <c r="B217" s="91" t="n">
        <v>54.54</v>
      </c>
      <c r="C217" s="80" t="n">
        <v>10.35</v>
      </c>
      <c r="D217" s="80" t="n">
        <v>22.68</v>
      </c>
      <c r="F217" s="80" t="n">
        <v>8.05</v>
      </c>
      <c r="G217" s="80" t="n">
        <v>3.47435247961741</v>
      </c>
      <c r="H217" s="80" t="n">
        <v>2.63172083650789</v>
      </c>
      <c r="I217" s="80" t="n">
        <v>2.63172083650789</v>
      </c>
      <c r="J217" s="80" t="n">
        <v>6.5</v>
      </c>
      <c r="L217" s="80" t="n">
        <v>19.95</v>
      </c>
    </row>
    <row r="218" customFormat="false" ht="15.75" hidden="false" customHeight="false" outlineLevel="0" collapsed="false">
      <c r="A218" s="28" t="n">
        <v>37047</v>
      </c>
      <c r="B218" s="91" t="n">
        <v>53.75</v>
      </c>
      <c r="C218" s="80" t="n">
        <v>10.99</v>
      </c>
      <c r="D218" s="80" t="n">
        <v>24.87</v>
      </c>
      <c r="F218" s="80" t="n">
        <v>8</v>
      </c>
      <c r="G218" s="80" t="n">
        <v>3.67261357978461</v>
      </c>
      <c r="H218" s="80" t="n">
        <v>2.96190192748752</v>
      </c>
      <c r="I218" s="80" t="n">
        <v>2.96190192748752</v>
      </c>
      <c r="J218" s="80" t="n">
        <v>6.45</v>
      </c>
      <c r="L218" s="80" t="n">
        <v>20.37</v>
      </c>
    </row>
    <row r="219" customFormat="false" ht="15.75" hidden="false" customHeight="false" outlineLevel="0" collapsed="false">
      <c r="A219" s="28" t="n">
        <v>37048</v>
      </c>
      <c r="B219" s="91" t="n">
        <v>52.33</v>
      </c>
      <c r="C219" s="80" t="n">
        <v>10.21</v>
      </c>
      <c r="D219" s="80" t="n">
        <v>25.9</v>
      </c>
      <c r="F219" s="80" t="n">
        <v>7.85</v>
      </c>
      <c r="G219" s="80" t="n">
        <v>3.2625215690986</v>
      </c>
      <c r="H219" s="80" t="n">
        <v>3.23022187723369</v>
      </c>
      <c r="I219" s="80" t="n">
        <v>3.23022187723369</v>
      </c>
      <c r="J219" s="80" t="n">
        <v>6.35</v>
      </c>
      <c r="L219" s="80" t="n">
        <v>20.35</v>
      </c>
    </row>
    <row r="220" customFormat="false" ht="15.75" hidden="false" customHeight="false" outlineLevel="0" collapsed="false">
      <c r="A220" s="28" t="n">
        <v>37049</v>
      </c>
      <c r="B220" s="91" t="n">
        <v>50.52</v>
      </c>
      <c r="C220" s="80" t="n">
        <v>10.32</v>
      </c>
      <c r="D220" s="80" t="n">
        <v>24.83</v>
      </c>
      <c r="F220" s="80" t="n">
        <v>7.83</v>
      </c>
      <c r="G220" s="80" t="n">
        <v>3.27362695824566</v>
      </c>
      <c r="H220" s="80" t="n">
        <v>3.11851986503542</v>
      </c>
      <c r="I220" s="80" t="n">
        <v>3.11851986503542</v>
      </c>
      <c r="J220" s="80" t="n">
        <v>6.73</v>
      </c>
      <c r="L220" s="80" t="n">
        <v>20.9</v>
      </c>
    </row>
    <row r="221" customFormat="false" ht="15.75" hidden="false" customHeight="false" outlineLevel="0" collapsed="false">
      <c r="A221" s="28" t="n">
        <v>37050</v>
      </c>
      <c r="B221" s="91" t="n">
        <v>51.13</v>
      </c>
      <c r="C221" s="80" t="n">
        <v>9.24</v>
      </c>
      <c r="D221" s="80" t="n">
        <v>22.97</v>
      </c>
      <c r="F221" s="80" t="n">
        <v>7.85</v>
      </c>
      <c r="G221" s="80" t="n">
        <v>3.55205091156619</v>
      </c>
      <c r="H221" s="80" t="n">
        <v>3.1321062277455</v>
      </c>
      <c r="I221" s="80" t="n">
        <v>3.1321062277455</v>
      </c>
      <c r="J221" s="80" t="n">
        <v>6.63</v>
      </c>
      <c r="L221" s="80" t="n">
        <v>21.1</v>
      </c>
    </row>
    <row r="222" customFormat="false" ht="15.75" hidden="false" customHeight="false" outlineLevel="0" collapsed="false">
      <c r="A222" s="28" t="n">
        <v>37053</v>
      </c>
      <c r="B222" s="91" t="n">
        <v>51</v>
      </c>
      <c r="C222" s="80" t="n">
        <v>8.8</v>
      </c>
      <c r="D222" s="80" t="n">
        <v>22</v>
      </c>
      <c r="F222" s="80" t="n">
        <v>7.9</v>
      </c>
      <c r="G222" s="80" t="n">
        <v>3.13282491844328</v>
      </c>
      <c r="H222" s="80" t="n">
        <v>3.21724861587271</v>
      </c>
      <c r="I222" s="80" t="n">
        <v>3.21724861587271</v>
      </c>
      <c r="J222" s="80" t="n">
        <v>6.6</v>
      </c>
      <c r="L222" s="80" t="n">
        <v>20.61</v>
      </c>
    </row>
    <row r="223" customFormat="false" ht="15.75" hidden="false" customHeight="false" outlineLevel="0" collapsed="false">
      <c r="A223" s="28" t="n">
        <v>37054</v>
      </c>
      <c r="B223" s="91" t="n">
        <v>50.37</v>
      </c>
      <c r="C223" s="80" t="n">
        <v>8.52</v>
      </c>
      <c r="D223" s="80" t="n">
        <v>20.95</v>
      </c>
      <c r="F223" s="80" t="n">
        <v>8</v>
      </c>
      <c r="G223" s="80" t="n">
        <v>3.10210891364161</v>
      </c>
      <c r="H223" s="80" t="n">
        <v>2.88790276854882</v>
      </c>
      <c r="I223" s="80" t="n">
        <v>2.88790276854882</v>
      </c>
      <c r="J223" s="80" t="n">
        <v>6.67</v>
      </c>
      <c r="L223" s="80" t="n">
        <v>19.65</v>
      </c>
    </row>
    <row r="224" customFormat="false" ht="15.75" hidden="false" customHeight="false" outlineLevel="0" collapsed="false">
      <c r="A224" s="28" t="n">
        <v>37055</v>
      </c>
      <c r="B224" s="91" t="n">
        <v>49.92</v>
      </c>
      <c r="C224" s="80" t="n">
        <v>8</v>
      </c>
      <c r="D224" s="80" t="n">
        <v>19.75</v>
      </c>
      <c r="F224" s="80" t="n">
        <v>8</v>
      </c>
      <c r="G224" s="80" t="n">
        <v>3.09001291035687</v>
      </c>
      <c r="H224" s="80" t="n">
        <v>2.57580330622322</v>
      </c>
      <c r="I224" s="80" t="n">
        <v>2.57580330622322</v>
      </c>
      <c r="J224" s="80" t="n">
        <v>6.7</v>
      </c>
      <c r="L224" s="80" t="n">
        <v>19</v>
      </c>
    </row>
    <row r="225" customFormat="false" ht="15.75" hidden="false" customHeight="false" outlineLevel="0" collapsed="false">
      <c r="A225" s="28" t="n">
        <v>37056</v>
      </c>
      <c r="B225" s="91" t="n">
        <v>47.91</v>
      </c>
      <c r="C225" s="80" t="n">
        <v>7.44</v>
      </c>
      <c r="D225" s="80" t="n">
        <v>19.08</v>
      </c>
      <c r="F225" s="80" t="n">
        <v>7.79</v>
      </c>
      <c r="G225" s="80" t="n">
        <v>2.93545014591424</v>
      </c>
      <c r="H225" s="80" t="n">
        <v>2.57598694749517</v>
      </c>
      <c r="I225" s="80" t="n">
        <v>2.57598694749517</v>
      </c>
      <c r="J225" s="80" t="n">
        <v>6.47</v>
      </c>
      <c r="L225" s="80" t="n">
        <v>17.9</v>
      </c>
    </row>
    <row r="226" customFormat="false" ht="15.75" hidden="false" customHeight="false" outlineLevel="0" collapsed="false">
      <c r="A226" s="28" t="n">
        <v>37057</v>
      </c>
      <c r="B226" s="91" t="n">
        <v>47.26</v>
      </c>
      <c r="C226" s="80" t="n">
        <v>6.84</v>
      </c>
      <c r="D226" s="80" t="n">
        <v>20.95</v>
      </c>
      <c r="F226" s="80" t="n">
        <v>8</v>
      </c>
      <c r="G226" s="80" t="n">
        <v>3.18820172060765</v>
      </c>
      <c r="H226" s="80" t="n">
        <v>2.67963694209227</v>
      </c>
      <c r="I226" s="80" t="n">
        <v>2.67963694209227</v>
      </c>
      <c r="J226" s="80" t="n">
        <v>6.31</v>
      </c>
      <c r="L226" s="80" t="n">
        <v>17.24</v>
      </c>
    </row>
    <row r="227" customFormat="false" ht="15.75" hidden="false" customHeight="false" outlineLevel="0" collapsed="false">
      <c r="A227" s="28" t="n">
        <v>37060</v>
      </c>
      <c r="B227" s="91" t="n">
        <v>44.7</v>
      </c>
      <c r="C227" s="80" t="n">
        <v>6.05</v>
      </c>
      <c r="D227" s="80" t="n">
        <v>19.02</v>
      </c>
      <c r="F227" s="80" t="n">
        <v>7.6</v>
      </c>
      <c r="G227" s="80" t="n">
        <v>3.00765063161453</v>
      </c>
      <c r="H227" s="80" t="n">
        <v>2.29864572768396</v>
      </c>
      <c r="I227" s="80" t="n">
        <v>2.29864572768396</v>
      </c>
      <c r="J227" s="80" t="n">
        <v>6.07</v>
      </c>
      <c r="L227" s="80" t="n">
        <v>17.01</v>
      </c>
    </row>
    <row r="228" customFormat="false" ht="15.75" hidden="false" customHeight="false" outlineLevel="0" collapsed="false">
      <c r="A228" s="28" t="n">
        <v>37061</v>
      </c>
      <c r="B228" s="91" t="n">
        <v>46.18</v>
      </c>
      <c r="C228" s="80" t="n">
        <v>5.17</v>
      </c>
      <c r="D228" s="80" t="n">
        <v>18.25</v>
      </c>
      <c r="F228" s="80" t="n">
        <v>7.65</v>
      </c>
      <c r="G228" s="80" t="n">
        <v>2.83442795914046</v>
      </c>
      <c r="H228" s="80" t="n">
        <v>2.04179935536888</v>
      </c>
      <c r="I228" s="80" t="n">
        <v>2.04179935536888</v>
      </c>
      <c r="J228" s="80" t="n">
        <v>6.15</v>
      </c>
      <c r="L228" s="80" t="n">
        <v>16.6</v>
      </c>
    </row>
    <row r="229" customFormat="false" ht="15.75" hidden="false" customHeight="false" outlineLevel="0" collapsed="false">
      <c r="A229" s="28" t="n">
        <v>37062</v>
      </c>
      <c r="B229" s="91" t="n">
        <v>45.8</v>
      </c>
      <c r="C229" s="80" t="n">
        <v>5.33</v>
      </c>
      <c r="D229" s="80" t="n">
        <v>15.5</v>
      </c>
      <c r="F229" s="80" t="n">
        <v>7.55</v>
      </c>
      <c r="G229" s="80" t="n">
        <v>2.40835598788137</v>
      </c>
      <c r="H229" s="80" t="n">
        <v>1.91047549243145</v>
      </c>
      <c r="I229" s="80" t="n">
        <v>1.91047549243145</v>
      </c>
      <c r="J229" s="80" t="n">
        <v>6.15</v>
      </c>
      <c r="L229" s="80" t="n">
        <v>17.07</v>
      </c>
    </row>
    <row r="230" customFormat="false" ht="15.75" hidden="false" customHeight="false" outlineLevel="0" collapsed="false">
      <c r="A230" s="28" t="n">
        <v>37063</v>
      </c>
      <c r="B230" s="91" t="n">
        <v>44.05</v>
      </c>
      <c r="C230" s="80" t="n">
        <v>6.97</v>
      </c>
      <c r="D230" s="80" t="n">
        <v>17.58</v>
      </c>
      <c r="F230" s="80" t="n">
        <v>7.6</v>
      </c>
      <c r="G230" s="80" t="n">
        <v>2.36833666762317</v>
      </c>
      <c r="H230" s="80" t="n">
        <v>1.67099431240662</v>
      </c>
      <c r="I230" s="80" t="n">
        <v>1.67099431240662</v>
      </c>
      <c r="J230" s="80" t="n">
        <v>6</v>
      </c>
      <c r="L230" s="80" t="n">
        <v>17.07</v>
      </c>
    </row>
    <row r="231" customFormat="false" ht="15.75" hidden="false" customHeight="false" outlineLevel="0" collapsed="false">
      <c r="A231" s="28" t="n">
        <v>37064</v>
      </c>
      <c r="B231" s="91" t="n">
        <v>44.88</v>
      </c>
      <c r="C231" s="80" t="n">
        <v>6.9</v>
      </c>
      <c r="D231" s="80" t="n">
        <v>18.47</v>
      </c>
      <c r="F231" s="80" t="n">
        <v>7.52</v>
      </c>
      <c r="G231" s="80" t="n">
        <v>2.11843384098596</v>
      </c>
      <c r="H231" s="80" t="n">
        <v>1.63143778635292</v>
      </c>
      <c r="I231" s="80" t="n">
        <v>1.63143778635292</v>
      </c>
      <c r="J231" s="80" t="n">
        <v>6.28</v>
      </c>
      <c r="L231" s="80" t="n">
        <v>16.65</v>
      </c>
    </row>
    <row r="232" customFormat="false" ht="15.75" hidden="false" customHeight="false" outlineLevel="0" collapsed="false">
      <c r="A232" s="28" t="n">
        <v>37067</v>
      </c>
      <c r="B232" s="91" t="n">
        <v>44.07</v>
      </c>
      <c r="C232" s="80" t="n">
        <v>7.45</v>
      </c>
      <c r="D232" s="80" t="n">
        <v>19.73</v>
      </c>
      <c r="F232" s="80" t="n">
        <v>7.64</v>
      </c>
      <c r="G232" s="80" t="n">
        <v>2.07494244113162</v>
      </c>
      <c r="H232" s="80" t="n">
        <v>1.92818505025992</v>
      </c>
      <c r="I232" s="80" t="n">
        <v>1.92818505025992</v>
      </c>
      <c r="J232" s="80" t="n">
        <v>6.15</v>
      </c>
      <c r="L232" s="80" t="n">
        <v>16</v>
      </c>
    </row>
    <row r="233" customFormat="false" ht="15.75" hidden="false" customHeight="false" outlineLevel="0" collapsed="false">
      <c r="A233" s="28" t="n">
        <v>37068</v>
      </c>
      <c r="B233" s="91" t="n">
        <v>44.19</v>
      </c>
      <c r="C233" s="80" t="n">
        <v>7.7</v>
      </c>
      <c r="D233" s="80" t="n">
        <v>17.05</v>
      </c>
      <c r="F233" s="80" t="n">
        <v>7.5</v>
      </c>
      <c r="G233" s="80" t="n">
        <v>2.90081087377889</v>
      </c>
      <c r="H233" s="80" t="n">
        <v>1.71094954376221</v>
      </c>
      <c r="I233" s="80" t="n">
        <v>1.71094954376221</v>
      </c>
      <c r="J233" s="80" t="n">
        <v>6.2</v>
      </c>
      <c r="L233" s="80" t="n">
        <v>17.25</v>
      </c>
    </row>
    <row r="234" customFormat="false" ht="15.75" hidden="false" customHeight="false" outlineLevel="0" collapsed="false">
      <c r="A234" s="28" t="n">
        <v>37069</v>
      </c>
      <c r="B234" s="91" t="n">
        <v>46.72</v>
      </c>
      <c r="C234" s="80" t="n">
        <v>7.5</v>
      </c>
      <c r="D234" s="80" t="n">
        <v>15.76</v>
      </c>
      <c r="F234" s="80" t="n">
        <v>7.53</v>
      </c>
      <c r="G234" s="80" t="n">
        <v>3.10149715016118</v>
      </c>
      <c r="H234" s="80" t="n">
        <v>1.6322815550307</v>
      </c>
      <c r="I234" s="80" t="n">
        <v>1.6322815550307E-006</v>
      </c>
      <c r="J234" s="80" t="n">
        <v>6.26</v>
      </c>
      <c r="L234" s="80" t="n">
        <v>17.12</v>
      </c>
    </row>
    <row r="235" customFormat="false" ht="15.75" hidden="false" customHeight="false" outlineLevel="0" collapsed="false">
      <c r="A235" s="28" t="n">
        <v>37070</v>
      </c>
      <c r="B235" s="91" t="n">
        <v>48.34</v>
      </c>
      <c r="C235" s="80" t="n">
        <v>7.98</v>
      </c>
      <c r="D235" s="80" t="n">
        <v>15.98</v>
      </c>
      <c r="F235" s="80" t="n">
        <v>6.66</v>
      </c>
      <c r="G235" s="80" t="n">
        <v>3.11105957846027</v>
      </c>
      <c r="H235" s="80" t="n">
        <v>1.64272240518431</v>
      </c>
      <c r="I235" s="80" t="n">
        <v>1.64272240518431E-006</v>
      </c>
      <c r="J235" s="80" t="n">
        <v>6.16</v>
      </c>
      <c r="L235" s="80" t="n">
        <v>17.25</v>
      </c>
    </row>
    <row r="236" customFormat="false" ht="15.75" hidden="false" customHeight="false" outlineLevel="0" collapsed="false">
      <c r="A236" s="28" t="n">
        <v>37071</v>
      </c>
      <c r="B236" s="91" t="n">
        <v>49.1</v>
      </c>
      <c r="C236" s="80" t="n">
        <v>8.57</v>
      </c>
      <c r="D236" s="80" t="n">
        <v>16.68</v>
      </c>
      <c r="F236" s="80" t="n">
        <v>6.55</v>
      </c>
      <c r="G236" s="80" t="n">
        <v>3.11503470753574</v>
      </c>
      <c r="H236" s="80" t="n">
        <v>1.6435454094754</v>
      </c>
      <c r="I236" s="80" t="n">
        <v>1.6435454094754E-006</v>
      </c>
      <c r="J236" s="80" t="n">
        <v>6.25</v>
      </c>
      <c r="L236" s="80" t="n">
        <v>21.7</v>
      </c>
    </row>
    <row r="237" customFormat="false" ht="15.75" hidden="false" customHeight="false" outlineLevel="0" collapsed="false">
      <c r="A237" s="28" t="n">
        <v>37083</v>
      </c>
      <c r="B237" s="91" t="n">
        <v>49.1</v>
      </c>
      <c r="C237" s="80" t="n">
        <v>6.78</v>
      </c>
      <c r="D237" s="80" t="n">
        <v>14.86</v>
      </c>
      <c r="F237" s="80" t="n">
        <v>6.75</v>
      </c>
      <c r="G237" s="80" t="n">
        <v>3.08895992215738</v>
      </c>
      <c r="H237" s="80" t="n">
        <v>1.59356618804263</v>
      </c>
      <c r="I237" s="80" t="n">
        <v>1.59356618804263E-006</v>
      </c>
      <c r="J237" s="80" t="n">
        <v>6</v>
      </c>
      <c r="L237" s="80" t="n">
        <v>18.28</v>
      </c>
    </row>
    <row r="238" customFormat="false" ht="15.75" hidden="false" customHeight="false" outlineLevel="0" collapsed="false">
      <c r="A238" s="28" t="n">
        <v>37084</v>
      </c>
      <c r="B238" s="91" t="n">
        <v>49.55</v>
      </c>
      <c r="C238" s="80" t="n">
        <v>7.12</v>
      </c>
      <c r="D238" s="80" t="n">
        <v>14.9</v>
      </c>
      <c r="F238" s="80" t="n">
        <v>6.95</v>
      </c>
      <c r="G238" s="80" t="n">
        <v>3.08594136660654</v>
      </c>
      <c r="H238" s="80" t="n">
        <v>1.58893707958187</v>
      </c>
      <c r="I238" s="80" t="n">
        <v>1.58893707958187E-006</v>
      </c>
      <c r="J238" s="80" t="n">
        <v>5.97</v>
      </c>
      <c r="L238" s="80" t="n">
        <v>18.76</v>
      </c>
    </row>
    <row r="239" customFormat="false" ht="15.75" hidden="false" customHeight="false" outlineLevel="0" collapsed="false">
      <c r="A239" s="28" t="n">
        <v>37085</v>
      </c>
      <c r="B239" s="91" t="n">
        <v>48.78</v>
      </c>
      <c r="C239" s="80" t="n">
        <v>6.86</v>
      </c>
      <c r="D239" s="80" t="n">
        <v>13.61</v>
      </c>
      <c r="F239" s="80" t="n">
        <v>6.95</v>
      </c>
      <c r="G239" s="80" t="n">
        <v>3.08803481904948</v>
      </c>
      <c r="H239" s="80" t="n">
        <v>1.59059979654387</v>
      </c>
      <c r="I239" s="80" t="n">
        <v>1.59059979654387E-006</v>
      </c>
      <c r="J239" s="80" t="n">
        <v>6.1</v>
      </c>
      <c r="L239" s="80" t="n">
        <v>19.45</v>
      </c>
    </row>
    <row r="240" customFormat="false" ht="15.75" hidden="false" customHeight="false" outlineLevel="0" collapsed="false">
      <c r="A240" s="28" t="n">
        <v>37088</v>
      </c>
      <c r="B240" s="91" t="n">
        <v>49.12</v>
      </c>
      <c r="C240" s="80" t="n">
        <v>6.51</v>
      </c>
      <c r="D240" s="80" t="n">
        <v>14.1</v>
      </c>
      <c r="F240" s="80" t="n">
        <v>6.9</v>
      </c>
      <c r="G240" s="80" t="n">
        <v>3.08322896145029</v>
      </c>
      <c r="H240" s="80" t="n">
        <v>1.58030500261713</v>
      </c>
      <c r="I240" s="80" t="n">
        <v>1.58030500261713E-006</v>
      </c>
      <c r="J240" s="80" t="n">
        <v>5.88</v>
      </c>
      <c r="L240" s="80" t="n">
        <v>18.66</v>
      </c>
    </row>
    <row r="241" customFormat="false" ht="15.75" hidden="false" customHeight="false" outlineLevel="0" collapsed="false">
      <c r="A241" s="28" t="n">
        <v>37089</v>
      </c>
      <c r="B241" s="91" t="n">
        <v>49.85</v>
      </c>
      <c r="C241" s="80" t="n">
        <v>6.15</v>
      </c>
      <c r="D241" s="80" t="n">
        <v>14.15</v>
      </c>
      <c r="F241" s="80" t="n">
        <v>6.85</v>
      </c>
      <c r="G241" s="80" t="n">
        <v>3.08290699833707</v>
      </c>
      <c r="H241" s="80" t="n">
        <v>1.57800254409529</v>
      </c>
      <c r="I241" s="80" t="n">
        <v>1.57800254409529E-006</v>
      </c>
      <c r="J241" s="80" t="n">
        <v>6</v>
      </c>
      <c r="L241" s="80" t="n">
        <v>18.89</v>
      </c>
    </row>
    <row r="242" customFormat="false" ht="15.75" hidden="false" customHeight="false" outlineLevel="0" collapsed="false">
      <c r="A242" s="28" t="n">
        <v>37090</v>
      </c>
      <c r="B242" s="91" t="n">
        <v>48.97</v>
      </c>
      <c r="C242" s="80" t="n">
        <v>5.76</v>
      </c>
      <c r="D242" s="80" t="n">
        <v>12.38</v>
      </c>
      <c r="F242" s="80" t="n">
        <v>6.75</v>
      </c>
      <c r="G242" s="80" t="n">
        <v>3.07279178790222</v>
      </c>
      <c r="H242" s="80" t="n">
        <v>1.56402133571053</v>
      </c>
      <c r="I242" s="80" t="n">
        <v>1.56402133571053E-006</v>
      </c>
      <c r="J242" s="80" t="n">
        <v>5.7</v>
      </c>
      <c r="L242" s="80" t="n">
        <v>18.45</v>
      </c>
    </row>
    <row r="243" customFormat="false" ht="15.75" hidden="false" customHeight="false" outlineLevel="0" collapsed="false">
      <c r="A243" s="28" t="n">
        <v>37091</v>
      </c>
      <c r="B243" s="91" t="n">
        <v>49.08</v>
      </c>
      <c r="C243" s="80" t="n">
        <v>5.79</v>
      </c>
      <c r="D243" s="80" t="n">
        <v>9.2</v>
      </c>
      <c r="F243" s="80" t="n">
        <v>6.86</v>
      </c>
      <c r="G243" s="80" t="n">
        <v>3.07366327415913</v>
      </c>
      <c r="H243" s="80" t="n">
        <v>1.56339374579473</v>
      </c>
      <c r="I243" s="80" t="n">
        <v>1.56339374579473E-006</v>
      </c>
      <c r="J243" s="80" t="n">
        <v>5.78</v>
      </c>
      <c r="L243" s="80" t="n">
        <v>17.95</v>
      </c>
    </row>
    <row r="244" customFormat="false" ht="15.75" hidden="false" customHeight="false" outlineLevel="0" collapsed="false">
      <c r="A244" s="28" t="n">
        <v>37092</v>
      </c>
      <c r="B244" s="91" t="n">
        <v>48.16</v>
      </c>
      <c r="C244" s="80" t="n">
        <v>5.25</v>
      </c>
      <c r="D244" s="80" t="n">
        <v>7.95</v>
      </c>
      <c r="F244" s="80" t="n">
        <v>6.74</v>
      </c>
      <c r="G244" s="80" t="n">
        <v>3.07218917321443</v>
      </c>
      <c r="H244" s="80" t="n">
        <v>1.56004484875675</v>
      </c>
      <c r="I244" s="80" t="n">
        <v>1.56004484875675E-006</v>
      </c>
      <c r="J244" s="80" t="n">
        <v>6</v>
      </c>
      <c r="L244" s="80" t="n">
        <v>18.5</v>
      </c>
    </row>
    <row r="245" customFormat="false" ht="15.75" hidden="false" customHeight="false" outlineLevel="0" collapsed="false">
      <c r="A245" s="28" t="n">
        <v>37095</v>
      </c>
      <c r="B245" s="91" t="n">
        <v>46.66</v>
      </c>
      <c r="C245" s="80" t="n">
        <v>5.02</v>
      </c>
      <c r="D245" s="80" t="n">
        <v>8.4</v>
      </c>
      <c r="F245" s="80" t="n">
        <v>6.68</v>
      </c>
      <c r="G245" s="80" t="n">
        <v>3.07011082124039</v>
      </c>
      <c r="H245" s="80" t="n">
        <v>1.55271911623926</v>
      </c>
      <c r="I245" s="80" t="n">
        <v>1.55271911623926E-006</v>
      </c>
      <c r="J245" s="80" t="n">
        <v>6.03</v>
      </c>
      <c r="L245" s="80" t="n">
        <v>17.65</v>
      </c>
    </row>
    <row r="246" customFormat="false" ht="15.75" hidden="false" customHeight="false" outlineLevel="0" collapsed="false">
      <c r="A246" s="28" t="n">
        <v>37096</v>
      </c>
      <c r="B246" s="91" t="n">
        <v>43.24</v>
      </c>
      <c r="C246" s="80" t="n">
        <v>4.27</v>
      </c>
      <c r="D246" s="80" t="n">
        <v>8.05</v>
      </c>
      <c r="F246" s="80" t="n">
        <v>6.55</v>
      </c>
      <c r="G246" s="80" t="n">
        <v>3.06785811030924</v>
      </c>
      <c r="H246" s="80" t="n">
        <v>1.54848036112535</v>
      </c>
      <c r="I246" s="80" t="n">
        <v>1.54848036112535E-006</v>
      </c>
      <c r="J246" s="80" t="n">
        <v>6.02</v>
      </c>
      <c r="L246" s="80" t="n">
        <v>16.65</v>
      </c>
    </row>
    <row r="247" customFormat="false" ht="15.75" hidden="false" customHeight="false" outlineLevel="0" collapsed="false">
      <c r="A247" s="28" t="n">
        <v>37097</v>
      </c>
      <c r="B247" s="91" t="n">
        <v>44.96</v>
      </c>
      <c r="C247" s="80" t="n">
        <v>4.53</v>
      </c>
      <c r="D247" s="80" t="n">
        <v>7.95</v>
      </c>
      <c r="F247" s="80" t="n">
        <v>6.6</v>
      </c>
      <c r="G247" s="80" t="n">
        <v>3.07101303323886</v>
      </c>
      <c r="H247" s="80" t="n">
        <v>1.54992332361566</v>
      </c>
      <c r="I247" s="80" t="n">
        <v>1.54992332361566E-006</v>
      </c>
      <c r="J247" s="80" t="n">
        <v>6.13</v>
      </c>
      <c r="L247" s="80" t="n">
        <v>16.5</v>
      </c>
    </row>
    <row r="248" customFormat="false" ht="15.75" hidden="false" customHeight="false" outlineLevel="0" collapsed="false">
      <c r="A248" s="28" t="n">
        <v>37098</v>
      </c>
      <c r="B248" s="91" t="n">
        <v>46.84</v>
      </c>
      <c r="C248" s="80" t="n">
        <v>4.68</v>
      </c>
      <c r="D248" s="80" t="n">
        <v>9.05</v>
      </c>
      <c r="F248" s="80" t="n">
        <v>6.55</v>
      </c>
      <c r="G248" s="80" t="n">
        <v>3.0671004371242</v>
      </c>
      <c r="H248" s="80" t="n">
        <v>1.5426816155273</v>
      </c>
      <c r="I248" s="80" t="n">
        <v>1.5426816155273E-006</v>
      </c>
      <c r="J248" s="80" t="n">
        <v>6.17</v>
      </c>
      <c r="L248" s="80" t="n">
        <v>16.45</v>
      </c>
    </row>
    <row r="249" customFormat="false" ht="15.75" hidden="false" customHeight="false" outlineLevel="0" collapsed="false">
      <c r="A249" s="28" t="n">
        <v>37099</v>
      </c>
      <c r="B249" s="91" t="n">
        <v>46.1</v>
      </c>
      <c r="C249" s="80" t="n">
        <v>4.86</v>
      </c>
      <c r="D249" s="80" t="n">
        <v>9.4</v>
      </c>
      <c r="F249" s="80" t="n">
        <v>7</v>
      </c>
      <c r="G249" s="80" t="n">
        <v>3.06136652137174</v>
      </c>
      <c r="H249" s="80" t="n">
        <v>1.53474378584309</v>
      </c>
      <c r="I249" s="80" t="n">
        <v>1.53474378584309E-006</v>
      </c>
      <c r="J249" s="80" t="n">
        <v>6.25</v>
      </c>
      <c r="L249" s="80" t="n">
        <v>16.15</v>
      </c>
    </row>
    <row r="250" customFormat="false" ht="15.75" hidden="false" customHeight="false" outlineLevel="0" collapsed="false">
      <c r="A250" s="28" t="n">
        <v>37102</v>
      </c>
      <c r="B250" s="91" t="n">
        <v>45.73</v>
      </c>
      <c r="C250" s="80" t="n">
        <v>4.7</v>
      </c>
      <c r="D250" s="80" t="n">
        <v>9.46</v>
      </c>
      <c r="F250" s="80" t="n">
        <v>6.95</v>
      </c>
      <c r="G250" s="80" t="n">
        <v>3.05658815867709</v>
      </c>
      <c r="H250" s="80" t="n">
        <v>1.52465301090446</v>
      </c>
      <c r="I250" s="80" t="n">
        <v>1.52465301090446E-006</v>
      </c>
      <c r="J250" s="80" t="n">
        <v>6.4</v>
      </c>
      <c r="L250" s="80" t="n">
        <v>15.9</v>
      </c>
    </row>
    <row r="251" customFormat="false" ht="15.75" hidden="false" customHeight="false" outlineLevel="0" collapsed="false">
      <c r="A251" s="28" t="n">
        <v>37103</v>
      </c>
      <c r="B251" s="91" t="n">
        <v>45.35</v>
      </c>
      <c r="C251" s="80" t="n">
        <v>4.45</v>
      </c>
      <c r="D251" s="80" t="n">
        <v>8.9</v>
      </c>
      <c r="F251" s="80" t="n">
        <v>7</v>
      </c>
      <c r="G251" s="80" t="n">
        <v>3.0508678550731</v>
      </c>
      <c r="H251" s="80" t="n">
        <v>1.51625317483039</v>
      </c>
      <c r="I251" s="80" t="n">
        <v>1.51625317483039E-006</v>
      </c>
      <c r="J251" s="80" t="n">
        <v>6.35</v>
      </c>
      <c r="L251" s="80" t="n">
        <v>16.2</v>
      </c>
    </row>
    <row r="252" customFormat="false" ht="15.75" hidden="false" customHeight="false" outlineLevel="0" collapsed="false">
      <c r="A252" s="28" t="n">
        <v>37104</v>
      </c>
      <c r="B252" s="91" t="n">
        <v>45.61</v>
      </c>
      <c r="C252" s="80" t="n">
        <v>4.41</v>
      </c>
      <c r="D252" s="80" t="n">
        <v>8.8</v>
      </c>
      <c r="F252" s="80" t="n">
        <v>6.81</v>
      </c>
      <c r="G252" s="80" t="n">
        <v>3.05448194451646</v>
      </c>
      <c r="H252" s="80" t="n">
        <v>1.51898526188108</v>
      </c>
      <c r="I252" s="80" t="n">
        <v>1.51898526188108E-006</v>
      </c>
      <c r="J252" s="80" t="n">
        <v>6.5</v>
      </c>
      <c r="L252" s="80" t="n">
        <v>16.67</v>
      </c>
    </row>
    <row r="253" customFormat="false" ht="15.75" hidden="false" customHeight="false" outlineLevel="0" collapsed="false">
      <c r="A253" s="28" t="n">
        <v>37105</v>
      </c>
      <c r="B253" s="91" t="n">
        <v>45.58</v>
      </c>
      <c r="C253" s="80" t="n">
        <v>4.53</v>
      </c>
      <c r="D253" s="80" t="n">
        <v>8.51</v>
      </c>
      <c r="F253" s="80" t="n">
        <v>6.95</v>
      </c>
      <c r="G253" s="80" t="n">
        <v>3.05952636480279</v>
      </c>
      <c r="H253" s="80" t="n">
        <v>1.52226447442899</v>
      </c>
      <c r="I253" s="80" t="n">
        <v>1.52226447442899E-006</v>
      </c>
      <c r="J253" s="80" t="n">
        <v>6.6</v>
      </c>
      <c r="L253" s="80" t="n">
        <v>16.02</v>
      </c>
    </row>
    <row r="254" customFormat="false" ht="15.75" hidden="false" customHeight="false" outlineLevel="0" collapsed="false">
      <c r="A254" s="28" t="n">
        <v>37106</v>
      </c>
      <c r="B254" s="91" t="n">
        <v>45.36</v>
      </c>
      <c r="C254" s="80" t="n">
        <v>4.65</v>
      </c>
      <c r="D254" s="80" t="n">
        <v>8.55</v>
      </c>
      <c r="F254" s="80" t="n">
        <v>6.99</v>
      </c>
      <c r="G254" s="80" t="n">
        <v>3.05952636480279</v>
      </c>
      <c r="H254" s="80" t="n">
        <v>1.52226447442899</v>
      </c>
      <c r="I254" s="80" t="n">
        <v>1.52226447442899E-006</v>
      </c>
      <c r="J254" s="80" t="n">
        <v>6.7</v>
      </c>
      <c r="L254" s="80" t="n">
        <v>15.75</v>
      </c>
    </row>
    <row r="255" customFormat="false" ht="15.75" hidden="false" customHeight="false" outlineLevel="0" collapsed="false">
      <c r="A255" s="28" t="n">
        <v>37109</v>
      </c>
      <c r="B255" s="91" t="n">
        <v>44.5</v>
      </c>
      <c r="C255" s="80" t="n">
        <v>4.71</v>
      </c>
      <c r="D255" s="80" t="n">
        <v>7.83</v>
      </c>
      <c r="F255" s="80" t="n">
        <v>6.75</v>
      </c>
      <c r="G255" s="80" t="n">
        <v>3.05702452878027</v>
      </c>
      <c r="H255" s="80" t="n">
        <v>1.51204775709732</v>
      </c>
      <c r="I255" s="80" t="n">
        <v>1.51204775709732E-006</v>
      </c>
      <c r="J255" s="80" t="n">
        <v>6.56</v>
      </c>
      <c r="L255" s="80" t="n">
        <v>13.89</v>
      </c>
    </row>
    <row r="256" customFormat="false" ht="15.75" hidden="false" customHeight="false" outlineLevel="0" collapsed="false">
      <c r="A256" s="28" t="n">
        <v>37110</v>
      </c>
      <c r="B256" s="91" t="n">
        <v>43.6</v>
      </c>
      <c r="C256" s="80" t="n">
        <v>5.04</v>
      </c>
      <c r="D256" s="80" t="n">
        <v>7.75</v>
      </c>
      <c r="F256" s="80" t="n">
        <v>6.75</v>
      </c>
      <c r="G256" s="80" t="n">
        <v>3.0563894543813</v>
      </c>
      <c r="H256" s="80" t="n">
        <v>1.51022097913362</v>
      </c>
      <c r="I256" s="80" t="n">
        <v>1.51022097913362E-006</v>
      </c>
      <c r="J256" s="80" t="n">
        <v>6.25</v>
      </c>
      <c r="L256" s="80" t="n">
        <v>12.18</v>
      </c>
    </row>
    <row r="257" customFormat="false" ht="15.75" hidden="false" customHeight="false" outlineLevel="0" collapsed="false">
      <c r="A257" s="28" t="n">
        <v>37111</v>
      </c>
      <c r="B257" s="91" t="n">
        <v>42.85</v>
      </c>
      <c r="C257" s="80" t="n">
        <v>4.79</v>
      </c>
      <c r="D257" s="80" t="n">
        <v>7.83</v>
      </c>
      <c r="F257" s="80" t="n">
        <v>6.55</v>
      </c>
      <c r="G257" s="80" t="n">
        <v>3.04632892546805</v>
      </c>
      <c r="H257" s="80" t="n">
        <v>1.4967194924063</v>
      </c>
      <c r="I257" s="80" t="n">
        <v>1.4967194924063E-006</v>
      </c>
      <c r="J257" s="80" t="n">
        <v>6.08</v>
      </c>
      <c r="L257" s="80" t="n">
        <v>10.51</v>
      </c>
    </row>
    <row r="258" customFormat="false" ht="15.75" hidden="false" customHeight="false" outlineLevel="0" collapsed="false">
      <c r="A258" s="28" t="n">
        <v>37112</v>
      </c>
      <c r="B258" s="91" t="n">
        <v>42.78</v>
      </c>
      <c r="C258" s="80" t="n">
        <v>4.42</v>
      </c>
      <c r="D258" s="80" t="n">
        <v>7.54</v>
      </c>
      <c r="F258" s="80" t="n">
        <v>6.65</v>
      </c>
      <c r="G258" s="80" t="n">
        <v>3.04626972121141</v>
      </c>
      <c r="H258" s="80" t="n">
        <v>1.49395381544832</v>
      </c>
      <c r="I258" s="80" t="n">
        <v>1.49395381544832E-006</v>
      </c>
      <c r="J258" s="80" t="n">
        <v>6.07</v>
      </c>
      <c r="L258" s="80" t="n">
        <v>10.45</v>
      </c>
    </row>
    <row r="259" customFormat="false" ht="15.75" hidden="false" customHeight="false" outlineLevel="0" collapsed="false">
      <c r="A259" s="28" t="n">
        <v>37113</v>
      </c>
      <c r="B259" s="91" t="n">
        <v>42.81</v>
      </c>
      <c r="C259" s="80" t="n">
        <v>4.28</v>
      </c>
      <c r="D259" s="80" t="n">
        <v>7</v>
      </c>
      <c r="F259" s="80" t="n">
        <v>6.68</v>
      </c>
      <c r="G259" s="80" t="n">
        <v>3.04331767338281</v>
      </c>
      <c r="H259" s="80" t="n">
        <v>1.48954458941095</v>
      </c>
      <c r="I259" s="80" t="n">
        <v>1.48954458941095E-006</v>
      </c>
      <c r="J259" s="80" t="n">
        <v>6.07</v>
      </c>
      <c r="L259" s="80" t="n">
        <v>10.63</v>
      </c>
    </row>
    <row r="260" customFormat="false" ht="15.75" hidden="false" customHeight="false" outlineLevel="0" collapsed="false">
      <c r="A260" s="28" t="n">
        <v>37116</v>
      </c>
      <c r="B260" s="91" t="n">
        <v>42.15</v>
      </c>
      <c r="C260" s="80" t="n">
        <v>4.32</v>
      </c>
      <c r="D260" s="80" t="n">
        <v>6.35</v>
      </c>
      <c r="F260" s="80" t="n">
        <v>6.11</v>
      </c>
      <c r="G260" s="80" t="n">
        <v>3.03786068545337</v>
      </c>
      <c r="H260" s="80" t="n">
        <v>1.47718523395298</v>
      </c>
      <c r="I260" s="80" t="n">
        <v>1.47718523395298E-006</v>
      </c>
      <c r="J260" s="80" t="n">
        <v>6.05</v>
      </c>
      <c r="L260" s="80" t="n">
        <v>10.66</v>
      </c>
    </row>
    <row r="261" customFormat="false" ht="15.75" hidden="false" customHeight="false" outlineLevel="0" collapsed="false">
      <c r="A261" s="28" t="n">
        <v>37117</v>
      </c>
      <c r="B261" s="91" t="n">
        <v>42.93</v>
      </c>
      <c r="C261" s="80" t="n">
        <v>4.2</v>
      </c>
      <c r="D261" s="80" t="n">
        <v>5.63</v>
      </c>
      <c r="F261" s="80" t="n">
        <v>6</v>
      </c>
      <c r="G261" s="80" t="n">
        <v>3.04067838295877</v>
      </c>
      <c r="H261" s="80" t="n">
        <v>1.48110546323538</v>
      </c>
      <c r="I261" s="80" t="n">
        <v>1.48110546323538E-006</v>
      </c>
      <c r="J261" s="80" t="n">
        <v>5.96</v>
      </c>
      <c r="L261" s="80" t="n">
        <v>10.451</v>
      </c>
    </row>
    <row r="262" customFormat="false" ht="15.75" hidden="false" customHeight="false" outlineLevel="0" collapsed="false">
      <c r="A262" s="28" t="n">
        <v>37118</v>
      </c>
      <c r="B262" s="91" t="n">
        <v>40.25</v>
      </c>
      <c r="C262" s="80" t="n">
        <v>4.1</v>
      </c>
      <c r="D262" s="80" t="n">
        <v>6</v>
      </c>
      <c r="F262" s="80" t="n">
        <v>5.95</v>
      </c>
      <c r="G262" s="80" t="n">
        <v>3.04426768324013</v>
      </c>
      <c r="H262" s="80" t="n">
        <v>1.48372299104322</v>
      </c>
      <c r="I262" s="80" t="n">
        <v>1.48372299104322E-006</v>
      </c>
      <c r="J262" s="80" t="n">
        <v>6.03</v>
      </c>
      <c r="L262" s="80" t="n">
        <v>10</v>
      </c>
    </row>
    <row r="263" customFormat="false" ht="15.75" hidden="false" customHeight="false" outlineLevel="0" collapsed="false">
      <c r="A263" s="28" t="n">
        <v>37119</v>
      </c>
      <c r="B263" s="91" t="n">
        <v>36.85</v>
      </c>
      <c r="C263" s="80" t="n">
        <v>3.91</v>
      </c>
      <c r="D263" s="80" t="n">
        <v>6.06</v>
      </c>
      <c r="F263" s="80" t="n">
        <v>5.95</v>
      </c>
      <c r="G263" s="80" t="n">
        <v>3.03928777369476</v>
      </c>
      <c r="H263" s="80" t="n">
        <v>1.47627908808757</v>
      </c>
      <c r="I263" s="80" t="n">
        <v>1.47627908808757E-006</v>
      </c>
      <c r="J263" s="80" t="n">
        <v>6.2</v>
      </c>
      <c r="L263" s="80" t="n">
        <v>9.46</v>
      </c>
    </row>
    <row r="264" customFormat="false" ht="15.75" hidden="false" customHeight="false" outlineLevel="0" collapsed="false">
      <c r="A264" s="28" t="n">
        <v>37120</v>
      </c>
      <c r="B264" s="91" t="n">
        <v>36.67</v>
      </c>
      <c r="C264" s="80" t="n">
        <v>3.81</v>
      </c>
      <c r="D264" s="80" t="n">
        <v>5.95</v>
      </c>
      <c r="F264" s="80" t="n">
        <v>5.61</v>
      </c>
      <c r="G264" s="80" t="n">
        <v>3.03215270299725</v>
      </c>
      <c r="H264" s="80" t="n">
        <v>1.46752439670964</v>
      </c>
      <c r="I264" s="80" t="n">
        <v>1.46752439670964E-006</v>
      </c>
      <c r="J264" s="80" t="n">
        <v>6.03</v>
      </c>
      <c r="L264" s="80" t="n">
        <v>9.05</v>
      </c>
    </row>
    <row r="265" customFormat="false" ht="15.75" hidden="false" customHeight="false" outlineLevel="0" collapsed="false">
      <c r="A265" s="28" t="n">
        <v>37123</v>
      </c>
      <c r="B265" s="91" t="n">
        <v>36.25</v>
      </c>
      <c r="C265" s="80" t="n">
        <v>3.65</v>
      </c>
      <c r="D265" s="80" t="n">
        <v>6.36</v>
      </c>
      <c r="F265" s="80" t="n">
        <v>5.8</v>
      </c>
      <c r="G265" s="80" t="n">
        <v>3.03547481852775</v>
      </c>
      <c r="H265" s="80" t="n">
        <v>1.4662719156744</v>
      </c>
      <c r="I265" s="80" t="n">
        <v>1.4662719156744E-006</v>
      </c>
      <c r="J265" s="80" t="n">
        <v>6</v>
      </c>
      <c r="L265" s="80" t="n">
        <v>9.059</v>
      </c>
    </row>
    <row r="266" customFormat="false" ht="15.75" hidden="false" customHeight="false" outlineLevel="0" collapsed="false">
      <c r="A266" s="28" t="n">
        <v>37124</v>
      </c>
      <c r="B266" s="91" t="n">
        <v>36.88</v>
      </c>
      <c r="C266" s="80" t="n">
        <v>3.65</v>
      </c>
      <c r="D266" s="80" t="n">
        <v>6.89</v>
      </c>
      <c r="F266" s="80" t="n">
        <v>5.95</v>
      </c>
      <c r="G266" s="80" t="n">
        <v>3.03358384343611</v>
      </c>
      <c r="H266" s="80" t="n">
        <v>1.46228331133615</v>
      </c>
      <c r="I266" s="80" t="n">
        <v>1.46228331133615E-006</v>
      </c>
      <c r="J266" s="80" t="n">
        <v>6.03</v>
      </c>
      <c r="L266" s="80" t="n">
        <v>9.02</v>
      </c>
    </row>
    <row r="267" customFormat="false" ht="15.75" hidden="false" customHeight="false" outlineLevel="0" collapsed="false">
      <c r="A267" s="28" t="n">
        <v>37125</v>
      </c>
      <c r="B267" s="91" t="n">
        <v>37.26</v>
      </c>
      <c r="C267" s="80" t="n">
        <v>3.78</v>
      </c>
      <c r="D267" s="80" t="n">
        <v>6.93</v>
      </c>
      <c r="F267" s="80" t="n">
        <v>5.99</v>
      </c>
      <c r="G267" s="80" t="n">
        <v>3.03614067457504</v>
      </c>
      <c r="H267" s="80" t="n">
        <v>1.46449461172249</v>
      </c>
      <c r="I267" s="80" t="n">
        <v>1.46449461172249E-006</v>
      </c>
      <c r="J267" s="80" t="n">
        <v>6.03</v>
      </c>
      <c r="L267" s="80" t="n">
        <v>8.4</v>
      </c>
    </row>
    <row r="268" customFormat="false" ht="15.75" hidden="false" customHeight="false" outlineLevel="0" collapsed="false">
      <c r="A268" s="28" t="n">
        <v>37126</v>
      </c>
      <c r="B268" s="91" t="n">
        <v>36.96</v>
      </c>
      <c r="C268" s="80" t="n">
        <v>4.04</v>
      </c>
      <c r="D268" s="80" t="n">
        <v>6.9</v>
      </c>
      <c r="F268" s="80" t="n">
        <v>6.23</v>
      </c>
      <c r="G268" s="80" t="n">
        <v>3.03314081705904</v>
      </c>
      <c r="H268" s="80" t="n">
        <v>1.45954292613314</v>
      </c>
      <c r="I268" s="80" t="n">
        <v>1.45954292613314E-006</v>
      </c>
      <c r="J268" s="80" t="n">
        <v>6.03</v>
      </c>
      <c r="L268" s="80" t="n">
        <v>8.73</v>
      </c>
    </row>
    <row r="269" customFormat="false" ht="15.75" hidden="false" customHeight="false" outlineLevel="0" collapsed="false">
      <c r="A269" s="28" t="n">
        <v>37127</v>
      </c>
      <c r="B269" s="91" t="n">
        <v>36.35</v>
      </c>
      <c r="C269" s="80" t="n">
        <v>4.21</v>
      </c>
      <c r="D269" s="80" t="n">
        <v>6.9</v>
      </c>
      <c r="F269" s="80" t="n">
        <v>6.35</v>
      </c>
      <c r="G269" s="80" t="n">
        <v>3.03432598948048</v>
      </c>
      <c r="H269" s="80" t="n">
        <v>1.45894033522484</v>
      </c>
      <c r="I269" s="80" t="n">
        <v>1.45894033522484E-006</v>
      </c>
      <c r="J269" s="80" t="n">
        <v>6.01</v>
      </c>
      <c r="L269" s="80" t="n">
        <v>9</v>
      </c>
    </row>
    <row r="270" customFormat="false" ht="15.75" hidden="false" customHeight="false" outlineLevel="0" collapsed="false">
      <c r="A270" s="28" t="n">
        <v>37130</v>
      </c>
      <c r="B270" s="91" t="n">
        <v>37.76</v>
      </c>
      <c r="C270" s="80" t="n">
        <v>3.8</v>
      </c>
      <c r="D270" s="80" t="n">
        <v>6.75</v>
      </c>
      <c r="F270" s="80" t="n">
        <v>6.25</v>
      </c>
      <c r="G270" s="80" t="n">
        <v>3.03377909833566</v>
      </c>
      <c r="H270" s="80" t="n">
        <v>1.45338939960683</v>
      </c>
      <c r="I270" s="80" t="n">
        <v>1.45338939960683E-006</v>
      </c>
      <c r="J270" s="80" t="n">
        <v>5.9</v>
      </c>
      <c r="L270" s="80" t="n">
        <v>8.75</v>
      </c>
    </row>
    <row r="271" customFormat="false" ht="15.75" hidden="false" customHeight="false" outlineLevel="0" collapsed="false">
      <c r="A271" s="28" t="n">
        <v>37131</v>
      </c>
      <c r="B271" s="91" t="n">
        <v>38.16</v>
      </c>
      <c r="C271" s="80" t="n">
        <v>3.69</v>
      </c>
      <c r="D271" s="80" t="n">
        <v>6.34</v>
      </c>
      <c r="F271" s="80" t="n">
        <v>6.1</v>
      </c>
      <c r="G271" s="80" t="n">
        <v>3.02694762499769</v>
      </c>
      <c r="H271" s="80" t="n">
        <v>1.44426760925845</v>
      </c>
      <c r="I271" s="80" t="n">
        <v>1.44426760925845E-006</v>
      </c>
      <c r="J271" s="80" t="n">
        <v>5.83</v>
      </c>
      <c r="L271" s="80" t="n">
        <v>8.35</v>
      </c>
    </row>
    <row r="272" customFormat="false" ht="15.75" hidden="false" customHeight="false" outlineLevel="0" collapsed="false">
      <c r="A272" s="28" t="n">
        <v>37132</v>
      </c>
      <c r="B272" s="91" t="n">
        <v>37.3</v>
      </c>
      <c r="C272" s="80" t="n">
        <v>3.5</v>
      </c>
      <c r="D272" s="80" t="n">
        <v>6.05</v>
      </c>
      <c r="F272" s="80" t="n">
        <v>5.9</v>
      </c>
      <c r="G272" s="80" t="n">
        <v>3.02294803901046</v>
      </c>
      <c r="H272" s="80" t="n">
        <v>1.43903143790807</v>
      </c>
      <c r="I272" s="80" t="n">
        <v>1.43903143790807E-006</v>
      </c>
      <c r="J272" s="80" t="n">
        <v>5.75</v>
      </c>
      <c r="L272" s="80" t="n">
        <v>8</v>
      </c>
    </row>
    <row r="273" customFormat="false" ht="15.75" hidden="false" customHeight="false" outlineLevel="0" collapsed="false">
      <c r="A273" s="28" t="n">
        <v>37133</v>
      </c>
      <c r="B273" s="91" t="n">
        <v>35.5</v>
      </c>
      <c r="C273" s="80" t="n">
        <v>3.45</v>
      </c>
      <c r="D273" s="80" t="n">
        <v>5.9</v>
      </c>
      <c r="F273" s="80" t="n">
        <v>6.07</v>
      </c>
      <c r="G273" s="80" t="n">
        <v>3.02043413182966</v>
      </c>
      <c r="H273" s="80" t="n">
        <v>1.43312815745542</v>
      </c>
      <c r="I273" s="80" t="n">
        <v>1.43312815745542E-006</v>
      </c>
      <c r="J273" s="80" t="n">
        <v>5.75</v>
      </c>
      <c r="L273" s="80" t="n">
        <v>8</v>
      </c>
    </row>
    <row r="274" customFormat="false" ht="15.75" hidden="false" customHeight="false" outlineLevel="0" collapsed="false">
      <c r="A274" s="28" t="n">
        <v>37134</v>
      </c>
      <c r="B274" s="91" t="n">
        <v>34.99</v>
      </c>
      <c r="C274" s="80" t="n">
        <v>3.3</v>
      </c>
      <c r="D274" s="80" t="n">
        <v>5.56</v>
      </c>
      <c r="F274" s="80" t="n">
        <v>6</v>
      </c>
      <c r="G274" s="80" t="n">
        <v>3.02099818164576</v>
      </c>
      <c r="H274" s="80" t="n">
        <v>1.43235095882812</v>
      </c>
      <c r="I274" s="80" t="n">
        <v>1.43235095882812E-006</v>
      </c>
      <c r="J274" s="80" t="n">
        <v>6.05</v>
      </c>
      <c r="L274" s="80" t="n">
        <v>7.95</v>
      </c>
    </row>
    <row r="275" customFormat="false" ht="15.75" hidden="false" customHeight="false" outlineLevel="0" collapsed="false">
      <c r="A275" s="28"/>
      <c r="B275" s="91"/>
    </row>
    <row r="276" customFormat="false" ht="15.75" hidden="false" customHeight="false" outlineLevel="0" collapsed="false">
      <c r="A276" s="28"/>
      <c r="B276" s="91"/>
    </row>
    <row r="277" customFormat="false" ht="15.75" hidden="false" customHeight="false" outlineLevel="0" collapsed="false">
      <c r="A277" s="28"/>
      <c r="B277" s="91"/>
    </row>
    <row r="278" customFormat="false" ht="15.75" hidden="false" customHeight="false" outlineLevel="0" collapsed="false">
      <c r="A278" s="28"/>
      <c r="B278" s="91"/>
    </row>
    <row r="279" customFormat="false" ht="15.75" hidden="false" customHeight="false" outlineLevel="0" collapsed="false">
      <c r="A279" s="28"/>
      <c r="B279" s="91"/>
    </row>
    <row r="280" customFormat="false" ht="15.75" hidden="false" customHeight="false" outlineLevel="0" collapsed="false">
      <c r="A280" s="28"/>
      <c r="B280" s="91"/>
    </row>
    <row r="281" customFormat="false" ht="15.75" hidden="false" customHeight="false" outlineLevel="0" collapsed="false">
      <c r="A281" s="28"/>
      <c r="B281" s="91"/>
    </row>
    <row r="282" customFormat="false" ht="15.75" hidden="false" customHeight="false" outlineLevel="0" collapsed="false">
      <c r="A282" s="28"/>
      <c r="B282" s="91"/>
    </row>
    <row r="283" customFormat="false" ht="15.75" hidden="false" customHeight="false" outlineLevel="0" collapsed="false">
      <c r="A283" s="28"/>
      <c r="B283" s="91"/>
    </row>
    <row r="284" customFormat="false" ht="15.75" hidden="false" customHeight="false" outlineLevel="0" collapsed="false">
      <c r="A284" s="28"/>
      <c r="B284" s="91"/>
    </row>
    <row r="285" customFormat="false" ht="15.75" hidden="false" customHeight="false" outlineLevel="0" collapsed="false">
      <c r="A285" s="28"/>
      <c r="B285" s="91"/>
    </row>
    <row r="286" customFormat="false" ht="15.75" hidden="false" customHeight="false" outlineLevel="0" collapsed="false">
      <c r="A286" s="28"/>
      <c r="B286" s="91"/>
    </row>
    <row r="287" customFormat="false" ht="15.75" hidden="false" customHeight="false" outlineLevel="0" collapsed="false">
      <c r="A287" s="28"/>
      <c r="B287" s="91"/>
    </row>
    <row r="288" customFormat="false" ht="15.75" hidden="false" customHeight="false" outlineLevel="0" collapsed="false">
      <c r="A288" s="28"/>
      <c r="B288" s="91"/>
    </row>
    <row r="289" customFormat="false" ht="15.75" hidden="false" customHeight="false" outlineLevel="0" collapsed="false">
      <c r="A289" s="28"/>
      <c r="B289" s="91"/>
    </row>
    <row r="290" customFormat="false" ht="15.75" hidden="false" customHeight="false" outlineLevel="0" collapsed="false">
      <c r="A290" s="28"/>
      <c r="B290" s="91"/>
    </row>
    <row r="376" customFormat="false" ht="15.75" hidden="false" customHeight="false" outlineLevel="0" collapsed="false">
      <c r="A376" s="64" t="s">
        <v>120</v>
      </c>
    </row>
    <row r="378" customFormat="false" ht="15.75" hidden="false" customHeight="false" outlineLevel="0" collapsed="false">
      <c r="A378" s="28" t="n">
        <f aca="false">+[1]Table!$B$3</f>
        <v>37134</v>
      </c>
      <c r="B378" s="91" t="n">
        <f aca="false">+[1]Table!$B$5</f>
        <v>34.99</v>
      </c>
      <c r="C378" s="80" t="n">
        <f aca="false">INDEX(MPRR,MATCH("Avici EBS Raptor I",'MPR Raptor'!$E$3:$E$140,),MATCH("Per Share",'MPR Raptor'!$E$3:$CM$3,))</f>
        <v>3.3</v>
      </c>
      <c r="D378" s="80" t="n">
        <f aca="false">INDEX(MPRR,MATCH("Active Power Raptor I",'MPR Raptor'!$E$3:$E$140,),MATCH("Per Share",'MPR Raptor'!$E$3:$CM$3,))</f>
        <v>5.56</v>
      </c>
      <c r="F378" s="80" t="n">
        <f aca="false">INDEX(MPRR,MATCH("DevX Energy Common Raptor I",'MPR Raptor'!$E$3:$E$140,),MATCH("Per Share",'MPR Raptor'!$E$3:$CM$3,))</f>
        <v>6</v>
      </c>
      <c r="G378" s="80" t="n">
        <f aca="false">INDEX(MPRR,MATCH("Carrizo Warrants Raptor I",'MPR Raptor'!$E$3:$E$140,),MATCH("Per Share",'MPR Raptor'!$E$3:$CM$3,))</f>
        <v>3.02099818164576</v>
      </c>
      <c r="H378" s="80" t="n">
        <f aca="false">INDEX(MPRR,MATCH("3TEC Warrants Raptor I",'MPR Raptor'!$E$3:$E$140,),MATCH("Per Share",'MPR Raptor'!$E$3:$CM$3,))</f>
        <v>1.43235095882812</v>
      </c>
      <c r="I378" s="80" t="n">
        <f aca="false">INDEX(MPRR,MATCH("3TEC Warrants EGF Raptor I",'MPR Raptor'!$E$3:$E$140,),MATCH("Per Share",'MPR Raptor'!$E$3:$CM$3,))</f>
        <v>1.43235095882812E-006</v>
      </c>
      <c r="J378" s="80" t="n">
        <f aca="false">INDEX(MPRR,MATCH("Paradigm Common Raptor I",'MPR Raptor'!$E$3:$E$140,),MATCH("Per Share",'MPR Raptor'!$E$3:$CM$3,))</f>
        <v>6.05</v>
      </c>
      <c r="L378" s="80" t="n">
        <f aca="false">INDEX(MPRR,MATCH("Catalytica Common Raptor I",'MPR Raptor'!$E$3:$E$140,),MATCH("Per Share",'MPR Raptor'!$E$3:$CM$3,))</f>
        <v>7.95</v>
      </c>
    </row>
    <row r="379" customFormat="false" ht="15.75" hidden="false" customHeight="false" outlineLevel="0" collapsed="false">
      <c r="A379" s="28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  <row r="419" customFormat="false" ht="15.75" hidden="false" customHeight="false" outlineLevel="0" collapsed="false"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1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272" activePane="bottomRight" state="frozen"/>
      <selection pane="topLeft" activeCell="A2" activeCellId="0" sqref="A2"/>
      <selection pane="topRight" activeCell="B2" activeCellId="0" sqref="B2"/>
      <selection pane="bottomLeft" activeCell="A272" activeCellId="0" sqref="A272"/>
      <selection pane="bottomRight" activeCell="A277" activeCellId="0" sqref="A27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8" width="8.74"/>
    <col collapsed="false" customWidth="true" hidden="false" outlineLevel="0" max="2" min="2" style="80" width="14.74"/>
    <col collapsed="false" customWidth="true" hidden="false" outlineLevel="0" max="3" min="3" style="0" width="11.62"/>
    <col collapsed="false" customWidth="true" hidden="false" outlineLevel="0" max="4" min="4" style="80" width="11.62"/>
    <col collapsed="false" customWidth="true" hidden="false" outlineLevel="0" max="5" min="5" style="0" width="11.74"/>
    <col collapsed="false" customWidth="true" hidden="false" outlineLevel="0" max="6" min="6" style="80" width="12.24"/>
    <col collapsed="false" customWidth="true" hidden="false" outlineLevel="0" max="7" min="7" style="0" width="13.24"/>
    <col collapsed="false" customWidth="true" hidden="false" outlineLevel="0" max="8" min="8" style="80" width="11.62"/>
    <col collapsed="false" customWidth="true" hidden="false" outlineLevel="0" max="9" min="9" style="0" width="12.37"/>
    <col collapsed="false" customWidth="true" hidden="false" outlineLevel="0" max="10" min="10" style="92" width="11.24"/>
    <col collapsed="false" customWidth="true" hidden="false" outlineLevel="0" max="11" min="11" style="0" width="12.37"/>
    <col collapsed="false" customWidth="true" hidden="false" outlineLevel="0" max="12" min="12" style="80" width="12.37"/>
    <col collapsed="false" customWidth="true" hidden="false" outlineLevel="0" max="13" min="13" style="0" width="11.37"/>
    <col collapsed="false" customWidth="true" hidden="false" outlineLevel="0" max="14" min="14" style="80" width="11.37"/>
    <col collapsed="false" customWidth="true" hidden="false" outlineLevel="0" max="15" min="15" style="0" width="11.62"/>
    <col collapsed="false" customWidth="true" hidden="false" outlineLevel="0" max="16" min="16" style="80" width="9.86"/>
    <col collapsed="false" customWidth="true" hidden="false" outlineLevel="0" max="17" min="17" style="80" width="12.62"/>
    <col collapsed="false" customWidth="true" hidden="false" outlineLevel="0" max="18" min="18" style="80" width="11.37"/>
    <col collapsed="false" customWidth="true" hidden="false" outlineLevel="0" max="19" min="19" style="0" width="11.24"/>
    <col collapsed="false" customWidth="true" hidden="false" outlineLevel="0" max="20" min="20" style="93" width="12.24"/>
    <col collapsed="false" customWidth="true" hidden="false" outlineLevel="0" max="21" min="21" style="0" width="11.24"/>
    <col collapsed="false" customWidth="true" hidden="false" outlineLevel="0" max="22" min="22" style="80" width="11.74"/>
    <col collapsed="false" customWidth="true" hidden="false" outlineLevel="0" max="23" min="23" style="0" width="11.24"/>
    <col collapsed="false" customWidth="true" hidden="false" outlineLevel="0" max="24" min="24" style="80" width="11.24"/>
    <col collapsed="false" customWidth="true" hidden="false" outlineLevel="0" max="25" min="25" style="0" width="11.24"/>
    <col collapsed="false" customWidth="true" hidden="false" outlineLevel="0" max="26" min="26" style="80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94" t="s">
        <v>104</v>
      </c>
      <c r="B1" s="82"/>
      <c r="C1" s="25"/>
      <c r="D1" s="83"/>
    </row>
    <row r="2" customFormat="false" ht="15.75" hidden="false" customHeight="false" outlineLevel="0" collapsed="false">
      <c r="A2" s="95"/>
      <c r="B2" s="96" t="n">
        <v>2</v>
      </c>
      <c r="C2" s="96" t="n">
        <v>3</v>
      </c>
      <c r="D2" s="96" t="n">
        <v>4</v>
      </c>
      <c r="E2" s="96" t="n">
        <v>5</v>
      </c>
      <c r="F2" s="96" t="n">
        <v>6</v>
      </c>
      <c r="G2" s="96" t="n">
        <v>7</v>
      </c>
      <c r="H2" s="96" t="n">
        <v>8</v>
      </c>
      <c r="I2" s="96" t="n">
        <v>9</v>
      </c>
      <c r="J2" s="96" t="n">
        <v>10</v>
      </c>
      <c r="K2" s="96" t="n">
        <v>11</v>
      </c>
      <c r="L2" s="96" t="n">
        <v>12</v>
      </c>
      <c r="M2" s="96" t="n">
        <v>13</v>
      </c>
      <c r="N2" s="96" t="n">
        <v>14</v>
      </c>
      <c r="O2" s="96" t="n">
        <v>15</v>
      </c>
      <c r="P2" s="96" t="n">
        <v>16</v>
      </c>
      <c r="Q2" s="96" t="n">
        <v>17</v>
      </c>
      <c r="R2" s="96" t="n">
        <v>18</v>
      </c>
      <c r="S2" s="96" t="n">
        <v>19</v>
      </c>
      <c r="T2" s="96" t="n">
        <v>20</v>
      </c>
      <c r="U2" s="96" t="n">
        <v>21</v>
      </c>
      <c r="V2" s="96" t="n">
        <v>22</v>
      </c>
      <c r="W2" s="96" t="n">
        <v>23</v>
      </c>
      <c r="X2" s="96" t="n">
        <v>24</v>
      </c>
      <c r="Y2" s="96" t="n">
        <v>25</v>
      </c>
      <c r="Z2" s="96" t="n">
        <v>26</v>
      </c>
      <c r="AA2" s="96" t="n">
        <v>27</v>
      </c>
      <c r="AB2" s="96" t="n">
        <v>28</v>
      </c>
      <c r="AC2" s="96" t="n">
        <v>29</v>
      </c>
      <c r="AD2" s="96" t="n">
        <v>30</v>
      </c>
      <c r="AE2" s="96" t="n">
        <v>31</v>
      </c>
      <c r="AF2" s="96" t="n">
        <v>32</v>
      </c>
      <c r="AG2" s="96" t="n">
        <v>33</v>
      </c>
      <c r="AH2" s="96" t="n">
        <v>34</v>
      </c>
    </row>
    <row r="3" customFormat="false" ht="47.25" hidden="false" customHeight="false" outlineLevel="0" collapsed="false">
      <c r="A3" s="97" t="s">
        <v>31</v>
      </c>
      <c r="B3" s="98" t="s">
        <v>59</v>
      </c>
      <c r="C3" s="99" t="s">
        <v>60</v>
      </c>
      <c r="D3" s="99" t="s">
        <v>61</v>
      </c>
      <c r="E3" s="99" t="s">
        <v>62</v>
      </c>
      <c r="F3" s="99" t="s">
        <v>64</v>
      </c>
      <c r="G3" s="99" t="s">
        <v>109</v>
      </c>
      <c r="H3" s="99" t="s">
        <v>66</v>
      </c>
      <c r="I3" s="100" t="s">
        <v>67</v>
      </c>
      <c r="J3" s="99" t="s">
        <v>68</v>
      </c>
      <c r="K3" s="99" t="s">
        <v>69</v>
      </c>
      <c r="L3" s="99" t="s">
        <v>70</v>
      </c>
      <c r="M3" s="99" t="s">
        <v>71</v>
      </c>
      <c r="N3" s="99" t="s">
        <v>72</v>
      </c>
      <c r="O3" s="99" t="s">
        <v>73</v>
      </c>
      <c r="P3" s="99" t="s">
        <v>74</v>
      </c>
      <c r="Q3" s="99" t="s">
        <v>75</v>
      </c>
      <c r="R3" s="99" t="s">
        <v>76</v>
      </c>
      <c r="S3" s="99" t="s">
        <v>77</v>
      </c>
      <c r="T3" s="99" t="s">
        <v>78</v>
      </c>
      <c r="U3" s="99" t="s">
        <v>79</v>
      </c>
      <c r="V3" s="99" t="s">
        <v>80</v>
      </c>
      <c r="W3" s="99" t="s">
        <v>81</v>
      </c>
      <c r="X3" s="99" t="s">
        <v>82</v>
      </c>
      <c r="Y3" s="99" t="s">
        <v>83</v>
      </c>
      <c r="Z3" s="99" t="s">
        <v>84</v>
      </c>
      <c r="AA3" s="99" t="s">
        <v>85</v>
      </c>
      <c r="AB3" s="99" t="s">
        <v>86</v>
      </c>
      <c r="AC3" s="100" t="s">
        <v>87</v>
      </c>
      <c r="AD3" s="100" t="s">
        <v>88</v>
      </c>
      <c r="AE3" s="99" t="s">
        <v>89</v>
      </c>
      <c r="AF3" s="99" t="s">
        <v>90</v>
      </c>
      <c r="AG3" s="99" t="s">
        <v>91</v>
      </c>
      <c r="AH3" s="99" t="s">
        <v>95</v>
      </c>
    </row>
    <row r="4" customFormat="false" ht="15.75" hidden="false" customHeight="false" outlineLevel="0" collapsed="false">
      <c r="A4" s="28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Position'!$H$28+'Stock Prices'!F5*'Daily Position'!$H$29+'Stock Prices'!K5*'Daily Position'!$H$31)/0.6*0.3612</f>
        <v>7305134.83572329</v>
      </c>
      <c r="AI4" s="90"/>
    </row>
    <row r="5" customFormat="false" ht="15.75" hidden="false" customHeight="false" outlineLevel="0" collapsed="false">
      <c r="A5" s="28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Position'!$H$28+'Stock Prices'!F6*'Daily Position'!$H$29+'Stock Prices'!K6*'Daily Position'!$H$31)/0.6*0.3612</f>
        <v>7404719.30110175</v>
      </c>
      <c r="AI5" s="90"/>
    </row>
    <row r="6" customFormat="false" ht="15.75" hidden="false" customHeight="false" outlineLevel="0" collapsed="false">
      <c r="A6" s="28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Position'!$H$28+'Stock Prices'!F7*'Daily Position'!$H$29+'Stock Prices'!K7*'Daily Position'!$H$31)/0.6*0.3612</f>
        <v>7523398.67847978</v>
      </c>
      <c r="AI6" s="90"/>
    </row>
    <row r="7" customFormat="false" ht="15.75" hidden="false" customHeight="false" outlineLevel="0" collapsed="false">
      <c r="A7" s="28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Position'!$H$28+'Stock Prices'!F8*'Daily Position'!$H$29+'Stock Prices'!K8*'Daily Position'!$H$31)/0.6*0.3612</f>
        <v>7458213.08249813</v>
      </c>
      <c r="AI7" s="90"/>
    </row>
    <row r="8" customFormat="false" ht="15.75" hidden="false" customHeight="false" outlineLevel="0" collapsed="false">
      <c r="A8" s="28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Position'!$H$28+'Stock Prices'!F9*'Daily Position'!$H$29+'Stock Prices'!K9*'Daily Position'!$H$31)/0.6*0.3612</f>
        <v>7578794.95102164</v>
      </c>
      <c r="AI8" s="90"/>
    </row>
    <row r="9" customFormat="false" ht="15.75" hidden="false" customHeight="false" outlineLevel="0" collapsed="false">
      <c r="A9" s="28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Position'!$H$28+'Stock Prices'!F10*'Daily Position'!$H$29+'Stock Prices'!K10*'Daily Position'!$H$31)/0.6*0.3612</f>
        <v>7549277.37091035</v>
      </c>
      <c r="AI9" s="90"/>
    </row>
    <row r="10" customFormat="false" ht="15.75" hidden="false" customHeight="false" outlineLevel="0" collapsed="false">
      <c r="A10" s="28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Position'!$H$28+'Stock Prices'!F11*'Daily Position'!$H$29+'Stock Prices'!K11*'Daily Position'!$H$31)/0.6*0.3612</f>
        <v>7558431.58670285</v>
      </c>
      <c r="AI10" s="90"/>
    </row>
    <row r="11" customFormat="false" ht="15.75" hidden="false" customHeight="false" outlineLevel="0" collapsed="false">
      <c r="A11" s="28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Position'!$H$28+'Stock Prices'!F12*'Daily Position'!$H$29+'Stock Prices'!K12*'Daily Position'!$H$31)/0.6*0.3612</f>
        <v>7589274.50562731</v>
      </c>
      <c r="AI11" s="90"/>
    </row>
    <row r="12" customFormat="false" ht="15.75" hidden="false" customHeight="false" outlineLevel="0" collapsed="false">
      <c r="A12" s="28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Position'!$H$28+'Stock Prices'!F13*'Daily Position'!$H$29+'Stock Prices'!K13*'Daily Position'!$H$31)/0.6*0.3612</f>
        <v>7624613.17454647</v>
      </c>
      <c r="AI12" s="90"/>
    </row>
    <row r="13" customFormat="false" ht="15.75" hidden="false" customHeight="false" outlineLevel="0" collapsed="false">
      <c r="A13" s="28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Position'!$H$28+'Stock Prices'!F14*'Daily Position'!$H$29+'Stock Prices'!K14*'Daily Position'!$H$31)/0.6*0.3612</f>
        <v>7765227.07976515</v>
      </c>
      <c r="AI13" s="90"/>
    </row>
    <row r="14" customFormat="false" ht="15.75" hidden="false" customHeight="false" outlineLevel="0" collapsed="false">
      <c r="A14" s="28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Position'!$H$28+'Stock Prices'!F15*'Daily Position'!$H$29+'Stock Prices'!K15*'Daily Position'!$H$31)/0.6*0.3612</f>
        <v>7672091.10065981</v>
      </c>
      <c r="AI14" s="90"/>
    </row>
    <row r="15" customFormat="false" ht="15.75" hidden="false" customHeight="false" outlineLevel="0" collapsed="false">
      <c r="A15" s="28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Position'!$H$28+'Stock Prices'!F16*'Daily Position'!$H$29+'Stock Prices'!K16*'Daily Position'!$H$31)/0.6*0.3612</f>
        <v>7589777.61299875</v>
      </c>
      <c r="AI15" s="90"/>
    </row>
    <row r="16" customFormat="false" ht="15.75" hidden="false" customHeight="false" outlineLevel="0" collapsed="false">
      <c r="A16" s="28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Position'!$H$28+'Stock Prices'!F17*'Daily Position'!$H$29+'Stock Prices'!K17*'Daily Position'!$H$31)/0.6*0.3612</f>
        <v>7678466.01086927</v>
      </c>
      <c r="AI16" s="90"/>
    </row>
    <row r="17" customFormat="false" ht="15.75" hidden="false" customHeight="false" outlineLevel="0" collapsed="false">
      <c r="A17" s="28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Position'!$H$28+'Stock Prices'!F18*'Daily Position'!$H$29+'Stock Prices'!K18*'Daily Position'!$H$31)/0.6*0.3612</f>
        <v>7679632.97227457</v>
      </c>
      <c r="AI17" s="90"/>
    </row>
    <row r="18" customFormat="false" ht="15.75" hidden="false" customHeight="false" outlineLevel="0" collapsed="false">
      <c r="A18" s="28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Position'!$H$28+'Stock Prices'!F19*'Daily Position'!$H$29+'Stock Prices'!K19*'Daily Position'!$H$31)/0.6*0.3612</f>
        <v>7884064.50740934</v>
      </c>
      <c r="AI18" s="90"/>
    </row>
    <row r="19" customFormat="false" ht="15.75" hidden="false" customHeight="false" outlineLevel="0" collapsed="false">
      <c r="A19" s="28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Position'!$H$28+'Stock Prices'!F20*'Daily Position'!$H$29+'Stock Prices'!K20*'Daily Position'!$H$31)/0.6*0.3612</f>
        <v>7978494.04375949</v>
      </c>
    </row>
    <row r="20" customFormat="false" ht="15.75" hidden="false" customHeight="false" outlineLevel="0" collapsed="false">
      <c r="A20" s="28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Position'!$H$28+'Stock Prices'!F21*'Daily Position'!$H$29+'Stock Prices'!K21*'Daily Position'!$H$31)/0.6*0.3612</f>
        <v>7963994.17782024</v>
      </c>
    </row>
    <row r="21" customFormat="false" ht="15.75" hidden="false" customHeight="false" outlineLevel="0" collapsed="false">
      <c r="A21" s="28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Position'!$H$28+'Stock Prices'!F22*'Daily Position'!$H$29+'Stock Prices'!K22*'Daily Position'!$H$31)/0.6*0.3612</f>
        <v>7939636.00848399</v>
      </c>
    </row>
    <row r="22" customFormat="false" ht="15.75" hidden="false" customHeight="false" outlineLevel="0" collapsed="false">
      <c r="A22" s="28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Position'!$H$28+'Stock Prices'!F23*'Daily Position'!$H$29+'Stock Prices'!K23*'Daily Position'!$H$31)/0.6*0.3612</f>
        <v>7914166.49432864</v>
      </c>
    </row>
    <row r="23" customFormat="false" ht="15.75" hidden="false" customHeight="false" outlineLevel="0" collapsed="false">
      <c r="A23" s="28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Position'!$H$28+'Stock Prices'!F24*'Daily Position'!$H$29+'Stock Prices'!K24*'Daily Position'!$H$31)/0.6*0.3612</f>
        <v>8012561.34210226</v>
      </c>
    </row>
    <row r="24" customFormat="false" ht="15.75" hidden="false" customHeight="false" outlineLevel="0" collapsed="false">
      <c r="A24" s="28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Position'!$H$28+'Stock Prices'!F25*'Daily Position'!$H$29+'Stock Prices'!K25*'Daily Position'!$H$31)/0.6*0.3612</f>
        <v>8039327.09792895</v>
      </c>
    </row>
    <row r="25" customFormat="false" ht="15.75" hidden="false" customHeight="false" outlineLevel="0" collapsed="false">
      <c r="A25" s="28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Position'!$H$28+'Stock Prices'!F26*'Daily Position'!$H$29+'Stock Prices'!K26*'Daily Position'!$H$31)/0.6*0.3612</f>
        <v>7955869.86727676</v>
      </c>
    </row>
    <row r="26" customFormat="false" ht="15.75" hidden="false" customHeight="false" outlineLevel="0" collapsed="false">
      <c r="A26" s="28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Position'!$H$28+'Stock Prices'!F27*'Daily Position'!$H$29+'Stock Prices'!K27*'Daily Position'!$H$31)/0.6*0.3612</f>
        <v>7918418.85418804</v>
      </c>
    </row>
    <row r="27" customFormat="false" ht="15.75" hidden="false" customHeight="false" outlineLevel="0" collapsed="false">
      <c r="A27" s="28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Position'!$H$28+'Stock Prices'!F28*'Daily Position'!$H$29+'Stock Prices'!K28*'Daily Position'!$H$31)/0.6*0.3612</f>
        <v>8068205.5580422</v>
      </c>
    </row>
    <row r="28" customFormat="false" ht="15.75" hidden="false" customHeight="false" outlineLevel="0" collapsed="false">
      <c r="A28" s="28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Position'!$H$28+'Stock Prices'!F29*'Daily Position'!$H$29+'Stock Prices'!K29*'Daily Position'!$H$31)/0.6*0.3612</f>
        <v>8041950.61239331</v>
      </c>
    </row>
    <row r="29" customFormat="false" ht="15.75" hidden="false" customHeight="false" outlineLevel="0" collapsed="false">
      <c r="A29" s="28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Position'!$H$28+'Stock Prices'!F30*'Daily Position'!$H$29+'Stock Prices'!K30*'Daily Position'!$H$31)/0.6*0.3612</f>
        <v>7999857.4943883</v>
      </c>
    </row>
    <row r="30" customFormat="false" ht="15.75" hidden="false" customHeight="false" outlineLevel="0" collapsed="false">
      <c r="A30" s="28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Position'!$H$28+'Stock Prices'!F31*'Daily Position'!$H$29+'Stock Prices'!K31*'Daily Position'!$H$31)/0.6*0.3612</f>
        <v>7889106.9468476</v>
      </c>
    </row>
    <row r="31" customFormat="false" ht="15.75" hidden="false" customHeight="false" outlineLevel="0" collapsed="false">
      <c r="A31" s="28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Position'!$H$28+'Stock Prices'!F32*'Daily Position'!$H$29+'Stock Prices'!K32*'Daily Position'!$H$31)/0.6*0.3612</f>
        <v>7848589.0523969</v>
      </c>
    </row>
    <row r="32" customFormat="false" ht="15.75" hidden="false" customHeight="false" outlineLevel="0" collapsed="false">
      <c r="A32" s="28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Position'!$H$28+'Stock Prices'!F33*'Daily Position'!$H$29+'Stock Prices'!K33*'Daily Position'!$H$31)/0.6*0.3612</f>
        <v>7928863.57757293</v>
      </c>
    </row>
    <row r="33" customFormat="false" ht="15.75" hidden="false" customHeight="false" outlineLevel="0" collapsed="false">
      <c r="A33" s="28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Position'!$H$28+'Stock Prices'!F34*'Daily Position'!$H$29+'Stock Prices'!K34*'Daily Position'!$H$31)/0.6*0.3612</f>
        <v>7935286.04613568</v>
      </c>
    </row>
    <row r="34" customFormat="false" ht="15.75" hidden="false" customHeight="false" outlineLevel="0" collapsed="false">
      <c r="A34" s="28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Position'!$H$28+'Stock Prices'!F35*'Daily Position'!$H$29+'Stock Prices'!K35*'Daily Position'!$H$31)/0.6*0.3612</f>
        <v>7831755.43417687</v>
      </c>
    </row>
    <row r="35" customFormat="false" ht="15.75" hidden="false" customHeight="false" outlineLevel="0" collapsed="false">
      <c r="A35" s="28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8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8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8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8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8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8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8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8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8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8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8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8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8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8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8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8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8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8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8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8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8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8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8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8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8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8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8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8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8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8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8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8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8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8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8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8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8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8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8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8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8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8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8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8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8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8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8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8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8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8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8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8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8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8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8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8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8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8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8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8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8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8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8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8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8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8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8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8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8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8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8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8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8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8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8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8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8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8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8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8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8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8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8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8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8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8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8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8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8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8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8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8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8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8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8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8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8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8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8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8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8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8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8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139" customFormat="false" ht="15.75" hidden="false" customHeight="false" outlineLevel="0" collapsed="false">
      <c r="A139" s="28" t="n">
        <v>36935</v>
      </c>
      <c r="B139" s="16" t="n">
        <v>1250000</v>
      </c>
      <c r="C139" s="16" t="n">
        <v>4375178.69</v>
      </c>
      <c r="D139" s="16" t="n">
        <v>1247943.5</v>
      </c>
      <c r="E139" s="16"/>
      <c r="F139" s="16"/>
      <c r="G139" s="16"/>
      <c r="H139" s="16" t="n">
        <v>1663000</v>
      </c>
      <c r="I139" s="16" t="n">
        <v>0</v>
      </c>
      <c r="J139" s="16"/>
      <c r="K139" s="16" t="n">
        <v>2.83122062683105E-007</v>
      </c>
      <c r="L139" s="16" t="n">
        <v>0</v>
      </c>
      <c r="M139" s="16" t="n">
        <v>137317.57</v>
      </c>
      <c r="N139" s="16" t="n">
        <v>0</v>
      </c>
      <c r="O139" s="16" t="n">
        <v>1000000</v>
      </c>
      <c r="P139" s="16" t="n">
        <v>0</v>
      </c>
      <c r="Q139" s="16" t="n">
        <v>23513434.5</v>
      </c>
      <c r="R139" s="16" t="n">
        <v>7121810</v>
      </c>
      <c r="S139" s="16" t="n">
        <v>5644007</v>
      </c>
      <c r="T139" s="16" t="n">
        <v>20999559.86</v>
      </c>
      <c r="U139" s="16" t="n">
        <v>2560525</v>
      </c>
      <c r="V139" s="16"/>
      <c r="W139" s="16" t="n">
        <v>2013591.65998389</v>
      </c>
      <c r="X139" s="16" t="n">
        <v>1374750</v>
      </c>
      <c r="Y139" s="16" t="n">
        <v>1803840</v>
      </c>
      <c r="Z139" s="16" t="n">
        <v>2300803</v>
      </c>
      <c r="AA139" s="16" t="n">
        <v>8551988.34</v>
      </c>
      <c r="AB139" s="16" t="n">
        <v>2343750</v>
      </c>
      <c r="AC139" s="16" t="n">
        <v>16316247</v>
      </c>
      <c r="AD139" s="16" t="n">
        <v>1050000</v>
      </c>
      <c r="AE139" s="16" t="n">
        <v>80202486.48</v>
      </c>
      <c r="AF139" s="16" t="n">
        <v>1360000</v>
      </c>
      <c r="AG139" s="16" t="n">
        <v>30637565.036478</v>
      </c>
      <c r="AH139" s="16" t="n">
        <v>2809191.2413907</v>
      </c>
    </row>
    <row r="140" customFormat="false" ht="15.75" hidden="false" customHeight="false" outlineLevel="0" collapsed="false">
      <c r="A140" s="28" t="n">
        <v>36936</v>
      </c>
      <c r="B140" s="16" t="n">
        <v>1250000</v>
      </c>
      <c r="C140" s="16" t="n">
        <v>4375178.69</v>
      </c>
      <c r="D140" s="16" t="n">
        <v>1247943.5</v>
      </c>
      <c r="E140" s="16"/>
      <c r="F140" s="16"/>
      <c r="G140" s="16"/>
      <c r="H140" s="16" t="n">
        <v>1663000</v>
      </c>
      <c r="I140" s="16" t="n">
        <v>0</v>
      </c>
      <c r="J140" s="16"/>
      <c r="K140" s="16" t="n">
        <v>2.83122062683105E-007</v>
      </c>
      <c r="L140" s="16" t="n">
        <v>0</v>
      </c>
      <c r="M140" s="16" t="n">
        <v>137317.57</v>
      </c>
      <c r="N140" s="16" t="n">
        <v>0</v>
      </c>
      <c r="O140" s="16" t="n">
        <v>1000000</v>
      </c>
      <c r="P140" s="16" t="n">
        <v>0</v>
      </c>
      <c r="Q140" s="16" t="n">
        <v>23513434.5</v>
      </c>
      <c r="R140" s="16" t="n">
        <v>7121810</v>
      </c>
      <c r="S140" s="16" t="n">
        <v>5644007</v>
      </c>
      <c r="T140" s="16" t="n">
        <v>20999559.86</v>
      </c>
      <c r="U140" s="16" t="n">
        <v>2560525</v>
      </c>
      <c r="V140" s="16"/>
      <c r="W140" s="16" t="n">
        <v>2013591.65998389</v>
      </c>
      <c r="X140" s="16" t="n">
        <v>1374750</v>
      </c>
      <c r="Y140" s="16" t="n">
        <v>1803840</v>
      </c>
      <c r="Z140" s="16" t="n">
        <v>2300803</v>
      </c>
      <c r="AA140" s="16" t="n">
        <v>8551988.34</v>
      </c>
      <c r="AB140" s="16" t="n">
        <v>2343750</v>
      </c>
      <c r="AC140" s="16" t="n">
        <v>16316247</v>
      </c>
      <c r="AD140" s="16" t="n">
        <v>1050000</v>
      </c>
      <c r="AE140" s="16" t="n">
        <v>80202486.48</v>
      </c>
      <c r="AF140" s="16" t="n">
        <v>1360000</v>
      </c>
      <c r="AG140" s="16" t="n">
        <v>30637565.036478</v>
      </c>
      <c r="AH140" s="16" t="n">
        <v>2821757.50634595</v>
      </c>
    </row>
    <row r="141" customFormat="false" ht="15.75" hidden="false" customHeight="false" outlineLevel="0" collapsed="false">
      <c r="A141" s="28" t="n">
        <v>36937</v>
      </c>
      <c r="B141" s="16" t="n">
        <v>1250000</v>
      </c>
      <c r="C141" s="16" t="n">
        <v>4375178.69</v>
      </c>
      <c r="D141" s="16" t="n">
        <v>1247943.5</v>
      </c>
      <c r="E141" s="16"/>
      <c r="F141" s="16"/>
      <c r="G141" s="16"/>
      <c r="H141" s="16" t="n">
        <v>1663000</v>
      </c>
      <c r="I141" s="16" t="n">
        <v>0</v>
      </c>
      <c r="J141" s="16"/>
      <c r="K141" s="16" t="n">
        <v>2.83122062683105E-007</v>
      </c>
      <c r="L141" s="16" t="n">
        <v>0</v>
      </c>
      <c r="M141" s="16" t="n">
        <v>137317.57</v>
      </c>
      <c r="N141" s="16" t="n">
        <v>0</v>
      </c>
      <c r="O141" s="16" t="n">
        <v>1000000</v>
      </c>
      <c r="P141" s="16" t="n">
        <v>0</v>
      </c>
      <c r="Q141" s="16" t="n">
        <v>23513434.5</v>
      </c>
      <c r="R141" s="16" t="n">
        <v>7121810</v>
      </c>
      <c r="S141" s="16" t="n">
        <v>5644007</v>
      </c>
      <c r="T141" s="16" t="n">
        <v>20999559.86</v>
      </c>
      <c r="U141" s="16" t="n">
        <v>2560525</v>
      </c>
      <c r="V141" s="16"/>
      <c r="W141" s="16" t="n">
        <v>2013591.65998389</v>
      </c>
      <c r="X141" s="16" t="n">
        <v>1374750</v>
      </c>
      <c r="Y141" s="16" t="n">
        <v>1803840</v>
      </c>
      <c r="Z141" s="16" t="n">
        <v>2300803</v>
      </c>
      <c r="AA141" s="16" t="n">
        <v>8551988.34</v>
      </c>
      <c r="AB141" s="16" t="n">
        <v>2343750</v>
      </c>
      <c r="AC141" s="16" t="n">
        <v>16316247</v>
      </c>
      <c r="AD141" s="16" t="n">
        <v>1050000</v>
      </c>
      <c r="AE141" s="16" t="n">
        <v>80202486.48</v>
      </c>
      <c r="AF141" s="16" t="n">
        <v>1360000</v>
      </c>
      <c r="AG141" s="16" t="n">
        <v>30637565.036478</v>
      </c>
      <c r="AH141" s="16" t="n">
        <v>2820522.30176308</v>
      </c>
    </row>
    <row r="142" customFormat="false" ht="15.75" hidden="false" customHeight="false" outlineLevel="0" collapsed="false">
      <c r="A142" s="28" t="n">
        <v>36938</v>
      </c>
      <c r="B142" s="16" t="n">
        <v>1250000</v>
      </c>
      <c r="C142" s="16" t="n">
        <v>4375178.69</v>
      </c>
      <c r="D142" s="16" t="n">
        <v>1247943.5</v>
      </c>
      <c r="E142" s="16"/>
      <c r="F142" s="16"/>
      <c r="G142" s="16"/>
      <c r="H142" s="16" t="n">
        <v>1663000</v>
      </c>
      <c r="I142" s="16" t="n">
        <v>0</v>
      </c>
      <c r="J142" s="16"/>
      <c r="K142" s="16" t="n">
        <v>2.83122062683105E-007</v>
      </c>
      <c r="L142" s="16" t="n">
        <v>0</v>
      </c>
      <c r="M142" s="16" t="n">
        <v>137317.57</v>
      </c>
      <c r="N142" s="16" t="n">
        <v>0</v>
      </c>
      <c r="O142" s="16" t="n">
        <v>1000000</v>
      </c>
      <c r="P142" s="16" t="n">
        <v>0</v>
      </c>
      <c r="Q142" s="16" t="n">
        <v>23513434.5</v>
      </c>
      <c r="R142" s="16" t="n">
        <v>7121810</v>
      </c>
      <c r="S142" s="16" t="n">
        <v>5644007</v>
      </c>
      <c r="T142" s="16" t="n">
        <v>20999559.86</v>
      </c>
      <c r="U142" s="16" t="n">
        <v>2560525</v>
      </c>
      <c r="V142" s="16"/>
      <c r="W142" s="16" t="n">
        <v>2013591.65998389</v>
      </c>
      <c r="X142" s="16" t="n">
        <v>1374750</v>
      </c>
      <c r="Y142" s="16" t="n">
        <v>1803840</v>
      </c>
      <c r="Z142" s="16" t="n">
        <v>2300803</v>
      </c>
      <c r="AA142" s="16" t="n">
        <v>8551988.34</v>
      </c>
      <c r="AB142" s="16" t="n">
        <v>2343750</v>
      </c>
      <c r="AC142" s="16" t="n">
        <v>16316247</v>
      </c>
      <c r="AD142" s="16" t="n">
        <v>1050000</v>
      </c>
      <c r="AE142" s="16" t="n">
        <v>80202486.48</v>
      </c>
      <c r="AF142" s="16" t="n">
        <v>1360000</v>
      </c>
      <c r="AG142" s="16" t="n">
        <v>30637565.036478</v>
      </c>
      <c r="AH142" s="16" t="n">
        <v>2813317.45567893</v>
      </c>
    </row>
    <row r="143" customFormat="false" ht="15.75" hidden="false" customHeight="false" outlineLevel="0" collapsed="false">
      <c r="A143" s="28" t="n">
        <v>36942</v>
      </c>
      <c r="B143" s="16" t="n">
        <v>1250000</v>
      </c>
      <c r="C143" s="16" t="n">
        <v>4375178.69</v>
      </c>
      <c r="D143" s="16" t="n">
        <v>1247943.5</v>
      </c>
      <c r="E143" s="16"/>
      <c r="F143" s="16"/>
      <c r="G143" s="16"/>
      <c r="H143" s="16" t="n">
        <v>1663000</v>
      </c>
      <c r="I143" s="16" t="n">
        <v>0</v>
      </c>
      <c r="J143" s="16"/>
      <c r="K143" s="16" t="n">
        <v>2.83122062683105E-007</v>
      </c>
      <c r="L143" s="16" t="n">
        <v>0</v>
      </c>
      <c r="M143" s="16" t="n">
        <v>137317.57</v>
      </c>
      <c r="N143" s="16" t="n">
        <v>0</v>
      </c>
      <c r="O143" s="16" t="n">
        <v>1000000</v>
      </c>
      <c r="P143" s="16" t="n">
        <v>0</v>
      </c>
      <c r="Q143" s="16" t="n">
        <v>23513434.5</v>
      </c>
      <c r="R143" s="16" t="n">
        <v>7121810</v>
      </c>
      <c r="S143" s="16" t="n">
        <v>5644007</v>
      </c>
      <c r="T143" s="16" t="n">
        <v>20999559.86</v>
      </c>
      <c r="U143" s="16" t="n">
        <v>2560525</v>
      </c>
      <c r="V143" s="16"/>
      <c r="W143" s="16" t="n">
        <v>2013591.65998389</v>
      </c>
      <c r="X143" s="16" t="n">
        <v>1374750</v>
      </c>
      <c r="Y143" s="16" t="n">
        <v>1803840</v>
      </c>
      <c r="Z143" s="16" t="n">
        <v>2300803</v>
      </c>
      <c r="AA143" s="16" t="n">
        <v>8551988.34</v>
      </c>
      <c r="AB143" s="16" t="n">
        <v>2343750</v>
      </c>
      <c r="AC143" s="16" t="n">
        <v>16316247</v>
      </c>
      <c r="AD143" s="16" t="n">
        <v>1050000</v>
      </c>
      <c r="AE143" s="16" t="n">
        <v>80202486.48</v>
      </c>
      <c r="AF143" s="16" t="n">
        <v>1360000</v>
      </c>
      <c r="AG143" s="16" t="n">
        <v>30637565.036478</v>
      </c>
      <c r="AH143" s="16" t="n">
        <v>2808953.4217411</v>
      </c>
    </row>
    <row r="144" customFormat="false" ht="15.75" hidden="false" customHeight="false" outlineLevel="0" collapsed="false">
      <c r="A144" s="28" t="n">
        <v>36943</v>
      </c>
      <c r="B144" s="16" t="n">
        <v>1250000</v>
      </c>
      <c r="C144" s="16" t="n">
        <v>4375178.69</v>
      </c>
      <c r="D144" s="16" t="n">
        <v>1247943.5</v>
      </c>
      <c r="E144" s="16"/>
      <c r="F144" s="16"/>
      <c r="G144" s="16"/>
      <c r="H144" s="16" t="n">
        <v>1663000</v>
      </c>
      <c r="I144" s="16" t="n">
        <v>0</v>
      </c>
      <c r="J144" s="16"/>
      <c r="K144" s="16" t="n">
        <v>2.83122062683105E-007</v>
      </c>
      <c r="L144" s="16" t="n">
        <v>0</v>
      </c>
      <c r="M144" s="16" t="n">
        <v>137317.57</v>
      </c>
      <c r="N144" s="16" t="n">
        <v>0</v>
      </c>
      <c r="O144" s="16" t="n">
        <v>1000000</v>
      </c>
      <c r="P144" s="16" t="n">
        <v>0</v>
      </c>
      <c r="Q144" s="16" t="n">
        <v>23513434.5</v>
      </c>
      <c r="R144" s="16" t="n">
        <v>7121810</v>
      </c>
      <c r="S144" s="16" t="n">
        <v>5644007</v>
      </c>
      <c r="T144" s="16" t="n">
        <v>20999559.86</v>
      </c>
      <c r="U144" s="16" t="n">
        <v>2560525</v>
      </c>
      <c r="V144" s="16"/>
      <c r="W144" s="16" t="n">
        <v>2013591.65998389</v>
      </c>
      <c r="X144" s="16" t="n">
        <v>1374750</v>
      </c>
      <c r="Y144" s="16" t="n">
        <v>1803840</v>
      </c>
      <c r="Z144" s="16" t="n">
        <v>2300803</v>
      </c>
      <c r="AA144" s="16" t="n">
        <v>8551988.34</v>
      </c>
      <c r="AB144" s="16" t="n">
        <v>2343750</v>
      </c>
      <c r="AC144" s="16" t="n">
        <v>16316247</v>
      </c>
      <c r="AD144" s="16" t="n">
        <v>1050000</v>
      </c>
      <c r="AE144" s="16" t="n">
        <v>80202486.48</v>
      </c>
      <c r="AF144" s="16" t="n">
        <v>1360000</v>
      </c>
      <c r="AG144" s="16" t="n">
        <v>30637565.036478</v>
      </c>
      <c r="AH144" s="16" t="n">
        <v>2797657.03683463</v>
      </c>
    </row>
    <row r="145" customFormat="false" ht="15.75" hidden="false" customHeight="false" outlineLevel="0" collapsed="false">
      <c r="A145" s="28" t="n">
        <v>36944</v>
      </c>
      <c r="B145" s="16" t="n">
        <v>1250000</v>
      </c>
      <c r="C145" s="16" t="n">
        <v>4375178.69</v>
      </c>
      <c r="D145" s="16" t="n">
        <v>1247943.5</v>
      </c>
      <c r="E145" s="16"/>
      <c r="F145" s="16"/>
      <c r="G145" s="16"/>
      <c r="H145" s="16" t="n">
        <v>1663000</v>
      </c>
      <c r="I145" s="16" t="n">
        <v>0</v>
      </c>
      <c r="J145" s="16"/>
      <c r="K145" s="16" t="n">
        <v>2.83122062683105E-007</v>
      </c>
      <c r="L145" s="16" t="n">
        <v>0</v>
      </c>
      <c r="M145" s="16" t="n">
        <v>137317.57</v>
      </c>
      <c r="N145" s="16" t="n">
        <v>0</v>
      </c>
      <c r="O145" s="16" t="n">
        <v>1000000</v>
      </c>
      <c r="P145" s="16" t="n">
        <v>0</v>
      </c>
      <c r="Q145" s="16" t="n">
        <v>23513434.5</v>
      </c>
      <c r="R145" s="16" t="n">
        <v>7121810</v>
      </c>
      <c r="S145" s="16" t="n">
        <v>5644007</v>
      </c>
      <c r="T145" s="16" t="n">
        <v>20999559.86</v>
      </c>
      <c r="U145" s="16" t="n">
        <v>2560525</v>
      </c>
      <c r="V145" s="16"/>
      <c r="W145" s="16" t="n">
        <v>2013591.65998389</v>
      </c>
      <c r="X145" s="16" t="n">
        <v>1374750</v>
      </c>
      <c r="Y145" s="16" t="n">
        <v>1803840</v>
      </c>
      <c r="Z145" s="16" t="n">
        <v>2300803</v>
      </c>
      <c r="AA145" s="16" t="n">
        <v>8551988.34</v>
      </c>
      <c r="AB145" s="16" t="n">
        <v>2343750</v>
      </c>
      <c r="AC145" s="16" t="n">
        <v>16316247</v>
      </c>
      <c r="AD145" s="16" t="n">
        <v>1050000</v>
      </c>
      <c r="AE145" s="16" t="n">
        <v>80202486.48</v>
      </c>
      <c r="AF145" s="16" t="n">
        <v>1360000</v>
      </c>
      <c r="AG145" s="16" t="n">
        <v>30637565.036478</v>
      </c>
      <c r="AH145" s="16" t="n">
        <v>2810418.27569535</v>
      </c>
    </row>
    <row r="146" customFormat="false" ht="15.75" hidden="false" customHeight="false" outlineLevel="0" collapsed="false">
      <c r="A146" s="28" t="n">
        <v>36945</v>
      </c>
      <c r="B146" s="16" t="n">
        <v>1250000</v>
      </c>
      <c r="C146" s="16" t="n">
        <v>4375178.69</v>
      </c>
      <c r="D146" s="16" t="n">
        <v>1247943.5</v>
      </c>
      <c r="E146" s="16"/>
      <c r="F146" s="16"/>
      <c r="G146" s="16"/>
      <c r="H146" s="16" t="n">
        <v>1663000</v>
      </c>
      <c r="I146" s="16" t="n">
        <v>0</v>
      </c>
      <c r="J146" s="16"/>
      <c r="K146" s="16" t="n">
        <v>2.83122062683105E-007</v>
      </c>
      <c r="L146" s="16" t="n">
        <v>0</v>
      </c>
      <c r="M146" s="16" t="n">
        <v>137317.57</v>
      </c>
      <c r="N146" s="16" t="n">
        <v>0</v>
      </c>
      <c r="O146" s="16" t="n">
        <v>1000000</v>
      </c>
      <c r="P146" s="16" t="n">
        <v>0</v>
      </c>
      <c r="Q146" s="16" t="n">
        <v>23513434.5</v>
      </c>
      <c r="R146" s="16" t="n">
        <v>7121810</v>
      </c>
      <c r="S146" s="16" t="n">
        <v>5644007</v>
      </c>
      <c r="T146" s="16" t="n">
        <v>20999559.86</v>
      </c>
      <c r="U146" s="16" t="n">
        <v>2560525</v>
      </c>
      <c r="V146" s="16"/>
      <c r="W146" s="16" t="n">
        <v>2013591.65998389</v>
      </c>
      <c r="X146" s="16" t="n">
        <v>1374750</v>
      </c>
      <c r="Y146" s="16" t="n">
        <v>1803840</v>
      </c>
      <c r="Z146" s="16" t="n">
        <v>2300803</v>
      </c>
      <c r="AA146" s="16" t="n">
        <v>8551988.34</v>
      </c>
      <c r="AB146" s="16" t="n">
        <v>2343750</v>
      </c>
      <c r="AC146" s="16" t="n">
        <v>16316247</v>
      </c>
      <c r="AD146" s="16" t="n">
        <v>1050000</v>
      </c>
      <c r="AE146" s="16" t="n">
        <v>80202486.48</v>
      </c>
      <c r="AF146" s="16" t="n">
        <v>1360000</v>
      </c>
      <c r="AG146" s="16" t="n">
        <v>30637565.036478</v>
      </c>
      <c r="AH146" s="16" t="n">
        <v>2807934.5343045</v>
      </c>
    </row>
    <row r="147" customFormat="false" ht="15.75" hidden="false" customHeight="false" outlineLevel="0" collapsed="false">
      <c r="A147" s="28" t="n">
        <v>36948</v>
      </c>
      <c r="B147" s="16" t="n">
        <v>1250000</v>
      </c>
      <c r="C147" s="16" t="n">
        <v>4375178.69</v>
      </c>
      <c r="D147" s="16" t="n">
        <v>1247943.5</v>
      </c>
      <c r="E147" s="16"/>
      <c r="F147" s="16"/>
      <c r="G147" s="16"/>
      <c r="H147" s="16" t="n">
        <v>1663000</v>
      </c>
      <c r="I147" s="16" t="n">
        <v>0</v>
      </c>
      <c r="J147" s="16"/>
      <c r="K147" s="16" t="n">
        <v>2.83122062683105E-007</v>
      </c>
      <c r="L147" s="16" t="n">
        <v>0</v>
      </c>
      <c r="M147" s="16" t="n">
        <v>137317.57</v>
      </c>
      <c r="N147" s="16" t="n">
        <v>0</v>
      </c>
      <c r="O147" s="16" t="n">
        <v>1000000</v>
      </c>
      <c r="P147" s="16" t="n">
        <v>0</v>
      </c>
      <c r="Q147" s="16" t="n">
        <v>23513434.5</v>
      </c>
      <c r="R147" s="16" t="n">
        <v>7121810</v>
      </c>
      <c r="S147" s="16" t="n">
        <v>5644007</v>
      </c>
      <c r="T147" s="16" t="n">
        <v>20999559.86</v>
      </c>
      <c r="U147" s="16" t="n">
        <v>2560525</v>
      </c>
      <c r="V147" s="16"/>
      <c r="W147" s="16" t="n">
        <v>2013591.65998389</v>
      </c>
      <c r="X147" s="16" t="n">
        <v>1374750</v>
      </c>
      <c r="Y147" s="16" t="n">
        <v>1803840</v>
      </c>
      <c r="Z147" s="16" t="n">
        <v>2300803</v>
      </c>
      <c r="AA147" s="16" t="n">
        <v>8551988.34</v>
      </c>
      <c r="AB147" s="16" t="n">
        <v>2343750</v>
      </c>
      <c r="AC147" s="16" t="n">
        <v>16316247</v>
      </c>
      <c r="AD147" s="16" t="n">
        <v>1050000</v>
      </c>
      <c r="AE147" s="16" t="n">
        <v>80202486.48</v>
      </c>
      <c r="AF147" s="16" t="n">
        <v>1360000</v>
      </c>
      <c r="AG147" s="16" t="n">
        <v>30637565.036478</v>
      </c>
      <c r="AH147" s="16" t="n">
        <v>2806059.36292112</v>
      </c>
    </row>
    <row r="148" customFormat="false" ht="15.75" hidden="false" customHeight="false" outlineLevel="0" collapsed="false">
      <c r="A148" s="28" t="n">
        <v>36949</v>
      </c>
      <c r="B148" s="16" t="n">
        <v>1250000</v>
      </c>
      <c r="C148" s="16" t="n">
        <v>4375178.69</v>
      </c>
      <c r="D148" s="16" t="n">
        <v>1247943.5</v>
      </c>
      <c r="E148" s="16"/>
      <c r="F148" s="16"/>
      <c r="G148" s="16"/>
      <c r="H148" s="16" t="n">
        <v>1663000</v>
      </c>
      <c r="I148" s="16" t="n">
        <v>0</v>
      </c>
      <c r="J148" s="16"/>
      <c r="K148" s="16" t="n">
        <v>2.83122062683105E-007</v>
      </c>
      <c r="L148" s="16" t="n">
        <v>0</v>
      </c>
      <c r="M148" s="16" t="n">
        <v>137317.57</v>
      </c>
      <c r="N148" s="16" t="n">
        <v>0</v>
      </c>
      <c r="O148" s="16" t="n">
        <v>1000000</v>
      </c>
      <c r="P148" s="16" t="n">
        <v>0</v>
      </c>
      <c r="Q148" s="16" t="n">
        <v>23513434.5</v>
      </c>
      <c r="R148" s="16" t="n">
        <v>7121810</v>
      </c>
      <c r="S148" s="16" t="n">
        <v>5644007</v>
      </c>
      <c r="T148" s="16" t="n">
        <v>20999559.86</v>
      </c>
      <c r="U148" s="16" t="n">
        <v>2560525</v>
      </c>
      <c r="V148" s="16"/>
      <c r="W148" s="16" t="n">
        <v>2013591.65998389</v>
      </c>
      <c r="X148" s="16" t="n">
        <v>1374750</v>
      </c>
      <c r="Y148" s="16" t="n">
        <v>1803840</v>
      </c>
      <c r="Z148" s="16" t="n">
        <v>2300803</v>
      </c>
      <c r="AA148" s="16" t="n">
        <v>8551988.34</v>
      </c>
      <c r="AB148" s="16" t="n">
        <v>2343750</v>
      </c>
      <c r="AC148" s="16" t="n">
        <v>16316247</v>
      </c>
      <c r="AD148" s="16" t="n">
        <v>1050000</v>
      </c>
      <c r="AE148" s="16" t="n">
        <v>80202486.48</v>
      </c>
      <c r="AF148" s="16" t="n">
        <v>1360000</v>
      </c>
      <c r="AG148" s="16" t="n">
        <v>30637565.036478</v>
      </c>
      <c r="AH148" s="16" t="n">
        <v>2776275.67169631</v>
      </c>
    </row>
    <row r="149" customFormat="false" ht="15.75" hidden="false" customHeight="false" outlineLevel="0" collapsed="false">
      <c r="A149" s="28" t="n">
        <v>36950</v>
      </c>
      <c r="B149" s="16" t="n">
        <v>1250000</v>
      </c>
      <c r="C149" s="16" t="n">
        <v>4375178.69</v>
      </c>
      <c r="D149" s="16" t="n">
        <v>1247943.5</v>
      </c>
      <c r="E149" s="16"/>
      <c r="F149" s="16"/>
      <c r="G149" s="16"/>
      <c r="H149" s="16" t="n">
        <v>1663000</v>
      </c>
      <c r="I149" s="16" t="n">
        <v>0</v>
      </c>
      <c r="J149" s="16"/>
      <c r="K149" s="16" t="n">
        <v>2.83122062683105E-007</v>
      </c>
      <c r="L149" s="16" t="n">
        <v>0</v>
      </c>
      <c r="M149" s="16" t="n">
        <v>137317.57</v>
      </c>
      <c r="N149" s="16" t="n">
        <v>0</v>
      </c>
      <c r="O149" s="16" t="n">
        <v>1000000</v>
      </c>
      <c r="P149" s="16" t="n">
        <v>0</v>
      </c>
      <c r="Q149" s="16" t="n">
        <v>23513434.5</v>
      </c>
      <c r="R149" s="16" t="n">
        <v>7121810</v>
      </c>
      <c r="S149" s="16" t="n">
        <v>5644007</v>
      </c>
      <c r="T149" s="16" t="n">
        <v>20999559.86</v>
      </c>
      <c r="U149" s="16" t="n">
        <v>2560525</v>
      </c>
      <c r="V149" s="16"/>
      <c r="W149" s="16" t="n">
        <v>2013591.65998389</v>
      </c>
      <c r="X149" s="16" t="n">
        <v>1374750</v>
      </c>
      <c r="Y149" s="16" t="n">
        <v>1803840</v>
      </c>
      <c r="Z149" s="16" t="n">
        <v>2300803</v>
      </c>
      <c r="AA149" s="16" t="n">
        <v>8551988.34</v>
      </c>
      <c r="AB149" s="16" t="n">
        <v>2343750</v>
      </c>
      <c r="AC149" s="16" t="n">
        <v>16316247</v>
      </c>
      <c r="AD149" s="16" t="n">
        <v>1050000</v>
      </c>
      <c r="AE149" s="16" t="n">
        <v>80202486.48</v>
      </c>
      <c r="AF149" s="16" t="n">
        <v>1360000</v>
      </c>
      <c r="AG149" s="16" t="n">
        <v>30637565.036478</v>
      </c>
      <c r="AH149" s="16" t="n">
        <v>2776190.2170763</v>
      </c>
    </row>
    <row r="150" customFormat="false" ht="15.75" hidden="false" customHeight="false" outlineLevel="0" collapsed="false">
      <c r="A150" s="28" t="n">
        <v>36951</v>
      </c>
      <c r="B150" s="16" t="n">
        <v>1250000</v>
      </c>
      <c r="C150" s="16" t="n">
        <v>4375178.69</v>
      </c>
      <c r="D150" s="16" t="n">
        <v>1247943.5</v>
      </c>
      <c r="E150" s="16"/>
      <c r="F150" s="16"/>
      <c r="G150" s="16"/>
      <c r="H150" s="16" t="n">
        <v>1663000</v>
      </c>
      <c r="I150" s="16" t="n">
        <v>0</v>
      </c>
      <c r="J150" s="16"/>
      <c r="K150" s="16" t="n">
        <v>2.83122062683105E-007</v>
      </c>
      <c r="L150" s="16" t="n">
        <v>0</v>
      </c>
      <c r="M150" s="16" t="n">
        <v>137317.57</v>
      </c>
      <c r="N150" s="16" t="n">
        <v>0</v>
      </c>
      <c r="O150" s="16" t="n">
        <v>1000000</v>
      </c>
      <c r="P150" s="16" t="n">
        <v>0</v>
      </c>
      <c r="Q150" s="16" t="n">
        <v>23513434.5</v>
      </c>
      <c r="R150" s="16" t="n">
        <v>7121810</v>
      </c>
      <c r="S150" s="16" t="n">
        <v>5644007</v>
      </c>
      <c r="T150" s="16" t="n">
        <v>20999559.86</v>
      </c>
      <c r="U150" s="16" t="n">
        <v>2560525</v>
      </c>
      <c r="V150" s="16"/>
      <c r="W150" s="16" t="n">
        <v>2013591.65998389</v>
      </c>
      <c r="X150" s="16" t="n">
        <v>1374750</v>
      </c>
      <c r="Y150" s="16" t="n">
        <v>1803840</v>
      </c>
      <c r="Z150" s="16" t="n">
        <v>2300803</v>
      </c>
      <c r="AA150" s="16" t="n">
        <v>8551988.34</v>
      </c>
      <c r="AB150" s="16" t="n">
        <v>2343750</v>
      </c>
      <c r="AC150" s="16" t="n">
        <v>16316247</v>
      </c>
      <c r="AD150" s="16" t="n">
        <v>1050000</v>
      </c>
      <c r="AE150" s="16" t="n">
        <v>80202486.48</v>
      </c>
      <c r="AF150" s="16" t="n">
        <v>1360000</v>
      </c>
      <c r="AG150" s="16" t="n">
        <v>30637565.036478</v>
      </c>
      <c r="AH150" s="16" t="n">
        <v>2780129.4059278</v>
      </c>
    </row>
    <row r="151" customFormat="false" ht="15.75" hidden="false" customHeight="false" outlineLevel="0" collapsed="false">
      <c r="A151" s="28" t="n">
        <v>36952</v>
      </c>
      <c r="B151" s="16" t="n">
        <v>1250000</v>
      </c>
      <c r="C151" s="16" t="n">
        <v>4375178.69</v>
      </c>
      <c r="D151" s="16" t="n">
        <v>1247943.5</v>
      </c>
      <c r="E151" s="16"/>
      <c r="F151" s="16"/>
      <c r="G151" s="16"/>
      <c r="H151" s="16" t="n">
        <v>1663000</v>
      </c>
      <c r="I151" s="16" t="n">
        <v>0</v>
      </c>
      <c r="J151" s="16"/>
      <c r="K151" s="16" t="n">
        <v>2.83122062683105E-007</v>
      </c>
      <c r="L151" s="16" t="n">
        <v>0</v>
      </c>
      <c r="M151" s="16" t="n">
        <v>137317.57</v>
      </c>
      <c r="N151" s="16" t="n">
        <v>0</v>
      </c>
      <c r="O151" s="16" t="n">
        <v>1000000</v>
      </c>
      <c r="P151" s="16" t="n">
        <v>0</v>
      </c>
      <c r="Q151" s="16" t="n">
        <v>23513434.5</v>
      </c>
      <c r="R151" s="16" t="n">
        <v>7121810</v>
      </c>
      <c r="S151" s="16" t="n">
        <v>5644007</v>
      </c>
      <c r="T151" s="16" t="n">
        <v>20999559.86</v>
      </c>
      <c r="U151" s="16" t="n">
        <v>2560525</v>
      </c>
      <c r="V151" s="16"/>
      <c r="W151" s="16" t="n">
        <v>2013591.65998389</v>
      </c>
      <c r="X151" s="16" t="n">
        <v>1374750</v>
      </c>
      <c r="Y151" s="16" t="n">
        <v>1803840</v>
      </c>
      <c r="Z151" s="16" t="n">
        <v>2300803</v>
      </c>
      <c r="AA151" s="16" t="n">
        <v>8551988.34</v>
      </c>
      <c r="AB151" s="16" t="n">
        <v>2343750</v>
      </c>
      <c r="AC151" s="16" t="n">
        <v>16316247</v>
      </c>
      <c r="AD151" s="16" t="n">
        <v>1050000</v>
      </c>
      <c r="AE151" s="16" t="n">
        <v>80202486.48</v>
      </c>
      <c r="AF151" s="16" t="n">
        <v>1360000</v>
      </c>
      <c r="AG151" s="16" t="n">
        <v>30637565.036478</v>
      </c>
      <c r="AH151" s="16" t="n">
        <v>2783287.50551763</v>
      </c>
    </row>
    <row r="152" customFormat="false" ht="15.75" hidden="false" customHeight="false" outlineLevel="0" collapsed="false">
      <c r="A152" s="28" t="n">
        <v>36955</v>
      </c>
      <c r="B152" s="16" t="n">
        <v>1250000</v>
      </c>
      <c r="C152" s="16" t="n">
        <v>4375178.69</v>
      </c>
      <c r="D152" s="16" t="n">
        <v>1247943.5</v>
      </c>
      <c r="E152" s="16"/>
      <c r="F152" s="16"/>
      <c r="G152" s="16"/>
      <c r="H152" s="16" t="n">
        <v>1663000</v>
      </c>
      <c r="I152" s="16" t="n">
        <v>0</v>
      </c>
      <c r="J152" s="16"/>
      <c r="K152" s="16" t="n">
        <v>2.83122062683105E-007</v>
      </c>
      <c r="L152" s="16" t="n">
        <v>0</v>
      </c>
      <c r="M152" s="16" t="n">
        <v>137317.57</v>
      </c>
      <c r="N152" s="16" t="n">
        <v>0</v>
      </c>
      <c r="O152" s="16" t="n">
        <v>1000000</v>
      </c>
      <c r="P152" s="16" t="n">
        <v>0</v>
      </c>
      <c r="Q152" s="16" t="n">
        <v>23513434.5</v>
      </c>
      <c r="R152" s="16" t="n">
        <v>7121810</v>
      </c>
      <c r="S152" s="16" t="n">
        <v>5644007</v>
      </c>
      <c r="T152" s="16" t="n">
        <v>20999559.86</v>
      </c>
      <c r="U152" s="16" t="n">
        <v>2560525</v>
      </c>
      <c r="V152" s="16"/>
      <c r="W152" s="16" t="n">
        <v>2013591.65998389</v>
      </c>
      <c r="X152" s="16" t="n">
        <v>1374750</v>
      </c>
      <c r="Y152" s="16" t="n">
        <v>1803840</v>
      </c>
      <c r="Z152" s="16" t="n">
        <v>2300803</v>
      </c>
      <c r="AA152" s="16" t="n">
        <v>8551988.34</v>
      </c>
      <c r="AB152" s="16" t="n">
        <v>2343750</v>
      </c>
      <c r="AC152" s="16" t="n">
        <v>16316247</v>
      </c>
      <c r="AD152" s="16" t="n">
        <v>1050000</v>
      </c>
      <c r="AE152" s="16" t="n">
        <v>80202486.48</v>
      </c>
      <c r="AF152" s="16" t="n">
        <v>1360000</v>
      </c>
      <c r="AG152" s="16" t="n">
        <v>30637565.036478</v>
      </c>
      <c r="AH152" s="16" t="n">
        <v>2799701.43637831</v>
      </c>
    </row>
    <row r="153" customFormat="false" ht="15.75" hidden="false" customHeight="false" outlineLevel="0" collapsed="false">
      <c r="A153" s="28" t="n">
        <v>36956</v>
      </c>
      <c r="B153" s="16" t="n">
        <v>1250000</v>
      </c>
      <c r="C153" s="16" t="n">
        <v>4375178.69</v>
      </c>
      <c r="D153" s="16" t="n">
        <v>1247943.5</v>
      </c>
      <c r="E153" s="16"/>
      <c r="F153" s="16"/>
      <c r="G153" s="16"/>
      <c r="H153" s="16" t="n">
        <v>1663000</v>
      </c>
      <c r="I153" s="16" t="n">
        <v>0</v>
      </c>
      <c r="J153" s="16"/>
      <c r="K153" s="16" t="n">
        <v>2.83122062683105E-007</v>
      </c>
      <c r="L153" s="16" t="n">
        <v>0</v>
      </c>
      <c r="M153" s="16" t="n">
        <v>137317.57</v>
      </c>
      <c r="N153" s="16" t="n">
        <v>0</v>
      </c>
      <c r="O153" s="16" t="n">
        <v>1000000</v>
      </c>
      <c r="P153" s="16" t="n">
        <v>0</v>
      </c>
      <c r="Q153" s="16" t="n">
        <v>23513434.5</v>
      </c>
      <c r="R153" s="16" t="n">
        <v>7121810</v>
      </c>
      <c r="S153" s="16" t="n">
        <v>5644007</v>
      </c>
      <c r="T153" s="16" t="n">
        <v>20999559.86</v>
      </c>
      <c r="U153" s="16" t="n">
        <v>2560525</v>
      </c>
      <c r="V153" s="16"/>
      <c r="W153" s="16" t="n">
        <v>2013591.65998389</v>
      </c>
      <c r="X153" s="16" t="n">
        <v>1374750</v>
      </c>
      <c r="Y153" s="16" t="n">
        <v>1803840</v>
      </c>
      <c r="Z153" s="16" t="n">
        <v>2300803</v>
      </c>
      <c r="AA153" s="16" t="n">
        <v>8551988.34</v>
      </c>
      <c r="AB153" s="16" t="n">
        <v>2343750</v>
      </c>
      <c r="AC153" s="16" t="n">
        <v>16316247</v>
      </c>
      <c r="AD153" s="16" t="n">
        <v>1050000</v>
      </c>
      <c r="AE153" s="16" t="n">
        <v>80202486.48</v>
      </c>
      <c r="AF153" s="16" t="n">
        <v>1360000</v>
      </c>
      <c r="AG153" s="16" t="n">
        <v>30637565.036478</v>
      </c>
      <c r="AH153" s="16" t="n">
        <v>2801715.41207773</v>
      </c>
    </row>
    <row r="154" customFormat="false" ht="15.75" hidden="false" customHeight="false" outlineLevel="0" collapsed="false">
      <c r="A154" s="28" t="n">
        <v>36957</v>
      </c>
      <c r="B154" s="16" t="n">
        <v>1250000</v>
      </c>
      <c r="C154" s="16" t="n">
        <v>4375178.69</v>
      </c>
      <c r="D154" s="16" t="n">
        <v>1247943.5</v>
      </c>
      <c r="E154" s="16"/>
      <c r="F154" s="16"/>
      <c r="G154" s="16"/>
      <c r="H154" s="16" t="n">
        <v>1663000</v>
      </c>
      <c r="I154" s="16" t="n">
        <v>0</v>
      </c>
      <c r="J154" s="16"/>
      <c r="K154" s="16" t="n">
        <v>2.83122062683105E-007</v>
      </c>
      <c r="L154" s="16" t="n">
        <v>0</v>
      </c>
      <c r="M154" s="16" t="n">
        <v>137317.57</v>
      </c>
      <c r="N154" s="16" t="n">
        <v>0</v>
      </c>
      <c r="O154" s="16" t="n">
        <v>1000000</v>
      </c>
      <c r="P154" s="16" t="n">
        <v>0</v>
      </c>
      <c r="Q154" s="16" t="n">
        <v>23513434.5</v>
      </c>
      <c r="R154" s="16" t="n">
        <v>7121810</v>
      </c>
      <c r="S154" s="16" t="n">
        <v>5644007</v>
      </c>
      <c r="T154" s="16" t="n">
        <v>20999559.86</v>
      </c>
      <c r="U154" s="16" t="n">
        <v>2560525</v>
      </c>
      <c r="V154" s="16"/>
      <c r="W154" s="16" t="n">
        <v>0</v>
      </c>
      <c r="X154" s="16" t="n">
        <v>0</v>
      </c>
      <c r="Y154" s="16" t="n">
        <v>1803840</v>
      </c>
      <c r="Z154" s="16" t="n">
        <v>2300803</v>
      </c>
      <c r="AA154" s="16" t="n">
        <v>8551988.34</v>
      </c>
      <c r="AB154" s="16" t="n">
        <v>2343750</v>
      </c>
      <c r="AC154" s="16" t="n">
        <v>16316247</v>
      </c>
      <c r="AD154" s="16" t="n">
        <v>1050000</v>
      </c>
      <c r="AE154" s="16" t="n">
        <v>80202486.48</v>
      </c>
      <c r="AF154" s="16" t="n">
        <v>1360000</v>
      </c>
      <c r="AG154" s="16" t="n">
        <v>30637565.036478</v>
      </c>
      <c r="AH154" s="16" t="n">
        <v>2801715.41207773</v>
      </c>
    </row>
    <row r="155" customFormat="false" ht="15.75" hidden="false" customHeight="false" outlineLevel="0" collapsed="false">
      <c r="A155" s="28" t="n">
        <v>36958</v>
      </c>
      <c r="B155" s="16" t="n">
        <v>1250000</v>
      </c>
      <c r="C155" s="16" t="n">
        <v>4375178.69</v>
      </c>
      <c r="D155" s="16" t="n">
        <v>1247943.5</v>
      </c>
      <c r="E155" s="16"/>
      <c r="F155" s="16"/>
      <c r="G155" s="16"/>
      <c r="H155" s="16" t="n">
        <v>1663000</v>
      </c>
      <c r="I155" s="16" t="n">
        <v>0</v>
      </c>
      <c r="J155" s="16"/>
      <c r="K155" s="16" t="n">
        <v>2.83122062683105E-007</v>
      </c>
      <c r="L155" s="16" t="n">
        <v>0</v>
      </c>
      <c r="M155" s="16" t="n">
        <v>137317.57</v>
      </c>
      <c r="N155" s="16" t="n">
        <v>0</v>
      </c>
      <c r="O155" s="16" t="n">
        <v>1000000</v>
      </c>
      <c r="P155" s="16" t="n">
        <v>0</v>
      </c>
      <c r="Q155" s="16" t="n">
        <v>23513434.5</v>
      </c>
      <c r="R155" s="16" t="n">
        <v>7121810</v>
      </c>
      <c r="S155" s="16" t="n">
        <v>5644007</v>
      </c>
      <c r="T155" s="16" t="n">
        <v>20999559.86</v>
      </c>
      <c r="U155" s="16" t="n">
        <v>2560525</v>
      </c>
      <c r="V155" s="16"/>
      <c r="W155" s="16" t="n">
        <v>0</v>
      </c>
      <c r="X155" s="16" t="n">
        <v>0</v>
      </c>
      <c r="Y155" s="16" t="n">
        <v>1803840</v>
      </c>
      <c r="Z155" s="16" t="n">
        <v>2300803</v>
      </c>
      <c r="AA155" s="16" t="n">
        <v>8551988.34</v>
      </c>
      <c r="AB155" s="16" t="n">
        <v>2343750</v>
      </c>
      <c r="AC155" s="16" t="n">
        <v>16316247</v>
      </c>
      <c r="AD155" s="16" t="n">
        <v>1050000</v>
      </c>
      <c r="AE155" s="16" t="n">
        <v>80202486.48</v>
      </c>
      <c r="AF155" s="16" t="n">
        <v>1360000</v>
      </c>
      <c r="AG155" s="16" t="n">
        <v>30637565.036478</v>
      </c>
      <c r="AH155" s="16" t="n">
        <v>2814203.29099474</v>
      </c>
    </row>
    <row r="156" customFormat="false" ht="15.75" hidden="false" customHeight="false" outlineLevel="0" collapsed="false">
      <c r="A156" s="28" t="n">
        <v>36959</v>
      </c>
      <c r="B156" s="16" t="n">
        <v>1250000</v>
      </c>
      <c r="C156" s="16" t="n">
        <v>4375178.69</v>
      </c>
      <c r="D156" s="16" t="n">
        <v>1247943.5</v>
      </c>
      <c r="E156" s="16"/>
      <c r="F156" s="16"/>
      <c r="G156" s="16"/>
      <c r="H156" s="16" t="n">
        <v>1663000</v>
      </c>
      <c r="I156" s="16" t="n">
        <v>0</v>
      </c>
      <c r="J156" s="16"/>
      <c r="K156" s="16" t="n">
        <v>2.83122062683105E-007</v>
      </c>
      <c r="L156" s="16" t="n">
        <v>0</v>
      </c>
      <c r="M156" s="16" t="n">
        <v>137317.57</v>
      </c>
      <c r="N156" s="16" t="n">
        <v>0</v>
      </c>
      <c r="O156" s="16" t="n">
        <v>1000000</v>
      </c>
      <c r="P156" s="16" t="n">
        <v>0</v>
      </c>
      <c r="Q156" s="16" t="n">
        <v>23513434.5</v>
      </c>
      <c r="R156" s="16" t="n">
        <v>7121810</v>
      </c>
      <c r="S156" s="16" t="n">
        <v>5644007</v>
      </c>
      <c r="T156" s="16" t="n">
        <v>20999559.86</v>
      </c>
      <c r="U156" s="16" t="n">
        <v>2560525</v>
      </c>
      <c r="V156" s="16"/>
      <c r="W156" s="16" t="n">
        <v>0</v>
      </c>
      <c r="X156" s="16" t="n">
        <v>0</v>
      </c>
      <c r="Y156" s="16" t="n">
        <v>1803840</v>
      </c>
      <c r="Z156" s="16" t="n">
        <v>2300803</v>
      </c>
      <c r="AA156" s="16" t="n">
        <v>8551988.34</v>
      </c>
      <c r="AB156" s="16" t="n">
        <v>2343750</v>
      </c>
      <c r="AC156" s="16" t="n">
        <v>16316247</v>
      </c>
      <c r="AD156" s="16" t="n">
        <v>1050000</v>
      </c>
      <c r="AE156" s="16" t="n">
        <v>80202486.48</v>
      </c>
      <c r="AF156" s="16" t="n">
        <v>1360000</v>
      </c>
      <c r="AG156" s="16" t="n">
        <v>30637565.036478</v>
      </c>
      <c r="AH156" s="16" t="n">
        <v>2816508.17241212</v>
      </c>
    </row>
    <row r="157" customFormat="false" ht="15.75" hidden="false" customHeight="false" outlineLevel="0" collapsed="false">
      <c r="A157" s="28" t="n">
        <v>36962</v>
      </c>
      <c r="B157" s="16" t="n">
        <v>1250000</v>
      </c>
      <c r="C157" s="16" t="n">
        <v>4375178.69</v>
      </c>
      <c r="D157" s="16" t="n">
        <v>1247943.5</v>
      </c>
      <c r="E157" s="16"/>
      <c r="F157" s="16"/>
      <c r="G157" s="16"/>
      <c r="H157" s="16" t="n">
        <v>1663000</v>
      </c>
      <c r="I157" s="16" t="n">
        <v>0</v>
      </c>
      <c r="J157" s="16"/>
      <c r="K157" s="16" t="n">
        <v>2.83122062683105E-007</v>
      </c>
      <c r="L157" s="16" t="n">
        <v>0</v>
      </c>
      <c r="M157" s="16" t="n">
        <v>137317.57</v>
      </c>
      <c r="N157" s="16" t="n">
        <v>0</v>
      </c>
      <c r="O157" s="16" t="n">
        <v>1000000</v>
      </c>
      <c r="P157" s="16" t="n">
        <v>0</v>
      </c>
      <c r="Q157" s="16" t="n">
        <v>23513434.5</v>
      </c>
      <c r="R157" s="16" t="n">
        <v>7121810</v>
      </c>
      <c r="S157" s="16" t="n">
        <v>5644007</v>
      </c>
      <c r="T157" s="16" t="n">
        <v>20999559.86</v>
      </c>
      <c r="U157" s="16" t="n">
        <v>2560525</v>
      </c>
      <c r="V157" s="16"/>
      <c r="W157" s="16" t="n">
        <v>0</v>
      </c>
      <c r="X157" s="16" t="n">
        <v>0</v>
      </c>
      <c r="Y157" s="16" t="n">
        <v>1803840</v>
      </c>
      <c r="Z157" s="16" t="n">
        <v>2300803</v>
      </c>
      <c r="AA157" s="16" t="n">
        <v>8551988.34</v>
      </c>
      <c r="AB157" s="16" t="n">
        <v>2343750</v>
      </c>
      <c r="AC157" s="16" t="n">
        <v>16316247</v>
      </c>
      <c r="AD157" s="16" t="n">
        <v>1050000</v>
      </c>
      <c r="AE157" s="16" t="n">
        <v>80202486.48</v>
      </c>
      <c r="AF157" s="16" t="n">
        <v>1360000</v>
      </c>
      <c r="AG157" s="16" t="n">
        <v>30637565.036478</v>
      </c>
      <c r="AH157" s="16" t="n">
        <v>2818038.90009516</v>
      </c>
    </row>
    <row r="158" customFormat="false" ht="15.75" hidden="false" customHeight="false" outlineLevel="0" collapsed="false">
      <c r="A158" s="28" t="n">
        <v>36963</v>
      </c>
      <c r="B158" s="16" t="n">
        <v>1250000</v>
      </c>
      <c r="C158" s="16" t="n">
        <v>4375178.69</v>
      </c>
      <c r="D158" s="16" t="n">
        <v>1247943.5</v>
      </c>
      <c r="E158" s="16"/>
      <c r="F158" s="16"/>
      <c r="G158" s="16"/>
      <c r="H158" s="16" t="n">
        <v>1663000</v>
      </c>
      <c r="I158" s="16" t="n">
        <v>0</v>
      </c>
      <c r="J158" s="16"/>
      <c r="K158" s="16" t="n">
        <v>2.83122062683105E-007</v>
      </c>
      <c r="L158" s="16" t="n">
        <v>0</v>
      </c>
      <c r="M158" s="16" t="n">
        <v>137317.57</v>
      </c>
      <c r="N158" s="16" t="n">
        <v>0</v>
      </c>
      <c r="O158" s="16" t="n">
        <v>1000000</v>
      </c>
      <c r="P158" s="16" t="n">
        <v>0</v>
      </c>
      <c r="Q158" s="16" t="n">
        <v>23513434.5</v>
      </c>
      <c r="R158" s="16" t="n">
        <v>7121810</v>
      </c>
      <c r="S158" s="16" t="n">
        <v>5644007</v>
      </c>
      <c r="T158" s="16" t="n">
        <v>20999559.86</v>
      </c>
      <c r="U158" s="16" t="n">
        <v>2560525</v>
      </c>
      <c r="V158" s="16"/>
      <c r="W158" s="16" t="n">
        <v>0</v>
      </c>
      <c r="X158" s="16" t="n">
        <v>0</v>
      </c>
      <c r="Y158" s="16" t="n">
        <v>1803840</v>
      </c>
      <c r="Z158" s="16" t="n">
        <v>2300803</v>
      </c>
      <c r="AA158" s="16" t="n">
        <v>8551988.34</v>
      </c>
      <c r="AB158" s="16" t="n">
        <v>2343750</v>
      </c>
      <c r="AC158" s="16" t="n">
        <v>16316247</v>
      </c>
      <c r="AD158" s="16" t="n">
        <v>1050000</v>
      </c>
      <c r="AE158" s="16" t="n">
        <v>80202486.48</v>
      </c>
      <c r="AF158" s="16" t="n">
        <v>1360000</v>
      </c>
      <c r="AG158" s="16" t="n">
        <v>30637565.036478</v>
      </c>
      <c r="AH158" s="16" t="n">
        <v>2804977.65662112</v>
      </c>
    </row>
    <row r="159" customFormat="false" ht="15.75" hidden="false" customHeight="false" outlineLevel="0" collapsed="false">
      <c r="A159" s="28" t="n">
        <v>36964</v>
      </c>
      <c r="B159" s="16" t="n">
        <v>1250000</v>
      </c>
      <c r="C159" s="16" t="n">
        <v>4375178.69</v>
      </c>
      <c r="D159" s="16" t="n">
        <v>1247943.5</v>
      </c>
      <c r="E159" s="16"/>
      <c r="F159" s="16"/>
      <c r="G159" s="16"/>
      <c r="H159" s="16" t="n">
        <v>1663000</v>
      </c>
      <c r="I159" s="16" t="n">
        <v>0</v>
      </c>
      <c r="J159" s="16"/>
      <c r="K159" s="16" t="n">
        <v>2.83122062683105E-007</v>
      </c>
      <c r="L159" s="16" t="n">
        <v>0</v>
      </c>
      <c r="M159" s="16" t="n">
        <v>137317.57</v>
      </c>
      <c r="N159" s="16" t="n">
        <v>0</v>
      </c>
      <c r="O159" s="16" t="n">
        <v>1000000</v>
      </c>
      <c r="P159" s="16" t="n">
        <v>0</v>
      </c>
      <c r="Q159" s="16" t="n">
        <v>23513434.5</v>
      </c>
      <c r="R159" s="16" t="n">
        <v>7121810</v>
      </c>
      <c r="S159" s="16" t="n">
        <v>5644007</v>
      </c>
      <c r="T159" s="16" t="n">
        <v>20999559.86</v>
      </c>
      <c r="U159" s="16" t="n">
        <v>2560525</v>
      </c>
      <c r="V159" s="16"/>
      <c r="W159" s="16" t="n">
        <v>0</v>
      </c>
      <c r="X159" s="16" t="n">
        <v>0</v>
      </c>
      <c r="Y159" s="16" t="n">
        <v>1803840</v>
      </c>
      <c r="Z159" s="16" t="n">
        <v>2300803</v>
      </c>
      <c r="AA159" s="16" t="n">
        <v>8551988.34</v>
      </c>
      <c r="AB159" s="16" t="n">
        <v>2343750</v>
      </c>
      <c r="AC159" s="16" t="n">
        <v>16316247</v>
      </c>
      <c r="AD159" s="16" t="n">
        <v>1050000</v>
      </c>
      <c r="AE159" s="16" t="n">
        <v>80202486.48</v>
      </c>
      <c r="AF159" s="16" t="n">
        <v>1360000</v>
      </c>
      <c r="AG159" s="16" t="n">
        <v>30637565.036478</v>
      </c>
      <c r="AH159" s="16" t="n">
        <v>2804977.65662112</v>
      </c>
    </row>
    <row r="160" customFormat="false" ht="15.75" hidden="false" customHeight="false" outlineLevel="0" collapsed="false">
      <c r="A160" s="28" t="n">
        <v>36965</v>
      </c>
      <c r="B160" s="16" t="n">
        <v>1250000</v>
      </c>
      <c r="C160" s="16" t="n">
        <v>4375178.69</v>
      </c>
      <c r="D160" s="16" t="n">
        <v>1247943.5</v>
      </c>
      <c r="E160" s="16"/>
      <c r="F160" s="16"/>
      <c r="G160" s="16"/>
      <c r="H160" s="16" t="n">
        <v>1663000</v>
      </c>
      <c r="I160" s="16" t="n">
        <v>0</v>
      </c>
      <c r="J160" s="16"/>
      <c r="K160" s="16" t="n">
        <v>2.83122062683105E-007</v>
      </c>
      <c r="L160" s="16" t="n">
        <v>0</v>
      </c>
      <c r="M160" s="16" t="n">
        <v>137317.57</v>
      </c>
      <c r="N160" s="16" t="n">
        <v>0</v>
      </c>
      <c r="O160" s="16" t="n">
        <v>1000000</v>
      </c>
      <c r="P160" s="16" t="n">
        <v>0</v>
      </c>
      <c r="Q160" s="16" t="n">
        <v>23513434.5</v>
      </c>
      <c r="R160" s="16" t="n">
        <v>7121810</v>
      </c>
      <c r="S160" s="16" t="n">
        <v>5644007</v>
      </c>
      <c r="T160" s="16" t="n">
        <v>20999559.86</v>
      </c>
      <c r="U160" s="16" t="n">
        <v>2560525</v>
      </c>
      <c r="V160" s="16"/>
      <c r="W160" s="16" t="n">
        <v>0</v>
      </c>
      <c r="X160" s="16" t="n">
        <v>0</v>
      </c>
      <c r="Y160" s="16" t="n">
        <v>1803840</v>
      </c>
      <c r="Z160" s="16" t="n">
        <v>2300803</v>
      </c>
      <c r="AA160" s="16" t="n">
        <v>8551988.34</v>
      </c>
      <c r="AB160" s="16" t="n">
        <v>2343750</v>
      </c>
      <c r="AC160" s="16" t="n">
        <v>16316247</v>
      </c>
      <c r="AD160" s="16" t="n">
        <v>1050000</v>
      </c>
      <c r="AE160" s="16" t="n">
        <v>80202486.48</v>
      </c>
      <c r="AF160" s="16" t="n">
        <v>1360000</v>
      </c>
      <c r="AG160" s="16" t="n">
        <v>30637565.036478</v>
      </c>
      <c r="AH160" s="16" t="n">
        <v>2790109.53553342</v>
      </c>
    </row>
    <row r="161" customFormat="false" ht="15.75" hidden="false" customHeight="false" outlineLevel="0" collapsed="false">
      <c r="A161" s="28" t="n">
        <v>36966</v>
      </c>
      <c r="B161" s="16" t="n">
        <v>1250000</v>
      </c>
      <c r="C161" s="16" t="n">
        <v>4375178.69</v>
      </c>
      <c r="D161" s="16" t="n">
        <v>1247943.5</v>
      </c>
      <c r="E161" s="16"/>
      <c r="F161" s="16"/>
      <c r="G161" s="16"/>
      <c r="H161" s="16" t="n">
        <v>1663000</v>
      </c>
      <c r="I161" s="16" t="n">
        <v>0</v>
      </c>
      <c r="J161" s="16"/>
      <c r="K161" s="16" t="n">
        <v>2.83122062683105E-007</v>
      </c>
      <c r="L161" s="16" t="n">
        <v>0</v>
      </c>
      <c r="M161" s="16" t="n">
        <v>137317.57</v>
      </c>
      <c r="N161" s="16" t="n">
        <v>0</v>
      </c>
      <c r="O161" s="16" t="n">
        <v>1000000</v>
      </c>
      <c r="P161" s="16" t="n">
        <v>0</v>
      </c>
      <c r="Q161" s="16" t="n">
        <v>23513434.5</v>
      </c>
      <c r="R161" s="16" t="n">
        <v>7121810</v>
      </c>
      <c r="S161" s="16" t="n">
        <v>5644007</v>
      </c>
      <c r="T161" s="16" t="n">
        <v>20999559.86</v>
      </c>
      <c r="U161" s="16" t="n">
        <v>2560525</v>
      </c>
      <c r="V161" s="16"/>
      <c r="W161" s="16" t="n">
        <v>0</v>
      </c>
      <c r="X161" s="16" t="n">
        <v>0</v>
      </c>
      <c r="Y161" s="16" t="n">
        <v>1803840</v>
      </c>
      <c r="Z161" s="16" t="n">
        <v>2300803</v>
      </c>
      <c r="AA161" s="16" t="n">
        <v>8551988.34</v>
      </c>
      <c r="AB161" s="16" t="n">
        <v>2343750</v>
      </c>
      <c r="AC161" s="16" t="n">
        <v>16316247</v>
      </c>
      <c r="AD161" s="16" t="n">
        <v>1050000</v>
      </c>
      <c r="AE161" s="16" t="n">
        <v>80202486.48</v>
      </c>
      <c r="AF161" s="16" t="n">
        <v>1360000</v>
      </c>
      <c r="AG161" s="16" t="n">
        <v>30637565.036478</v>
      </c>
      <c r="AH161" s="16" t="n">
        <v>2790168.16665034</v>
      </c>
    </row>
    <row r="162" customFormat="false" ht="15.75" hidden="false" customHeight="false" outlineLevel="0" collapsed="false">
      <c r="A162" s="28" t="n">
        <v>36969</v>
      </c>
      <c r="B162" s="16" t="n">
        <v>1250000</v>
      </c>
      <c r="C162" s="16" t="n">
        <v>4375178.69</v>
      </c>
      <c r="D162" s="16" t="n">
        <v>1247943.5</v>
      </c>
      <c r="E162" s="16"/>
      <c r="F162" s="16"/>
      <c r="G162" s="16"/>
      <c r="H162" s="16" t="n">
        <v>1663000</v>
      </c>
      <c r="I162" s="16" t="n">
        <v>0</v>
      </c>
      <c r="J162" s="16"/>
      <c r="K162" s="16" t="n">
        <v>2.83122062683105E-007</v>
      </c>
      <c r="L162" s="16" t="n">
        <v>0</v>
      </c>
      <c r="M162" s="16" t="n">
        <v>137317.57</v>
      </c>
      <c r="N162" s="16" t="n">
        <v>0</v>
      </c>
      <c r="O162" s="16" t="n">
        <v>1000000</v>
      </c>
      <c r="P162" s="16" t="n">
        <v>0</v>
      </c>
      <c r="Q162" s="16" t="n">
        <v>23513434.5</v>
      </c>
      <c r="R162" s="16" t="n">
        <v>7121810</v>
      </c>
      <c r="S162" s="16" t="n">
        <v>5644007</v>
      </c>
      <c r="T162" s="16" t="n">
        <v>20999559.86</v>
      </c>
      <c r="U162" s="16" t="n">
        <v>2560525</v>
      </c>
      <c r="V162" s="16"/>
      <c r="W162" s="16" t="n">
        <v>0</v>
      </c>
      <c r="X162" s="16" t="n">
        <v>0</v>
      </c>
      <c r="Y162" s="16" t="n">
        <v>1803840</v>
      </c>
      <c r="Z162" s="16" t="n">
        <v>2300803</v>
      </c>
      <c r="AA162" s="16" t="n">
        <v>8551988.34</v>
      </c>
      <c r="AB162" s="16" t="n">
        <v>2343750</v>
      </c>
      <c r="AC162" s="16" t="n">
        <v>16316247</v>
      </c>
      <c r="AD162" s="16" t="n">
        <v>1050000</v>
      </c>
      <c r="AE162" s="16" t="n">
        <v>80202486.48</v>
      </c>
      <c r="AF162" s="16" t="n">
        <v>1360000</v>
      </c>
      <c r="AG162" s="16" t="n">
        <v>30637565.036478</v>
      </c>
      <c r="AH162" s="16" t="n">
        <v>2792306.0584413</v>
      </c>
    </row>
    <row r="163" customFormat="false" ht="15.75" hidden="false" customHeight="false" outlineLevel="0" collapsed="false">
      <c r="A163" s="28" t="n">
        <v>36970</v>
      </c>
      <c r="B163" s="16" t="n">
        <v>1250000</v>
      </c>
      <c r="C163" s="16" t="n">
        <v>4375178.69</v>
      </c>
      <c r="D163" s="16" t="n">
        <v>1247943.5</v>
      </c>
      <c r="E163" s="16"/>
      <c r="F163" s="16"/>
      <c r="G163" s="16"/>
      <c r="H163" s="16" t="n">
        <v>1663000</v>
      </c>
      <c r="I163" s="16" t="n">
        <v>0</v>
      </c>
      <c r="J163" s="16"/>
      <c r="K163" s="16" t="n">
        <v>2.83122062683105E-007</v>
      </c>
      <c r="L163" s="16" t="n">
        <v>0</v>
      </c>
      <c r="M163" s="16" t="n">
        <v>137317.57</v>
      </c>
      <c r="N163" s="16" t="n">
        <v>0</v>
      </c>
      <c r="O163" s="16" t="n">
        <v>1000000</v>
      </c>
      <c r="P163" s="16" t="n">
        <v>0</v>
      </c>
      <c r="Q163" s="16" t="n">
        <v>23513434.5</v>
      </c>
      <c r="R163" s="16" t="n">
        <v>7121810</v>
      </c>
      <c r="S163" s="16" t="n">
        <v>5644007</v>
      </c>
      <c r="T163" s="16" t="n">
        <v>20999559.86</v>
      </c>
      <c r="U163" s="16" t="n">
        <v>2560525</v>
      </c>
      <c r="V163" s="16"/>
      <c r="W163" s="16" t="n">
        <v>0</v>
      </c>
      <c r="X163" s="16" t="n">
        <v>0</v>
      </c>
      <c r="Y163" s="16" t="n">
        <v>1803840</v>
      </c>
      <c r="Z163" s="16" t="n">
        <v>2300803</v>
      </c>
      <c r="AA163" s="16" t="n">
        <v>8551988.34</v>
      </c>
      <c r="AB163" s="16" t="n">
        <v>2343750</v>
      </c>
      <c r="AC163" s="16" t="n">
        <v>16316247</v>
      </c>
      <c r="AD163" s="16" t="n">
        <v>1050000</v>
      </c>
      <c r="AE163" s="16" t="n">
        <v>80202486.48</v>
      </c>
      <c r="AF163" s="16" t="n">
        <v>1360000</v>
      </c>
      <c r="AG163" s="16" t="n">
        <v>30637565.036478</v>
      </c>
      <c r="AH163" s="16" t="n">
        <v>2792329.2239445</v>
      </c>
    </row>
    <row r="164" customFormat="false" ht="15.75" hidden="false" customHeight="false" outlineLevel="0" collapsed="false">
      <c r="A164" s="28" t="n">
        <v>36971</v>
      </c>
      <c r="B164" s="16" t="n">
        <v>1250000</v>
      </c>
      <c r="C164" s="16" t="n">
        <v>4375178.69</v>
      </c>
      <c r="D164" s="16" t="n">
        <v>1247943.5</v>
      </c>
      <c r="E164" s="16"/>
      <c r="F164" s="16"/>
      <c r="G164" s="16"/>
      <c r="H164" s="16" t="n">
        <v>1663000</v>
      </c>
      <c r="I164" s="16" t="n">
        <v>0</v>
      </c>
      <c r="J164" s="16"/>
      <c r="K164" s="16" t="n">
        <v>2.83122062683105E-007</v>
      </c>
      <c r="L164" s="16" t="n">
        <v>0</v>
      </c>
      <c r="M164" s="16" t="n">
        <v>137317.57</v>
      </c>
      <c r="N164" s="16" t="n">
        <v>0</v>
      </c>
      <c r="O164" s="16" t="n">
        <v>1000000</v>
      </c>
      <c r="P164" s="16" t="n">
        <v>0</v>
      </c>
      <c r="Q164" s="16" t="n">
        <v>23513434.5</v>
      </c>
      <c r="R164" s="16" t="n">
        <v>7121810</v>
      </c>
      <c r="S164" s="16" t="n">
        <v>5644007</v>
      </c>
      <c r="T164" s="16" t="n">
        <v>20999559.86</v>
      </c>
      <c r="U164" s="16" t="n">
        <v>2560525</v>
      </c>
      <c r="V164" s="16"/>
      <c r="W164" s="16" t="n">
        <v>0</v>
      </c>
      <c r="X164" s="16" t="n">
        <v>0</v>
      </c>
      <c r="Y164" s="16" t="n">
        <v>1803840</v>
      </c>
      <c r="Z164" s="16" t="n">
        <v>2300803</v>
      </c>
      <c r="AA164" s="16" t="n">
        <v>8551988.34</v>
      </c>
      <c r="AB164" s="16" t="n">
        <v>2343750</v>
      </c>
      <c r="AC164" s="16" t="n">
        <v>16316247</v>
      </c>
      <c r="AD164" s="16" t="n">
        <v>1050000</v>
      </c>
      <c r="AE164" s="16" t="n">
        <v>80202486.48</v>
      </c>
      <c r="AF164" s="16" t="n">
        <v>1360000</v>
      </c>
      <c r="AG164" s="16" t="n">
        <v>30637565.036478</v>
      </c>
      <c r="AH164" s="16" t="n">
        <v>2791755.43247012</v>
      </c>
    </row>
    <row r="165" customFormat="false" ht="15.75" hidden="false" customHeight="false" outlineLevel="0" collapsed="false">
      <c r="A165" s="28" t="n">
        <v>36972</v>
      </c>
      <c r="B165" s="16" t="n">
        <v>1250000</v>
      </c>
      <c r="C165" s="16" t="n">
        <v>4375178.69</v>
      </c>
      <c r="D165" s="16" t="n">
        <v>1247943.5</v>
      </c>
      <c r="E165" s="16"/>
      <c r="F165" s="16"/>
      <c r="G165" s="16"/>
      <c r="H165" s="16" t="n">
        <v>1663000</v>
      </c>
      <c r="I165" s="16" t="n">
        <v>0</v>
      </c>
      <c r="J165" s="16"/>
      <c r="K165" s="16" t="n">
        <v>2.83122062683105E-007</v>
      </c>
      <c r="L165" s="16" t="n">
        <v>0</v>
      </c>
      <c r="M165" s="16" t="n">
        <v>137317.57</v>
      </c>
      <c r="N165" s="16" t="n">
        <v>0</v>
      </c>
      <c r="O165" s="16" t="n">
        <v>1000000</v>
      </c>
      <c r="P165" s="16" t="n">
        <v>0</v>
      </c>
      <c r="Q165" s="16" t="n">
        <v>23513434.5</v>
      </c>
      <c r="R165" s="16" t="n">
        <v>7121810</v>
      </c>
      <c r="S165" s="16" t="n">
        <v>5644007</v>
      </c>
      <c r="T165" s="16" t="n">
        <v>20999559.86</v>
      </c>
      <c r="U165" s="16" t="n">
        <v>2560525</v>
      </c>
      <c r="V165" s="16"/>
      <c r="W165" s="16" t="n">
        <v>0</v>
      </c>
      <c r="X165" s="16" t="n">
        <v>0</v>
      </c>
      <c r="Y165" s="16" t="n">
        <v>1803840</v>
      </c>
      <c r="Z165" s="16" t="n">
        <v>2300803</v>
      </c>
      <c r="AA165" s="16" t="n">
        <v>8551988.34</v>
      </c>
      <c r="AB165" s="16" t="n">
        <v>2343750</v>
      </c>
      <c r="AC165" s="16" t="n">
        <v>16316247</v>
      </c>
      <c r="AD165" s="16" t="n">
        <v>1050000</v>
      </c>
      <c r="AE165" s="16" t="n">
        <v>80202486.48</v>
      </c>
      <c r="AF165" s="16" t="n">
        <v>1360000</v>
      </c>
      <c r="AG165" s="16" t="n">
        <v>30637565.036478</v>
      </c>
      <c r="AH165" s="16" t="n">
        <v>2790016.71774922</v>
      </c>
    </row>
    <row r="166" customFormat="false" ht="15.75" hidden="false" customHeight="false" outlineLevel="0" collapsed="false">
      <c r="A166" s="28" t="n">
        <v>36973</v>
      </c>
      <c r="B166" s="16" t="n">
        <v>1250000</v>
      </c>
      <c r="C166" s="16" t="n">
        <v>4375178.69</v>
      </c>
      <c r="D166" s="16" t="n">
        <v>1247943.5</v>
      </c>
      <c r="E166" s="16"/>
      <c r="F166" s="16"/>
      <c r="G166" s="16"/>
      <c r="H166" s="16" t="n">
        <v>1663000</v>
      </c>
      <c r="I166" s="16" t="n">
        <v>0</v>
      </c>
      <c r="J166" s="16"/>
      <c r="K166" s="16" t="n">
        <v>2.83122062683105E-007</v>
      </c>
      <c r="L166" s="16" t="n">
        <v>0</v>
      </c>
      <c r="M166" s="16" t="n">
        <v>137317.57</v>
      </c>
      <c r="N166" s="16" t="n">
        <v>0</v>
      </c>
      <c r="O166" s="16" t="n">
        <v>1000000</v>
      </c>
      <c r="P166" s="16" t="n">
        <v>0</v>
      </c>
      <c r="Q166" s="16" t="n">
        <v>23513434.5</v>
      </c>
      <c r="R166" s="16" t="n">
        <v>7121810</v>
      </c>
      <c r="S166" s="16" t="n">
        <v>5644007</v>
      </c>
      <c r="T166" s="16" t="n">
        <v>20999559.86</v>
      </c>
      <c r="U166" s="16" t="n">
        <v>2560525</v>
      </c>
      <c r="V166" s="16"/>
      <c r="W166" s="16" t="n">
        <v>0</v>
      </c>
      <c r="X166" s="16" t="n">
        <v>0</v>
      </c>
      <c r="Y166" s="16" t="n">
        <v>1803840</v>
      </c>
      <c r="Z166" s="16" t="n">
        <v>2300803</v>
      </c>
      <c r="AA166" s="16" t="n">
        <v>8551988.34</v>
      </c>
      <c r="AB166" s="16" t="n">
        <v>2343750</v>
      </c>
      <c r="AC166" s="16" t="n">
        <v>16316247</v>
      </c>
      <c r="AD166" s="16" t="n">
        <v>1050000</v>
      </c>
      <c r="AE166" s="16" t="n">
        <v>80202486.48</v>
      </c>
      <c r="AF166" s="16" t="n">
        <v>1360000</v>
      </c>
      <c r="AG166" s="16" t="n">
        <v>30637565.036478</v>
      </c>
      <c r="AH166" s="16" t="n">
        <v>2791028.28724978</v>
      </c>
    </row>
    <row r="167" customFormat="false" ht="15.75" hidden="false" customHeight="false" outlineLevel="0" collapsed="false">
      <c r="A167" s="28" t="n">
        <v>36976</v>
      </c>
      <c r="B167" s="16" t="n">
        <v>1250000</v>
      </c>
      <c r="C167" s="16" t="n">
        <v>4375178.69</v>
      </c>
      <c r="D167" s="16" t="n">
        <v>1247943.5</v>
      </c>
      <c r="E167" s="16"/>
      <c r="F167" s="16"/>
      <c r="G167" s="16"/>
      <c r="H167" s="16" t="n">
        <v>1663000</v>
      </c>
      <c r="I167" s="16" t="n">
        <v>0</v>
      </c>
      <c r="J167" s="16"/>
      <c r="K167" s="16" t="n">
        <v>2.83122062683105E-007</v>
      </c>
      <c r="L167" s="16" t="n">
        <v>0</v>
      </c>
      <c r="M167" s="16" t="n">
        <v>137317.57</v>
      </c>
      <c r="N167" s="16" t="n">
        <v>0</v>
      </c>
      <c r="O167" s="16" t="n">
        <v>1000000</v>
      </c>
      <c r="P167" s="16" t="n">
        <v>0</v>
      </c>
      <c r="Q167" s="16" t="n">
        <v>23513434.5</v>
      </c>
      <c r="R167" s="16" t="n">
        <v>7121810</v>
      </c>
      <c r="S167" s="16" t="n">
        <v>5644007</v>
      </c>
      <c r="T167" s="16" t="n">
        <v>20999559.86</v>
      </c>
      <c r="U167" s="16" t="n">
        <v>2560525</v>
      </c>
      <c r="V167" s="16"/>
      <c r="W167" s="16" t="n">
        <v>0</v>
      </c>
      <c r="X167" s="16" t="n">
        <v>0</v>
      </c>
      <c r="Y167" s="16" t="n">
        <v>1803840</v>
      </c>
      <c r="Z167" s="16" t="n">
        <v>2300803</v>
      </c>
      <c r="AA167" s="16" t="n">
        <v>8551988.34</v>
      </c>
      <c r="AB167" s="16" t="n">
        <v>2343750</v>
      </c>
      <c r="AC167" s="16" t="n">
        <v>16316247</v>
      </c>
      <c r="AD167" s="16" t="n">
        <v>1050000</v>
      </c>
      <c r="AE167" s="16" t="n">
        <v>80202486.48</v>
      </c>
      <c r="AF167" s="16" t="n">
        <v>1360000</v>
      </c>
      <c r="AG167" s="16" t="n">
        <v>30637565.036478</v>
      </c>
      <c r="AH167" s="16" t="n">
        <v>2786540.97430297</v>
      </c>
    </row>
    <row r="168" customFormat="false" ht="15.75" hidden="false" customHeight="false" outlineLevel="0" collapsed="false">
      <c r="A168" s="28" t="n">
        <v>36977</v>
      </c>
      <c r="B168" s="16" t="n">
        <v>1250000</v>
      </c>
      <c r="C168" s="16" t="n">
        <v>4375178.69</v>
      </c>
      <c r="D168" s="16" t="n">
        <v>1247943.5</v>
      </c>
      <c r="E168" s="16"/>
      <c r="F168" s="16"/>
      <c r="G168" s="16"/>
      <c r="H168" s="16" t="n">
        <v>1663000</v>
      </c>
      <c r="I168" s="16" t="n">
        <v>0</v>
      </c>
      <c r="J168" s="16"/>
      <c r="K168" s="16" t="n">
        <v>2.83122062683105E-007</v>
      </c>
      <c r="L168" s="16" t="n">
        <v>0</v>
      </c>
      <c r="M168" s="16" t="n">
        <v>137317.57</v>
      </c>
      <c r="N168" s="16" t="n">
        <v>0</v>
      </c>
      <c r="O168" s="16" t="n">
        <v>1000000</v>
      </c>
      <c r="P168" s="16" t="n">
        <v>0</v>
      </c>
      <c r="Q168" s="16" t="n">
        <v>23513434.5</v>
      </c>
      <c r="R168" s="16" t="n">
        <v>7121810</v>
      </c>
      <c r="S168" s="16" t="n">
        <v>5644007</v>
      </c>
      <c r="T168" s="16" t="n">
        <v>20999559.86</v>
      </c>
      <c r="U168" s="16" t="n">
        <v>2560525</v>
      </c>
      <c r="V168" s="16"/>
      <c r="W168" s="16" t="n">
        <v>0</v>
      </c>
      <c r="X168" s="16" t="n">
        <v>0</v>
      </c>
      <c r="Y168" s="16" t="n">
        <v>1803840</v>
      </c>
      <c r="Z168" s="16" t="n">
        <v>2300803</v>
      </c>
      <c r="AA168" s="16" t="n">
        <v>8551988.34</v>
      </c>
      <c r="AB168" s="16" t="n">
        <v>2343750</v>
      </c>
      <c r="AC168" s="16" t="n">
        <v>16316247</v>
      </c>
      <c r="AD168" s="16" t="n">
        <v>1050000</v>
      </c>
      <c r="AE168" s="16" t="n">
        <v>80202486.48</v>
      </c>
      <c r="AF168" s="16" t="n">
        <v>1360000</v>
      </c>
      <c r="AG168" s="16" t="n">
        <v>30637565.036478</v>
      </c>
      <c r="AH168" s="16" t="n">
        <v>2766107.36214697</v>
      </c>
    </row>
    <row r="169" customFormat="false" ht="15.75" hidden="false" customHeight="false" outlineLevel="0" collapsed="false">
      <c r="A169" s="28" t="n">
        <v>36978</v>
      </c>
      <c r="B169" s="16" t="n">
        <v>1250000</v>
      </c>
      <c r="C169" s="16" t="n">
        <v>4375178.69</v>
      </c>
      <c r="D169" s="16" t="n">
        <v>1247943.5</v>
      </c>
      <c r="E169" s="16"/>
      <c r="F169" s="16"/>
      <c r="G169" s="16"/>
      <c r="H169" s="16" t="n">
        <v>1663000</v>
      </c>
      <c r="I169" s="16" t="n">
        <v>0</v>
      </c>
      <c r="J169" s="16"/>
      <c r="K169" s="16" t="n">
        <v>2.83122062683105E-007</v>
      </c>
      <c r="L169" s="16" t="n">
        <v>0</v>
      </c>
      <c r="M169" s="16" t="n">
        <v>137317.57</v>
      </c>
      <c r="N169" s="16" t="n">
        <v>0</v>
      </c>
      <c r="O169" s="16" t="n">
        <v>1000000</v>
      </c>
      <c r="P169" s="16" t="n">
        <v>0</v>
      </c>
      <c r="Q169" s="16" t="n">
        <v>23513434.5</v>
      </c>
      <c r="R169" s="16" t="n">
        <v>7121810</v>
      </c>
      <c r="S169" s="16" t="n">
        <v>5644007</v>
      </c>
      <c r="T169" s="16" t="n">
        <v>20999559.86</v>
      </c>
      <c r="U169" s="16" t="n">
        <v>2560525</v>
      </c>
      <c r="V169" s="16"/>
      <c r="W169" s="16" t="n">
        <v>0</v>
      </c>
      <c r="X169" s="16" t="n">
        <v>0</v>
      </c>
      <c r="Y169" s="16" t="n">
        <v>1803840</v>
      </c>
      <c r="Z169" s="16" t="n">
        <v>2300803</v>
      </c>
      <c r="AA169" s="16" t="n">
        <v>8551988.34</v>
      </c>
      <c r="AB169" s="16" t="n">
        <v>2343750</v>
      </c>
      <c r="AC169" s="16" t="n">
        <v>16316247</v>
      </c>
      <c r="AD169" s="16" t="n">
        <v>1050000</v>
      </c>
      <c r="AE169" s="16" t="n">
        <v>80202486.48</v>
      </c>
      <c r="AF169" s="16" t="n">
        <v>1360000</v>
      </c>
      <c r="AG169" s="16" t="n">
        <v>30637565.036478</v>
      </c>
      <c r="AH169" s="16" t="n">
        <v>2772569.17148526</v>
      </c>
    </row>
    <row r="170" customFormat="false" ht="15.75" hidden="false" customHeight="false" outlineLevel="0" collapsed="false">
      <c r="A170" s="28" t="n">
        <v>36979</v>
      </c>
      <c r="B170" s="16" t="n">
        <v>1250000</v>
      </c>
      <c r="C170" s="16" t="n">
        <v>4375178.69</v>
      </c>
      <c r="D170" s="16" t="n">
        <v>770244.5</v>
      </c>
      <c r="E170" s="16"/>
      <c r="F170" s="16"/>
      <c r="G170" s="16"/>
      <c r="H170" s="16" t="n">
        <v>0</v>
      </c>
      <c r="I170" s="16" t="n">
        <v>0</v>
      </c>
      <c r="J170" s="16"/>
      <c r="K170" s="16" t="n">
        <v>2.83122062683105E-007</v>
      </c>
      <c r="L170" s="16" t="n">
        <v>0</v>
      </c>
      <c r="M170" s="16" t="n">
        <v>137317.57</v>
      </c>
      <c r="N170" s="16" t="n">
        <v>0</v>
      </c>
      <c r="O170" s="16" t="n">
        <v>1000000</v>
      </c>
      <c r="P170" s="16" t="n">
        <v>0</v>
      </c>
      <c r="Q170" s="16" t="n">
        <v>23513434.5</v>
      </c>
      <c r="R170" s="16" t="n">
        <v>7121810</v>
      </c>
      <c r="S170" s="16" t="n">
        <v>5644007</v>
      </c>
      <c r="T170" s="16" t="n">
        <v>20887594.86</v>
      </c>
      <c r="U170" s="16" t="n">
        <v>2560525</v>
      </c>
      <c r="V170" s="16"/>
      <c r="W170" s="16" t="n">
        <v>0</v>
      </c>
      <c r="X170" s="16" t="n">
        <v>0</v>
      </c>
      <c r="Y170" s="16" t="n">
        <v>1803840</v>
      </c>
      <c r="Z170" s="16" t="n">
        <v>2300803</v>
      </c>
      <c r="AA170" s="16" t="n">
        <v>8551988.34</v>
      </c>
      <c r="AB170" s="16" t="n">
        <v>2343750</v>
      </c>
      <c r="AC170" s="16" t="n">
        <v>16316247</v>
      </c>
      <c r="AD170" s="16" t="n">
        <v>1050000</v>
      </c>
      <c r="AE170" s="16" t="n">
        <v>44836040.1</v>
      </c>
      <c r="AF170" s="16" t="n">
        <v>0</v>
      </c>
      <c r="AG170" s="16" t="n">
        <v>30637565.036478</v>
      </c>
      <c r="AH170" s="16" t="n">
        <v>2767715.71181723</v>
      </c>
    </row>
    <row r="171" customFormat="false" ht="15.75" hidden="false" customHeight="false" outlineLevel="0" collapsed="false">
      <c r="A171" s="28" t="n">
        <v>36980</v>
      </c>
      <c r="B171" s="16" t="n">
        <v>1250000</v>
      </c>
      <c r="C171" s="16" t="n">
        <v>2083768.15</v>
      </c>
      <c r="D171" s="16" t="n">
        <v>770244.5</v>
      </c>
      <c r="E171" s="16"/>
      <c r="F171" s="16"/>
      <c r="G171" s="16"/>
      <c r="H171" s="16" t="n">
        <v>0</v>
      </c>
      <c r="I171" s="16" t="n">
        <v>0</v>
      </c>
      <c r="J171" s="16"/>
      <c r="K171" s="16" t="n">
        <v>2.83122062683105E-007</v>
      </c>
      <c r="L171" s="16" t="n">
        <v>0</v>
      </c>
      <c r="M171" s="16" t="n">
        <v>137317.57</v>
      </c>
      <c r="N171" s="16" t="n">
        <v>0</v>
      </c>
      <c r="O171" s="16" t="n">
        <v>1000000</v>
      </c>
      <c r="P171" s="16" t="n">
        <v>0</v>
      </c>
      <c r="Q171" s="16" t="n">
        <v>23513434.5</v>
      </c>
      <c r="R171" s="16" t="n">
        <v>7121810</v>
      </c>
      <c r="S171" s="16" t="n">
        <v>0</v>
      </c>
      <c r="T171" s="16" t="n">
        <v>20887594.86</v>
      </c>
      <c r="U171" s="16" t="n">
        <v>2560525</v>
      </c>
      <c r="V171" s="16"/>
      <c r="W171" s="16" t="n">
        <v>0</v>
      </c>
      <c r="X171" s="16" t="n">
        <v>0</v>
      </c>
      <c r="Y171" s="16" t="n">
        <v>1803840</v>
      </c>
      <c r="Z171" s="16" t="n">
        <v>2300803</v>
      </c>
      <c r="AA171" s="16" t="n">
        <v>8821363.34</v>
      </c>
      <c r="AB171" s="16" t="n">
        <v>2343750</v>
      </c>
      <c r="AC171" s="16" t="n">
        <v>16316247</v>
      </c>
      <c r="AD171" s="16" t="n">
        <v>1050000</v>
      </c>
      <c r="AE171" s="16" t="n">
        <v>44836040.1</v>
      </c>
      <c r="AF171" s="16" t="n">
        <v>0</v>
      </c>
      <c r="AG171" s="16" t="n">
        <v>30637565.036478</v>
      </c>
      <c r="AH171" s="16" t="n">
        <v>1383070.50256006</v>
      </c>
    </row>
    <row r="172" customFormat="false" ht="15.75" hidden="false" customHeight="false" outlineLevel="0" collapsed="false">
      <c r="A172" s="28" t="n">
        <v>36981</v>
      </c>
      <c r="B172" s="16" t="n">
        <v>1250000</v>
      </c>
      <c r="C172" s="16" t="n">
        <v>2083768.15</v>
      </c>
      <c r="D172" s="16" t="n">
        <v>770244.5</v>
      </c>
      <c r="E172" s="16"/>
      <c r="F172" s="16"/>
      <c r="G172" s="16"/>
      <c r="H172" s="16" t="n">
        <v>0</v>
      </c>
      <c r="I172" s="16" t="n">
        <v>0</v>
      </c>
      <c r="J172" s="16"/>
      <c r="K172" s="16" t="n">
        <v>2.83122062683105E-007</v>
      </c>
      <c r="L172" s="16" t="n">
        <v>0</v>
      </c>
      <c r="M172" s="16" t="n">
        <v>137317.57</v>
      </c>
      <c r="N172" s="16" t="n">
        <v>0</v>
      </c>
      <c r="O172" s="16" t="n">
        <v>1000000</v>
      </c>
      <c r="P172" s="16" t="n">
        <v>0</v>
      </c>
      <c r="Q172" s="16" t="n">
        <v>23513434.5</v>
      </c>
      <c r="R172" s="16" t="n">
        <v>7121810</v>
      </c>
      <c r="S172" s="16" t="n">
        <v>0</v>
      </c>
      <c r="T172" s="16" t="n">
        <v>20887594.86</v>
      </c>
      <c r="U172" s="16" t="n">
        <v>2560525</v>
      </c>
      <c r="V172" s="16"/>
      <c r="W172" s="16" t="n">
        <v>0</v>
      </c>
      <c r="X172" s="16" t="n">
        <v>0</v>
      </c>
      <c r="Y172" s="16" t="n">
        <v>1803840</v>
      </c>
      <c r="Z172" s="16" t="n">
        <v>2300803</v>
      </c>
      <c r="AA172" s="16" t="n">
        <v>8821363.34</v>
      </c>
      <c r="AB172" s="16" t="n">
        <v>2343750</v>
      </c>
      <c r="AC172" s="16" t="n">
        <v>16316247</v>
      </c>
      <c r="AD172" s="16" t="n">
        <v>1050000</v>
      </c>
      <c r="AE172" s="16" t="n">
        <v>44836040.1</v>
      </c>
      <c r="AF172" s="16" t="n">
        <v>0</v>
      </c>
      <c r="AG172" s="16" t="n">
        <v>30637565.036478</v>
      </c>
      <c r="AH172" s="16" t="n">
        <v>1383070.50256006</v>
      </c>
    </row>
    <row r="173" customFormat="false" ht="15.75" hidden="false" customHeight="false" outlineLevel="0" collapsed="false">
      <c r="A173" s="28" t="n">
        <v>36983</v>
      </c>
      <c r="B173" s="16" t="n">
        <v>1250000</v>
      </c>
      <c r="C173" s="16" t="n">
        <v>2083768.15</v>
      </c>
      <c r="D173" s="16" t="n">
        <v>770244.5</v>
      </c>
      <c r="E173" s="16"/>
      <c r="F173" s="16"/>
      <c r="G173" s="16"/>
      <c r="H173" s="16" t="n">
        <v>0</v>
      </c>
      <c r="I173" s="16" t="n">
        <v>0</v>
      </c>
      <c r="J173" s="16"/>
      <c r="K173" s="16" t="n">
        <v>2.83122062683105E-007</v>
      </c>
      <c r="L173" s="16" t="n">
        <v>0</v>
      </c>
      <c r="M173" s="16" t="n">
        <v>137317.57</v>
      </c>
      <c r="N173" s="16" t="n">
        <v>0</v>
      </c>
      <c r="O173" s="16" t="n">
        <v>1000000</v>
      </c>
      <c r="P173" s="16" t="n">
        <v>0</v>
      </c>
      <c r="Q173" s="16" t="n">
        <v>23513434.5</v>
      </c>
      <c r="R173" s="16" t="n">
        <v>7121810</v>
      </c>
      <c r="S173" s="16" t="n">
        <v>5644007</v>
      </c>
      <c r="T173" s="16" t="n">
        <v>20887594.86</v>
      </c>
      <c r="U173" s="16" t="n">
        <v>2560525</v>
      </c>
      <c r="V173" s="16"/>
      <c r="W173" s="16" t="n">
        <v>0</v>
      </c>
      <c r="X173" s="16" t="n">
        <v>0</v>
      </c>
      <c r="Y173" s="16" t="n">
        <v>1803840</v>
      </c>
      <c r="Z173" s="16" t="n">
        <v>2300803</v>
      </c>
      <c r="AA173" s="16" t="n">
        <v>8821363.34</v>
      </c>
      <c r="AB173" s="16" t="n">
        <v>2343750</v>
      </c>
      <c r="AC173" s="16" t="n">
        <v>16316247</v>
      </c>
      <c r="AD173" s="16" t="n">
        <v>1050000</v>
      </c>
      <c r="AE173" s="16" t="n">
        <v>44836040.1</v>
      </c>
      <c r="AF173" s="16" t="n">
        <v>0</v>
      </c>
      <c r="AG173" s="16" t="n">
        <v>30637565.036478</v>
      </c>
      <c r="AH173" s="16" t="n">
        <v>1384137.92238628</v>
      </c>
    </row>
    <row r="174" customFormat="false" ht="15.75" hidden="false" customHeight="false" outlineLevel="0" collapsed="false">
      <c r="A174" s="28" t="n">
        <v>36984</v>
      </c>
      <c r="B174" s="16" t="n">
        <v>1250000</v>
      </c>
      <c r="C174" s="16" t="n">
        <v>2083768.15</v>
      </c>
      <c r="D174" s="16" t="n">
        <v>770244.5</v>
      </c>
      <c r="E174" s="16"/>
      <c r="F174" s="16"/>
      <c r="G174" s="16"/>
      <c r="H174" s="16" t="n">
        <v>0</v>
      </c>
      <c r="I174" s="16" t="n">
        <v>0</v>
      </c>
      <c r="J174" s="16"/>
      <c r="K174" s="16" t="n">
        <v>2.83122062683105E-007</v>
      </c>
      <c r="L174" s="16" t="n">
        <v>0</v>
      </c>
      <c r="M174" s="16" t="n">
        <v>137317.57</v>
      </c>
      <c r="N174" s="16" t="n">
        <v>0</v>
      </c>
      <c r="O174" s="16" t="n">
        <v>1000000</v>
      </c>
      <c r="P174" s="16" t="n">
        <v>0</v>
      </c>
      <c r="Q174" s="16" t="n">
        <v>23513434.5</v>
      </c>
      <c r="R174" s="16" t="n">
        <v>7121810</v>
      </c>
      <c r="S174" s="16" t="n">
        <v>5644007</v>
      </c>
      <c r="T174" s="16" t="n">
        <v>20887594.86</v>
      </c>
      <c r="U174" s="16" t="n">
        <v>2560525</v>
      </c>
      <c r="V174" s="16"/>
      <c r="W174" s="16" t="n">
        <v>0</v>
      </c>
      <c r="X174" s="16" t="n">
        <v>0</v>
      </c>
      <c r="Y174" s="16" t="n">
        <v>1803840</v>
      </c>
      <c r="Z174" s="16" t="n">
        <v>2300803</v>
      </c>
      <c r="AA174" s="16" t="n">
        <v>8821363.34</v>
      </c>
      <c r="AB174" s="16" t="n">
        <v>2343750</v>
      </c>
      <c r="AC174" s="16" t="n">
        <v>16316247</v>
      </c>
      <c r="AD174" s="16" t="n">
        <v>1050000</v>
      </c>
      <c r="AE174" s="16" t="n">
        <v>44836040.1</v>
      </c>
      <c r="AF174" s="16" t="n">
        <v>0</v>
      </c>
      <c r="AG174" s="16" t="n">
        <v>30637565.036478</v>
      </c>
      <c r="AH174" s="16" t="n">
        <v>1384137.92238628</v>
      </c>
    </row>
    <row r="175" customFormat="false" ht="15.75" hidden="false" customHeight="false" outlineLevel="0" collapsed="false">
      <c r="A175" s="28" t="n">
        <v>36985</v>
      </c>
      <c r="B175" s="16" t="n">
        <v>1250000</v>
      </c>
      <c r="C175" s="16" t="n">
        <v>2083768.15</v>
      </c>
      <c r="D175" s="16" t="n">
        <v>770244.5</v>
      </c>
      <c r="E175" s="16"/>
      <c r="F175" s="16"/>
      <c r="G175" s="16"/>
      <c r="H175" s="16" t="n">
        <v>0</v>
      </c>
      <c r="I175" s="16" t="n">
        <v>0</v>
      </c>
      <c r="J175" s="16"/>
      <c r="K175" s="16" t="n">
        <v>2.83122062683105E-007</v>
      </c>
      <c r="L175" s="16" t="n">
        <v>0</v>
      </c>
      <c r="M175" s="16" t="n">
        <v>137317.57</v>
      </c>
      <c r="N175" s="16" t="n">
        <v>0</v>
      </c>
      <c r="O175" s="16" t="n">
        <v>1000000</v>
      </c>
      <c r="P175" s="16" t="n">
        <v>0</v>
      </c>
      <c r="Q175" s="16" t="n">
        <v>23513434.5</v>
      </c>
      <c r="R175" s="16" t="n">
        <v>7121810</v>
      </c>
      <c r="S175" s="16" t="n">
        <v>5644007</v>
      </c>
      <c r="T175" s="16" t="n">
        <v>20887594.86</v>
      </c>
      <c r="U175" s="16" t="n">
        <v>2560525</v>
      </c>
      <c r="V175" s="16"/>
      <c r="W175" s="16" t="n">
        <v>0</v>
      </c>
      <c r="X175" s="16" t="n">
        <v>0</v>
      </c>
      <c r="Y175" s="16" t="n">
        <v>1803840</v>
      </c>
      <c r="Z175" s="16" t="n">
        <v>2300803</v>
      </c>
      <c r="AA175" s="16" t="n">
        <v>8821363.34</v>
      </c>
      <c r="AB175" s="16" t="n">
        <v>2343750</v>
      </c>
      <c r="AC175" s="16" t="n">
        <v>16316247</v>
      </c>
      <c r="AD175" s="16" t="n">
        <v>1050000</v>
      </c>
      <c r="AE175" s="16" t="n">
        <v>44836040.1</v>
      </c>
      <c r="AF175" s="16" t="n">
        <v>0</v>
      </c>
      <c r="AG175" s="16" t="n">
        <v>30637565.036478</v>
      </c>
      <c r="AH175" s="16" t="n">
        <v>1374896.51344758</v>
      </c>
    </row>
    <row r="176" customFormat="false" ht="15.75" hidden="false" customHeight="false" outlineLevel="0" collapsed="false">
      <c r="A176" s="28" t="n">
        <v>36986</v>
      </c>
      <c r="B176" s="16" t="n">
        <v>1250000</v>
      </c>
      <c r="C176" s="16" t="n">
        <v>2083768.15</v>
      </c>
      <c r="D176" s="16" t="n">
        <v>770244.5</v>
      </c>
      <c r="E176" s="16"/>
      <c r="F176" s="16"/>
      <c r="G176" s="16"/>
      <c r="H176" s="16" t="n">
        <v>0</v>
      </c>
      <c r="I176" s="16" t="n">
        <v>0</v>
      </c>
      <c r="J176" s="16"/>
      <c r="K176" s="16" t="n">
        <v>2.83122062683105E-007</v>
      </c>
      <c r="L176" s="16" t="n">
        <v>0</v>
      </c>
      <c r="M176" s="16" t="n">
        <v>137317.57</v>
      </c>
      <c r="N176" s="16" t="n">
        <v>0</v>
      </c>
      <c r="O176" s="16" t="n">
        <v>1000000</v>
      </c>
      <c r="P176" s="16" t="n">
        <v>0</v>
      </c>
      <c r="Q176" s="16" t="n">
        <v>23513434.5</v>
      </c>
      <c r="R176" s="16" t="n">
        <v>7121810</v>
      </c>
      <c r="S176" s="16" t="n">
        <v>5644007</v>
      </c>
      <c r="T176" s="16" t="n">
        <v>20887594.86</v>
      </c>
      <c r="U176" s="16" t="n">
        <v>2560525</v>
      </c>
      <c r="V176" s="16"/>
      <c r="W176" s="16" t="n">
        <v>0</v>
      </c>
      <c r="X176" s="16" t="n">
        <v>0</v>
      </c>
      <c r="Y176" s="16" t="n">
        <v>1803840</v>
      </c>
      <c r="Z176" s="16" t="n">
        <v>2300803</v>
      </c>
      <c r="AA176" s="16" t="n">
        <v>8821363.34</v>
      </c>
      <c r="AB176" s="16" t="n">
        <v>2343750</v>
      </c>
      <c r="AC176" s="16" t="n">
        <v>16316247</v>
      </c>
      <c r="AD176" s="16" t="n">
        <v>1050000</v>
      </c>
      <c r="AE176" s="16" t="n">
        <v>44836040.1</v>
      </c>
      <c r="AF176" s="16" t="n">
        <v>0</v>
      </c>
      <c r="AG176" s="16" t="n">
        <v>30637565.036478</v>
      </c>
      <c r="AH176" s="16" t="n">
        <v>1375813.634326</v>
      </c>
    </row>
    <row r="177" customFormat="false" ht="15.75" hidden="false" customHeight="false" outlineLevel="0" collapsed="false">
      <c r="A177" s="28" t="n">
        <v>36987</v>
      </c>
      <c r="B177" s="16" t="n">
        <v>1250000</v>
      </c>
      <c r="C177" s="16" t="n">
        <v>2083768.15</v>
      </c>
      <c r="D177" s="16" t="n">
        <v>770244.5</v>
      </c>
      <c r="E177" s="16"/>
      <c r="F177" s="16"/>
      <c r="G177" s="16"/>
      <c r="H177" s="16" t="n">
        <v>0</v>
      </c>
      <c r="I177" s="16" t="n">
        <v>0</v>
      </c>
      <c r="J177" s="16"/>
      <c r="K177" s="16" t="n">
        <v>2.83122062683105E-007</v>
      </c>
      <c r="L177" s="16" t="n">
        <v>0</v>
      </c>
      <c r="M177" s="16" t="n">
        <v>137317.57</v>
      </c>
      <c r="N177" s="16" t="n">
        <v>0</v>
      </c>
      <c r="O177" s="16" t="n">
        <v>1000000</v>
      </c>
      <c r="P177" s="16" t="n">
        <v>0</v>
      </c>
      <c r="Q177" s="16" t="n">
        <v>23513434.5</v>
      </c>
      <c r="R177" s="16" t="n">
        <v>7121810</v>
      </c>
      <c r="S177" s="16" t="n">
        <v>5644007</v>
      </c>
      <c r="T177" s="16" t="n">
        <v>20887594.86</v>
      </c>
      <c r="U177" s="16" t="n">
        <v>2560525</v>
      </c>
      <c r="V177" s="16"/>
      <c r="W177" s="16" t="n">
        <v>0</v>
      </c>
      <c r="X177" s="16" t="n">
        <v>0</v>
      </c>
      <c r="Y177" s="16" t="n">
        <v>1803840</v>
      </c>
      <c r="Z177" s="16" t="n">
        <v>2300803</v>
      </c>
      <c r="AA177" s="16" t="n">
        <v>8821363.34</v>
      </c>
      <c r="AB177" s="16" t="n">
        <v>2343750</v>
      </c>
      <c r="AC177" s="16" t="n">
        <v>16316247</v>
      </c>
      <c r="AD177" s="16" t="n">
        <v>1050000</v>
      </c>
      <c r="AE177" s="16" t="n">
        <v>44836040.1</v>
      </c>
      <c r="AF177" s="16" t="n">
        <v>0</v>
      </c>
      <c r="AG177" s="16" t="n">
        <v>30637565.036478</v>
      </c>
      <c r="AH177" s="16" t="n">
        <v>1380417.02363719</v>
      </c>
    </row>
    <row r="178" customFormat="false" ht="15.75" hidden="false" customHeight="false" outlineLevel="0" collapsed="false">
      <c r="A178" s="28" t="n">
        <v>36990</v>
      </c>
      <c r="B178" s="16" t="n">
        <v>1250000</v>
      </c>
      <c r="C178" s="16" t="n">
        <v>2083768.15</v>
      </c>
      <c r="D178" s="16" t="n">
        <v>770244.5</v>
      </c>
      <c r="E178" s="16"/>
      <c r="F178" s="16"/>
      <c r="G178" s="16"/>
      <c r="H178" s="16" t="n">
        <v>0</v>
      </c>
      <c r="I178" s="16" t="n">
        <v>0</v>
      </c>
      <c r="J178" s="16"/>
      <c r="K178" s="16" t="n">
        <v>2.83122062683105E-007</v>
      </c>
      <c r="L178" s="16" t="n">
        <v>0</v>
      </c>
      <c r="M178" s="16" t="n">
        <v>137317.57</v>
      </c>
      <c r="N178" s="16" t="n">
        <v>0</v>
      </c>
      <c r="O178" s="16" t="n">
        <v>1000000</v>
      </c>
      <c r="P178" s="16" t="n">
        <v>0</v>
      </c>
      <c r="Q178" s="16" t="n">
        <v>23513434.5</v>
      </c>
      <c r="R178" s="16" t="n">
        <v>7121810</v>
      </c>
      <c r="S178" s="16" t="n">
        <v>5644007</v>
      </c>
      <c r="T178" s="16" t="n">
        <v>20887594.86</v>
      </c>
      <c r="U178" s="16" t="n">
        <v>2560525</v>
      </c>
      <c r="V178" s="16"/>
      <c r="W178" s="16" t="n">
        <v>0</v>
      </c>
      <c r="X178" s="16" t="n">
        <v>0</v>
      </c>
      <c r="Y178" s="16" t="n">
        <v>1803840</v>
      </c>
      <c r="Z178" s="16" t="n">
        <v>2300803</v>
      </c>
      <c r="AA178" s="16" t="n">
        <v>8821363.34</v>
      </c>
      <c r="AB178" s="16" t="n">
        <v>2343750</v>
      </c>
      <c r="AC178" s="16" t="n">
        <v>16316247</v>
      </c>
      <c r="AD178" s="16" t="n">
        <v>1050000</v>
      </c>
      <c r="AE178" s="16" t="n">
        <v>44836040.1</v>
      </c>
      <c r="AF178" s="16" t="n">
        <v>0</v>
      </c>
      <c r="AG178" s="16" t="n">
        <v>30637565.036478</v>
      </c>
      <c r="AH178" s="16" t="n">
        <v>1384369.95060413</v>
      </c>
    </row>
    <row r="179" customFormat="false" ht="15.75" hidden="false" customHeight="false" outlineLevel="0" collapsed="false">
      <c r="A179" s="28" t="n">
        <v>36991</v>
      </c>
      <c r="B179" s="16" t="n">
        <v>1250000</v>
      </c>
      <c r="C179" s="16" t="n">
        <v>2083768.15</v>
      </c>
      <c r="D179" s="16" t="n">
        <v>770244.5</v>
      </c>
      <c r="E179" s="16"/>
      <c r="F179" s="16"/>
      <c r="G179" s="16"/>
      <c r="H179" s="16" t="n">
        <v>0</v>
      </c>
      <c r="I179" s="16" t="n">
        <v>0</v>
      </c>
      <c r="J179" s="16"/>
      <c r="K179" s="16" t="n">
        <v>2.83122062683105E-007</v>
      </c>
      <c r="L179" s="16" t="n">
        <v>0</v>
      </c>
      <c r="M179" s="16" t="n">
        <v>137317.57</v>
      </c>
      <c r="N179" s="16" t="n">
        <v>0</v>
      </c>
      <c r="O179" s="16" t="n">
        <v>1000000</v>
      </c>
      <c r="P179" s="16" t="n">
        <v>0</v>
      </c>
      <c r="Q179" s="16" t="n">
        <v>23513434.5</v>
      </c>
      <c r="R179" s="16" t="n">
        <v>7121810</v>
      </c>
      <c r="S179" s="16" t="n">
        <v>5644007</v>
      </c>
      <c r="T179" s="16" t="n">
        <v>20887594.86</v>
      </c>
      <c r="U179" s="16" t="n">
        <v>2560525</v>
      </c>
      <c r="V179" s="16"/>
      <c r="W179" s="16" t="n">
        <v>0</v>
      </c>
      <c r="X179" s="16" t="n">
        <v>0</v>
      </c>
      <c r="Y179" s="16" t="n">
        <v>1803840</v>
      </c>
      <c r="Z179" s="16" t="n">
        <v>2300803</v>
      </c>
      <c r="AA179" s="16" t="n">
        <v>8821363.34</v>
      </c>
      <c r="AB179" s="16" t="n">
        <v>2343750</v>
      </c>
      <c r="AC179" s="16" t="n">
        <v>16316247</v>
      </c>
      <c r="AD179" s="16" t="n">
        <v>1050000</v>
      </c>
      <c r="AE179" s="16" t="n">
        <v>44836040.1</v>
      </c>
      <c r="AF179" s="16" t="n">
        <v>0</v>
      </c>
      <c r="AG179" s="16" t="n">
        <v>30637565.036478</v>
      </c>
      <c r="AH179" s="16" t="n">
        <v>1390558.8696275</v>
      </c>
    </row>
    <row r="180" customFormat="false" ht="15.75" hidden="false" customHeight="false" outlineLevel="0" collapsed="false">
      <c r="A180" s="28" t="n">
        <v>36992</v>
      </c>
      <c r="B180" s="16" t="n">
        <v>1250000</v>
      </c>
      <c r="C180" s="16" t="n">
        <v>2083768.15</v>
      </c>
      <c r="D180" s="16" t="n">
        <v>770244.5</v>
      </c>
      <c r="E180" s="16"/>
      <c r="F180" s="16"/>
      <c r="G180" s="16"/>
      <c r="H180" s="16" t="n">
        <v>0</v>
      </c>
      <c r="I180" s="16" t="n">
        <v>0</v>
      </c>
      <c r="J180" s="16"/>
      <c r="K180" s="16" t="n">
        <v>2.83122062683105E-007</v>
      </c>
      <c r="L180" s="16" t="n">
        <v>0</v>
      </c>
      <c r="M180" s="16" t="n">
        <v>137317.57</v>
      </c>
      <c r="N180" s="16" t="n">
        <v>0</v>
      </c>
      <c r="O180" s="16" t="n">
        <v>1000000</v>
      </c>
      <c r="P180" s="16" t="n">
        <v>0</v>
      </c>
      <c r="Q180" s="16" t="n">
        <v>23513434.5</v>
      </c>
      <c r="R180" s="16" t="n">
        <v>7121810</v>
      </c>
      <c r="S180" s="16" t="n">
        <v>5644007</v>
      </c>
      <c r="T180" s="16" t="n">
        <v>20887594.86</v>
      </c>
      <c r="U180" s="16" t="n">
        <v>2560525</v>
      </c>
      <c r="V180" s="16"/>
      <c r="W180" s="16" t="n">
        <v>0</v>
      </c>
      <c r="X180" s="16" t="n">
        <v>0</v>
      </c>
      <c r="Y180" s="16" t="n">
        <v>1803840</v>
      </c>
      <c r="Z180" s="16" t="n">
        <v>2300803</v>
      </c>
      <c r="AA180" s="16" t="n">
        <v>8821363.34</v>
      </c>
      <c r="AB180" s="16" t="n">
        <v>2343750</v>
      </c>
      <c r="AC180" s="16" t="n">
        <v>16316247</v>
      </c>
      <c r="AD180" s="16" t="n">
        <v>1050000</v>
      </c>
      <c r="AE180" s="16" t="n">
        <v>44836040.1</v>
      </c>
      <c r="AF180" s="16" t="n">
        <v>0</v>
      </c>
      <c r="AG180" s="16" t="n">
        <v>30637565.036478</v>
      </c>
      <c r="AH180" s="16" t="n">
        <v>1394368.53751763</v>
      </c>
    </row>
    <row r="181" customFormat="false" ht="15.75" hidden="false" customHeight="false" outlineLevel="0" collapsed="false">
      <c r="A181" s="28" t="n">
        <v>36993</v>
      </c>
      <c r="B181" s="16" t="n">
        <v>1250000</v>
      </c>
      <c r="C181" s="16" t="n">
        <v>2083768.15</v>
      </c>
      <c r="D181" s="16" t="n">
        <v>770244.5</v>
      </c>
      <c r="E181" s="16"/>
      <c r="F181" s="16"/>
      <c r="G181" s="16"/>
      <c r="H181" s="16" t="n">
        <v>0</v>
      </c>
      <c r="I181" s="16" t="n">
        <v>0</v>
      </c>
      <c r="J181" s="16"/>
      <c r="K181" s="16" t="n">
        <v>2.83122062683105E-007</v>
      </c>
      <c r="L181" s="16" t="n">
        <v>0</v>
      </c>
      <c r="M181" s="16" t="n">
        <v>137317.57</v>
      </c>
      <c r="N181" s="16" t="n">
        <v>0</v>
      </c>
      <c r="O181" s="16" t="n">
        <v>1000000</v>
      </c>
      <c r="P181" s="16" t="n">
        <v>0</v>
      </c>
      <c r="Q181" s="16" t="n">
        <v>23513434.5</v>
      </c>
      <c r="R181" s="16" t="n">
        <v>7121810</v>
      </c>
      <c r="S181" s="16" t="n">
        <v>5644007</v>
      </c>
      <c r="T181" s="16" t="n">
        <v>20887594.86</v>
      </c>
      <c r="U181" s="16" t="n">
        <v>2560525</v>
      </c>
      <c r="V181" s="16"/>
      <c r="W181" s="16" t="n">
        <v>0</v>
      </c>
      <c r="X181" s="16" t="n">
        <v>0</v>
      </c>
      <c r="Y181" s="16" t="n">
        <v>1803840</v>
      </c>
      <c r="Z181" s="16" t="n">
        <v>2300803</v>
      </c>
      <c r="AA181" s="16" t="n">
        <v>8821363.34</v>
      </c>
      <c r="AB181" s="16" t="n">
        <v>2343750</v>
      </c>
      <c r="AC181" s="16" t="n">
        <v>16316247</v>
      </c>
      <c r="AD181" s="16" t="n">
        <v>1050000</v>
      </c>
      <c r="AE181" s="16" t="n">
        <v>44836040.1</v>
      </c>
      <c r="AF181" s="16" t="n">
        <v>0</v>
      </c>
      <c r="AG181" s="16" t="n">
        <v>30637565.036478</v>
      </c>
      <c r="AH181" s="16" t="n">
        <v>1389260.66340612</v>
      </c>
    </row>
    <row r="182" customFormat="false" ht="15.75" hidden="false" customHeight="false" outlineLevel="0" collapsed="false">
      <c r="A182" s="28" t="n">
        <v>36997</v>
      </c>
      <c r="B182" s="16" t="n">
        <v>1250000</v>
      </c>
      <c r="C182" s="16" t="n">
        <v>2083768.15</v>
      </c>
      <c r="D182" s="16" t="n">
        <v>770244.5</v>
      </c>
      <c r="E182" s="16"/>
      <c r="F182" s="16"/>
      <c r="G182" s="16"/>
      <c r="H182" s="16" t="n">
        <v>0</v>
      </c>
      <c r="I182" s="16" t="n">
        <v>0</v>
      </c>
      <c r="J182" s="16"/>
      <c r="K182" s="16" t="n">
        <v>2.83122062683105E-007</v>
      </c>
      <c r="L182" s="16" t="n">
        <v>0</v>
      </c>
      <c r="M182" s="16" t="n">
        <v>137317.57</v>
      </c>
      <c r="N182" s="16" t="n">
        <v>0</v>
      </c>
      <c r="O182" s="16" t="n">
        <v>1000000</v>
      </c>
      <c r="P182" s="16" t="n">
        <v>0</v>
      </c>
      <c r="Q182" s="16" t="n">
        <v>23513434.5</v>
      </c>
      <c r="R182" s="16" t="n">
        <v>7121810</v>
      </c>
      <c r="S182" s="16" t="n">
        <v>5644007</v>
      </c>
      <c r="T182" s="16" t="n">
        <v>20887594.86</v>
      </c>
      <c r="U182" s="16" t="n">
        <v>2560525</v>
      </c>
      <c r="V182" s="16"/>
      <c r="W182" s="16" t="n">
        <v>0</v>
      </c>
      <c r="X182" s="16" t="n">
        <v>0</v>
      </c>
      <c r="Y182" s="16" t="n">
        <v>1803840</v>
      </c>
      <c r="Z182" s="16" t="n">
        <v>2300803</v>
      </c>
      <c r="AA182" s="16" t="n">
        <v>8821363.34</v>
      </c>
      <c r="AB182" s="16" t="n">
        <v>2343750</v>
      </c>
      <c r="AC182" s="16" t="n">
        <v>16316247</v>
      </c>
      <c r="AD182" s="16" t="n">
        <v>1050000</v>
      </c>
      <c r="AE182" s="16" t="n">
        <v>44836040.1</v>
      </c>
      <c r="AF182" s="16" t="n">
        <v>0</v>
      </c>
      <c r="AG182" s="16" t="n">
        <v>30637565.036478</v>
      </c>
      <c r="AH182" s="16" t="n">
        <v>1401048.24598748</v>
      </c>
    </row>
    <row r="183" customFormat="false" ht="15.75" hidden="false" customHeight="false" outlineLevel="0" collapsed="false">
      <c r="A183" s="28" t="n">
        <v>36998</v>
      </c>
      <c r="B183" s="16" t="n">
        <v>1250000</v>
      </c>
      <c r="C183" s="16" t="n">
        <v>2083768.15</v>
      </c>
      <c r="D183" s="16" t="n">
        <v>770244.5</v>
      </c>
      <c r="E183" s="16"/>
      <c r="F183" s="16"/>
      <c r="G183" s="16"/>
      <c r="H183" s="16" t="n">
        <v>0</v>
      </c>
      <c r="I183" s="16" t="n">
        <v>0</v>
      </c>
      <c r="J183" s="16"/>
      <c r="K183" s="16" t="n">
        <v>2.83122062683105E-007</v>
      </c>
      <c r="L183" s="16" t="n">
        <v>0</v>
      </c>
      <c r="M183" s="16" t="n">
        <v>137317.57</v>
      </c>
      <c r="N183" s="16" t="n">
        <v>0</v>
      </c>
      <c r="O183" s="16" t="n">
        <v>1000000</v>
      </c>
      <c r="P183" s="16" t="n">
        <v>0</v>
      </c>
      <c r="Q183" s="16" t="n">
        <v>23513434.5</v>
      </c>
      <c r="R183" s="16" t="n">
        <v>7121810</v>
      </c>
      <c r="S183" s="16" t="n">
        <v>5644007</v>
      </c>
      <c r="T183" s="16" t="n">
        <v>20887594.86</v>
      </c>
      <c r="U183" s="16" t="n">
        <v>2560525</v>
      </c>
      <c r="V183" s="16"/>
      <c r="W183" s="16" t="n">
        <v>0</v>
      </c>
      <c r="X183" s="16" t="n">
        <v>0</v>
      </c>
      <c r="Y183" s="16" t="n">
        <v>1803840</v>
      </c>
      <c r="Z183" s="16" t="n">
        <v>2300803</v>
      </c>
      <c r="AA183" s="16" t="n">
        <v>8821363.34</v>
      </c>
      <c r="AB183" s="16" t="n">
        <v>2343750</v>
      </c>
      <c r="AC183" s="16" t="n">
        <v>16316247</v>
      </c>
      <c r="AD183" s="16" t="n">
        <v>1050000</v>
      </c>
      <c r="AE183" s="16" t="n">
        <v>44836040.1</v>
      </c>
      <c r="AF183" s="16" t="n">
        <v>0</v>
      </c>
      <c r="AG183" s="16" t="n">
        <v>30637565.036478</v>
      </c>
      <c r="AH183" s="16" t="n">
        <v>1414644.71836097</v>
      </c>
    </row>
    <row r="184" customFormat="false" ht="15.75" hidden="false" customHeight="false" outlineLevel="0" collapsed="false">
      <c r="A184" s="28" t="n">
        <v>36999</v>
      </c>
      <c r="B184" s="16" t="n">
        <v>1250000</v>
      </c>
      <c r="C184" s="16" t="n">
        <v>2083768.15</v>
      </c>
      <c r="D184" s="16" t="n">
        <v>770244.5</v>
      </c>
      <c r="E184" s="16"/>
      <c r="F184" s="16"/>
      <c r="G184" s="16"/>
      <c r="H184" s="16" t="n">
        <v>0</v>
      </c>
      <c r="I184" s="16" t="n">
        <v>0</v>
      </c>
      <c r="J184" s="16"/>
      <c r="K184" s="16" t="n">
        <v>2.83122062683105E-007</v>
      </c>
      <c r="L184" s="16" t="n">
        <v>0</v>
      </c>
      <c r="M184" s="16" t="n">
        <v>137317.57</v>
      </c>
      <c r="N184" s="16" t="n">
        <v>0</v>
      </c>
      <c r="O184" s="16" t="n">
        <v>1000000</v>
      </c>
      <c r="P184" s="16" t="n">
        <v>0</v>
      </c>
      <c r="Q184" s="16" t="n">
        <v>23513434.5</v>
      </c>
      <c r="R184" s="16" t="n">
        <v>7121810</v>
      </c>
      <c r="S184" s="16" t="n">
        <v>5644007</v>
      </c>
      <c r="T184" s="16" t="n">
        <v>20887594.86</v>
      </c>
      <c r="U184" s="16" t="n">
        <v>2560525</v>
      </c>
      <c r="V184" s="16"/>
      <c r="W184" s="16" t="n">
        <v>0</v>
      </c>
      <c r="X184" s="16" t="n">
        <v>0</v>
      </c>
      <c r="Y184" s="16" t="n">
        <v>1803840</v>
      </c>
      <c r="Z184" s="16" t="n">
        <v>2300803</v>
      </c>
      <c r="AA184" s="16" t="n">
        <v>8821363.34</v>
      </c>
      <c r="AB184" s="16" t="n">
        <v>2343750</v>
      </c>
      <c r="AC184" s="16" t="n">
        <v>16316247</v>
      </c>
      <c r="AD184" s="16" t="n">
        <v>1050000</v>
      </c>
      <c r="AE184" s="16" t="n">
        <v>44836040.1</v>
      </c>
      <c r="AF184" s="16" t="n">
        <v>0</v>
      </c>
      <c r="AG184" s="16" t="n">
        <v>30637565.036478</v>
      </c>
      <c r="AH184" s="16" t="n">
        <v>1414112.24089609</v>
      </c>
    </row>
    <row r="185" customFormat="false" ht="15.75" hidden="false" customHeight="false" outlineLevel="0" collapsed="false">
      <c r="A185" s="28" t="n">
        <v>37000</v>
      </c>
      <c r="B185" s="16" t="n">
        <v>1250000</v>
      </c>
      <c r="C185" s="16" t="n">
        <v>2083768.15</v>
      </c>
      <c r="D185" s="16" t="n">
        <v>770244.5</v>
      </c>
      <c r="E185" s="16"/>
      <c r="F185" s="16"/>
      <c r="G185" s="16"/>
      <c r="H185" s="16" t="n">
        <v>0</v>
      </c>
      <c r="I185" s="16" t="n">
        <v>0</v>
      </c>
      <c r="J185" s="16"/>
      <c r="K185" s="16" t="n">
        <v>2.83122062683105E-007</v>
      </c>
      <c r="L185" s="16" t="n">
        <v>0</v>
      </c>
      <c r="M185" s="16" t="n">
        <v>137317.57</v>
      </c>
      <c r="N185" s="16" t="n">
        <v>0</v>
      </c>
      <c r="O185" s="16" t="n">
        <v>1000000</v>
      </c>
      <c r="P185" s="16" t="n">
        <v>0</v>
      </c>
      <c r="Q185" s="16" t="n">
        <v>23513434.5</v>
      </c>
      <c r="R185" s="16" t="n">
        <v>7121810</v>
      </c>
      <c r="S185" s="16" t="n">
        <v>5644007</v>
      </c>
      <c r="T185" s="16" t="n">
        <v>20887594.86</v>
      </c>
      <c r="U185" s="16" t="n">
        <v>2560525</v>
      </c>
      <c r="V185" s="16"/>
      <c r="W185" s="16" t="n">
        <v>0</v>
      </c>
      <c r="X185" s="16" t="n">
        <v>0</v>
      </c>
      <c r="Y185" s="16" t="n">
        <v>1803840</v>
      </c>
      <c r="Z185" s="16" t="n">
        <v>2300803</v>
      </c>
      <c r="AA185" s="16" t="n">
        <v>8821363.34</v>
      </c>
      <c r="AB185" s="16" t="n">
        <v>2343750</v>
      </c>
      <c r="AC185" s="16" t="n">
        <v>16316247</v>
      </c>
      <c r="AD185" s="16" t="n">
        <v>1050000</v>
      </c>
      <c r="AE185" s="16" t="n">
        <v>44836040.1</v>
      </c>
      <c r="AF185" s="16" t="n">
        <v>0</v>
      </c>
      <c r="AG185" s="16" t="n">
        <v>30637565.036478</v>
      </c>
      <c r="AH185" s="16" t="n">
        <v>1412722.77356929</v>
      </c>
    </row>
    <row r="186" customFormat="false" ht="15.75" hidden="false" customHeight="false" outlineLevel="0" collapsed="false">
      <c r="A186" s="28" t="n">
        <v>37001</v>
      </c>
      <c r="B186" s="16" t="n">
        <v>1250000</v>
      </c>
      <c r="C186" s="16" t="n">
        <v>2083768.15</v>
      </c>
      <c r="D186" s="16" t="n">
        <v>770244.5</v>
      </c>
      <c r="E186" s="16"/>
      <c r="F186" s="16"/>
      <c r="G186" s="16"/>
      <c r="H186" s="16" t="n">
        <v>0</v>
      </c>
      <c r="I186" s="16" t="n">
        <v>0</v>
      </c>
      <c r="J186" s="16"/>
      <c r="K186" s="16" t="n">
        <v>2.83122062683105E-007</v>
      </c>
      <c r="L186" s="16" t="n">
        <v>0</v>
      </c>
      <c r="M186" s="16" t="n">
        <v>137317.57</v>
      </c>
      <c r="N186" s="16" t="n">
        <v>0</v>
      </c>
      <c r="O186" s="16" t="n">
        <v>1000000</v>
      </c>
      <c r="P186" s="16" t="n">
        <v>0</v>
      </c>
      <c r="Q186" s="16" t="n">
        <v>23513434.5</v>
      </c>
      <c r="R186" s="16" t="n">
        <v>7121810</v>
      </c>
      <c r="S186" s="16" t="n">
        <v>5644007</v>
      </c>
      <c r="T186" s="16" t="n">
        <v>20887594.86</v>
      </c>
      <c r="U186" s="16" t="n">
        <v>2560525</v>
      </c>
      <c r="V186" s="16"/>
      <c r="W186" s="16" t="n">
        <v>0</v>
      </c>
      <c r="X186" s="16" t="n">
        <v>0</v>
      </c>
      <c r="Y186" s="16" t="n">
        <v>1803840</v>
      </c>
      <c r="Z186" s="16" t="n">
        <v>2300803</v>
      </c>
      <c r="AA186" s="16" t="n">
        <v>8821363.34</v>
      </c>
      <c r="AB186" s="16" t="n">
        <v>2343750</v>
      </c>
      <c r="AC186" s="16" t="n">
        <v>16316247</v>
      </c>
      <c r="AD186" s="16" t="n">
        <v>1050000</v>
      </c>
      <c r="AE186" s="16" t="n">
        <v>44836040.1</v>
      </c>
      <c r="AF186" s="16" t="n">
        <v>0</v>
      </c>
      <c r="AG186" s="16" t="n">
        <v>30637565.036478</v>
      </c>
      <c r="AH186" s="16" t="n">
        <v>1405805.69356496</v>
      </c>
    </row>
    <row r="187" customFormat="false" ht="15.75" hidden="false" customHeight="false" outlineLevel="0" collapsed="false">
      <c r="A187" s="28" t="n">
        <v>37004</v>
      </c>
      <c r="B187" s="16" t="n">
        <v>1250000</v>
      </c>
      <c r="C187" s="16" t="n">
        <v>2083768.15</v>
      </c>
      <c r="D187" s="16" t="n">
        <v>770244.5</v>
      </c>
      <c r="E187" s="16"/>
      <c r="F187" s="16"/>
      <c r="G187" s="16"/>
      <c r="H187" s="16" t="n">
        <v>0</v>
      </c>
      <c r="I187" s="16" t="n">
        <v>0</v>
      </c>
      <c r="J187" s="16"/>
      <c r="K187" s="16" t="n">
        <v>2.83122062683105E-007</v>
      </c>
      <c r="L187" s="16" t="n">
        <v>0</v>
      </c>
      <c r="M187" s="16" t="n">
        <v>137317.57</v>
      </c>
      <c r="N187" s="16" t="n">
        <v>0</v>
      </c>
      <c r="O187" s="16" t="n">
        <v>1000000</v>
      </c>
      <c r="P187" s="16" t="n">
        <v>0</v>
      </c>
      <c r="Q187" s="16" t="n">
        <v>23513434.5</v>
      </c>
      <c r="R187" s="16" t="n">
        <v>7121810</v>
      </c>
      <c r="S187" s="16" t="n">
        <v>5644007</v>
      </c>
      <c r="T187" s="16" t="n">
        <v>20887594.86</v>
      </c>
      <c r="U187" s="16" t="n">
        <v>2560525</v>
      </c>
      <c r="V187" s="16"/>
      <c r="W187" s="16" t="n">
        <v>0</v>
      </c>
      <c r="X187" s="16" t="n">
        <v>0</v>
      </c>
      <c r="Y187" s="16" t="n">
        <v>1803840</v>
      </c>
      <c r="Z187" s="16" t="n">
        <v>2300803</v>
      </c>
      <c r="AA187" s="16" t="n">
        <v>8821363.34</v>
      </c>
      <c r="AB187" s="16" t="n">
        <v>2343750</v>
      </c>
      <c r="AC187" s="16" t="n">
        <v>16316247</v>
      </c>
      <c r="AD187" s="16" t="n">
        <v>1050000</v>
      </c>
      <c r="AE187" s="16" t="n">
        <v>44836040.1</v>
      </c>
      <c r="AF187" s="16" t="n">
        <v>0</v>
      </c>
      <c r="AG187" s="16" t="n">
        <v>30637565.036478</v>
      </c>
      <c r="AH187" s="16" t="n">
        <v>1399345.94400379</v>
      </c>
    </row>
    <row r="188" customFormat="false" ht="15.75" hidden="false" customHeight="false" outlineLevel="0" collapsed="false">
      <c r="A188" s="28" t="n">
        <v>37005</v>
      </c>
      <c r="B188" s="16" t="n">
        <v>1250000</v>
      </c>
      <c r="C188" s="16" t="n">
        <v>2083768.15</v>
      </c>
      <c r="D188" s="16" t="n">
        <v>770244.5</v>
      </c>
      <c r="E188" s="16"/>
      <c r="F188" s="16"/>
      <c r="G188" s="16"/>
      <c r="H188" s="16" t="n">
        <v>0</v>
      </c>
      <c r="I188" s="16" t="n">
        <v>0</v>
      </c>
      <c r="J188" s="16"/>
      <c r="K188" s="16" t="n">
        <v>2.83122062683105E-007</v>
      </c>
      <c r="L188" s="16" t="n">
        <v>0</v>
      </c>
      <c r="M188" s="16" t="n">
        <v>137317.57</v>
      </c>
      <c r="N188" s="16" t="n">
        <v>0</v>
      </c>
      <c r="O188" s="16" t="n">
        <v>1000000</v>
      </c>
      <c r="P188" s="16" t="n">
        <v>0</v>
      </c>
      <c r="Q188" s="16" t="n">
        <v>23513434.5</v>
      </c>
      <c r="R188" s="16" t="n">
        <v>7121810</v>
      </c>
      <c r="S188" s="16" t="n">
        <v>5644007</v>
      </c>
      <c r="T188" s="16" t="n">
        <v>20887594.86</v>
      </c>
      <c r="U188" s="16" t="n">
        <v>2560525</v>
      </c>
      <c r="V188" s="16"/>
      <c r="W188" s="16" t="n">
        <v>0</v>
      </c>
      <c r="X188" s="16" t="n">
        <v>0</v>
      </c>
      <c r="Y188" s="16" t="n">
        <v>1803840</v>
      </c>
      <c r="Z188" s="16" t="n">
        <v>2300803</v>
      </c>
      <c r="AA188" s="16" t="n">
        <v>8821363.34</v>
      </c>
      <c r="AB188" s="16" t="n">
        <v>2343750</v>
      </c>
      <c r="AC188" s="16" t="n">
        <v>16316247</v>
      </c>
      <c r="AD188" s="16" t="n">
        <v>1050000</v>
      </c>
      <c r="AE188" s="16" t="n">
        <v>44836040.1</v>
      </c>
      <c r="AF188" s="16" t="n">
        <v>0</v>
      </c>
      <c r="AG188" s="16" t="n">
        <v>30637565.036478</v>
      </c>
      <c r="AH188" s="16" t="n">
        <v>1398007.86098797</v>
      </c>
    </row>
    <row r="189" customFormat="false" ht="15.75" hidden="false" customHeight="false" outlineLevel="0" collapsed="false">
      <c r="A189" s="28" t="n">
        <v>37006</v>
      </c>
      <c r="B189" s="16" t="n">
        <v>1250000</v>
      </c>
      <c r="C189" s="16" t="n">
        <v>2083768.15</v>
      </c>
      <c r="D189" s="16" t="n">
        <v>770244.5</v>
      </c>
      <c r="E189" s="16"/>
      <c r="F189" s="16"/>
      <c r="G189" s="16"/>
      <c r="H189" s="16" t="n">
        <v>0</v>
      </c>
      <c r="I189" s="16" t="n">
        <v>0</v>
      </c>
      <c r="J189" s="16"/>
      <c r="K189" s="16" t="n">
        <v>2.83122062683105E-007</v>
      </c>
      <c r="L189" s="16" t="n">
        <v>0</v>
      </c>
      <c r="M189" s="16" t="n">
        <v>137317.57</v>
      </c>
      <c r="N189" s="16" t="n">
        <v>0</v>
      </c>
      <c r="O189" s="16" t="n">
        <v>1000000</v>
      </c>
      <c r="P189" s="16" t="n">
        <v>0</v>
      </c>
      <c r="Q189" s="16" t="n">
        <v>23513434.5</v>
      </c>
      <c r="R189" s="16" t="n">
        <v>7121810</v>
      </c>
      <c r="S189" s="16" t="n">
        <v>5644007</v>
      </c>
      <c r="T189" s="16" t="n">
        <v>20887594.86</v>
      </c>
      <c r="U189" s="16" t="n">
        <v>2560525</v>
      </c>
      <c r="V189" s="16"/>
      <c r="W189" s="16" t="n">
        <v>0</v>
      </c>
      <c r="X189" s="16" t="n">
        <v>0</v>
      </c>
      <c r="Y189" s="16" t="n">
        <v>1803840</v>
      </c>
      <c r="Z189" s="16" t="n">
        <v>2300803</v>
      </c>
      <c r="AA189" s="16" t="n">
        <v>8821363.34</v>
      </c>
      <c r="AB189" s="16" t="n">
        <v>2343750</v>
      </c>
      <c r="AC189" s="16" t="n">
        <v>16316247</v>
      </c>
      <c r="AD189" s="16" t="n">
        <v>1050000</v>
      </c>
      <c r="AE189" s="16" t="n">
        <v>44836040.1</v>
      </c>
      <c r="AF189" s="16" t="n">
        <v>0</v>
      </c>
      <c r="AG189" s="16" t="n">
        <v>30637565.036478</v>
      </c>
      <c r="AH189" s="16" t="n">
        <v>1403839.51489907</v>
      </c>
    </row>
    <row r="190" customFormat="false" ht="15.75" hidden="false" customHeight="false" outlineLevel="0" collapsed="false">
      <c r="A190" s="28" t="n">
        <v>37007</v>
      </c>
      <c r="B190" s="16" t="n">
        <v>1250000</v>
      </c>
      <c r="C190" s="16" t="n">
        <v>2083768.15</v>
      </c>
      <c r="D190" s="16" t="n">
        <v>770244.5</v>
      </c>
      <c r="E190" s="16"/>
      <c r="F190" s="16"/>
      <c r="G190" s="16"/>
      <c r="H190" s="16" t="n">
        <v>0</v>
      </c>
      <c r="I190" s="16" t="n">
        <v>0</v>
      </c>
      <c r="J190" s="16"/>
      <c r="K190" s="16" t="n">
        <v>2.83122062683105E-007</v>
      </c>
      <c r="L190" s="16" t="n">
        <v>0</v>
      </c>
      <c r="M190" s="16" t="n">
        <v>137317.57</v>
      </c>
      <c r="N190" s="16" t="n">
        <v>0</v>
      </c>
      <c r="O190" s="16" t="n">
        <v>1000000</v>
      </c>
      <c r="P190" s="16" t="n">
        <v>0</v>
      </c>
      <c r="Q190" s="16" t="n">
        <v>23513434.5</v>
      </c>
      <c r="R190" s="16" t="n">
        <v>7121810</v>
      </c>
      <c r="S190" s="16" t="n">
        <v>5644007</v>
      </c>
      <c r="T190" s="16" t="n">
        <v>20887594.86</v>
      </c>
      <c r="U190" s="16" t="n">
        <v>2560525</v>
      </c>
      <c r="V190" s="16"/>
      <c r="W190" s="16" t="n">
        <v>0</v>
      </c>
      <c r="X190" s="16" t="n">
        <v>0</v>
      </c>
      <c r="Y190" s="16" t="n">
        <v>1803840</v>
      </c>
      <c r="Z190" s="16" t="n">
        <v>2300803</v>
      </c>
      <c r="AA190" s="16" t="n">
        <v>8821363.34</v>
      </c>
      <c r="AB190" s="16" t="n">
        <v>2343750</v>
      </c>
      <c r="AC190" s="16" t="n">
        <v>16316247</v>
      </c>
      <c r="AD190" s="16" t="n">
        <v>1050000</v>
      </c>
      <c r="AE190" s="16" t="n">
        <v>44836040.1</v>
      </c>
      <c r="AF190" s="16" t="n">
        <v>0</v>
      </c>
      <c r="AG190" s="16" t="n">
        <v>30637565.036478</v>
      </c>
      <c r="AH190" s="16" t="n">
        <v>1406966.50099603</v>
      </c>
    </row>
    <row r="191" customFormat="false" ht="15.75" hidden="false" customHeight="false" outlineLevel="0" collapsed="false">
      <c r="A191" s="28" t="n">
        <v>37008</v>
      </c>
      <c r="B191" s="16" t="n">
        <v>1250000</v>
      </c>
      <c r="C191" s="16" t="n">
        <v>2083768.15</v>
      </c>
      <c r="D191" s="16" t="n">
        <v>770244.5</v>
      </c>
      <c r="E191" s="16"/>
      <c r="F191" s="16"/>
      <c r="G191" s="16"/>
      <c r="H191" s="16" t="n">
        <v>0</v>
      </c>
      <c r="I191" s="16" t="n">
        <v>0</v>
      </c>
      <c r="J191" s="16"/>
      <c r="K191" s="16" t="n">
        <v>2.83122062683105E-007</v>
      </c>
      <c r="L191" s="16" t="n">
        <v>0</v>
      </c>
      <c r="M191" s="16" t="n">
        <v>137317.57</v>
      </c>
      <c r="N191" s="16" t="n">
        <v>0</v>
      </c>
      <c r="O191" s="16" t="n">
        <v>1000000</v>
      </c>
      <c r="P191" s="16" t="n">
        <v>0</v>
      </c>
      <c r="Q191" s="16" t="n">
        <v>23513434.5</v>
      </c>
      <c r="R191" s="16" t="n">
        <v>7121810</v>
      </c>
      <c r="S191" s="16" t="n">
        <v>5644007</v>
      </c>
      <c r="T191" s="16" t="n">
        <v>20887594.86</v>
      </c>
      <c r="U191" s="16" t="n">
        <v>2560525</v>
      </c>
      <c r="V191" s="16"/>
      <c r="W191" s="16" t="n">
        <v>0</v>
      </c>
      <c r="X191" s="16" t="n">
        <v>0</v>
      </c>
      <c r="Y191" s="16" t="n">
        <v>1803840</v>
      </c>
      <c r="Z191" s="16" t="n">
        <v>2300803</v>
      </c>
      <c r="AA191" s="16" t="n">
        <v>8821363.34</v>
      </c>
      <c r="AB191" s="16" t="n">
        <v>2343750</v>
      </c>
      <c r="AC191" s="16" t="n">
        <v>16316247</v>
      </c>
      <c r="AD191" s="16" t="n">
        <v>1050000</v>
      </c>
      <c r="AE191" s="16" t="n">
        <v>44836040.1</v>
      </c>
      <c r="AF191" s="16" t="n">
        <v>0</v>
      </c>
      <c r="AG191" s="16" t="n">
        <v>30637565.036478</v>
      </c>
      <c r="AH191" s="16" t="n">
        <v>1409110.21927798</v>
      </c>
    </row>
    <row r="192" customFormat="false" ht="15.75" hidden="false" customHeight="false" outlineLevel="0" collapsed="false">
      <c r="A192" s="28" t="n">
        <v>37011</v>
      </c>
      <c r="B192" s="16" t="n">
        <v>1250000</v>
      </c>
      <c r="C192" s="16" t="n">
        <v>2083768.15</v>
      </c>
      <c r="D192" s="16" t="n">
        <v>770244.5</v>
      </c>
      <c r="E192" s="16"/>
      <c r="F192" s="16"/>
      <c r="G192" s="16"/>
      <c r="H192" s="16" t="n">
        <v>0</v>
      </c>
      <c r="I192" s="16" t="n">
        <v>0</v>
      </c>
      <c r="J192" s="16"/>
      <c r="K192" s="16" t="n">
        <v>2.83122062683105E-007</v>
      </c>
      <c r="L192" s="16" t="n">
        <v>0</v>
      </c>
      <c r="M192" s="16" t="n">
        <v>137317.57</v>
      </c>
      <c r="N192" s="16" t="n">
        <v>0</v>
      </c>
      <c r="O192" s="16" t="n">
        <v>1000000</v>
      </c>
      <c r="P192" s="16" t="n">
        <v>0</v>
      </c>
      <c r="Q192" s="16" t="n">
        <v>23513434.5</v>
      </c>
      <c r="R192" s="16" t="n">
        <v>7121810</v>
      </c>
      <c r="S192" s="16" t="n">
        <v>5644007</v>
      </c>
      <c r="T192" s="16" t="n">
        <v>20887594.86</v>
      </c>
      <c r="U192" s="16" t="n">
        <v>2560525</v>
      </c>
      <c r="V192" s="16"/>
      <c r="W192" s="16" t="n">
        <v>0</v>
      </c>
      <c r="X192" s="16" t="n">
        <v>0</v>
      </c>
      <c r="Y192" s="16" t="n">
        <v>1803840</v>
      </c>
      <c r="Z192" s="16" t="n">
        <v>2300803</v>
      </c>
      <c r="AA192" s="16" t="n">
        <v>8821363.34</v>
      </c>
      <c r="AB192" s="16" t="n">
        <v>2343750</v>
      </c>
      <c r="AC192" s="16" t="n">
        <v>16316247</v>
      </c>
      <c r="AD192" s="16" t="n">
        <v>1050000</v>
      </c>
      <c r="AE192" s="16" t="n">
        <v>44836040.1</v>
      </c>
      <c r="AF192" s="16" t="n">
        <v>0</v>
      </c>
      <c r="AG192" s="16" t="n">
        <v>30637565.036478</v>
      </c>
      <c r="AH192" s="16" t="n">
        <v>1408157.03739012</v>
      </c>
    </row>
    <row r="193" customFormat="false" ht="15.75" hidden="false" customHeight="false" outlineLevel="0" collapsed="false">
      <c r="A193" s="28" t="n">
        <v>37012</v>
      </c>
      <c r="B193" s="16" t="n">
        <v>1250000</v>
      </c>
      <c r="C193" s="16" t="n">
        <v>2083768.15</v>
      </c>
      <c r="D193" s="16" t="n">
        <v>770244.5</v>
      </c>
      <c r="E193" s="16"/>
      <c r="F193" s="16"/>
      <c r="G193" s="16"/>
      <c r="H193" s="16" t="n">
        <v>0</v>
      </c>
      <c r="I193" s="16" t="n">
        <v>0</v>
      </c>
      <c r="J193" s="16"/>
      <c r="K193" s="16" t="n">
        <v>2.83122062683105E-007</v>
      </c>
      <c r="L193" s="16" t="n">
        <v>0</v>
      </c>
      <c r="M193" s="16" t="n">
        <v>137317.57</v>
      </c>
      <c r="N193" s="16" t="n">
        <v>0</v>
      </c>
      <c r="O193" s="16" t="n">
        <v>1000000</v>
      </c>
      <c r="P193" s="16" t="n">
        <v>0</v>
      </c>
      <c r="Q193" s="16" t="n">
        <v>23513434.5</v>
      </c>
      <c r="R193" s="16" t="n">
        <v>7121810</v>
      </c>
      <c r="S193" s="16" t="n">
        <v>5644007</v>
      </c>
      <c r="T193" s="16" t="n">
        <v>20887594.86</v>
      </c>
      <c r="U193" s="16" t="n">
        <v>2560525</v>
      </c>
      <c r="V193" s="16"/>
      <c r="W193" s="16" t="n">
        <v>0</v>
      </c>
      <c r="X193" s="16" t="n">
        <v>0</v>
      </c>
      <c r="Y193" s="16" t="n">
        <v>1803840</v>
      </c>
      <c r="Z193" s="16" t="n">
        <v>2300803</v>
      </c>
      <c r="AA193" s="16" t="n">
        <v>8821363.34</v>
      </c>
      <c r="AB193" s="16" t="n">
        <v>2343750</v>
      </c>
      <c r="AC193" s="16" t="n">
        <v>16316247</v>
      </c>
      <c r="AD193" s="16" t="n">
        <v>1050000</v>
      </c>
      <c r="AE193" s="16" t="n">
        <v>44836040.1</v>
      </c>
      <c r="AF193" s="16" t="n">
        <v>0</v>
      </c>
      <c r="AG193" s="16" t="n">
        <v>30637565.036478</v>
      </c>
      <c r="AH193" s="16" t="n">
        <v>1408307.0889387</v>
      </c>
    </row>
    <row r="194" customFormat="false" ht="15.75" hidden="false" customHeight="false" outlineLevel="0" collapsed="false">
      <c r="A194" s="28" t="n">
        <v>37013</v>
      </c>
      <c r="B194" s="16" t="n">
        <v>1250000</v>
      </c>
      <c r="C194" s="16" t="n">
        <v>2083768.15</v>
      </c>
      <c r="D194" s="16" t="n">
        <v>770244.5</v>
      </c>
      <c r="E194" s="16"/>
      <c r="F194" s="16"/>
      <c r="G194" s="16"/>
      <c r="H194" s="16" t="n">
        <v>0</v>
      </c>
      <c r="I194" s="16" t="n">
        <v>0</v>
      </c>
      <c r="J194" s="16"/>
      <c r="K194" s="16" t="n">
        <v>2.83122062683105E-007</v>
      </c>
      <c r="L194" s="16" t="n">
        <v>0</v>
      </c>
      <c r="M194" s="16" t="n">
        <v>137317.57</v>
      </c>
      <c r="N194" s="16" t="n">
        <v>0</v>
      </c>
      <c r="O194" s="16" t="n">
        <v>1000000</v>
      </c>
      <c r="P194" s="16" t="n">
        <v>0</v>
      </c>
      <c r="Q194" s="16" t="n">
        <v>23513434.5</v>
      </c>
      <c r="R194" s="16" t="n">
        <v>7121810</v>
      </c>
      <c r="S194" s="16" t="n">
        <v>5644007</v>
      </c>
      <c r="T194" s="16" t="n">
        <v>20887594.86</v>
      </c>
      <c r="U194" s="16" t="n">
        <v>2560525</v>
      </c>
      <c r="V194" s="16"/>
      <c r="W194" s="16" t="n">
        <v>0</v>
      </c>
      <c r="X194" s="16" t="n">
        <v>0</v>
      </c>
      <c r="Y194" s="16" t="n">
        <v>1803840</v>
      </c>
      <c r="Z194" s="16" t="n">
        <v>2300803</v>
      </c>
      <c r="AA194" s="16" t="n">
        <v>8821363.34</v>
      </c>
      <c r="AB194" s="16" t="n">
        <v>2343750</v>
      </c>
      <c r="AC194" s="16" t="n">
        <v>16316247</v>
      </c>
      <c r="AD194" s="16" t="n">
        <v>1050000</v>
      </c>
      <c r="AE194" s="16" t="n">
        <v>44836040.1</v>
      </c>
      <c r="AF194" s="16" t="n">
        <v>0</v>
      </c>
      <c r="AG194" s="16" t="n">
        <v>30637565.036478</v>
      </c>
      <c r="AH194" s="16" t="n">
        <v>1408959.17172932</v>
      </c>
    </row>
    <row r="195" customFormat="false" ht="15.75" hidden="false" customHeight="false" outlineLevel="0" collapsed="false">
      <c r="A195" s="28" t="n">
        <v>37014</v>
      </c>
      <c r="B195" s="16" t="n">
        <v>1250000</v>
      </c>
      <c r="C195" s="16" t="n">
        <v>2083768.15</v>
      </c>
      <c r="D195" s="16" t="n">
        <v>770244.5</v>
      </c>
      <c r="E195" s="16"/>
      <c r="F195" s="16"/>
      <c r="G195" s="16"/>
      <c r="H195" s="16" t="n">
        <v>0</v>
      </c>
      <c r="I195" s="16" t="n">
        <v>0</v>
      </c>
      <c r="J195" s="16"/>
      <c r="K195" s="16" t="n">
        <v>2.83122062683105E-007</v>
      </c>
      <c r="L195" s="16" t="n">
        <v>0</v>
      </c>
      <c r="M195" s="16" t="n">
        <v>137317.57</v>
      </c>
      <c r="N195" s="16" t="n">
        <v>0</v>
      </c>
      <c r="O195" s="16" t="n">
        <v>1000000</v>
      </c>
      <c r="P195" s="16" t="n">
        <v>0</v>
      </c>
      <c r="Q195" s="16" t="n">
        <v>23513434.5</v>
      </c>
      <c r="R195" s="16" t="n">
        <v>7121810</v>
      </c>
      <c r="S195" s="16" t="n">
        <v>5644007</v>
      </c>
      <c r="T195" s="16" t="n">
        <v>20887594.86</v>
      </c>
      <c r="U195" s="16" t="n">
        <v>2560525</v>
      </c>
      <c r="V195" s="16"/>
      <c r="W195" s="16" t="n">
        <v>0</v>
      </c>
      <c r="X195" s="16" t="n">
        <v>0</v>
      </c>
      <c r="Y195" s="16" t="n">
        <v>1803840</v>
      </c>
      <c r="Z195" s="16" t="n">
        <v>2300803</v>
      </c>
      <c r="AA195" s="16" t="n">
        <v>8821363.34</v>
      </c>
      <c r="AB195" s="16" t="n">
        <v>2343750</v>
      </c>
      <c r="AC195" s="16" t="n">
        <v>16316247</v>
      </c>
      <c r="AD195" s="16" t="n">
        <v>1050000</v>
      </c>
      <c r="AE195" s="16" t="n">
        <v>44836040.1</v>
      </c>
      <c r="AF195" s="16" t="n">
        <v>0</v>
      </c>
      <c r="AG195" s="16" t="n">
        <v>30637565.036478</v>
      </c>
      <c r="AH195" s="16" t="n">
        <v>1401140.39258026</v>
      </c>
    </row>
    <row r="196" customFormat="false" ht="15.75" hidden="false" customHeight="false" outlineLevel="0" collapsed="false">
      <c r="A196" s="28" t="n">
        <v>37015</v>
      </c>
      <c r="B196" s="16" t="n">
        <v>1250000</v>
      </c>
      <c r="C196" s="16" t="n">
        <v>2083768.15</v>
      </c>
      <c r="D196" s="16" t="n">
        <v>770244.5</v>
      </c>
      <c r="E196" s="16"/>
      <c r="F196" s="16"/>
      <c r="G196" s="16"/>
      <c r="H196" s="16" t="n">
        <v>0</v>
      </c>
      <c r="I196" s="16" t="n">
        <v>0</v>
      </c>
      <c r="J196" s="16"/>
      <c r="K196" s="16" t="n">
        <v>2.83122062683105E-007</v>
      </c>
      <c r="L196" s="16" t="n">
        <v>0</v>
      </c>
      <c r="M196" s="16" t="n">
        <v>137317.57</v>
      </c>
      <c r="N196" s="16" t="n">
        <v>0</v>
      </c>
      <c r="O196" s="16" t="n">
        <v>1000000</v>
      </c>
      <c r="P196" s="16" t="n">
        <v>0</v>
      </c>
      <c r="Q196" s="16" t="n">
        <v>23513434.5</v>
      </c>
      <c r="R196" s="16" t="n">
        <v>7121810</v>
      </c>
      <c r="S196" s="16" t="n">
        <v>5644007</v>
      </c>
      <c r="T196" s="16" t="n">
        <v>20887594.86</v>
      </c>
      <c r="U196" s="16" t="n">
        <v>2560525</v>
      </c>
      <c r="V196" s="16"/>
      <c r="W196" s="16" t="n">
        <v>0</v>
      </c>
      <c r="X196" s="16" t="n">
        <v>0</v>
      </c>
      <c r="Y196" s="16" t="n">
        <v>1803840</v>
      </c>
      <c r="Z196" s="16" t="n">
        <v>2300803</v>
      </c>
      <c r="AA196" s="16" t="n">
        <v>8821363.34</v>
      </c>
      <c r="AB196" s="16" t="n">
        <v>2343750</v>
      </c>
      <c r="AC196" s="16" t="n">
        <v>16316247</v>
      </c>
      <c r="AD196" s="16" t="n">
        <v>1050000</v>
      </c>
      <c r="AE196" s="16" t="n">
        <v>44836040.1</v>
      </c>
      <c r="AF196" s="16" t="n">
        <v>0</v>
      </c>
      <c r="AG196" s="16" t="n">
        <v>30637565.036478</v>
      </c>
      <c r="AH196" s="16" t="n">
        <v>1399593.24089082</v>
      </c>
    </row>
    <row r="197" customFormat="false" ht="15.75" hidden="false" customHeight="false" outlineLevel="0" collapsed="false">
      <c r="A197" s="28" t="n">
        <v>37018</v>
      </c>
      <c r="B197" s="16" t="n">
        <v>1250000</v>
      </c>
      <c r="C197" s="16" t="n">
        <v>2083768.15</v>
      </c>
      <c r="D197" s="16" t="n">
        <v>770244.5</v>
      </c>
      <c r="E197" s="16"/>
      <c r="F197" s="16"/>
      <c r="G197" s="16"/>
      <c r="H197" s="16" t="n">
        <v>0</v>
      </c>
      <c r="I197" s="16" t="n">
        <v>0</v>
      </c>
      <c r="J197" s="16"/>
      <c r="K197" s="16" t="n">
        <v>2.83122062683105E-007</v>
      </c>
      <c r="L197" s="16" t="n">
        <v>0</v>
      </c>
      <c r="M197" s="16" t="n">
        <v>137317.57</v>
      </c>
      <c r="N197" s="16" t="n">
        <v>0</v>
      </c>
      <c r="O197" s="16" t="n">
        <v>1000000</v>
      </c>
      <c r="P197" s="16" t="n">
        <v>0</v>
      </c>
      <c r="Q197" s="16" t="n">
        <v>23513434.5</v>
      </c>
      <c r="R197" s="16" t="n">
        <v>7121810</v>
      </c>
      <c r="S197" s="16" t="n">
        <v>5644007</v>
      </c>
      <c r="T197" s="16" t="n">
        <v>20887594.86</v>
      </c>
      <c r="U197" s="16" t="n">
        <v>2560525</v>
      </c>
      <c r="V197" s="16"/>
      <c r="W197" s="16" t="n">
        <v>0</v>
      </c>
      <c r="X197" s="16" t="n">
        <v>0</v>
      </c>
      <c r="Y197" s="16" t="n">
        <v>1803840</v>
      </c>
      <c r="Z197" s="16" t="n">
        <v>2300803</v>
      </c>
      <c r="AA197" s="16" t="n">
        <v>8821363.34</v>
      </c>
      <c r="AB197" s="16" t="n">
        <v>2343750</v>
      </c>
      <c r="AC197" s="16" t="n">
        <v>16316247</v>
      </c>
      <c r="AD197" s="16" t="n">
        <v>1050000</v>
      </c>
      <c r="AE197" s="16" t="n">
        <v>44836040.1</v>
      </c>
      <c r="AF197" s="16" t="n">
        <v>0</v>
      </c>
      <c r="AG197" s="16" t="n">
        <v>30637565.036478</v>
      </c>
      <c r="AH197" s="16" t="n">
        <v>1401009.2712056</v>
      </c>
    </row>
    <row r="198" customFormat="false" ht="15.75" hidden="false" customHeight="false" outlineLevel="0" collapsed="false">
      <c r="A198" s="28" t="n">
        <v>37019</v>
      </c>
      <c r="B198" s="16" t="n">
        <v>1250000</v>
      </c>
      <c r="C198" s="16" t="n">
        <v>2083768.15</v>
      </c>
      <c r="D198" s="16" t="n">
        <v>770244.5</v>
      </c>
      <c r="E198" s="16"/>
      <c r="F198" s="16"/>
      <c r="G198" s="16"/>
      <c r="H198" s="16" t="n">
        <v>0</v>
      </c>
      <c r="I198" s="16" t="n">
        <v>0</v>
      </c>
      <c r="J198" s="16"/>
      <c r="K198" s="16" t="n">
        <v>2.83122062683105E-007</v>
      </c>
      <c r="L198" s="16" t="n">
        <v>0</v>
      </c>
      <c r="M198" s="16" t="n">
        <v>137317.57</v>
      </c>
      <c r="N198" s="16" t="n">
        <v>0</v>
      </c>
      <c r="O198" s="16" t="n">
        <v>1000000</v>
      </c>
      <c r="P198" s="16" t="n">
        <v>0</v>
      </c>
      <c r="Q198" s="16" t="n">
        <v>23513434.5</v>
      </c>
      <c r="R198" s="16" t="n">
        <v>7121810</v>
      </c>
      <c r="S198" s="16" t="n">
        <v>5644007</v>
      </c>
      <c r="T198" s="16" t="n">
        <v>20887594.86</v>
      </c>
      <c r="U198" s="16" t="n">
        <v>2560525</v>
      </c>
      <c r="V198" s="16"/>
      <c r="W198" s="16" t="n">
        <v>0</v>
      </c>
      <c r="X198" s="16" t="n">
        <v>0</v>
      </c>
      <c r="Y198" s="16" t="n">
        <v>1803840</v>
      </c>
      <c r="Z198" s="16" t="n">
        <v>2300803</v>
      </c>
      <c r="AA198" s="16" t="n">
        <v>8821363.34</v>
      </c>
      <c r="AB198" s="16" t="n">
        <v>2343750</v>
      </c>
      <c r="AC198" s="16" t="n">
        <v>16316247</v>
      </c>
      <c r="AD198" s="16" t="n">
        <v>1050000</v>
      </c>
      <c r="AE198" s="16" t="n">
        <v>44836040.1</v>
      </c>
      <c r="AF198" s="16" t="n">
        <v>0</v>
      </c>
      <c r="AG198" s="16" t="n">
        <v>30637565.036478</v>
      </c>
      <c r="AH198" s="16" t="n">
        <v>1402854.69325777</v>
      </c>
    </row>
    <row r="199" customFormat="false" ht="15.75" hidden="false" customHeight="false" outlineLevel="0" collapsed="false">
      <c r="A199" s="28" t="n">
        <v>37020</v>
      </c>
      <c r="B199" s="16" t="n">
        <v>1250000</v>
      </c>
      <c r="C199" s="16" t="n">
        <v>2083768.15</v>
      </c>
      <c r="D199" s="16" t="n">
        <v>770244.5</v>
      </c>
      <c r="E199" s="16"/>
      <c r="F199" s="16"/>
      <c r="G199" s="16"/>
      <c r="H199" s="16" t="n">
        <v>0</v>
      </c>
      <c r="I199" s="16" t="n">
        <v>0</v>
      </c>
      <c r="J199" s="16"/>
      <c r="K199" s="16" t="n">
        <v>2.83122062683105E-007</v>
      </c>
      <c r="L199" s="16" t="n">
        <v>0</v>
      </c>
      <c r="M199" s="16" t="n">
        <v>137317.57</v>
      </c>
      <c r="N199" s="16" t="n">
        <v>0</v>
      </c>
      <c r="O199" s="16" t="n">
        <v>1000000</v>
      </c>
      <c r="P199" s="16" t="n">
        <v>0</v>
      </c>
      <c r="Q199" s="16" t="n">
        <v>23513434.5</v>
      </c>
      <c r="R199" s="16" t="n">
        <v>7121810</v>
      </c>
      <c r="S199" s="16" t="n">
        <v>5644007</v>
      </c>
      <c r="T199" s="16" t="n">
        <v>20887594.86</v>
      </c>
      <c r="U199" s="16" t="n">
        <v>2560525</v>
      </c>
      <c r="V199" s="16"/>
      <c r="W199" s="16" t="n">
        <v>0</v>
      </c>
      <c r="X199" s="16" t="n">
        <v>0</v>
      </c>
      <c r="Y199" s="16" t="n">
        <v>1803840</v>
      </c>
      <c r="Z199" s="16" t="n">
        <v>2300803</v>
      </c>
      <c r="AA199" s="16" t="n">
        <v>8821363.34</v>
      </c>
      <c r="AB199" s="16" t="n">
        <v>2343750</v>
      </c>
      <c r="AC199" s="16" t="n">
        <v>16316247</v>
      </c>
      <c r="AD199" s="16" t="n">
        <v>1050000</v>
      </c>
      <c r="AE199" s="16" t="n">
        <v>44836040.1</v>
      </c>
      <c r="AF199" s="16" t="n">
        <v>0</v>
      </c>
      <c r="AG199" s="16" t="n">
        <v>30637565.036478</v>
      </c>
      <c r="AH199" s="16" t="n">
        <v>1402049.3647482</v>
      </c>
    </row>
    <row r="200" customFormat="false" ht="15.75" hidden="false" customHeight="false" outlineLevel="0" collapsed="false">
      <c r="A200" s="28" t="n">
        <v>37021</v>
      </c>
      <c r="B200" s="16" t="n">
        <v>1250000</v>
      </c>
      <c r="C200" s="16" t="n">
        <v>2083768.15</v>
      </c>
      <c r="D200" s="16" t="n">
        <v>770244.5</v>
      </c>
      <c r="E200" s="16"/>
      <c r="F200" s="16"/>
      <c r="G200" s="16"/>
      <c r="H200" s="16" t="n">
        <v>0</v>
      </c>
      <c r="I200" s="16" t="n">
        <v>0</v>
      </c>
      <c r="J200" s="16"/>
      <c r="K200" s="16" t="n">
        <v>2.83122062683105E-007</v>
      </c>
      <c r="L200" s="16" t="n">
        <v>0</v>
      </c>
      <c r="M200" s="16" t="n">
        <v>137317.57</v>
      </c>
      <c r="N200" s="16" t="n">
        <v>0</v>
      </c>
      <c r="O200" s="16" t="n">
        <v>1000000</v>
      </c>
      <c r="P200" s="16" t="n">
        <v>0</v>
      </c>
      <c r="Q200" s="16" t="n">
        <v>23513434.5</v>
      </c>
      <c r="R200" s="16" t="n">
        <v>7121810</v>
      </c>
      <c r="S200" s="16" t="n">
        <v>5644007</v>
      </c>
      <c r="T200" s="16" t="n">
        <v>20887594.86</v>
      </c>
      <c r="U200" s="16" t="n">
        <v>2560525</v>
      </c>
      <c r="V200" s="16"/>
      <c r="W200" s="16" t="n">
        <v>0</v>
      </c>
      <c r="X200" s="16" t="n">
        <v>0</v>
      </c>
      <c r="Y200" s="16" t="n">
        <v>1803840</v>
      </c>
      <c r="Z200" s="16" t="n">
        <v>2300803</v>
      </c>
      <c r="AA200" s="16" t="n">
        <v>8821363.34</v>
      </c>
      <c r="AB200" s="16" t="n">
        <v>2343750</v>
      </c>
      <c r="AC200" s="16" t="n">
        <v>16316247</v>
      </c>
      <c r="AD200" s="16" t="n">
        <v>1050000</v>
      </c>
      <c r="AE200" s="16" t="n">
        <v>44836040.1</v>
      </c>
      <c r="AF200" s="16" t="n">
        <v>0</v>
      </c>
      <c r="AG200" s="16" t="n">
        <v>30637565.036478</v>
      </c>
      <c r="AH200" s="16" t="n">
        <v>1397721.10151874</v>
      </c>
    </row>
    <row r="201" customFormat="false" ht="15.75" hidden="false" customHeight="false" outlineLevel="0" collapsed="false">
      <c r="A201" s="28" t="n">
        <v>37022</v>
      </c>
      <c r="B201" s="16" t="n">
        <v>1250000</v>
      </c>
      <c r="C201" s="16" t="n">
        <v>2083768.15</v>
      </c>
      <c r="D201" s="16" t="n">
        <v>770244.5</v>
      </c>
      <c r="E201" s="16"/>
      <c r="F201" s="16"/>
      <c r="G201" s="16"/>
      <c r="H201" s="16" t="n">
        <v>0</v>
      </c>
      <c r="I201" s="16" t="n">
        <v>0</v>
      </c>
      <c r="J201" s="16"/>
      <c r="K201" s="16" t="n">
        <v>2.83122062683105E-007</v>
      </c>
      <c r="L201" s="16" t="n">
        <v>0</v>
      </c>
      <c r="M201" s="16" t="n">
        <v>137317.57</v>
      </c>
      <c r="N201" s="16" t="n">
        <v>0</v>
      </c>
      <c r="O201" s="16" t="n">
        <v>1000000</v>
      </c>
      <c r="P201" s="16" t="n">
        <v>0</v>
      </c>
      <c r="Q201" s="16" t="n">
        <v>23513434.5</v>
      </c>
      <c r="R201" s="16" t="n">
        <v>7121810</v>
      </c>
      <c r="S201" s="16" t="n">
        <v>5644007</v>
      </c>
      <c r="T201" s="16" t="n">
        <v>20887594.86</v>
      </c>
      <c r="U201" s="16" t="n">
        <v>2560525</v>
      </c>
      <c r="V201" s="16"/>
      <c r="W201" s="16" t="n">
        <v>0</v>
      </c>
      <c r="X201" s="16" t="n">
        <v>0</v>
      </c>
      <c r="Y201" s="16" t="n">
        <v>1803840</v>
      </c>
      <c r="Z201" s="16" t="n">
        <v>2300803</v>
      </c>
      <c r="AA201" s="16" t="n">
        <v>8821363.34</v>
      </c>
      <c r="AB201" s="16" t="n">
        <v>2343750</v>
      </c>
      <c r="AC201" s="16" t="n">
        <v>16316247</v>
      </c>
      <c r="AD201" s="16" t="n">
        <v>1050000</v>
      </c>
      <c r="AE201" s="16" t="n">
        <v>44836040.1</v>
      </c>
      <c r="AF201" s="16" t="n">
        <v>0</v>
      </c>
      <c r="AG201" s="16" t="n">
        <v>30637565.036478</v>
      </c>
      <c r="AH201" s="16" t="n">
        <v>1401993.91408885</v>
      </c>
    </row>
    <row r="202" customFormat="false" ht="15.75" hidden="false" customHeight="false" outlineLevel="0" collapsed="false">
      <c r="A202" s="28" t="n">
        <v>37025</v>
      </c>
      <c r="B202" s="16" t="n">
        <v>1250000</v>
      </c>
      <c r="C202" s="16" t="n">
        <v>2083768.15</v>
      </c>
      <c r="D202" s="16" t="n">
        <v>770244.5</v>
      </c>
      <c r="E202" s="16"/>
      <c r="F202" s="16"/>
      <c r="G202" s="16"/>
      <c r="H202" s="16" t="n">
        <v>0</v>
      </c>
      <c r="I202" s="16" t="n">
        <v>0</v>
      </c>
      <c r="J202" s="16"/>
      <c r="K202" s="16" t="n">
        <v>2.83122062683105E-007</v>
      </c>
      <c r="L202" s="16" t="n">
        <v>0</v>
      </c>
      <c r="M202" s="16" t="n">
        <v>137317.57</v>
      </c>
      <c r="N202" s="16" t="n">
        <v>0</v>
      </c>
      <c r="O202" s="16" t="n">
        <v>1000000</v>
      </c>
      <c r="P202" s="16" t="n">
        <v>0</v>
      </c>
      <c r="Q202" s="16" t="n">
        <v>23513434.5</v>
      </c>
      <c r="R202" s="16" t="n">
        <v>7121810</v>
      </c>
      <c r="S202" s="16" t="n">
        <v>5644007</v>
      </c>
      <c r="T202" s="16" t="n">
        <v>20887594.86</v>
      </c>
      <c r="U202" s="16" t="n">
        <v>2560525</v>
      </c>
      <c r="V202" s="16"/>
      <c r="W202" s="16" t="n">
        <v>0</v>
      </c>
      <c r="X202" s="16" t="n">
        <v>0</v>
      </c>
      <c r="Y202" s="16" t="n">
        <v>1803840</v>
      </c>
      <c r="Z202" s="16" t="n">
        <v>2300803</v>
      </c>
      <c r="AA202" s="16" t="n">
        <v>8821363.34</v>
      </c>
      <c r="AB202" s="16" t="n">
        <v>2343750</v>
      </c>
      <c r="AC202" s="16" t="n">
        <v>16316247</v>
      </c>
      <c r="AD202" s="16" t="n">
        <v>1050000</v>
      </c>
      <c r="AE202" s="16" t="n">
        <v>44836040.1</v>
      </c>
      <c r="AF202" s="16" t="n">
        <v>0</v>
      </c>
      <c r="AG202" s="16" t="n">
        <v>30637565.036478</v>
      </c>
      <c r="AH202" s="16" t="n">
        <v>1406624.87371621</v>
      </c>
    </row>
    <row r="203" customFormat="false" ht="15.75" hidden="false" customHeight="false" outlineLevel="0" collapsed="false">
      <c r="A203" s="28" t="n">
        <v>37026</v>
      </c>
      <c r="B203" s="16" t="n">
        <v>1250000</v>
      </c>
      <c r="C203" s="16" t="n">
        <v>2083768.15</v>
      </c>
      <c r="D203" s="16" t="n">
        <v>770244.5</v>
      </c>
      <c r="E203" s="16"/>
      <c r="F203" s="16"/>
      <c r="G203" s="16"/>
      <c r="H203" s="16" t="n">
        <v>0</v>
      </c>
      <c r="I203" s="16" t="n">
        <v>0</v>
      </c>
      <c r="J203" s="16"/>
      <c r="K203" s="16" t="n">
        <v>2.83122062683105E-007</v>
      </c>
      <c r="L203" s="16" t="n">
        <v>0</v>
      </c>
      <c r="M203" s="16" t="n">
        <v>137317.57</v>
      </c>
      <c r="N203" s="16" t="n">
        <v>0</v>
      </c>
      <c r="O203" s="16" t="n">
        <v>1000000</v>
      </c>
      <c r="P203" s="16" t="n">
        <v>0</v>
      </c>
      <c r="Q203" s="16" t="n">
        <v>23513434.5</v>
      </c>
      <c r="R203" s="16" t="n">
        <v>7121810</v>
      </c>
      <c r="S203" s="16" t="n">
        <v>5644007</v>
      </c>
      <c r="T203" s="16" t="n">
        <v>20887594.86</v>
      </c>
      <c r="U203" s="16" t="n">
        <v>2560525</v>
      </c>
      <c r="V203" s="16"/>
      <c r="W203" s="16" t="n">
        <v>0</v>
      </c>
      <c r="X203" s="16" t="n">
        <v>0</v>
      </c>
      <c r="Y203" s="16" t="n">
        <v>1803840</v>
      </c>
      <c r="Z203" s="16" t="n">
        <v>2300803</v>
      </c>
      <c r="AA203" s="16" t="n">
        <v>8821363.34</v>
      </c>
      <c r="AB203" s="16" t="n">
        <v>2343750</v>
      </c>
      <c r="AC203" s="16" t="n">
        <v>16316247</v>
      </c>
      <c r="AD203" s="16" t="n">
        <v>1050000</v>
      </c>
      <c r="AE203" s="16" t="n">
        <v>44836040.1</v>
      </c>
      <c r="AF203" s="16" t="n">
        <v>0</v>
      </c>
      <c r="AG203" s="16" t="n">
        <v>30637565.036478</v>
      </c>
      <c r="AH203" s="16" t="n">
        <v>1406605.44418714</v>
      </c>
    </row>
    <row r="204" customFormat="false" ht="15.75" hidden="false" customHeight="false" outlineLevel="0" collapsed="false">
      <c r="A204" s="28" t="n">
        <v>37027</v>
      </c>
      <c r="B204" s="16" t="n">
        <v>1250000</v>
      </c>
      <c r="C204" s="16" t="n">
        <v>2083768.15</v>
      </c>
      <c r="D204" s="16" t="n">
        <v>770244.5</v>
      </c>
      <c r="E204" s="16"/>
      <c r="F204" s="16"/>
      <c r="G204" s="16"/>
      <c r="H204" s="16" t="n">
        <v>0</v>
      </c>
      <c r="I204" s="16" t="n">
        <v>0</v>
      </c>
      <c r="J204" s="16"/>
      <c r="K204" s="16" t="n">
        <v>2.83122062683105E-007</v>
      </c>
      <c r="L204" s="16" t="n">
        <v>0</v>
      </c>
      <c r="M204" s="16" t="n">
        <v>137317.57</v>
      </c>
      <c r="N204" s="16" t="n">
        <v>0</v>
      </c>
      <c r="O204" s="16" t="n">
        <v>1000000</v>
      </c>
      <c r="P204" s="16" t="n">
        <v>0</v>
      </c>
      <c r="Q204" s="16" t="n">
        <v>23513434.5</v>
      </c>
      <c r="R204" s="16" t="n">
        <v>7121810</v>
      </c>
      <c r="S204" s="16" t="n">
        <v>5644007</v>
      </c>
      <c r="T204" s="16" t="n">
        <v>20887594.86</v>
      </c>
      <c r="U204" s="16" t="n">
        <v>2560525</v>
      </c>
      <c r="V204" s="16"/>
      <c r="W204" s="16" t="n">
        <v>0</v>
      </c>
      <c r="X204" s="16" t="n">
        <v>0</v>
      </c>
      <c r="Y204" s="16" t="n">
        <v>1803840</v>
      </c>
      <c r="Z204" s="16" t="n">
        <v>2300803</v>
      </c>
      <c r="AA204" s="16" t="n">
        <v>8821363.34</v>
      </c>
      <c r="AB204" s="16" t="n">
        <v>2343750</v>
      </c>
      <c r="AC204" s="16" t="n">
        <v>16316247</v>
      </c>
      <c r="AD204" s="16" t="n">
        <v>1050000</v>
      </c>
      <c r="AE204" s="16" t="n">
        <v>44836040.1</v>
      </c>
      <c r="AF204" s="16" t="n">
        <v>0</v>
      </c>
      <c r="AG204" s="16" t="n">
        <v>30637565.036478</v>
      </c>
      <c r="AH204" s="16" t="n">
        <v>1442963.0699831</v>
      </c>
    </row>
    <row r="205" customFormat="false" ht="15.75" hidden="false" customHeight="false" outlineLevel="0" collapsed="false">
      <c r="A205" s="28" t="n">
        <v>37028</v>
      </c>
      <c r="B205" s="16" t="n">
        <v>1250000</v>
      </c>
      <c r="C205" s="16" t="n">
        <v>2083768.15</v>
      </c>
      <c r="D205" s="16" t="n">
        <v>770244.5</v>
      </c>
      <c r="E205" s="16"/>
      <c r="F205" s="16"/>
      <c r="G205" s="16"/>
      <c r="H205" s="16" t="n">
        <v>0</v>
      </c>
      <c r="I205" s="16" t="n">
        <v>0</v>
      </c>
      <c r="J205" s="16"/>
      <c r="K205" s="16" t="n">
        <v>2.83122062683105E-007</v>
      </c>
      <c r="L205" s="16" t="n">
        <v>0</v>
      </c>
      <c r="M205" s="16" t="n">
        <v>137317.57</v>
      </c>
      <c r="N205" s="16" t="n">
        <v>0</v>
      </c>
      <c r="O205" s="16" t="n">
        <v>1000000</v>
      </c>
      <c r="P205" s="16" t="n">
        <v>0</v>
      </c>
      <c r="Q205" s="16" t="n">
        <v>23513434.5</v>
      </c>
      <c r="R205" s="16" t="n">
        <v>7121810</v>
      </c>
      <c r="S205" s="16" t="n">
        <v>5644007</v>
      </c>
      <c r="T205" s="16" t="n">
        <v>20887594.86</v>
      </c>
      <c r="U205" s="16" t="n">
        <v>2560525</v>
      </c>
      <c r="V205" s="16"/>
      <c r="W205" s="16" t="n">
        <v>0</v>
      </c>
      <c r="X205" s="16" t="n">
        <v>0</v>
      </c>
      <c r="Y205" s="16" t="n">
        <v>1803840</v>
      </c>
      <c r="Z205" s="16" t="n">
        <v>2300803</v>
      </c>
      <c r="AA205" s="16" t="n">
        <v>8821363.34</v>
      </c>
      <c r="AB205" s="16" t="n">
        <v>2343750</v>
      </c>
      <c r="AC205" s="16" t="n">
        <v>16316247</v>
      </c>
      <c r="AD205" s="16" t="n">
        <v>1050000</v>
      </c>
      <c r="AE205" s="16" t="n">
        <v>44836040.1</v>
      </c>
      <c r="AF205" s="16" t="n">
        <v>0</v>
      </c>
      <c r="AG205" s="16" t="n">
        <v>30637565.036478</v>
      </c>
      <c r="AH205" s="16" t="n">
        <v>1433233.82159533</v>
      </c>
    </row>
    <row r="206" customFormat="false" ht="15.75" hidden="false" customHeight="false" outlineLevel="0" collapsed="false">
      <c r="A206" s="28" t="n">
        <v>37029</v>
      </c>
      <c r="B206" s="16" t="n">
        <v>1250000</v>
      </c>
      <c r="C206" s="16" t="n">
        <v>2083768.15</v>
      </c>
      <c r="D206" s="16" t="n">
        <v>770244.5</v>
      </c>
      <c r="E206" s="16"/>
      <c r="F206" s="16"/>
      <c r="G206" s="16"/>
      <c r="H206" s="16" t="n">
        <v>0</v>
      </c>
      <c r="I206" s="16" t="n">
        <v>0</v>
      </c>
      <c r="J206" s="16"/>
      <c r="K206" s="16" t="n">
        <v>2.83122062683105E-007</v>
      </c>
      <c r="L206" s="16" t="n">
        <v>0</v>
      </c>
      <c r="M206" s="16" t="n">
        <v>137317.57</v>
      </c>
      <c r="N206" s="16" t="n">
        <v>0</v>
      </c>
      <c r="O206" s="16" t="n">
        <v>1000000</v>
      </c>
      <c r="P206" s="16" t="n">
        <v>0</v>
      </c>
      <c r="Q206" s="16" t="n">
        <v>23513434.5</v>
      </c>
      <c r="R206" s="16" t="n">
        <v>7121810</v>
      </c>
      <c r="S206" s="16" t="n">
        <v>5644007</v>
      </c>
      <c r="T206" s="16" t="n">
        <v>20887594.86</v>
      </c>
      <c r="U206" s="16" t="n">
        <v>2560525</v>
      </c>
      <c r="V206" s="16"/>
      <c r="W206" s="16" t="n">
        <v>0</v>
      </c>
      <c r="X206" s="16" t="n">
        <v>0</v>
      </c>
      <c r="Y206" s="16" t="n">
        <v>1803840</v>
      </c>
      <c r="Z206" s="16" t="n">
        <v>2300803</v>
      </c>
      <c r="AA206" s="16" t="n">
        <v>8821363.34</v>
      </c>
      <c r="AB206" s="16" t="n">
        <v>2343750</v>
      </c>
      <c r="AC206" s="16" t="n">
        <v>16316247</v>
      </c>
      <c r="AD206" s="16" t="n">
        <v>1050000</v>
      </c>
      <c r="AE206" s="16" t="n">
        <v>44836040.1</v>
      </c>
      <c r="AF206" s="16" t="n">
        <v>0</v>
      </c>
      <c r="AG206" s="16" t="n">
        <v>30637565.036478</v>
      </c>
      <c r="AH206" s="16" t="n">
        <v>1435822.19109612</v>
      </c>
    </row>
    <row r="207" customFormat="false" ht="15.75" hidden="false" customHeight="false" outlineLevel="0" collapsed="false">
      <c r="A207" s="28" t="n">
        <v>37032</v>
      </c>
      <c r="B207" s="16" t="n">
        <v>1250000</v>
      </c>
      <c r="C207" s="16" t="n">
        <v>2083768.15</v>
      </c>
      <c r="D207" s="16" t="n">
        <v>770244.5</v>
      </c>
      <c r="E207" s="16"/>
      <c r="F207" s="16"/>
      <c r="G207" s="16"/>
      <c r="H207" s="16" t="n">
        <v>0</v>
      </c>
      <c r="I207" s="16" t="n">
        <v>0</v>
      </c>
      <c r="J207" s="16"/>
      <c r="K207" s="16" t="n">
        <v>2.83122062683105E-007</v>
      </c>
      <c r="L207" s="16" t="n">
        <v>0</v>
      </c>
      <c r="M207" s="16" t="n">
        <v>137317.57</v>
      </c>
      <c r="N207" s="16" t="n">
        <v>0</v>
      </c>
      <c r="O207" s="16" t="n">
        <v>1000000</v>
      </c>
      <c r="P207" s="16" t="n">
        <v>0</v>
      </c>
      <c r="Q207" s="16" t="n">
        <v>23513434.5</v>
      </c>
      <c r="R207" s="16" t="n">
        <v>7121810</v>
      </c>
      <c r="S207" s="16" t="n">
        <v>5644007</v>
      </c>
      <c r="T207" s="16" t="n">
        <v>20887594.86</v>
      </c>
      <c r="U207" s="16" t="n">
        <v>2560525</v>
      </c>
      <c r="V207" s="16"/>
      <c r="W207" s="16" t="n">
        <v>0</v>
      </c>
      <c r="X207" s="16" t="n">
        <v>0</v>
      </c>
      <c r="Y207" s="16" t="n">
        <v>1803840</v>
      </c>
      <c r="Z207" s="16" t="n">
        <v>2300803</v>
      </c>
      <c r="AA207" s="16" t="n">
        <v>8821363.34</v>
      </c>
      <c r="AB207" s="16" t="n">
        <v>2343750</v>
      </c>
      <c r="AC207" s="16" t="n">
        <v>16316247</v>
      </c>
      <c r="AD207" s="16" t="n">
        <v>1050000</v>
      </c>
      <c r="AE207" s="16" t="n">
        <v>44836040.1</v>
      </c>
      <c r="AF207" s="16" t="n">
        <v>0</v>
      </c>
      <c r="AG207" s="16" t="n">
        <v>30637565.036478</v>
      </c>
      <c r="AH207" s="16" t="n">
        <v>1460886.32032487</v>
      </c>
    </row>
    <row r="208" customFormat="false" ht="15.75" hidden="false" customHeight="false" outlineLevel="0" collapsed="false">
      <c r="A208" s="28" t="n">
        <v>37033</v>
      </c>
      <c r="B208" s="16" t="n">
        <v>1250000</v>
      </c>
      <c r="C208" s="16" t="n">
        <v>2083768.15</v>
      </c>
      <c r="D208" s="16" t="n">
        <v>770244.5</v>
      </c>
      <c r="E208" s="16"/>
      <c r="F208" s="16"/>
      <c r="G208" s="16"/>
      <c r="H208" s="16" t="n">
        <v>0</v>
      </c>
      <c r="I208" s="16" t="n">
        <v>0</v>
      </c>
      <c r="J208" s="16"/>
      <c r="K208" s="16" t="n">
        <v>2.83122062683105E-007</v>
      </c>
      <c r="L208" s="16" t="n">
        <v>0</v>
      </c>
      <c r="M208" s="16" t="n">
        <v>137317.57</v>
      </c>
      <c r="N208" s="16" t="n">
        <v>0</v>
      </c>
      <c r="O208" s="16" t="n">
        <v>1000000</v>
      </c>
      <c r="P208" s="16" t="n">
        <v>0</v>
      </c>
      <c r="Q208" s="16" t="n">
        <v>23513434.5</v>
      </c>
      <c r="R208" s="16" t="n">
        <v>7121810</v>
      </c>
      <c r="S208" s="16" t="n">
        <v>5644007</v>
      </c>
      <c r="T208" s="16" t="n">
        <v>20887594.86</v>
      </c>
      <c r="U208" s="16" t="n">
        <v>2560525</v>
      </c>
      <c r="V208" s="16"/>
      <c r="W208" s="16" t="n">
        <v>0</v>
      </c>
      <c r="X208" s="16" t="n">
        <v>0</v>
      </c>
      <c r="Y208" s="16" t="n">
        <v>1803840</v>
      </c>
      <c r="Z208" s="16" t="n">
        <v>2300803</v>
      </c>
      <c r="AA208" s="16" t="n">
        <v>8821363.34</v>
      </c>
      <c r="AB208" s="16" t="n">
        <v>2343750</v>
      </c>
      <c r="AC208" s="16" t="n">
        <v>16316247</v>
      </c>
      <c r="AD208" s="16" t="n">
        <v>1050000</v>
      </c>
      <c r="AE208" s="16" t="n">
        <v>44836040.1</v>
      </c>
      <c r="AF208" s="16" t="n">
        <v>0</v>
      </c>
      <c r="AG208" s="16" t="n">
        <v>30637565.036478</v>
      </c>
      <c r="AH208" s="16" t="n">
        <v>1465306.33958986</v>
      </c>
    </row>
    <row r="209" customFormat="false" ht="15.75" hidden="false" customHeight="false" outlineLevel="0" collapsed="false">
      <c r="A209" s="28" t="n">
        <v>37034</v>
      </c>
      <c r="B209" s="16" t="n">
        <v>1250000</v>
      </c>
      <c r="C209" s="16" t="n">
        <v>2083768.15</v>
      </c>
      <c r="D209" s="16" t="n">
        <v>770244.5</v>
      </c>
      <c r="E209" s="16"/>
      <c r="F209" s="16"/>
      <c r="G209" s="16"/>
      <c r="H209" s="16" t="n">
        <v>0</v>
      </c>
      <c r="I209" s="16" t="n">
        <v>0</v>
      </c>
      <c r="J209" s="16"/>
      <c r="K209" s="16" t="n">
        <v>2.83122062683105E-007</v>
      </c>
      <c r="L209" s="16" t="n">
        <v>0</v>
      </c>
      <c r="M209" s="16" t="n">
        <v>137317.57</v>
      </c>
      <c r="N209" s="16" t="n">
        <v>0</v>
      </c>
      <c r="O209" s="16" t="n">
        <v>1000000</v>
      </c>
      <c r="P209" s="16" t="n">
        <v>0</v>
      </c>
      <c r="Q209" s="16" t="n">
        <v>23513434.5</v>
      </c>
      <c r="R209" s="16" t="n">
        <v>7121810</v>
      </c>
      <c r="S209" s="16" t="n">
        <v>5644007</v>
      </c>
      <c r="T209" s="16" t="n">
        <v>20887594.86</v>
      </c>
      <c r="U209" s="16" t="n">
        <v>2560525</v>
      </c>
      <c r="V209" s="16"/>
      <c r="W209" s="16" t="n">
        <v>0</v>
      </c>
      <c r="X209" s="16" t="n">
        <v>0</v>
      </c>
      <c r="Y209" s="16" t="n">
        <v>1803840</v>
      </c>
      <c r="Z209" s="16" t="n">
        <v>2300803</v>
      </c>
      <c r="AA209" s="16" t="n">
        <v>8821363.34</v>
      </c>
      <c r="AB209" s="16" t="n">
        <v>2343750</v>
      </c>
      <c r="AC209" s="16" t="n">
        <v>16316247</v>
      </c>
      <c r="AD209" s="16" t="n">
        <v>1050000</v>
      </c>
      <c r="AE209" s="16" t="n">
        <v>44836040.1</v>
      </c>
      <c r="AF209" s="16" t="n">
        <v>0</v>
      </c>
      <c r="AG209" s="16" t="n">
        <v>30637565.036478</v>
      </c>
      <c r="AH209" s="16" t="n">
        <v>1458938.42377444</v>
      </c>
    </row>
    <row r="210" customFormat="false" ht="15.75" hidden="false" customHeight="false" outlineLevel="0" collapsed="false">
      <c r="A210" s="28" t="n">
        <v>37035</v>
      </c>
      <c r="B210" s="16" t="n">
        <v>1250000</v>
      </c>
      <c r="C210" s="16" t="n">
        <v>2083768.15</v>
      </c>
      <c r="D210" s="16" t="n">
        <v>770244.5</v>
      </c>
      <c r="E210" s="16"/>
      <c r="F210" s="16"/>
      <c r="G210" s="16"/>
      <c r="H210" s="16" t="n">
        <v>0</v>
      </c>
      <c r="I210" s="16" t="n">
        <v>0</v>
      </c>
      <c r="J210" s="16"/>
      <c r="K210" s="16" t="n">
        <v>2.83122062683105E-007</v>
      </c>
      <c r="L210" s="16" t="n">
        <v>0</v>
      </c>
      <c r="M210" s="16" t="n">
        <v>137317.57</v>
      </c>
      <c r="N210" s="16" t="n">
        <v>0</v>
      </c>
      <c r="O210" s="16" t="n">
        <v>1000000</v>
      </c>
      <c r="P210" s="16" t="n">
        <v>0</v>
      </c>
      <c r="Q210" s="16" t="n">
        <v>23513434.5</v>
      </c>
      <c r="R210" s="16" t="n">
        <v>7121810</v>
      </c>
      <c r="S210" s="16" t="n">
        <v>5644007</v>
      </c>
      <c r="T210" s="16" t="n">
        <v>20887594.86</v>
      </c>
      <c r="U210" s="16" t="n">
        <v>2560525</v>
      </c>
      <c r="V210" s="16"/>
      <c r="W210" s="16" t="n">
        <v>0</v>
      </c>
      <c r="X210" s="16" t="n">
        <v>0</v>
      </c>
      <c r="Y210" s="16" t="n">
        <v>1803840</v>
      </c>
      <c r="Z210" s="16" t="n">
        <v>2300803</v>
      </c>
      <c r="AA210" s="16" t="n">
        <v>8821363.34</v>
      </c>
      <c r="AB210" s="16" t="n">
        <v>2343750</v>
      </c>
      <c r="AC210" s="16" t="n">
        <v>16316247</v>
      </c>
      <c r="AD210" s="16" t="n">
        <v>1050000</v>
      </c>
      <c r="AE210" s="16" t="n">
        <v>44836040.1</v>
      </c>
      <c r="AF210" s="16" t="n">
        <v>0</v>
      </c>
      <c r="AG210" s="16" t="n">
        <v>30637565.036478</v>
      </c>
      <c r="AH210" s="16" t="n">
        <v>1453026.14593148</v>
      </c>
    </row>
    <row r="211" customFormat="false" ht="15.75" hidden="false" customHeight="false" outlineLevel="0" collapsed="false">
      <c r="A211" s="28" t="n">
        <v>37036</v>
      </c>
      <c r="B211" s="16" t="n">
        <v>1250000</v>
      </c>
      <c r="C211" s="16" t="n">
        <v>2083768.15</v>
      </c>
      <c r="D211" s="16" t="n">
        <v>770244.5</v>
      </c>
      <c r="E211" s="16"/>
      <c r="F211" s="16"/>
      <c r="G211" s="16"/>
      <c r="H211" s="16" t="n">
        <v>0</v>
      </c>
      <c r="I211" s="16" t="n">
        <v>0</v>
      </c>
      <c r="J211" s="16"/>
      <c r="K211" s="16" t="n">
        <v>2.83122062683105E-007</v>
      </c>
      <c r="L211" s="16" t="n">
        <v>0</v>
      </c>
      <c r="M211" s="16" t="n">
        <v>137317.57</v>
      </c>
      <c r="N211" s="16" t="n">
        <v>0</v>
      </c>
      <c r="O211" s="16" t="n">
        <v>1000000</v>
      </c>
      <c r="P211" s="16" t="n">
        <v>0</v>
      </c>
      <c r="Q211" s="16" t="n">
        <v>23513434.5</v>
      </c>
      <c r="R211" s="16" t="n">
        <v>7121810</v>
      </c>
      <c r="S211" s="16" t="n">
        <v>5644007</v>
      </c>
      <c r="T211" s="16" t="n">
        <v>20887594.86</v>
      </c>
      <c r="U211" s="16" t="n">
        <v>2560525</v>
      </c>
      <c r="V211" s="16"/>
      <c r="W211" s="16" t="n">
        <v>0</v>
      </c>
      <c r="X211" s="16" t="n">
        <v>0</v>
      </c>
      <c r="Y211" s="16" t="n">
        <v>1803840</v>
      </c>
      <c r="Z211" s="16" t="n">
        <v>2300803</v>
      </c>
      <c r="AA211" s="16" t="n">
        <v>8821363.34</v>
      </c>
      <c r="AB211" s="16" t="n">
        <v>2343750</v>
      </c>
      <c r="AC211" s="16" t="n">
        <v>16316247</v>
      </c>
      <c r="AD211" s="16" t="n">
        <v>1050000</v>
      </c>
      <c r="AE211" s="16" t="n">
        <v>44836040.1</v>
      </c>
      <c r="AF211" s="16" t="n">
        <v>0</v>
      </c>
      <c r="AG211" s="16" t="n">
        <v>30637565.036478</v>
      </c>
      <c r="AH211" s="16" t="n">
        <v>1453989.23742316</v>
      </c>
    </row>
    <row r="212" customFormat="false" ht="15.75" hidden="false" customHeight="false" outlineLevel="0" collapsed="false">
      <c r="A212" s="28" t="n">
        <v>37040</v>
      </c>
      <c r="B212" s="16" t="n">
        <v>1250000</v>
      </c>
      <c r="C212" s="16" t="n">
        <v>2083768.15</v>
      </c>
      <c r="D212" s="16" t="n">
        <v>770244.5</v>
      </c>
      <c r="E212" s="16"/>
      <c r="F212" s="16"/>
      <c r="G212" s="16"/>
      <c r="H212" s="16" t="n">
        <v>0</v>
      </c>
      <c r="I212" s="16" t="n">
        <v>0</v>
      </c>
      <c r="J212" s="16"/>
      <c r="K212" s="16" t="n">
        <v>2.83122062683105E-007</v>
      </c>
      <c r="L212" s="16" t="n">
        <v>0</v>
      </c>
      <c r="M212" s="16" t="n">
        <v>137317.57</v>
      </c>
      <c r="N212" s="16" t="n">
        <v>0</v>
      </c>
      <c r="O212" s="16" t="n">
        <v>1000000</v>
      </c>
      <c r="P212" s="16" t="n">
        <v>0</v>
      </c>
      <c r="Q212" s="16" t="n">
        <v>23513434.5</v>
      </c>
      <c r="R212" s="16" t="n">
        <v>7121810</v>
      </c>
      <c r="S212" s="16" t="n">
        <v>5644007</v>
      </c>
      <c r="T212" s="16" t="n">
        <v>20887594.86</v>
      </c>
      <c r="U212" s="16" t="n">
        <v>2560525</v>
      </c>
      <c r="V212" s="16"/>
      <c r="W212" s="16" t="n">
        <v>0</v>
      </c>
      <c r="X212" s="16" t="n">
        <v>0</v>
      </c>
      <c r="Y212" s="16" t="n">
        <v>1803840</v>
      </c>
      <c r="Z212" s="16" t="n">
        <v>2300803</v>
      </c>
      <c r="AA212" s="16" t="n">
        <v>8821363.34</v>
      </c>
      <c r="AB212" s="16" t="n">
        <v>2343750</v>
      </c>
      <c r="AC212" s="16" t="n">
        <v>16316247</v>
      </c>
      <c r="AD212" s="16" t="n">
        <v>1050000</v>
      </c>
      <c r="AE212" s="16" t="n">
        <v>44836040.1</v>
      </c>
      <c r="AF212" s="16" t="n">
        <v>0</v>
      </c>
      <c r="AG212" s="16" t="n">
        <v>30637565.036478</v>
      </c>
      <c r="AH212" s="16" t="n">
        <v>1456496.58312994</v>
      </c>
    </row>
    <row r="213" customFormat="false" ht="15.75" hidden="false" customHeight="false" outlineLevel="0" collapsed="false">
      <c r="A213" s="28" t="n">
        <v>37041</v>
      </c>
      <c r="B213" s="16" t="n">
        <v>1250000</v>
      </c>
      <c r="C213" s="16" t="n">
        <v>2083768.15</v>
      </c>
      <c r="D213" s="16" t="n">
        <v>770244.5</v>
      </c>
      <c r="E213" s="16"/>
      <c r="F213" s="16"/>
      <c r="G213" s="16"/>
      <c r="H213" s="16" t="n">
        <v>0</v>
      </c>
      <c r="I213" s="16" t="n">
        <v>0</v>
      </c>
      <c r="J213" s="16"/>
      <c r="K213" s="16" t="n">
        <v>2.83122062683105E-007</v>
      </c>
      <c r="L213" s="16" t="n">
        <v>0</v>
      </c>
      <c r="M213" s="16" t="n">
        <v>137317.57</v>
      </c>
      <c r="N213" s="16" t="n">
        <v>0</v>
      </c>
      <c r="O213" s="16" t="n">
        <v>1000000</v>
      </c>
      <c r="P213" s="16" t="n">
        <v>0</v>
      </c>
      <c r="Q213" s="16" t="n">
        <v>23513434.5</v>
      </c>
      <c r="R213" s="16" t="n">
        <v>7121810</v>
      </c>
      <c r="S213" s="16" t="n">
        <v>5644007</v>
      </c>
      <c r="T213" s="16" t="n">
        <v>20887594.86</v>
      </c>
      <c r="U213" s="16" t="n">
        <v>2560525</v>
      </c>
      <c r="V213" s="16"/>
      <c r="W213" s="16" t="n">
        <v>0</v>
      </c>
      <c r="X213" s="16" t="n">
        <v>0</v>
      </c>
      <c r="Y213" s="16" t="n">
        <v>1803840</v>
      </c>
      <c r="Z213" s="16" t="n">
        <v>2300803</v>
      </c>
      <c r="AA213" s="16" t="n">
        <v>8821363.34</v>
      </c>
      <c r="AB213" s="16" t="n">
        <v>2343750</v>
      </c>
      <c r="AC213" s="16" t="n">
        <v>16316247</v>
      </c>
      <c r="AD213" s="16" t="n">
        <v>1050000</v>
      </c>
      <c r="AE213" s="16" t="n">
        <v>44836040.1</v>
      </c>
      <c r="AF213" s="16" t="n">
        <v>0</v>
      </c>
      <c r="AG213" s="16" t="n">
        <v>30637565.036478</v>
      </c>
      <c r="AH213" s="16" t="n">
        <v>1451812.44163536</v>
      </c>
    </row>
    <row r="214" customFormat="false" ht="15.75" hidden="false" customHeight="false" outlineLevel="0" collapsed="false">
      <c r="A214" s="28" t="n">
        <v>37042</v>
      </c>
      <c r="B214" s="16" t="n">
        <v>1250000</v>
      </c>
      <c r="C214" s="16" t="n">
        <v>2083768.15</v>
      </c>
      <c r="D214" s="16" t="n">
        <v>770244.5</v>
      </c>
      <c r="E214" s="16"/>
      <c r="F214" s="16"/>
      <c r="G214" s="16"/>
      <c r="H214" s="16" t="n">
        <v>0</v>
      </c>
      <c r="I214" s="16" t="n">
        <v>0</v>
      </c>
      <c r="J214" s="16"/>
      <c r="K214" s="16" t="n">
        <v>2.83122062683105E-007</v>
      </c>
      <c r="L214" s="16" t="n">
        <v>0</v>
      </c>
      <c r="M214" s="16" t="n">
        <v>137317.57</v>
      </c>
      <c r="N214" s="16" t="n">
        <v>0</v>
      </c>
      <c r="O214" s="16" t="n">
        <v>1000000</v>
      </c>
      <c r="P214" s="16" t="n">
        <v>0</v>
      </c>
      <c r="Q214" s="16" t="n">
        <v>23513434.5</v>
      </c>
      <c r="R214" s="16" t="n">
        <v>7121810</v>
      </c>
      <c r="S214" s="16" t="n">
        <v>5644007</v>
      </c>
      <c r="T214" s="16" t="n">
        <v>20887594.86</v>
      </c>
      <c r="U214" s="16" t="n">
        <v>2560525</v>
      </c>
      <c r="V214" s="16"/>
      <c r="W214" s="16" t="n">
        <v>0</v>
      </c>
      <c r="X214" s="16" t="n">
        <v>0</v>
      </c>
      <c r="Y214" s="16" t="n">
        <v>1803840</v>
      </c>
      <c r="Z214" s="16" t="n">
        <v>2300803</v>
      </c>
      <c r="AA214" s="16" t="n">
        <v>8821363.34</v>
      </c>
      <c r="AB214" s="16" t="n">
        <v>2343750</v>
      </c>
      <c r="AC214" s="16" t="n">
        <v>16316247</v>
      </c>
      <c r="AD214" s="16" t="n">
        <v>1050000</v>
      </c>
      <c r="AE214" s="16" t="n">
        <v>44836040.1</v>
      </c>
      <c r="AF214" s="16" t="n">
        <v>0</v>
      </c>
      <c r="AG214" s="16" t="n">
        <v>30637565.036478</v>
      </c>
      <c r="AH214" s="16" t="n">
        <v>1406123.48579022</v>
      </c>
    </row>
    <row r="215" customFormat="false" ht="15.75" hidden="false" customHeight="false" outlineLevel="0" collapsed="false">
      <c r="A215" s="28" t="n">
        <v>37043</v>
      </c>
      <c r="B215" s="16" t="n">
        <v>1250000</v>
      </c>
      <c r="C215" s="16" t="n">
        <v>2083768.15</v>
      </c>
      <c r="D215" s="16" t="n">
        <v>770244.5</v>
      </c>
      <c r="E215" s="16"/>
      <c r="F215" s="16"/>
      <c r="G215" s="16"/>
      <c r="H215" s="16" t="n">
        <v>0</v>
      </c>
      <c r="I215" s="16" t="n">
        <v>0</v>
      </c>
      <c r="J215" s="16"/>
      <c r="K215" s="16" t="n">
        <v>2.83122062683105E-007</v>
      </c>
      <c r="L215" s="16" t="n">
        <v>0</v>
      </c>
      <c r="M215" s="16" t="n">
        <v>137317.57</v>
      </c>
      <c r="N215" s="16" t="n">
        <v>0</v>
      </c>
      <c r="O215" s="16" t="n">
        <v>1000000</v>
      </c>
      <c r="P215" s="16" t="n">
        <v>0</v>
      </c>
      <c r="Q215" s="16" t="n">
        <v>23513434.5</v>
      </c>
      <c r="R215" s="16" t="n">
        <v>7121810</v>
      </c>
      <c r="S215" s="16" t="n">
        <v>5644007</v>
      </c>
      <c r="T215" s="16" t="n">
        <v>20887594.86</v>
      </c>
      <c r="U215" s="16" t="n">
        <v>2560525</v>
      </c>
      <c r="V215" s="16"/>
      <c r="W215" s="16" t="n">
        <v>0</v>
      </c>
      <c r="X215" s="16" t="n">
        <v>0</v>
      </c>
      <c r="Y215" s="16" t="n">
        <v>1803840</v>
      </c>
      <c r="Z215" s="16" t="n">
        <v>2300803</v>
      </c>
      <c r="AA215" s="16" t="n">
        <v>8821363.34</v>
      </c>
      <c r="AB215" s="16" t="n">
        <v>2343750</v>
      </c>
      <c r="AC215" s="16" t="n">
        <v>16316247</v>
      </c>
      <c r="AD215" s="16" t="n">
        <v>1050000</v>
      </c>
      <c r="AE215" s="16" t="n">
        <v>44836040.1</v>
      </c>
      <c r="AF215" s="16" t="n">
        <v>0</v>
      </c>
      <c r="AG215" s="16" t="n">
        <v>30637565.036478</v>
      </c>
      <c r="AH215" s="16" t="n">
        <v>1417961.91696565</v>
      </c>
    </row>
    <row r="216" customFormat="false" ht="15.75" hidden="false" customHeight="false" outlineLevel="0" collapsed="false">
      <c r="A216" s="28" t="n">
        <v>37046</v>
      </c>
      <c r="B216" s="16" t="n">
        <v>1250000</v>
      </c>
      <c r="C216" s="16" t="n">
        <v>2083768.15</v>
      </c>
      <c r="D216" s="16" t="n">
        <v>770244.5</v>
      </c>
      <c r="E216" s="16"/>
      <c r="F216" s="16"/>
      <c r="G216" s="16"/>
      <c r="H216" s="16" t="n">
        <v>0</v>
      </c>
      <c r="I216" s="16" t="n">
        <v>0</v>
      </c>
      <c r="J216" s="16"/>
      <c r="K216" s="16" t="n">
        <v>2.83122062683105E-007</v>
      </c>
      <c r="L216" s="16" t="n">
        <v>0</v>
      </c>
      <c r="M216" s="16" t="n">
        <v>137317.57</v>
      </c>
      <c r="N216" s="16" t="n">
        <v>0</v>
      </c>
      <c r="O216" s="16" t="n">
        <v>1000000</v>
      </c>
      <c r="P216" s="16" t="n">
        <v>0</v>
      </c>
      <c r="Q216" s="16" t="n">
        <v>23513434.5</v>
      </c>
      <c r="R216" s="16" t="n">
        <v>7121810</v>
      </c>
      <c r="S216" s="16" t="n">
        <v>5644007</v>
      </c>
      <c r="T216" s="16" t="n">
        <v>20887594.86</v>
      </c>
      <c r="U216" s="16" t="n">
        <v>2560525</v>
      </c>
      <c r="V216" s="16"/>
      <c r="W216" s="16" t="n">
        <v>0</v>
      </c>
      <c r="X216" s="16" t="n">
        <v>0</v>
      </c>
      <c r="Y216" s="16" t="n">
        <v>1803840</v>
      </c>
      <c r="Z216" s="16" t="n">
        <v>2300803</v>
      </c>
      <c r="AA216" s="16" t="n">
        <v>8821363.34</v>
      </c>
      <c r="AB216" s="16" t="n">
        <v>2343750</v>
      </c>
      <c r="AC216" s="16" t="n">
        <v>16316247</v>
      </c>
      <c r="AD216" s="16" t="n">
        <v>1050000</v>
      </c>
      <c r="AE216" s="16" t="n">
        <v>44836040.1</v>
      </c>
      <c r="AF216" s="16" t="n">
        <v>0</v>
      </c>
      <c r="AG216" s="16" t="n">
        <v>30637565.036478</v>
      </c>
      <c r="AH216" s="16" t="n">
        <v>1423483.86249649</v>
      </c>
    </row>
    <row r="217" customFormat="false" ht="15.75" hidden="false" customHeight="false" outlineLevel="0" collapsed="false">
      <c r="A217" s="28" t="n">
        <v>37047</v>
      </c>
      <c r="B217" s="16" t="n">
        <v>1250000</v>
      </c>
      <c r="C217" s="16" t="n">
        <v>2083768.15</v>
      </c>
      <c r="D217" s="16" t="n">
        <v>770244.5</v>
      </c>
      <c r="E217" s="16"/>
      <c r="F217" s="16"/>
      <c r="G217" s="16"/>
      <c r="H217" s="16" t="n">
        <v>0</v>
      </c>
      <c r="I217" s="16" t="n">
        <v>0</v>
      </c>
      <c r="J217" s="16"/>
      <c r="K217" s="16" t="n">
        <v>2.83122062683105E-007</v>
      </c>
      <c r="L217" s="16" t="n">
        <v>0</v>
      </c>
      <c r="M217" s="16" t="n">
        <v>137317.57</v>
      </c>
      <c r="N217" s="16" t="n">
        <v>0</v>
      </c>
      <c r="O217" s="16" t="n">
        <v>1000000</v>
      </c>
      <c r="P217" s="16" t="n">
        <v>0</v>
      </c>
      <c r="Q217" s="16" t="n">
        <v>23513434.5</v>
      </c>
      <c r="R217" s="16" t="n">
        <v>7121810</v>
      </c>
      <c r="S217" s="16" t="n">
        <v>5644007</v>
      </c>
      <c r="T217" s="16" t="n">
        <v>20887594.86</v>
      </c>
      <c r="U217" s="16" t="n">
        <v>2560525</v>
      </c>
      <c r="V217" s="16"/>
      <c r="W217" s="16" t="n">
        <v>0</v>
      </c>
      <c r="X217" s="16" t="n">
        <v>0</v>
      </c>
      <c r="Y217" s="16" t="n">
        <v>1803840</v>
      </c>
      <c r="Z217" s="16" t="n">
        <v>2300803</v>
      </c>
      <c r="AA217" s="16" t="n">
        <v>8821363.34</v>
      </c>
      <c r="AB217" s="16" t="n">
        <v>2343750</v>
      </c>
      <c r="AC217" s="16" t="n">
        <v>16316247</v>
      </c>
      <c r="AD217" s="16" t="n">
        <v>1050000</v>
      </c>
      <c r="AE217" s="16" t="n">
        <v>44836040.1</v>
      </c>
      <c r="AF217" s="16" t="n">
        <v>0</v>
      </c>
      <c r="AG217" s="16" t="n">
        <v>30637565.036478</v>
      </c>
      <c r="AH217" s="16" t="n">
        <v>1427116.79495907</v>
      </c>
    </row>
    <row r="218" customFormat="false" ht="15.75" hidden="false" customHeight="false" outlineLevel="0" collapsed="false">
      <c r="A218" s="28" t="n">
        <v>37048</v>
      </c>
      <c r="B218" s="16" t="n">
        <v>1250000</v>
      </c>
      <c r="C218" s="16" t="n">
        <v>2083768.15</v>
      </c>
      <c r="D218" s="16" t="n">
        <v>770244.5</v>
      </c>
      <c r="E218" s="16"/>
      <c r="F218" s="16"/>
      <c r="G218" s="16"/>
      <c r="H218" s="16" t="n">
        <v>0</v>
      </c>
      <c r="I218" s="16" t="n">
        <v>0</v>
      </c>
      <c r="J218" s="16"/>
      <c r="K218" s="16" t="n">
        <v>2.83122062683105E-007</v>
      </c>
      <c r="L218" s="16" t="n">
        <v>0</v>
      </c>
      <c r="M218" s="16" t="n">
        <v>137317.57</v>
      </c>
      <c r="N218" s="16" t="n">
        <v>0</v>
      </c>
      <c r="O218" s="16" t="n">
        <v>1000000</v>
      </c>
      <c r="P218" s="16" t="n">
        <v>0</v>
      </c>
      <c r="Q218" s="16" t="n">
        <v>23513434.5</v>
      </c>
      <c r="R218" s="16" t="n">
        <v>7121810</v>
      </c>
      <c r="S218" s="16" t="n">
        <v>5644007</v>
      </c>
      <c r="T218" s="16" t="n">
        <v>20887594.86</v>
      </c>
      <c r="U218" s="16" t="n">
        <v>2560525</v>
      </c>
      <c r="V218" s="16"/>
      <c r="W218" s="16" t="n">
        <v>0</v>
      </c>
      <c r="X218" s="16" t="n">
        <v>0</v>
      </c>
      <c r="Y218" s="16" t="n">
        <v>1803840</v>
      </c>
      <c r="Z218" s="16" t="n">
        <v>2300803</v>
      </c>
      <c r="AA218" s="16" t="n">
        <v>8821363.34</v>
      </c>
      <c r="AB218" s="16" t="n">
        <v>2343750</v>
      </c>
      <c r="AC218" s="16" t="n">
        <v>16316247</v>
      </c>
      <c r="AD218" s="16" t="n">
        <v>1050000</v>
      </c>
      <c r="AE218" s="16" t="n">
        <v>44836040.1</v>
      </c>
      <c r="AF218" s="16" t="n">
        <v>0</v>
      </c>
      <c r="AG218" s="16" t="n">
        <v>30637565.036478</v>
      </c>
      <c r="AH218" s="16" t="n">
        <v>1442315.7268071</v>
      </c>
    </row>
    <row r="219" customFormat="false" ht="15.75" hidden="false" customHeight="false" outlineLevel="0" collapsed="false">
      <c r="A219" s="28" t="n">
        <v>37049</v>
      </c>
      <c r="B219" s="16" t="n">
        <v>1250000</v>
      </c>
      <c r="C219" s="16" t="n">
        <v>2083768.15</v>
      </c>
      <c r="D219" s="16" t="n">
        <v>770244.5</v>
      </c>
      <c r="E219" s="16"/>
      <c r="F219" s="16"/>
      <c r="G219" s="16"/>
      <c r="H219" s="16" t="n">
        <v>0</v>
      </c>
      <c r="I219" s="16" t="n">
        <v>0</v>
      </c>
      <c r="J219" s="16"/>
      <c r="K219" s="16" t="n">
        <v>2.83122062683105E-007</v>
      </c>
      <c r="L219" s="16" t="n">
        <v>0</v>
      </c>
      <c r="M219" s="16" t="n">
        <v>137317.57</v>
      </c>
      <c r="N219" s="16" t="n">
        <v>0</v>
      </c>
      <c r="O219" s="16" t="n">
        <v>1000000</v>
      </c>
      <c r="P219" s="16" t="n">
        <v>0</v>
      </c>
      <c r="Q219" s="16" t="n">
        <v>23513434.5</v>
      </c>
      <c r="R219" s="16" t="n">
        <v>7121810</v>
      </c>
      <c r="S219" s="16" t="n">
        <v>5644007</v>
      </c>
      <c r="T219" s="16" t="n">
        <v>20887594.86</v>
      </c>
      <c r="U219" s="16" t="n">
        <v>2560525</v>
      </c>
      <c r="V219" s="16"/>
      <c r="W219" s="16" t="n">
        <v>0</v>
      </c>
      <c r="X219" s="16" t="n">
        <v>0</v>
      </c>
      <c r="Y219" s="16" t="n">
        <v>1803840</v>
      </c>
      <c r="Z219" s="16" t="n">
        <v>2300803</v>
      </c>
      <c r="AA219" s="16" t="n">
        <v>8821363.34</v>
      </c>
      <c r="AB219" s="16" t="n">
        <v>2343750</v>
      </c>
      <c r="AC219" s="16" t="n">
        <v>16316247</v>
      </c>
      <c r="AD219" s="16" t="n">
        <v>1050000</v>
      </c>
      <c r="AE219" s="16" t="n">
        <v>44836040.1</v>
      </c>
      <c r="AF219" s="16" t="n">
        <v>0</v>
      </c>
      <c r="AG219" s="16" t="n">
        <v>30637565.036478</v>
      </c>
      <c r="AH219" s="16" t="n">
        <v>1453999.80398739</v>
      </c>
    </row>
    <row r="220" customFormat="false" ht="15.75" hidden="false" customHeight="false" outlineLevel="0" collapsed="false">
      <c r="A220" s="28" t="n">
        <v>37050</v>
      </c>
      <c r="B220" s="16" t="n">
        <v>1250000</v>
      </c>
      <c r="C220" s="16" t="n">
        <v>2083768.15</v>
      </c>
      <c r="D220" s="16" t="n">
        <v>770244.5</v>
      </c>
      <c r="E220" s="16"/>
      <c r="F220" s="16"/>
      <c r="G220" s="16"/>
      <c r="H220" s="16" t="n">
        <v>0</v>
      </c>
      <c r="I220" s="16" t="n">
        <v>0</v>
      </c>
      <c r="J220" s="16"/>
      <c r="K220" s="16" t="n">
        <v>2.83122062683105E-007</v>
      </c>
      <c r="L220" s="16" t="n">
        <v>0</v>
      </c>
      <c r="M220" s="16" t="n">
        <v>137317.57</v>
      </c>
      <c r="N220" s="16" t="n">
        <v>0</v>
      </c>
      <c r="O220" s="16" t="n">
        <v>1000000</v>
      </c>
      <c r="P220" s="16" t="n">
        <v>0</v>
      </c>
      <c r="Q220" s="16" t="n">
        <v>23513434.5</v>
      </c>
      <c r="R220" s="16" t="n">
        <v>7121810</v>
      </c>
      <c r="S220" s="16" t="n">
        <v>5644007</v>
      </c>
      <c r="T220" s="16" t="n">
        <v>20887594.86</v>
      </c>
      <c r="U220" s="16" t="n">
        <v>2560525</v>
      </c>
      <c r="V220" s="16"/>
      <c r="W220" s="16" t="n">
        <v>0</v>
      </c>
      <c r="X220" s="16" t="n">
        <v>0</v>
      </c>
      <c r="Y220" s="16" t="n">
        <v>1803840</v>
      </c>
      <c r="Z220" s="16" t="n">
        <v>2300803</v>
      </c>
      <c r="AA220" s="16" t="n">
        <v>8821363.34</v>
      </c>
      <c r="AB220" s="16" t="n">
        <v>2343750</v>
      </c>
      <c r="AC220" s="16" t="n">
        <v>16316247</v>
      </c>
      <c r="AD220" s="16" t="n">
        <v>1050000</v>
      </c>
      <c r="AE220" s="16" t="n">
        <v>44836040.1</v>
      </c>
      <c r="AF220" s="16" t="n">
        <v>0</v>
      </c>
      <c r="AG220" s="16" t="n">
        <v>30637565.036478</v>
      </c>
      <c r="AH220" s="16" t="n">
        <v>1448632.7037186</v>
      </c>
    </row>
    <row r="221" customFormat="false" ht="15.75" hidden="false" customHeight="false" outlineLevel="0" collapsed="false">
      <c r="A221" s="28" t="n">
        <v>37053</v>
      </c>
      <c r="B221" s="16" t="n">
        <v>1250000</v>
      </c>
      <c r="C221" s="16" t="n">
        <v>2083768.15</v>
      </c>
      <c r="D221" s="16" t="n">
        <v>770244.5</v>
      </c>
      <c r="E221" s="16"/>
      <c r="F221" s="16"/>
      <c r="G221" s="16"/>
      <c r="H221" s="16" t="n">
        <v>0</v>
      </c>
      <c r="I221" s="16" t="n">
        <v>0</v>
      </c>
      <c r="J221" s="16"/>
      <c r="K221" s="16" t="n">
        <v>2.83122062683105E-007</v>
      </c>
      <c r="L221" s="16" t="n">
        <v>0</v>
      </c>
      <c r="M221" s="16" t="n">
        <v>137317.57</v>
      </c>
      <c r="N221" s="16" t="n">
        <v>0</v>
      </c>
      <c r="O221" s="16" t="n">
        <v>1000000</v>
      </c>
      <c r="P221" s="16" t="n">
        <v>0</v>
      </c>
      <c r="Q221" s="16" t="n">
        <v>23513434.5</v>
      </c>
      <c r="R221" s="16" t="n">
        <v>7121810</v>
      </c>
      <c r="S221" s="16" t="n">
        <v>5644007</v>
      </c>
      <c r="T221" s="16" t="n">
        <v>20887594.86</v>
      </c>
      <c r="U221" s="16" t="n">
        <v>2560525</v>
      </c>
      <c r="V221" s="16"/>
      <c r="W221" s="16" t="n">
        <v>0</v>
      </c>
      <c r="X221" s="16" t="n">
        <v>0</v>
      </c>
      <c r="Y221" s="16" t="n">
        <v>1803840</v>
      </c>
      <c r="Z221" s="16" t="n">
        <v>2300803</v>
      </c>
      <c r="AA221" s="16" t="n">
        <v>8821363.34</v>
      </c>
      <c r="AB221" s="16" t="n">
        <v>2343750</v>
      </c>
      <c r="AC221" s="16" t="n">
        <v>16316247</v>
      </c>
      <c r="AD221" s="16" t="n">
        <v>1050000</v>
      </c>
      <c r="AE221" s="16" t="n">
        <v>44836040.1</v>
      </c>
      <c r="AF221" s="16" t="n">
        <v>0</v>
      </c>
      <c r="AG221" s="16" t="n">
        <v>30637565.036478</v>
      </c>
      <c r="AH221" s="16" t="n">
        <v>1449392.68555002</v>
      </c>
    </row>
    <row r="222" customFormat="false" ht="15.75" hidden="false" customHeight="false" outlineLevel="0" collapsed="false">
      <c r="A222" s="28" t="n">
        <v>37054</v>
      </c>
      <c r="B222" s="16" t="n">
        <v>1250000</v>
      </c>
      <c r="C222" s="16" t="n">
        <v>2083768.15</v>
      </c>
      <c r="D222" s="16" t="n">
        <v>770244.5</v>
      </c>
      <c r="E222" s="16"/>
      <c r="F222" s="16"/>
      <c r="G222" s="16"/>
      <c r="H222" s="16" t="n">
        <v>0</v>
      </c>
      <c r="I222" s="16" t="n">
        <v>0</v>
      </c>
      <c r="J222" s="16"/>
      <c r="K222" s="16" t="n">
        <v>2.83122062683105E-007</v>
      </c>
      <c r="L222" s="16" t="n">
        <v>0</v>
      </c>
      <c r="M222" s="16" t="n">
        <v>137317.57</v>
      </c>
      <c r="N222" s="16" t="n">
        <v>0</v>
      </c>
      <c r="O222" s="16" t="n">
        <v>1000000</v>
      </c>
      <c r="P222" s="16" t="n">
        <v>0</v>
      </c>
      <c r="Q222" s="16" t="n">
        <v>23513434.5</v>
      </c>
      <c r="R222" s="16" t="n">
        <v>7121810</v>
      </c>
      <c r="S222" s="16" t="n">
        <v>5644007</v>
      </c>
      <c r="T222" s="16" t="n">
        <v>20887594.86</v>
      </c>
      <c r="U222" s="16" t="n">
        <v>2560525</v>
      </c>
      <c r="V222" s="16"/>
      <c r="W222" s="16" t="n">
        <v>0</v>
      </c>
      <c r="X222" s="16" t="n">
        <v>0</v>
      </c>
      <c r="Y222" s="16" t="n">
        <v>1803840</v>
      </c>
      <c r="Z222" s="16" t="n">
        <v>2300803</v>
      </c>
      <c r="AA222" s="16" t="n">
        <v>8821363.34</v>
      </c>
      <c r="AB222" s="16" t="n">
        <v>2343750</v>
      </c>
      <c r="AC222" s="16" t="n">
        <v>16316247</v>
      </c>
      <c r="AD222" s="16" t="n">
        <v>1050000</v>
      </c>
      <c r="AE222" s="16" t="n">
        <v>44836040.1</v>
      </c>
      <c r="AF222" s="16" t="n">
        <v>0</v>
      </c>
      <c r="AG222" s="16" t="n">
        <v>30637565.036478</v>
      </c>
      <c r="AH222" s="16" t="n">
        <v>1453695.68298692</v>
      </c>
    </row>
    <row r="223" customFormat="false" ht="15.75" hidden="false" customHeight="false" outlineLevel="0" collapsed="false">
      <c r="A223" s="28" t="n">
        <v>37055</v>
      </c>
      <c r="B223" s="16" t="n">
        <v>1250000</v>
      </c>
      <c r="C223" s="16" t="n">
        <v>2083768.15</v>
      </c>
      <c r="D223" s="16" t="n">
        <v>770244.5</v>
      </c>
      <c r="E223" s="16"/>
      <c r="F223" s="16"/>
      <c r="G223" s="16"/>
      <c r="H223" s="16" t="n">
        <v>0</v>
      </c>
      <c r="I223" s="16" t="n">
        <v>0</v>
      </c>
      <c r="J223" s="16"/>
      <c r="K223" s="16" t="n">
        <v>2.83122062683105E-007</v>
      </c>
      <c r="L223" s="16" t="n">
        <v>0</v>
      </c>
      <c r="M223" s="16" t="n">
        <v>137317.57</v>
      </c>
      <c r="N223" s="16" t="n">
        <v>0</v>
      </c>
      <c r="O223" s="16" t="n">
        <v>1060000</v>
      </c>
      <c r="P223" s="16" t="n">
        <v>0</v>
      </c>
      <c r="Q223" s="16" t="n">
        <v>23513434.5</v>
      </c>
      <c r="R223" s="16" t="n">
        <v>7121810</v>
      </c>
      <c r="S223" s="16" t="n">
        <v>5644007</v>
      </c>
      <c r="T223" s="16" t="n">
        <v>20887594.86</v>
      </c>
      <c r="U223" s="16" t="n">
        <v>2560525</v>
      </c>
      <c r="V223" s="16"/>
      <c r="W223" s="16" t="n">
        <v>0</v>
      </c>
      <c r="X223" s="16" t="n">
        <v>0</v>
      </c>
      <c r="Y223" s="16" t="n">
        <v>1803840</v>
      </c>
      <c r="Z223" s="16" t="n">
        <v>2300803</v>
      </c>
      <c r="AA223" s="16" t="n">
        <v>8821363.34</v>
      </c>
      <c r="AB223" s="16" t="n">
        <v>2343750</v>
      </c>
      <c r="AC223" s="16" t="n">
        <v>16316247</v>
      </c>
      <c r="AD223" s="16" t="n">
        <v>1050000</v>
      </c>
      <c r="AE223" s="16" t="n">
        <v>44836040.1</v>
      </c>
      <c r="AF223" s="16" t="n">
        <v>0</v>
      </c>
      <c r="AG223" s="16" t="n">
        <v>30637565.036478</v>
      </c>
      <c r="AH223" s="16" t="n">
        <v>1438841.02229998</v>
      </c>
    </row>
    <row r="224" customFormat="false" ht="15.75" hidden="false" customHeight="false" outlineLevel="0" collapsed="false">
      <c r="A224" s="28" t="n">
        <v>37056</v>
      </c>
      <c r="B224" s="16" t="n">
        <v>1250000</v>
      </c>
      <c r="C224" s="16" t="n">
        <v>2083768.15</v>
      </c>
      <c r="D224" s="16" t="n">
        <v>770244.5</v>
      </c>
      <c r="E224" s="16"/>
      <c r="F224" s="16"/>
      <c r="G224" s="16"/>
      <c r="H224" s="16" t="n">
        <v>0</v>
      </c>
      <c r="I224" s="16" t="n">
        <v>0</v>
      </c>
      <c r="J224" s="16"/>
      <c r="K224" s="16" t="n">
        <v>2.83122062683105E-007</v>
      </c>
      <c r="L224" s="16" t="n">
        <v>0</v>
      </c>
      <c r="M224" s="16" t="n">
        <v>137317.57</v>
      </c>
      <c r="N224" s="16" t="n">
        <v>0</v>
      </c>
      <c r="O224" s="16" t="n">
        <v>1060000</v>
      </c>
      <c r="P224" s="16" t="n">
        <v>0</v>
      </c>
      <c r="Q224" s="16" t="n">
        <v>23513434.5</v>
      </c>
      <c r="R224" s="16" t="n">
        <v>7121810</v>
      </c>
      <c r="S224" s="16" t="n">
        <v>5644007</v>
      </c>
      <c r="T224" s="16" t="n">
        <v>20887594.86</v>
      </c>
      <c r="U224" s="16" t="n">
        <v>2560525</v>
      </c>
      <c r="V224" s="16"/>
      <c r="W224" s="16" t="n">
        <v>0</v>
      </c>
      <c r="X224" s="16" t="n">
        <v>0</v>
      </c>
      <c r="Y224" s="16" t="n">
        <v>1803840</v>
      </c>
      <c r="Z224" s="16" t="n">
        <v>2300803</v>
      </c>
      <c r="AA224" s="16" t="n">
        <v>8821363.34</v>
      </c>
      <c r="AB224" s="16" t="n">
        <v>2343750</v>
      </c>
      <c r="AC224" s="16" t="n">
        <v>16316247</v>
      </c>
      <c r="AD224" s="16" t="n">
        <v>1050000</v>
      </c>
      <c r="AE224" s="16" t="n">
        <v>44836040.1</v>
      </c>
      <c r="AF224" s="16" t="n">
        <v>0</v>
      </c>
      <c r="AG224" s="16" t="n">
        <v>30637565.036478</v>
      </c>
      <c r="AH224" s="16" t="n">
        <v>1424186.07994702</v>
      </c>
    </row>
    <row r="225" customFormat="false" ht="15.75" hidden="false" customHeight="false" outlineLevel="0" collapsed="false">
      <c r="A225" s="28" t="n">
        <v>37057</v>
      </c>
      <c r="B225" s="16" t="n">
        <v>1250000</v>
      </c>
      <c r="C225" s="16" t="n">
        <v>2083768.15</v>
      </c>
      <c r="D225" s="16" t="n">
        <v>770244.5</v>
      </c>
      <c r="E225" s="16"/>
      <c r="F225" s="16"/>
      <c r="G225" s="16"/>
      <c r="H225" s="16" t="n">
        <v>0</v>
      </c>
      <c r="I225" s="16" t="n">
        <v>0</v>
      </c>
      <c r="J225" s="16"/>
      <c r="K225" s="16" t="n">
        <v>2.83122062683105E-007</v>
      </c>
      <c r="L225" s="16" t="n">
        <v>0</v>
      </c>
      <c r="M225" s="16" t="n">
        <v>137317.57</v>
      </c>
      <c r="N225" s="16" t="n">
        <v>0</v>
      </c>
      <c r="O225" s="16" t="n">
        <v>1060000</v>
      </c>
      <c r="P225" s="16" t="n">
        <v>0</v>
      </c>
      <c r="Q225" s="16" t="n">
        <v>23513434.5</v>
      </c>
      <c r="R225" s="16" t="n">
        <v>7121810</v>
      </c>
      <c r="S225" s="16" t="n">
        <v>5644007</v>
      </c>
      <c r="T225" s="16" t="n">
        <v>20887594.86</v>
      </c>
      <c r="U225" s="16" t="n">
        <v>2560525</v>
      </c>
      <c r="V225" s="16"/>
      <c r="W225" s="16" t="n">
        <v>0</v>
      </c>
      <c r="X225" s="16" t="n">
        <v>0</v>
      </c>
      <c r="Y225" s="16" t="n">
        <v>1803840</v>
      </c>
      <c r="Z225" s="16" t="n">
        <v>2300803</v>
      </c>
      <c r="AA225" s="16" t="n">
        <v>8821363.34</v>
      </c>
      <c r="AB225" s="16" t="n">
        <v>2343750</v>
      </c>
      <c r="AC225" s="16" t="n">
        <v>16316247</v>
      </c>
      <c r="AD225" s="16" t="n">
        <v>1050000</v>
      </c>
      <c r="AE225" s="16" t="n">
        <v>44836040.1</v>
      </c>
      <c r="AF225" s="16" t="n">
        <v>0</v>
      </c>
      <c r="AG225" s="16" t="n">
        <v>30637565.036478</v>
      </c>
      <c r="AH225" s="16" t="n">
        <v>1422913.48687458</v>
      </c>
    </row>
    <row r="226" customFormat="false" ht="15.75" hidden="false" customHeight="false" outlineLevel="0" collapsed="false">
      <c r="A226" s="28" t="n">
        <v>37060</v>
      </c>
      <c r="B226" s="16" t="n">
        <v>1250000</v>
      </c>
      <c r="C226" s="16" t="n">
        <v>2083768.15</v>
      </c>
      <c r="D226" s="16" t="n">
        <v>770244.5</v>
      </c>
      <c r="E226" s="16"/>
      <c r="F226" s="16"/>
      <c r="G226" s="16"/>
      <c r="H226" s="16" t="n">
        <v>0</v>
      </c>
      <c r="I226" s="16" t="n">
        <v>0</v>
      </c>
      <c r="J226" s="16"/>
      <c r="K226" s="16" t="n">
        <v>2.83122062683105E-007</v>
      </c>
      <c r="L226" s="16" t="n">
        <v>0</v>
      </c>
      <c r="M226" s="16" t="n">
        <v>137317.57</v>
      </c>
      <c r="N226" s="16" t="n">
        <v>0</v>
      </c>
      <c r="O226" s="16" t="n">
        <v>1060000</v>
      </c>
      <c r="P226" s="16" t="n">
        <v>0</v>
      </c>
      <c r="Q226" s="16" t="n">
        <v>23513434.5</v>
      </c>
      <c r="R226" s="16" t="n">
        <v>7121810</v>
      </c>
      <c r="S226" s="16" t="n">
        <v>5644007</v>
      </c>
      <c r="T226" s="16" t="n">
        <v>20887594.86</v>
      </c>
      <c r="U226" s="16" t="n">
        <v>2560525</v>
      </c>
      <c r="V226" s="16"/>
      <c r="W226" s="16" t="n">
        <v>0</v>
      </c>
      <c r="X226" s="16" t="n">
        <v>0</v>
      </c>
      <c r="Y226" s="16" t="n">
        <v>1803840</v>
      </c>
      <c r="Z226" s="16" t="n">
        <v>2300803</v>
      </c>
      <c r="AA226" s="16" t="n">
        <v>8821363.34</v>
      </c>
      <c r="AB226" s="16" t="n">
        <v>2343750</v>
      </c>
      <c r="AC226" s="16" t="n">
        <v>16316247</v>
      </c>
      <c r="AD226" s="16" t="n">
        <v>1050000</v>
      </c>
      <c r="AE226" s="16" t="n">
        <v>44836040.1</v>
      </c>
      <c r="AF226" s="16" t="n">
        <v>0</v>
      </c>
      <c r="AG226" s="16" t="n">
        <v>30637565.036478</v>
      </c>
      <c r="AH226" s="16" t="n">
        <v>1429061.69215289</v>
      </c>
    </row>
    <row r="227" customFormat="false" ht="15.75" hidden="false" customHeight="false" outlineLevel="0" collapsed="false">
      <c r="A227" s="28" t="n">
        <v>37061</v>
      </c>
      <c r="B227" s="16" t="n">
        <v>1250000</v>
      </c>
      <c r="C227" s="16" t="n">
        <v>2083768.15</v>
      </c>
      <c r="D227" s="16" t="n">
        <v>770244.5</v>
      </c>
      <c r="E227" s="16"/>
      <c r="F227" s="16"/>
      <c r="G227" s="16"/>
      <c r="H227" s="16" t="n">
        <v>0</v>
      </c>
      <c r="I227" s="16" t="n">
        <v>0</v>
      </c>
      <c r="J227" s="16"/>
      <c r="K227" s="16" t="n">
        <v>2.83122062683105E-007</v>
      </c>
      <c r="L227" s="16" t="n">
        <v>0</v>
      </c>
      <c r="M227" s="16" t="n">
        <v>137317.57</v>
      </c>
      <c r="N227" s="16" t="n">
        <v>0</v>
      </c>
      <c r="O227" s="16" t="n">
        <v>1060000</v>
      </c>
      <c r="P227" s="16" t="n">
        <v>0</v>
      </c>
      <c r="Q227" s="16" t="n">
        <v>23513434.5</v>
      </c>
      <c r="R227" s="16" t="n">
        <v>7121810</v>
      </c>
      <c r="S227" s="16" t="n">
        <v>5644007</v>
      </c>
      <c r="T227" s="16" t="n">
        <v>20887594.86</v>
      </c>
      <c r="U227" s="16" t="n">
        <v>2560525</v>
      </c>
      <c r="V227" s="16"/>
      <c r="W227" s="16" t="n">
        <v>0</v>
      </c>
      <c r="X227" s="16" t="n">
        <v>0</v>
      </c>
      <c r="Y227" s="16" t="n">
        <v>1803840</v>
      </c>
      <c r="Z227" s="16" t="n">
        <v>2300803</v>
      </c>
      <c r="AA227" s="16" t="n">
        <v>8821363.34</v>
      </c>
      <c r="AB227" s="16" t="n">
        <v>2343750</v>
      </c>
      <c r="AC227" s="16" t="n">
        <v>16316247</v>
      </c>
      <c r="AD227" s="16" t="n">
        <v>1050000</v>
      </c>
      <c r="AE227" s="16" t="n">
        <v>44836040.1</v>
      </c>
      <c r="AF227" s="16" t="n">
        <v>0</v>
      </c>
      <c r="AG227" s="16" t="n">
        <v>30637565.036478</v>
      </c>
      <c r="AH227" s="16" t="n">
        <v>1408731.45700913</v>
      </c>
    </row>
    <row r="228" customFormat="false" ht="15.75" hidden="false" customHeight="false" outlineLevel="0" collapsed="false">
      <c r="A228" s="28" t="n">
        <v>37062</v>
      </c>
      <c r="B228" s="16" t="n">
        <v>1250000</v>
      </c>
      <c r="C228" s="16" t="n">
        <v>2083768.15</v>
      </c>
      <c r="D228" s="16" t="n">
        <v>770244.5</v>
      </c>
      <c r="E228" s="16"/>
      <c r="F228" s="16"/>
      <c r="G228" s="16"/>
      <c r="H228" s="16" t="n">
        <v>0</v>
      </c>
      <c r="I228" s="16" t="n">
        <v>0</v>
      </c>
      <c r="J228" s="16"/>
      <c r="K228" s="16" t="n">
        <v>2.83122062683105E-007</v>
      </c>
      <c r="L228" s="16" t="n">
        <v>0</v>
      </c>
      <c r="M228" s="16" t="n">
        <v>137317.57</v>
      </c>
      <c r="N228" s="16" t="n">
        <v>0</v>
      </c>
      <c r="O228" s="16" t="n">
        <v>1060000</v>
      </c>
      <c r="P228" s="16" t="n">
        <v>0</v>
      </c>
      <c r="Q228" s="16" t="n">
        <v>23513434.5</v>
      </c>
      <c r="R228" s="16" t="n">
        <v>7121810</v>
      </c>
      <c r="S228" s="16" t="n">
        <v>5644007</v>
      </c>
      <c r="T228" s="16" t="n">
        <v>20887594.86</v>
      </c>
      <c r="U228" s="16" t="n">
        <v>2560525</v>
      </c>
      <c r="V228" s="16"/>
      <c r="W228" s="16" t="n">
        <v>0</v>
      </c>
      <c r="X228" s="16" t="n">
        <v>0</v>
      </c>
      <c r="Y228" s="16" t="n">
        <v>1803840</v>
      </c>
      <c r="Z228" s="16" t="n">
        <v>2300803</v>
      </c>
      <c r="AA228" s="16" t="n">
        <v>8821363.34</v>
      </c>
      <c r="AB228" s="16" t="n">
        <v>2343750</v>
      </c>
      <c r="AC228" s="16" t="n">
        <v>16316247</v>
      </c>
      <c r="AD228" s="16" t="n">
        <v>1050000</v>
      </c>
      <c r="AE228" s="16" t="n">
        <v>44836040.1</v>
      </c>
      <c r="AF228" s="16" t="n">
        <v>0</v>
      </c>
      <c r="AG228" s="16" t="n">
        <v>30637565.036478</v>
      </c>
      <c r="AH228" s="16" t="n">
        <v>1396976.0302107</v>
      </c>
    </row>
    <row r="229" customFormat="false" ht="15.75" hidden="false" customHeight="false" outlineLevel="0" collapsed="false">
      <c r="A229" s="28" t="n">
        <v>37063</v>
      </c>
      <c r="B229" s="16" t="n">
        <v>1250000</v>
      </c>
      <c r="C229" s="16" t="n">
        <v>2083768.15</v>
      </c>
      <c r="D229" s="16" t="n">
        <v>770244.5</v>
      </c>
      <c r="E229" s="16"/>
      <c r="F229" s="16"/>
      <c r="G229" s="16"/>
      <c r="H229" s="16" t="n">
        <v>0</v>
      </c>
      <c r="I229" s="16" t="n">
        <v>0</v>
      </c>
      <c r="J229" s="16"/>
      <c r="K229" s="16" t="n">
        <v>2.83122062683105E-007</v>
      </c>
      <c r="L229" s="16" t="n">
        <v>0</v>
      </c>
      <c r="M229" s="16" t="n">
        <v>137317.57</v>
      </c>
      <c r="N229" s="16" t="n">
        <v>0</v>
      </c>
      <c r="O229" s="16" t="n">
        <v>1060000</v>
      </c>
      <c r="P229" s="16" t="n">
        <v>0</v>
      </c>
      <c r="Q229" s="16" t="n">
        <v>23513434.5</v>
      </c>
      <c r="R229" s="16" t="n">
        <v>7121810</v>
      </c>
      <c r="S229" s="16" t="n">
        <v>5644007</v>
      </c>
      <c r="T229" s="16" t="n">
        <v>20887594.86</v>
      </c>
      <c r="U229" s="16" t="n">
        <v>2560525</v>
      </c>
      <c r="V229" s="16"/>
      <c r="W229" s="16" t="n">
        <v>0</v>
      </c>
      <c r="X229" s="16" t="n">
        <v>0</v>
      </c>
      <c r="Y229" s="16" t="n">
        <v>1803840</v>
      </c>
      <c r="Z229" s="16" t="n">
        <v>2300803</v>
      </c>
      <c r="AA229" s="16" t="n">
        <v>8821363.34</v>
      </c>
      <c r="AB229" s="16" t="n">
        <v>2343750</v>
      </c>
      <c r="AC229" s="16" t="n">
        <v>16316247</v>
      </c>
      <c r="AD229" s="16" t="n">
        <v>1050000</v>
      </c>
      <c r="AE229" s="16" t="n">
        <v>44836040.1</v>
      </c>
      <c r="AF229" s="16" t="n">
        <v>0</v>
      </c>
      <c r="AG229" s="16" t="n">
        <v>30637565.036478</v>
      </c>
      <c r="AH229" s="16" t="n">
        <v>1390199.48398261</v>
      </c>
    </row>
    <row r="230" customFormat="false" ht="15.75" hidden="false" customHeight="false" outlineLevel="0" collapsed="false">
      <c r="A230" s="28" t="n">
        <v>37064</v>
      </c>
      <c r="B230" s="16" t="n">
        <v>1250000</v>
      </c>
      <c r="C230" s="16" t="n">
        <v>2083768.15</v>
      </c>
      <c r="D230" s="16" t="n">
        <v>770244.5</v>
      </c>
      <c r="E230" s="16"/>
      <c r="F230" s="16"/>
      <c r="G230" s="16"/>
      <c r="H230" s="16" t="n">
        <v>0</v>
      </c>
      <c r="I230" s="16" t="n">
        <v>0</v>
      </c>
      <c r="J230" s="16"/>
      <c r="K230" s="16" t="n">
        <v>2.83122062683105E-007</v>
      </c>
      <c r="L230" s="16" t="n">
        <v>0</v>
      </c>
      <c r="M230" s="16" t="n">
        <v>137317.57</v>
      </c>
      <c r="N230" s="16" t="n">
        <v>0</v>
      </c>
      <c r="O230" s="16" t="n">
        <v>1060000</v>
      </c>
      <c r="P230" s="16" t="n">
        <v>0</v>
      </c>
      <c r="Q230" s="16" t="n">
        <v>23513434.5</v>
      </c>
      <c r="R230" s="16" t="n">
        <v>7121810</v>
      </c>
      <c r="S230" s="16" t="n">
        <v>5644007</v>
      </c>
      <c r="T230" s="16" t="n">
        <v>20887594.86</v>
      </c>
      <c r="U230" s="16" t="n">
        <v>2560525</v>
      </c>
      <c r="V230" s="16"/>
      <c r="W230" s="16" t="n">
        <v>0</v>
      </c>
      <c r="X230" s="16" t="n">
        <v>0</v>
      </c>
      <c r="Y230" s="16" t="n">
        <v>1803840</v>
      </c>
      <c r="Z230" s="16" t="n">
        <v>2300803</v>
      </c>
      <c r="AA230" s="16" t="n">
        <v>8821363.34</v>
      </c>
      <c r="AB230" s="16" t="n">
        <v>2343750</v>
      </c>
      <c r="AC230" s="16" t="n">
        <v>16316247</v>
      </c>
      <c r="AD230" s="16" t="n">
        <v>1050000</v>
      </c>
      <c r="AE230" s="16" t="n">
        <v>44836040.1</v>
      </c>
      <c r="AF230" s="16" t="n">
        <v>0</v>
      </c>
      <c r="AG230" s="16" t="n">
        <v>30637565.036478</v>
      </c>
      <c r="AH230" s="16" t="n">
        <v>1379259.45715337</v>
      </c>
    </row>
    <row r="231" customFormat="false" ht="15.75" hidden="false" customHeight="false" outlineLevel="0" collapsed="false">
      <c r="A231" s="28" t="n">
        <v>37067</v>
      </c>
      <c r="B231" s="16" t="n">
        <v>1250000</v>
      </c>
      <c r="C231" s="16" t="n">
        <v>2083768.15</v>
      </c>
      <c r="D231" s="16" t="n">
        <v>770244.5</v>
      </c>
      <c r="E231" s="16"/>
      <c r="F231" s="16"/>
      <c r="G231" s="16"/>
      <c r="H231" s="16" t="n">
        <v>0</v>
      </c>
      <c r="I231" s="16" t="n">
        <v>0</v>
      </c>
      <c r="J231" s="16"/>
      <c r="K231" s="16" t="n">
        <v>2.83122062683105E-007</v>
      </c>
      <c r="L231" s="16" t="n">
        <v>0</v>
      </c>
      <c r="M231" s="16" t="n">
        <v>137317.57</v>
      </c>
      <c r="N231" s="16" t="n">
        <v>0</v>
      </c>
      <c r="O231" s="16" t="n">
        <v>1060000</v>
      </c>
      <c r="P231" s="16" t="n">
        <v>0</v>
      </c>
      <c r="Q231" s="16" t="n">
        <v>23513434.5</v>
      </c>
      <c r="R231" s="16" t="n">
        <v>7121810</v>
      </c>
      <c r="S231" s="16" t="n">
        <v>5644007</v>
      </c>
      <c r="T231" s="16" t="n">
        <v>20887594.86</v>
      </c>
      <c r="U231" s="16" t="n">
        <v>2560525</v>
      </c>
      <c r="V231" s="16"/>
      <c r="W231" s="16" t="n">
        <v>0</v>
      </c>
      <c r="X231" s="16" t="n">
        <v>0</v>
      </c>
      <c r="Y231" s="16" t="n">
        <v>1803840</v>
      </c>
      <c r="Z231" s="16" t="n">
        <v>2300803</v>
      </c>
      <c r="AA231" s="16" t="n">
        <v>8821363.34</v>
      </c>
      <c r="AB231" s="16" t="n">
        <v>2343750</v>
      </c>
      <c r="AC231" s="16" t="n">
        <v>16316247</v>
      </c>
      <c r="AD231" s="16" t="n">
        <v>1050000</v>
      </c>
      <c r="AE231" s="16" t="n">
        <v>44836040.1</v>
      </c>
      <c r="AF231" s="16" t="n">
        <v>0</v>
      </c>
      <c r="AG231" s="16" t="n">
        <v>30637565.036478</v>
      </c>
      <c r="AH231" s="16" t="n">
        <v>1376913.95857999</v>
      </c>
    </row>
    <row r="232" customFormat="false" ht="15.75" hidden="false" customHeight="false" outlineLevel="0" collapsed="false">
      <c r="A232" s="28" t="n">
        <v>37068</v>
      </c>
      <c r="B232" s="16" t="n">
        <v>1250000</v>
      </c>
      <c r="C232" s="16" t="n">
        <v>2083768.15</v>
      </c>
      <c r="D232" s="16" t="n">
        <v>770244.5</v>
      </c>
      <c r="E232" s="16"/>
      <c r="F232" s="16"/>
      <c r="G232" s="16"/>
      <c r="H232" s="16" t="n">
        <v>0</v>
      </c>
      <c r="I232" s="16" t="n">
        <v>0</v>
      </c>
      <c r="J232" s="16"/>
      <c r="K232" s="16" t="n">
        <v>2.83122062683105E-007</v>
      </c>
      <c r="L232" s="16" t="n">
        <v>0</v>
      </c>
      <c r="M232" s="16" t="n">
        <v>137317.57</v>
      </c>
      <c r="N232" s="16" t="n">
        <v>0</v>
      </c>
      <c r="O232" s="16" t="n">
        <v>1060000</v>
      </c>
      <c r="P232" s="16" t="n">
        <v>0</v>
      </c>
      <c r="Q232" s="16" t="n">
        <v>23513434.5</v>
      </c>
      <c r="R232" s="16" t="n">
        <v>7121810</v>
      </c>
      <c r="S232" s="16" t="n">
        <v>5644007</v>
      </c>
      <c r="T232" s="16" t="n">
        <v>20887594.86</v>
      </c>
      <c r="U232" s="16" t="n">
        <v>2560525</v>
      </c>
      <c r="V232" s="16"/>
      <c r="W232" s="16" t="n">
        <v>0</v>
      </c>
      <c r="X232" s="16" t="n">
        <v>0</v>
      </c>
      <c r="Y232" s="16" t="n">
        <v>1803840</v>
      </c>
      <c r="Z232" s="16" t="n">
        <v>2300803</v>
      </c>
      <c r="AA232" s="16" t="n">
        <v>8821363.34</v>
      </c>
      <c r="AB232" s="16" t="n">
        <v>2343750</v>
      </c>
      <c r="AC232" s="16" t="n">
        <v>16316247</v>
      </c>
      <c r="AD232" s="16" t="n">
        <v>1050000</v>
      </c>
      <c r="AE232" s="16" t="n">
        <v>44836040.1</v>
      </c>
      <c r="AF232" s="16" t="n">
        <v>0</v>
      </c>
      <c r="AG232" s="16" t="n">
        <v>30637565.036478</v>
      </c>
      <c r="AH232" s="16" t="n">
        <v>1391580.14660801</v>
      </c>
    </row>
    <row r="233" customFormat="false" ht="15.75" hidden="false" customHeight="false" outlineLevel="0" collapsed="false">
      <c r="A233" s="28" t="n">
        <v>37069</v>
      </c>
      <c r="B233" s="16" t="n">
        <v>1250000</v>
      </c>
      <c r="C233" s="16" t="n">
        <v>2083768.15</v>
      </c>
      <c r="D233" s="16" t="n">
        <v>770244.5</v>
      </c>
      <c r="E233" s="16"/>
      <c r="F233" s="16"/>
      <c r="G233" s="16"/>
      <c r="H233" s="16" t="n">
        <v>0</v>
      </c>
      <c r="I233" s="16" t="n">
        <v>0</v>
      </c>
      <c r="J233" s="16"/>
      <c r="K233" s="16" t="n">
        <v>2.83122062683105E-007</v>
      </c>
      <c r="L233" s="16" t="n">
        <v>0</v>
      </c>
      <c r="M233" s="16" t="n">
        <v>137317.57</v>
      </c>
      <c r="N233" s="16" t="n">
        <v>0</v>
      </c>
      <c r="O233" s="16" t="n">
        <v>1060000</v>
      </c>
      <c r="P233" s="16" t="n">
        <v>0</v>
      </c>
      <c r="Q233" s="16" t="n">
        <v>23513434.5</v>
      </c>
      <c r="R233" s="16" t="n">
        <v>7121810</v>
      </c>
      <c r="S233" s="16" t="n">
        <v>5644007</v>
      </c>
      <c r="T233" s="16" t="n">
        <v>20887594.86</v>
      </c>
      <c r="U233" s="16" t="n">
        <v>2560525</v>
      </c>
      <c r="V233" s="16"/>
      <c r="W233" s="16" t="n">
        <v>0</v>
      </c>
      <c r="X233" s="16" t="n">
        <v>0</v>
      </c>
      <c r="Y233" s="16" t="n">
        <v>1803840</v>
      </c>
      <c r="Z233" s="16" t="n">
        <v>2300803</v>
      </c>
      <c r="AA233" s="16" t="n">
        <v>8821363.34</v>
      </c>
      <c r="AB233" s="16" t="n">
        <v>2343750</v>
      </c>
      <c r="AC233" s="16" t="n">
        <v>16316247</v>
      </c>
      <c r="AD233" s="16" t="n">
        <v>1050000</v>
      </c>
      <c r="AE233" s="16" t="n">
        <v>44836040.1</v>
      </c>
      <c r="AF233" s="16" t="n">
        <v>0</v>
      </c>
      <c r="AG233" s="16" t="n">
        <v>30637565.036478</v>
      </c>
      <c r="AH233" s="16" t="n">
        <v>1380525.4920769</v>
      </c>
    </row>
    <row r="234" customFormat="false" ht="15.75" hidden="false" customHeight="false" outlineLevel="0" collapsed="false">
      <c r="A234" s="28" t="n">
        <v>37070</v>
      </c>
      <c r="B234" s="16" t="n">
        <v>1250000</v>
      </c>
      <c r="C234" s="16" t="n">
        <v>2083768.15</v>
      </c>
      <c r="D234" s="16" t="n">
        <v>770244.5</v>
      </c>
      <c r="E234" s="16"/>
      <c r="F234" s="16"/>
      <c r="G234" s="16"/>
      <c r="H234" s="16" t="n">
        <v>0</v>
      </c>
      <c r="I234" s="16" t="n">
        <v>0</v>
      </c>
      <c r="J234" s="16"/>
      <c r="K234" s="16" t="n">
        <v>2.83122062683105E-007</v>
      </c>
      <c r="L234" s="16" t="n">
        <v>0</v>
      </c>
      <c r="M234" s="16" t="n">
        <v>137317.57</v>
      </c>
      <c r="N234" s="16" t="n">
        <v>0</v>
      </c>
      <c r="O234" s="16" t="n">
        <v>1060000</v>
      </c>
      <c r="P234" s="16" t="n">
        <v>0</v>
      </c>
      <c r="Q234" s="16" t="n">
        <v>10125000</v>
      </c>
      <c r="R234" s="16" t="n">
        <v>7121810</v>
      </c>
      <c r="S234" s="16" t="n">
        <v>5644007</v>
      </c>
      <c r="T234" s="16" t="n">
        <v>20887594.86</v>
      </c>
      <c r="U234" s="16" t="n">
        <v>2560525</v>
      </c>
      <c r="V234" s="16"/>
      <c r="W234" s="16" t="n">
        <v>0</v>
      </c>
      <c r="X234" s="16" t="n">
        <v>0</v>
      </c>
      <c r="Y234" s="16" t="n">
        <v>1803840</v>
      </c>
      <c r="Z234" s="16" t="n">
        <v>2300803</v>
      </c>
      <c r="AA234" s="16" t="n">
        <v>8821363.34</v>
      </c>
      <c r="AB234" s="16" t="n">
        <v>2343750</v>
      </c>
      <c r="AC234" s="16" t="n">
        <v>16316247</v>
      </c>
      <c r="AD234" s="16" t="n">
        <v>1050000</v>
      </c>
      <c r="AE234" s="16" t="n">
        <v>44836040.1</v>
      </c>
      <c r="AF234" s="16" t="n">
        <v>0</v>
      </c>
      <c r="AG234" s="16" t="n">
        <v>30637565.036478</v>
      </c>
      <c r="AH234" s="16" t="n">
        <v>1372196.95402984</v>
      </c>
    </row>
    <row r="235" customFormat="false" ht="15.75" hidden="false" customHeight="false" outlineLevel="0" collapsed="false">
      <c r="A235" s="28" t="n">
        <v>37071</v>
      </c>
      <c r="B235" s="16" t="n">
        <v>1250000</v>
      </c>
      <c r="C235" s="16" t="n">
        <v>1209030.26</v>
      </c>
      <c r="D235" s="16" t="n">
        <v>770244.5</v>
      </c>
      <c r="E235" s="16"/>
      <c r="F235" s="16"/>
      <c r="G235" s="16"/>
      <c r="H235" s="16" t="n">
        <v>0</v>
      </c>
      <c r="I235" s="16" t="n">
        <v>0</v>
      </c>
      <c r="J235" s="16"/>
      <c r="K235" s="16" t="n">
        <v>2.83122062683105E-007</v>
      </c>
      <c r="L235" s="16" t="n">
        <v>0</v>
      </c>
      <c r="M235" s="16" t="n">
        <v>137317.57</v>
      </c>
      <c r="N235" s="16" t="n">
        <v>0</v>
      </c>
      <c r="O235" s="16" t="n">
        <v>1100000</v>
      </c>
      <c r="P235" s="16" t="n">
        <v>0</v>
      </c>
      <c r="Q235" s="16" t="n">
        <v>10125000</v>
      </c>
      <c r="R235" s="16" t="n">
        <v>7121810</v>
      </c>
      <c r="S235" s="16" t="n">
        <v>5644007</v>
      </c>
      <c r="T235" s="16" t="n">
        <v>20887594.86</v>
      </c>
      <c r="U235" s="16" t="n">
        <v>2560525</v>
      </c>
      <c r="V235" s="16"/>
      <c r="W235" s="16" t="n">
        <v>0</v>
      </c>
      <c r="X235" s="16" t="n">
        <v>0</v>
      </c>
      <c r="Y235" s="16" t="n">
        <v>1803840</v>
      </c>
      <c r="Z235" s="16" t="n">
        <v>2300803</v>
      </c>
      <c r="AA235" s="16" t="n">
        <v>8971988.34</v>
      </c>
      <c r="AB235" s="16" t="n">
        <v>2343750</v>
      </c>
      <c r="AC235" s="16" t="n">
        <v>16316247</v>
      </c>
      <c r="AD235" s="16" t="n">
        <v>1050000</v>
      </c>
      <c r="AE235" s="16" t="n">
        <v>44836040.1</v>
      </c>
      <c r="AF235" s="16" t="n">
        <v>0</v>
      </c>
      <c r="AG235" s="16" t="n">
        <v>0</v>
      </c>
      <c r="AH235" s="16" t="n">
        <v>844972.276027327</v>
      </c>
    </row>
    <row r="236" customFormat="false" ht="15.75" hidden="false" customHeight="false" outlineLevel="0" collapsed="false">
      <c r="A236" s="28" t="n">
        <v>37083</v>
      </c>
      <c r="B236" s="16" t="n">
        <v>1250000</v>
      </c>
      <c r="C236" s="16" t="n">
        <v>1209030.26</v>
      </c>
      <c r="D236" s="16" t="n">
        <v>770244.5</v>
      </c>
      <c r="E236" s="16"/>
      <c r="F236" s="16"/>
      <c r="G236" s="16"/>
      <c r="H236" s="16" t="n">
        <v>0</v>
      </c>
      <c r="I236" s="16" t="n">
        <v>0</v>
      </c>
      <c r="J236" s="16"/>
      <c r="K236" s="16" t="n">
        <v>2.83122062683105E-007</v>
      </c>
      <c r="L236" s="16" t="n">
        <v>0</v>
      </c>
      <c r="M236" s="16" t="n">
        <v>137317.57</v>
      </c>
      <c r="N236" s="16" t="n">
        <v>0</v>
      </c>
      <c r="O236" s="16" t="n">
        <v>1100000</v>
      </c>
      <c r="P236" s="16" t="n">
        <v>0</v>
      </c>
      <c r="Q236" s="16" t="n">
        <v>10125000</v>
      </c>
      <c r="R236" s="16" t="n">
        <v>7121810</v>
      </c>
      <c r="S236" s="16" t="n">
        <v>5644007</v>
      </c>
      <c r="T236" s="16" t="n">
        <v>20887594.86</v>
      </c>
      <c r="U236" s="16" t="n">
        <v>2560525</v>
      </c>
      <c r="V236" s="16"/>
      <c r="W236" s="16" t="n">
        <v>0</v>
      </c>
      <c r="X236" s="16" t="n">
        <v>0</v>
      </c>
      <c r="Y236" s="16" t="n">
        <v>1803840</v>
      </c>
      <c r="Z236" s="16" t="n">
        <v>2300803</v>
      </c>
      <c r="AA236" s="16" t="n">
        <v>8971988.34</v>
      </c>
      <c r="AB236" s="16" t="n">
        <v>2343750</v>
      </c>
      <c r="AC236" s="16" t="n">
        <v>16316247</v>
      </c>
      <c r="AD236" s="16" t="n">
        <v>1050000</v>
      </c>
      <c r="AE236" s="16" t="n">
        <v>44836040.1</v>
      </c>
      <c r="AF236" s="16" t="n">
        <v>0</v>
      </c>
      <c r="AG236" s="16" t="n">
        <v>0</v>
      </c>
      <c r="AH236" s="16" t="n">
        <v>844972.276027327</v>
      </c>
    </row>
    <row r="237" customFormat="false" ht="15.75" hidden="false" customHeight="false" outlineLevel="0" collapsed="false">
      <c r="A237" s="28" t="n">
        <v>37084</v>
      </c>
      <c r="B237" s="16" t="n">
        <v>1250000</v>
      </c>
      <c r="C237" s="16" t="n">
        <v>1209030.26</v>
      </c>
      <c r="D237" s="16" t="n">
        <v>770244.5</v>
      </c>
      <c r="E237" s="16"/>
      <c r="F237" s="16"/>
      <c r="G237" s="16"/>
      <c r="H237" s="16" t="n">
        <v>0</v>
      </c>
      <c r="I237" s="16" t="n">
        <v>0</v>
      </c>
      <c r="J237" s="16"/>
      <c r="K237" s="16" t="n">
        <v>2.83122062683105E-007</v>
      </c>
      <c r="L237" s="16" t="n">
        <v>0</v>
      </c>
      <c r="M237" s="16" t="n">
        <v>137317.57</v>
      </c>
      <c r="N237" s="16" t="n">
        <v>0</v>
      </c>
      <c r="O237" s="16" t="n">
        <v>1100000</v>
      </c>
      <c r="P237" s="16" t="n">
        <v>0</v>
      </c>
      <c r="Q237" s="16" t="n">
        <v>10125000</v>
      </c>
      <c r="R237" s="16" t="n">
        <v>7121810</v>
      </c>
      <c r="S237" s="16" t="n">
        <v>5644007</v>
      </c>
      <c r="T237" s="16" t="n">
        <v>20887594.86</v>
      </c>
      <c r="U237" s="16" t="n">
        <v>2560525</v>
      </c>
      <c r="V237" s="16"/>
      <c r="W237" s="16" t="n">
        <v>0</v>
      </c>
      <c r="X237" s="16" t="n">
        <v>0</v>
      </c>
      <c r="Y237" s="16" t="n">
        <v>1803840</v>
      </c>
      <c r="Z237" s="16" t="n">
        <v>2300803</v>
      </c>
      <c r="AA237" s="16" t="n">
        <v>8971988.34</v>
      </c>
      <c r="AB237" s="16" t="n">
        <v>2343750</v>
      </c>
      <c r="AC237" s="16" t="n">
        <v>16316247</v>
      </c>
      <c r="AD237" s="16" t="n">
        <v>1050000</v>
      </c>
      <c r="AE237" s="16" t="n">
        <v>44836040.1</v>
      </c>
      <c r="AF237" s="16" t="n">
        <v>0</v>
      </c>
      <c r="AG237" s="16" t="n">
        <v>0</v>
      </c>
      <c r="AH237" s="16" t="n">
        <v>843845.65754573</v>
      </c>
    </row>
    <row r="238" customFormat="false" ht="15.75" hidden="false" customHeight="false" outlineLevel="0" collapsed="false">
      <c r="A238" s="28" t="n">
        <v>37085</v>
      </c>
      <c r="B238" s="16" t="n">
        <v>1250000</v>
      </c>
      <c r="C238" s="16" t="n">
        <v>1209030.26</v>
      </c>
      <c r="D238" s="16" t="n">
        <v>770244.5</v>
      </c>
      <c r="E238" s="16"/>
      <c r="F238" s="16"/>
      <c r="G238" s="16"/>
      <c r="H238" s="16" t="n">
        <v>0</v>
      </c>
      <c r="I238" s="16" t="n">
        <v>0</v>
      </c>
      <c r="J238" s="16"/>
      <c r="K238" s="16" t="n">
        <v>2.83122062683105E-007</v>
      </c>
      <c r="L238" s="16" t="n">
        <v>0</v>
      </c>
      <c r="M238" s="16" t="n">
        <v>137317.57</v>
      </c>
      <c r="N238" s="16" t="n">
        <v>0</v>
      </c>
      <c r="O238" s="16" t="n">
        <v>1100000</v>
      </c>
      <c r="P238" s="16" t="n">
        <v>0</v>
      </c>
      <c r="Q238" s="16" t="n">
        <v>10125000</v>
      </c>
      <c r="R238" s="16" t="n">
        <v>7121810</v>
      </c>
      <c r="S238" s="16" t="n">
        <v>5644007</v>
      </c>
      <c r="T238" s="16" t="n">
        <v>20887594.86</v>
      </c>
      <c r="U238" s="16" t="n">
        <v>2560525</v>
      </c>
      <c r="V238" s="16"/>
      <c r="W238" s="16" t="n">
        <v>0</v>
      </c>
      <c r="X238" s="16" t="n">
        <v>0</v>
      </c>
      <c r="Y238" s="16" t="n">
        <v>1803840</v>
      </c>
      <c r="Z238" s="16" t="n">
        <v>2300803</v>
      </c>
      <c r="AA238" s="16" t="n">
        <v>8971988.34</v>
      </c>
      <c r="AB238" s="16" t="n">
        <v>2343750</v>
      </c>
      <c r="AC238" s="16" t="n">
        <v>16316247</v>
      </c>
      <c r="AD238" s="16" t="n">
        <v>1050000</v>
      </c>
      <c r="AE238" s="16" t="n">
        <v>44836040.1</v>
      </c>
      <c r="AF238" s="16" t="n">
        <v>0</v>
      </c>
      <c r="AG238" s="16" t="n">
        <v>0</v>
      </c>
      <c r="AH238" s="16" t="n">
        <v>844848.498968847</v>
      </c>
    </row>
    <row r="239" customFormat="false" ht="15.75" hidden="false" customHeight="false" outlineLevel="0" collapsed="false">
      <c r="A239" s="28" t="n">
        <v>37088</v>
      </c>
      <c r="B239" s="16" t="n">
        <v>1250000</v>
      </c>
      <c r="C239" s="16" t="n">
        <v>1209030.26</v>
      </c>
      <c r="D239" s="16" t="n">
        <v>770244.5</v>
      </c>
      <c r="E239" s="16"/>
      <c r="F239" s="16"/>
      <c r="G239" s="16"/>
      <c r="H239" s="16" t="n">
        <v>0</v>
      </c>
      <c r="I239" s="16" t="n">
        <v>0</v>
      </c>
      <c r="J239" s="16"/>
      <c r="K239" s="16" t="n">
        <v>2.83122062683105E-007</v>
      </c>
      <c r="L239" s="16" t="n">
        <v>0</v>
      </c>
      <c r="M239" s="16" t="n">
        <v>137317.57</v>
      </c>
      <c r="N239" s="16" t="n">
        <v>0</v>
      </c>
      <c r="O239" s="16" t="n">
        <v>1100000</v>
      </c>
      <c r="P239" s="16" t="n">
        <v>0</v>
      </c>
      <c r="Q239" s="16" t="n">
        <v>10125000</v>
      </c>
      <c r="R239" s="16" t="n">
        <v>7121810</v>
      </c>
      <c r="S239" s="16" t="n">
        <v>5644007</v>
      </c>
      <c r="T239" s="16" t="n">
        <v>20887594.86</v>
      </c>
      <c r="U239" s="16" t="n">
        <v>2560525</v>
      </c>
      <c r="V239" s="16"/>
      <c r="W239" s="16" t="n">
        <v>0</v>
      </c>
      <c r="X239" s="16" t="n">
        <v>0</v>
      </c>
      <c r="Y239" s="16" t="n">
        <v>1803840</v>
      </c>
      <c r="Z239" s="16" t="n">
        <v>2300803</v>
      </c>
      <c r="AA239" s="16" t="n">
        <v>8971988.34</v>
      </c>
      <c r="AB239" s="16" t="n">
        <v>2343750</v>
      </c>
      <c r="AC239" s="16" t="n">
        <v>16316247</v>
      </c>
      <c r="AD239" s="16" t="n">
        <v>1050000</v>
      </c>
      <c r="AE239" s="16" t="n">
        <v>44836040.1</v>
      </c>
      <c r="AF239" s="16" t="n">
        <v>0</v>
      </c>
      <c r="AG239" s="16" t="n">
        <v>0</v>
      </c>
      <c r="AH239" s="16" t="n">
        <v>844926.573506514</v>
      </c>
    </row>
    <row r="240" customFormat="false" ht="15.75" hidden="false" customHeight="false" outlineLevel="0" collapsed="false">
      <c r="A240" s="28" t="n">
        <v>37089</v>
      </c>
      <c r="B240" s="16" t="n">
        <v>1250000</v>
      </c>
      <c r="C240" s="16" t="n">
        <v>1209030.26</v>
      </c>
      <c r="D240" s="16" t="n">
        <v>770244.5</v>
      </c>
      <c r="E240" s="16"/>
      <c r="F240" s="16"/>
      <c r="G240" s="16"/>
      <c r="H240" s="16" t="n">
        <v>0</v>
      </c>
      <c r="I240" s="16" t="n">
        <v>0</v>
      </c>
      <c r="J240" s="16"/>
      <c r="K240" s="16" t="n">
        <v>2.83122062683105E-007</v>
      </c>
      <c r="L240" s="16" t="n">
        <v>0</v>
      </c>
      <c r="M240" s="16" t="n">
        <v>137317.57</v>
      </c>
      <c r="N240" s="16" t="n">
        <v>0</v>
      </c>
      <c r="O240" s="16" t="n">
        <v>1100000</v>
      </c>
      <c r="P240" s="16" t="n">
        <v>0</v>
      </c>
      <c r="Q240" s="16" t="n">
        <v>10125000</v>
      </c>
      <c r="R240" s="16" t="n">
        <v>7121810</v>
      </c>
      <c r="S240" s="16" t="n">
        <v>5644007</v>
      </c>
      <c r="T240" s="16" t="n">
        <v>20887594.86</v>
      </c>
      <c r="U240" s="16" t="n">
        <v>2560525</v>
      </c>
      <c r="V240" s="16"/>
      <c r="W240" s="16" t="n">
        <v>0</v>
      </c>
      <c r="X240" s="16" t="n">
        <v>0</v>
      </c>
      <c r="Y240" s="16" t="n">
        <v>1803840</v>
      </c>
      <c r="Z240" s="16" t="n">
        <v>2300803</v>
      </c>
      <c r="AA240" s="16" t="n">
        <v>8971988.34</v>
      </c>
      <c r="AB240" s="16" t="n">
        <v>2343750</v>
      </c>
      <c r="AC240" s="16" t="n">
        <v>16316247</v>
      </c>
      <c r="AD240" s="16" t="n">
        <v>1050000</v>
      </c>
      <c r="AE240" s="16" t="n">
        <v>44836040.1</v>
      </c>
      <c r="AF240" s="16" t="n">
        <v>0</v>
      </c>
      <c r="AG240" s="16" t="n">
        <v>0</v>
      </c>
      <c r="AH240" s="16" t="n">
        <v>844138.119702891</v>
      </c>
    </row>
    <row r="241" customFormat="false" ht="15.75" hidden="false" customHeight="false" outlineLevel="0" collapsed="false">
      <c r="A241" s="28" t="n">
        <v>37090</v>
      </c>
      <c r="B241" s="16" t="n">
        <v>1250000</v>
      </c>
      <c r="C241" s="16" t="n">
        <v>1209030.26</v>
      </c>
      <c r="D241" s="16" t="n">
        <v>770244.5</v>
      </c>
      <c r="E241" s="16"/>
      <c r="F241" s="16"/>
      <c r="G241" s="16"/>
      <c r="H241" s="16" t="n">
        <v>0</v>
      </c>
      <c r="I241" s="16" t="n">
        <v>0</v>
      </c>
      <c r="J241" s="16"/>
      <c r="K241" s="16" t="n">
        <v>2.83122062683105E-007</v>
      </c>
      <c r="L241" s="16" t="n">
        <v>0</v>
      </c>
      <c r="M241" s="16" t="n">
        <v>137317.57</v>
      </c>
      <c r="N241" s="16" t="n">
        <v>0</v>
      </c>
      <c r="O241" s="16" t="n">
        <v>1100000</v>
      </c>
      <c r="P241" s="16" t="n">
        <v>0</v>
      </c>
      <c r="Q241" s="16" t="n">
        <v>10125000</v>
      </c>
      <c r="R241" s="16" t="n">
        <v>7121810</v>
      </c>
      <c r="S241" s="16" t="n">
        <v>5644007</v>
      </c>
      <c r="T241" s="16" t="n">
        <v>20887594.86</v>
      </c>
      <c r="U241" s="16" t="n">
        <v>2560525</v>
      </c>
      <c r="V241" s="16"/>
      <c r="W241" s="16" t="n">
        <v>0</v>
      </c>
      <c r="X241" s="16" t="n">
        <v>0</v>
      </c>
      <c r="Y241" s="16" t="n">
        <v>1803840</v>
      </c>
      <c r="Z241" s="16" t="n">
        <v>2300803</v>
      </c>
      <c r="AA241" s="16" t="n">
        <v>8971988.34</v>
      </c>
      <c r="AB241" s="16" t="n">
        <v>2343750</v>
      </c>
      <c r="AC241" s="16" t="n">
        <v>16316247</v>
      </c>
      <c r="AD241" s="16" t="n">
        <v>1050000</v>
      </c>
      <c r="AE241" s="16" t="n">
        <v>44836040.1</v>
      </c>
      <c r="AF241" s="16" t="n">
        <v>0</v>
      </c>
      <c r="AG241" s="16" t="n">
        <v>0</v>
      </c>
      <c r="AH241" s="16" t="n">
        <v>843724.954000539</v>
      </c>
    </row>
    <row r="242" customFormat="false" ht="15.75" hidden="false" customHeight="false" outlineLevel="0" collapsed="false">
      <c r="A242" s="28" t="n">
        <v>37091</v>
      </c>
      <c r="B242" s="16" t="n">
        <v>1250000</v>
      </c>
      <c r="C242" s="16" t="n">
        <v>1209030.26</v>
      </c>
      <c r="D242" s="16" t="n">
        <v>770244.5</v>
      </c>
      <c r="E242" s="16"/>
      <c r="F242" s="16"/>
      <c r="G242" s="16"/>
      <c r="H242" s="16" t="n">
        <v>0</v>
      </c>
      <c r="I242" s="16" t="n">
        <v>0</v>
      </c>
      <c r="J242" s="16"/>
      <c r="K242" s="16" t="n">
        <v>2.83122062683105E-007</v>
      </c>
      <c r="L242" s="16" t="n">
        <v>0</v>
      </c>
      <c r="M242" s="16" t="n">
        <v>137317.57</v>
      </c>
      <c r="N242" s="16" t="n">
        <v>0</v>
      </c>
      <c r="O242" s="16" t="n">
        <v>1100000</v>
      </c>
      <c r="P242" s="16" t="n">
        <v>0</v>
      </c>
      <c r="Q242" s="16" t="n">
        <v>10125000</v>
      </c>
      <c r="R242" s="16" t="n">
        <v>7121810</v>
      </c>
      <c r="S242" s="16" t="n">
        <v>5644007</v>
      </c>
      <c r="T242" s="16" t="n">
        <v>20887594.86</v>
      </c>
      <c r="U242" s="16" t="n">
        <v>2560525</v>
      </c>
      <c r="V242" s="16"/>
      <c r="W242" s="16" t="n">
        <v>0</v>
      </c>
      <c r="X242" s="16" t="n">
        <v>0</v>
      </c>
      <c r="Y242" s="16" t="n">
        <v>1803840</v>
      </c>
      <c r="Z242" s="16" t="n">
        <v>2300803</v>
      </c>
      <c r="AA242" s="16" t="n">
        <v>8971988.34</v>
      </c>
      <c r="AB242" s="16" t="n">
        <v>2343750</v>
      </c>
      <c r="AC242" s="16" t="n">
        <v>16316247</v>
      </c>
      <c r="AD242" s="16" t="n">
        <v>1050000</v>
      </c>
      <c r="AE242" s="16" t="n">
        <v>44836040.1</v>
      </c>
      <c r="AF242" s="16" t="n">
        <v>0</v>
      </c>
      <c r="AG242" s="16" t="n">
        <v>0</v>
      </c>
      <c r="AH242" s="16" t="n">
        <v>843099.993559538</v>
      </c>
    </row>
    <row r="243" customFormat="false" ht="15.75" hidden="false" customHeight="false" outlineLevel="0" collapsed="false">
      <c r="A243" s="28" t="n">
        <v>37092</v>
      </c>
      <c r="B243" s="16" t="n">
        <v>1250000</v>
      </c>
      <c r="C243" s="16" t="n">
        <v>1209030.26</v>
      </c>
      <c r="D243" s="16" t="n">
        <v>770244.5</v>
      </c>
      <c r="E243" s="16"/>
      <c r="F243" s="16"/>
      <c r="G243" s="16"/>
      <c r="H243" s="16" t="n">
        <v>0</v>
      </c>
      <c r="I243" s="16" t="n">
        <v>0</v>
      </c>
      <c r="J243" s="16"/>
      <c r="K243" s="16" t="n">
        <v>2.83122062683105E-007</v>
      </c>
      <c r="L243" s="16" t="n">
        <v>0</v>
      </c>
      <c r="M243" s="16" t="n">
        <v>137317.57</v>
      </c>
      <c r="N243" s="16" t="n">
        <v>0</v>
      </c>
      <c r="O243" s="16" t="n">
        <v>1100000</v>
      </c>
      <c r="P243" s="16" t="n">
        <v>0</v>
      </c>
      <c r="Q243" s="16" t="n">
        <v>10125000</v>
      </c>
      <c r="R243" s="16" t="n">
        <v>7121810</v>
      </c>
      <c r="S243" s="16" t="n">
        <v>5644007</v>
      </c>
      <c r="T243" s="16" t="n">
        <v>20887594.86</v>
      </c>
      <c r="U243" s="16" t="n">
        <v>2560525</v>
      </c>
      <c r="V243" s="16"/>
      <c r="W243" s="16" t="n">
        <v>0</v>
      </c>
      <c r="X243" s="16" t="n">
        <v>0</v>
      </c>
      <c r="Y243" s="16" t="n">
        <v>1803840</v>
      </c>
      <c r="Z243" s="16" t="n">
        <v>2300803</v>
      </c>
      <c r="AA243" s="16" t="n">
        <v>8971988.34</v>
      </c>
      <c r="AB243" s="16" t="n">
        <v>2343750</v>
      </c>
      <c r="AC243" s="16" t="n">
        <v>16316247</v>
      </c>
      <c r="AD243" s="16" t="n">
        <v>1050000</v>
      </c>
      <c r="AE243" s="16" t="n">
        <v>44836040.1</v>
      </c>
      <c r="AF243" s="16" t="n">
        <v>0</v>
      </c>
      <c r="AG243" s="16" t="n">
        <v>0</v>
      </c>
      <c r="AH243" s="16" t="n">
        <v>843099.993559538</v>
      </c>
    </row>
    <row r="244" customFormat="false" ht="15.75" hidden="false" customHeight="false" outlineLevel="0" collapsed="false">
      <c r="A244" s="28" t="n">
        <v>37095</v>
      </c>
      <c r="B244" s="16" t="n">
        <v>1250000</v>
      </c>
      <c r="C244" s="16" t="n">
        <v>1209030.26</v>
      </c>
      <c r="D244" s="16" t="n">
        <v>770244.5</v>
      </c>
      <c r="E244" s="16"/>
      <c r="F244" s="16"/>
      <c r="G244" s="16"/>
      <c r="H244" s="16" t="n">
        <v>0</v>
      </c>
      <c r="I244" s="16" t="n">
        <v>0</v>
      </c>
      <c r="J244" s="16"/>
      <c r="K244" s="16" t="n">
        <v>2.83122062683105E-007</v>
      </c>
      <c r="L244" s="16" t="n">
        <v>0</v>
      </c>
      <c r="M244" s="16" t="n">
        <v>137317.57</v>
      </c>
      <c r="N244" s="16" t="n">
        <v>0</v>
      </c>
      <c r="O244" s="16" t="n">
        <v>1100000</v>
      </c>
      <c r="P244" s="16" t="n">
        <v>0</v>
      </c>
      <c r="Q244" s="16" t="n">
        <v>10125000</v>
      </c>
      <c r="R244" s="16" t="n">
        <v>7121810</v>
      </c>
      <c r="S244" s="16" t="n">
        <v>5644007</v>
      </c>
      <c r="T244" s="16" t="n">
        <v>20887594.86</v>
      </c>
      <c r="U244" s="16" t="n">
        <v>2560525</v>
      </c>
      <c r="V244" s="16"/>
      <c r="W244" s="16" t="n">
        <v>0</v>
      </c>
      <c r="X244" s="16" t="n">
        <v>0</v>
      </c>
      <c r="Y244" s="16" t="n">
        <v>1803840</v>
      </c>
      <c r="Z244" s="16" t="n">
        <v>2300803</v>
      </c>
      <c r="AA244" s="16" t="n">
        <v>8971988.34</v>
      </c>
      <c r="AB244" s="16" t="n">
        <v>2343750</v>
      </c>
      <c r="AC244" s="16" t="n">
        <v>16316247</v>
      </c>
      <c r="AD244" s="16" t="n">
        <v>1050000</v>
      </c>
      <c r="AE244" s="16" t="n">
        <v>44836040.1</v>
      </c>
      <c r="AF244" s="16" t="n">
        <v>0</v>
      </c>
      <c r="AG244" s="16" t="n">
        <v>0</v>
      </c>
      <c r="AH244" s="16" t="n">
        <v>842210.619246223</v>
      </c>
    </row>
    <row r="245" customFormat="false" ht="15.75" hidden="false" customHeight="false" outlineLevel="0" collapsed="false">
      <c r="A245" s="28" t="n">
        <v>37096</v>
      </c>
      <c r="B245" s="16" t="n">
        <v>1250000</v>
      </c>
      <c r="C245" s="16" t="n">
        <v>1209030.26</v>
      </c>
      <c r="D245" s="16" t="n">
        <v>770244.5</v>
      </c>
      <c r="E245" s="16"/>
      <c r="F245" s="16"/>
      <c r="G245" s="16"/>
      <c r="H245" s="16" t="n">
        <v>0</v>
      </c>
      <c r="I245" s="16" t="n">
        <v>0</v>
      </c>
      <c r="J245" s="16"/>
      <c r="K245" s="16" t="n">
        <v>2.83122062683105E-007</v>
      </c>
      <c r="L245" s="16" t="n">
        <v>0</v>
      </c>
      <c r="M245" s="16" t="n">
        <v>137317.57</v>
      </c>
      <c r="N245" s="16" t="n">
        <v>0</v>
      </c>
      <c r="O245" s="16" t="n">
        <v>1100000</v>
      </c>
      <c r="P245" s="16" t="n">
        <v>0</v>
      </c>
      <c r="Q245" s="16" t="n">
        <v>10125000</v>
      </c>
      <c r="R245" s="16" t="n">
        <v>7121810</v>
      </c>
      <c r="S245" s="16" t="n">
        <v>5644007</v>
      </c>
      <c r="T245" s="16" t="n">
        <v>20887594.86</v>
      </c>
      <c r="U245" s="16" t="n">
        <v>2560525</v>
      </c>
      <c r="V245" s="16"/>
      <c r="W245" s="16" t="n">
        <v>0</v>
      </c>
      <c r="X245" s="16" t="n">
        <v>0</v>
      </c>
      <c r="Y245" s="16" t="n">
        <v>1803840</v>
      </c>
      <c r="Z245" s="16" t="n">
        <v>2300803</v>
      </c>
      <c r="AA245" s="16" t="n">
        <v>8971988.34</v>
      </c>
      <c r="AB245" s="16" t="n">
        <v>2343750</v>
      </c>
      <c r="AC245" s="16" t="n">
        <v>16316247</v>
      </c>
      <c r="AD245" s="16" t="n">
        <v>1050000</v>
      </c>
      <c r="AE245" s="16" t="n">
        <v>44836040.1</v>
      </c>
      <c r="AF245" s="16" t="n">
        <v>0</v>
      </c>
      <c r="AG245" s="16" t="n">
        <v>0</v>
      </c>
      <c r="AH245" s="16" t="n">
        <v>841500.570398131</v>
      </c>
    </row>
    <row r="246" customFormat="false" ht="15.75" hidden="false" customHeight="false" outlineLevel="0" collapsed="false">
      <c r="A246" s="28" t="n">
        <v>37097</v>
      </c>
      <c r="B246" s="16" t="n">
        <v>1250000</v>
      </c>
      <c r="C246" s="16" t="n">
        <v>1209030.26</v>
      </c>
      <c r="D246" s="16" t="n">
        <v>770244.5</v>
      </c>
      <c r="E246" s="16"/>
      <c r="F246" s="16"/>
      <c r="G246" s="16"/>
      <c r="H246" s="16" t="n">
        <v>0</v>
      </c>
      <c r="I246" s="16" t="n">
        <v>0</v>
      </c>
      <c r="J246" s="16"/>
      <c r="K246" s="16" t="n">
        <v>2.83122062683105E-007</v>
      </c>
      <c r="L246" s="16" t="n">
        <v>0</v>
      </c>
      <c r="M246" s="16" t="n">
        <v>137317.57</v>
      </c>
      <c r="N246" s="16" t="n">
        <v>0</v>
      </c>
      <c r="O246" s="16" t="n">
        <v>1100000</v>
      </c>
      <c r="P246" s="16" t="n">
        <v>0</v>
      </c>
      <c r="Q246" s="16" t="n">
        <v>10125000</v>
      </c>
      <c r="R246" s="16" t="n">
        <v>7121810</v>
      </c>
      <c r="S246" s="16" t="n">
        <v>5644007</v>
      </c>
      <c r="T246" s="16" t="n">
        <v>20887594.86</v>
      </c>
      <c r="U246" s="16" t="n">
        <v>2560525</v>
      </c>
      <c r="V246" s="16"/>
      <c r="W246" s="16" t="n">
        <v>0</v>
      </c>
      <c r="X246" s="16" t="n">
        <v>0</v>
      </c>
      <c r="Y246" s="16" t="n">
        <v>1803840</v>
      </c>
      <c r="Z246" s="16" t="n">
        <v>2300803</v>
      </c>
      <c r="AA246" s="16" t="n">
        <v>8971988.34</v>
      </c>
      <c r="AB246" s="16" t="n">
        <v>2343750</v>
      </c>
      <c r="AC246" s="16" t="n">
        <v>16316247</v>
      </c>
      <c r="AD246" s="16" t="n">
        <v>1050000</v>
      </c>
      <c r="AE246" s="16" t="n">
        <v>44836040.1</v>
      </c>
      <c r="AF246" s="16" t="n">
        <v>0</v>
      </c>
      <c r="AG246" s="16" t="n">
        <v>0</v>
      </c>
      <c r="AH246" s="16" t="n">
        <v>840508.401617003</v>
      </c>
    </row>
    <row r="247" customFormat="false" ht="15.75" hidden="false" customHeight="false" outlineLevel="0" collapsed="false">
      <c r="A247" s="28" t="n">
        <v>37098</v>
      </c>
      <c r="B247" s="16" t="n">
        <v>1250000</v>
      </c>
      <c r="C247" s="16" t="n">
        <v>1209030.26</v>
      </c>
      <c r="D247" s="16" t="n">
        <v>770244.5</v>
      </c>
      <c r="E247" s="16"/>
      <c r="F247" s="16"/>
      <c r="G247" s="16"/>
      <c r="H247" s="16" t="n">
        <v>0</v>
      </c>
      <c r="I247" s="16" t="n">
        <v>0</v>
      </c>
      <c r="J247" s="16"/>
      <c r="K247" s="16" t="n">
        <v>2.83122062683105E-007</v>
      </c>
      <c r="L247" s="16" t="n">
        <v>0</v>
      </c>
      <c r="M247" s="16" t="n">
        <v>137317.57</v>
      </c>
      <c r="N247" s="16" t="n">
        <v>0</v>
      </c>
      <c r="O247" s="16" t="n">
        <v>1100000</v>
      </c>
      <c r="P247" s="16" t="n">
        <v>0</v>
      </c>
      <c r="Q247" s="16" t="n">
        <v>10125000</v>
      </c>
      <c r="R247" s="16" t="n">
        <v>7121810</v>
      </c>
      <c r="S247" s="16" t="n">
        <v>5644007</v>
      </c>
      <c r="T247" s="16" t="n">
        <v>20887594.86</v>
      </c>
      <c r="U247" s="16" t="n">
        <v>2560525</v>
      </c>
      <c r="V247" s="16"/>
      <c r="W247" s="16" t="n">
        <v>0</v>
      </c>
      <c r="X247" s="16" t="n">
        <v>0</v>
      </c>
      <c r="Y247" s="16" t="n">
        <v>1803840</v>
      </c>
      <c r="Z247" s="16" t="n">
        <v>2300803</v>
      </c>
      <c r="AA247" s="16" t="n">
        <v>8971988.34</v>
      </c>
      <c r="AB247" s="16" t="n">
        <v>2343750</v>
      </c>
      <c r="AC247" s="16" t="n">
        <v>16316247</v>
      </c>
      <c r="AD247" s="16" t="n">
        <v>1050000</v>
      </c>
      <c r="AE247" s="16" t="n">
        <v>44836040.1</v>
      </c>
      <c r="AF247" s="16" t="n">
        <v>0</v>
      </c>
      <c r="AG247" s="16" t="n">
        <v>0</v>
      </c>
      <c r="AH247" s="16" t="n">
        <v>840881.208823697</v>
      </c>
    </row>
    <row r="248" customFormat="false" ht="15.75" hidden="false" customHeight="false" outlineLevel="0" collapsed="false">
      <c r="A248" s="28" t="n">
        <v>37099</v>
      </c>
      <c r="B248" s="16" t="n">
        <v>1250000</v>
      </c>
      <c r="C248" s="16" t="n">
        <v>1209030.26</v>
      </c>
      <c r="D248" s="16" t="n">
        <v>770244.5</v>
      </c>
      <c r="E248" s="16"/>
      <c r="F248" s="16"/>
      <c r="G248" s="16"/>
      <c r="H248" s="16" t="n">
        <v>0</v>
      </c>
      <c r="I248" s="16" t="n">
        <v>0</v>
      </c>
      <c r="J248" s="16"/>
      <c r="K248" s="16" t="n">
        <v>2.83122062683105E-007</v>
      </c>
      <c r="L248" s="16" t="n">
        <v>0</v>
      </c>
      <c r="M248" s="16" t="n">
        <v>137317.57</v>
      </c>
      <c r="N248" s="16" t="n">
        <v>0</v>
      </c>
      <c r="O248" s="16" t="n">
        <v>1100000</v>
      </c>
      <c r="P248" s="16" t="n">
        <v>0</v>
      </c>
      <c r="Q248" s="16" t="n">
        <v>10125000</v>
      </c>
      <c r="R248" s="16" t="n">
        <v>7121810</v>
      </c>
      <c r="S248" s="16" t="n">
        <v>5644007</v>
      </c>
      <c r="T248" s="16" t="n">
        <v>20887594.86</v>
      </c>
      <c r="U248" s="16" t="n">
        <v>2560525</v>
      </c>
      <c r="V248" s="16"/>
      <c r="W248" s="16" t="n">
        <v>0</v>
      </c>
      <c r="X248" s="16" t="n">
        <v>0</v>
      </c>
      <c r="Y248" s="16" t="n">
        <v>1803840</v>
      </c>
      <c r="Z248" s="16" t="n">
        <v>2300803</v>
      </c>
      <c r="AA248" s="16" t="n">
        <v>8971988.34</v>
      </c>
      <c r="AB248" s="16" t="n">
        <v>2343750</v>
      </c>
      <c r="AC248" s="16" t="n">
        <v>16316247</v>
      </c>
      <c r="AD248" s="16" t="n">
        <v>1050000</v>
      </c>
      <c r="AE248" s="16" t="n">
        <v>44836040.1</v>
      </c>
      <c r="AF248" s="16" t="n">
        <v>0</v>
      </c>
      <c r="AG248" s="16" t="n">
        <v>0</v>
      </c>
      <c r="AH248" s="16" t="n">
        <v>840236.115718701</v>
      </c>
    </row>
    <row r="249" customFormat="false" ht="15.75" hidden="false" customHeight="false" outlineLevel="0" collapsed="false">
      <c r="A249" s="28" t="n">
        <v>37102</v>
      </c>
      <c r="B249" s="16" t="n">
        <v>1250000</v>
      </c>
      <c r="C249" s="16" t="n">
        <v>1209030.26</v>
      </c>
      <c r="D249" s="16" t="n">
        <v>770244.5</v>
      </c>
      <c r="E249" s="16"/>
      <c r="F249" s="16"/>
      <c r="G249" s="16"/>
      <c r="H249" s="16" t="n">
        <v>0</v>
      </c>
      <c r="I249" s="16" t="n">
        <v>0</v>
      </c>
      <c r="J249" s="16"/>
      <c r="K249" s="16" t="n">
        <v>2.83122062683105E-007</v>
      </c>
      <c r="L249" s="16" t="n">
        <v>0</v>
      </c>
      <c r="M249" s="16" t="n">
        <v>137317.57</v>
      </c>
      <c r="N249" s="16" t="n">
        <v>0</v>
      </c>
      <c r="O249" s="16" t="n">
        <v>1100000</v>
      </c>
      <c r="P249" s="16" t="n">
        <v>0</v>
      </c>
      <c r="Q249" s="16" t="n">
        <v>10125000</v>
      </c>
      <c r="R249" s="16" t="n">
        <v>7121810</v>
      </c>
      <c r="S249" s="16" t="n">
        <v>5644007</v>
      </c>
      <c r="T249" s="16" t="n">
        <v>20887594.86</v>
      </c>
      <c r="U249" s="16" t="n">
        <v>2560525</v>
      </c>
      <c r="V249" s="16"/>
      <c r="W249" s="16" t="n">
        <v>0</v>
      </c>
      <c r="X249" s="16" t="n">
        <v>0</v>
      </c>
      <c r="Y249" s="16" t="n">
        <v>1803840</v>
      </c>
      <c r="Z249" s="16" t="n">
        <v>2300803</v>
      </c>
      <c r="AA249" s="16" t="n">
        <v>8971988.34</v>
      </c>
      <c r="AB249" s="16" t="n">
        <v>2343750</v>
      </c>
      <c r="AC249" s="16" t="n">
        <v>16316247</v>
      </c>
      <c r="AD249" s="16" t="n">
        <v>1050000</v>
      </c>
      <c r="AE249" s="16" t="n">
        <v>44836040.1</v>
      </c>
      <c r="AF249" s="16" t="n">
        <v>0</v>
      </c>
      <c r="AG249" s="16" t="n">
        <v>0</v>
      </c>
      <c r="AH249" s="16" t="n">
        <v>842608.850128049</v>
      </c>
    </row>
    <row r="250" customFormat="false" ht="15.75" hidden="false" customHeight="false" outlineLevel="0" collapsed="false">
      <c r="A250" s="28" t="n">
        <v>37103</v>
      </c>
      <c r="B250" s="16" t="n">
        <v>1250000</v>
      </c>
      <c r="C250" s="16" t="n">
        <v>1209030.26</v>
      </c>
      <c r="D250" s="16" t="n">
        <v>770244.5</v>
      </c>
      <c r="E250" s="16"/>
      <c r="F250" s="16"/>
      <c r="G250" s="16"/>
      <c r="H250" s="16" t="n">
        <v>0</v>
      </c>
      <c r="I250" s="16" t="n">
        <v>0</v>
      </c>
      <c r="J250" s="16"/>
      <c r="K250" s="16" t="n">
        <v>2.83122062683105E-007</v>
      </c>
      <c r="L250" s="16" t="n">
        <v>0</v>
      </c>
      <c r="M250" s="16" t="n">
        <v>137317.57</v>
      </c>
      <c r="N250" s="16" t="n">
        <v>0</v>
      </c>
      <c r="O250" s="16" t="n">
        <v>1100000</v>
      </c>
      <c r="P250" s="16" t="n">
        <v>0</v>
      </c>
      <c r="Q250" s="16" t="n">
        <v>10125000</v>
      </c>
      <c r="R250" s="16" t="n">
        <v>7121810</v>
      </c>
      <c r="S250" s="16" t="n">
        <v>5644007</v>
      </c>
      <c r="T250" s="16" t="n">
        <v>20887594.86</v>
      </c>
      <c r="U250" s="16" t="n">
        <v>2560525</v>
      </c>
      <c r="V250" s="16"/>
      <c r="W250" s="16" t="n">
        <v>0</v>
      </c>
      <c r="X250" s="16" t="n">
        <v>0</v>
      </c>
      <c r="Y250" s="16" t="n">
        <v>1803840</v>
      </c>
      <c r="Z250" s="16" t="n">
        <v>2300803</v>
      </c>
      <c r="AA250" s="16" t="n">
        <v>8971988.34</v>
      </c>
      <c r="AB250" s="16" t="n">
        <v>2343750</v>
      </c>
      <c r="AC250" s="16" t="n">
        <v>16316247</v>
      </c>
      <c r="AD250" s="16" t="n">
        <v>1050000</v>
      </c>
      <c r="AE250" s="16" t="n">
        <v>44836040.1</v>
      </c>
      <c r="AF250" s="16" t="n">
        <v>0</v>
      </c>
      <c r="AG250" s="16" t="n">
        <v>0</v>
      </c>
      <c r="AH250" s="16" t="n">
        <v>841829.97624003</v>
      </c>
    </row>
    <row r="251" customFormat="false" ht="15.75" hidden="false" customHeight="false" outlineLevel="0" collapsed="false">
      <c r="A251" s="28" t="n">
        <v>37104</v>
      </c>
      <c r="B251" s="16" t="n">
        <v>1250000</v>
      </c>
      <c r="C251" s="16" t="n">
        <v>1209030.26</v>
      </c>
      <c r="D251" s="16" t="n">
        <v>770244.5</v>
      </c>
      <c r="E251" s="16"/>
      <c r="F251" s="16"/>
      <c r="G251" s="16"/>
      <c r="H251" s="16" t="n">
        <v>0</v>
      </c>
      <c r="I251" s="16" t="n">
        <v>0</v>
      </c>
      <c r="J251" s="16"/>
      <c r="K251" s="16" t="n">
        <v>2.83122062683105E-007</v>
      </c>
      <c r="L251" s="16" t="n">
        <v>0</v>
      </c>
      <c r="M251" s="16" t="n">
        <v>137317.57</v>
      </c>
      <c r="N251" s="16" t="n">
        <v>0</v>
      </c>
      <c r="O251" s="16" t="n">
        <v>1100000</v>
      </c>
      <c r="P251" s="16" t="n">
        <v>0</v>
      </c>
      <c r="Q251" s="16" t="n">
        <v>10125000</v>
      </c>
      <c r="R251" s="16" t="n">
        <v>7121810</v>
      </c>
      <c r="S251" s="16" t="n">
        <v>5644007</v>
      </c>
      <c r="T251" s="16" t="n">
        <v>20887594.86</v>
      </c>
      <c r="U251" s="16" t="n">
        <v>2560525</v>
      </c>
      <c r="V251" s="16"/>
      <c r="W251" s="16" t="n">
        <v>0</v>
      </c>
      <c r="X251" s="16" t="n">
        <v>0</v>
      </c>
      <c r="Y251" s="16" t="n">
        <v>1803840</v>
      </c>
      <c r="Z251" s="16" t="n">
        <v>2300803</v>
      </c>
      <c r="AA251" s="16" t="n">
        <v>8971988.34</v>
      </c>
      <c r="AB251" s="16" t="n">
        <v>2343750</v>
      </c>
      <c r="AC251" s="16" t="n">
        <v>16316247</v>
      </c>
      <c r="AD251" s="16" t="n">
        <v>1050000</v>
      </c>
      <c r="AE251" s="16" t="n">
        <v>44836040.1</v>
      </c>
      <c r="AF251" s="16" t="n">
        <v>0</v>
      </c>
      <c r="AG251" s="16" t="n">
        <v>0</v>
      </c>
      <c r="AH251" s="16" t="n">
        <v>841740.604997336</v>
      </c>
    </row>
    <row r="252" customFormat="false" ht="15.75" hidden="false" customHeight="false" outlineLevel="0" collapsed="false">
      <c r="A252" s="28" t="n">
        <v>37105</v>
      </c>
      <c r="B252" s="16" t="n">
        <v>1250000</v>
      </c>
      <c r="C252" s="16" t="n">
        <v>1209030.26</v>
      </c>
      <c r="D252" s="16" t="n">
        <v>770244.5</v>
      </c>
      <c r="E252" s="16"/>
      <c r="F252" s="16"/>
      <c r="G252" s="16"/>
      <c r="H252" s="16" t="n">
        <v>0</v>
      </c>
      <c r="I252" s="16" t="n">
        <v>0</v>
      </c>
      <c r="J252" s="16"/>
      <c r="K252" s="16" t="n">
        <v>2.83122062683105E-007</v>
      </c>
      <c r="L252" s="16" t="n">
        <v>0</v>
      </c>
      <c r="M252" s="16" t="n">
        <v>137317.57</v>
      </c>
      <c r="N252" s="16" t="n">
        <v>0</v>
      </c>
      <c r="O252" s="16" t="n">
        <v>1100000</v>
      </c>
      <c r="P252" s="16" t="n">
        <v>0</v>
      </c>
      <c r="Q252" s="16" t="n">
        <v>10125000</v>
      </c>
      <c r="R252" s="16" t="n">
        <v>7121810</v>
      </c>
      <c r="S252" s="16" t="n">
        <v>5644007</v>
      </c>
      <c r="T252" s="16" t="n">
        <v>20887594.86</v>
      </c>
      <c r="U252" s="16" t="n">
        <v>2560525</v>
      </c>
      <c r="V252" s="16"/>
      <c r="W252" s="16" t="n">
        <v>0</v>
      </c>
      <c r="X252" s="16" t="n">
        <v>0</v>
      </c>
      <c r="Y252" s="16" t="n">
        <v>1803840</v>
      </c>
      <c r="Z252" s="16" t="n">
        <v>2300803</v>
      </c>
      <c r="AA252" s="16" t="n">
        <v>8971988.34</v>
      </c>
      <c r="AB252" s="16" t="n">
        <v>2343750</v>
      </c>
      <c r="AC252" s="16" t="n">
        <v>16316247</v>
      </c>
      <c r="AD252" s="16" t="n">
        <v>1050000</v>
      </c>
      <c r="AE252" s="16" t="n">
        <v>44836040.1</v>
      </c>
      <c r="AF252" s="16" t="n">
        <v>0</v>
      </c>
      <c r="AG252" s="16" t="n">
        <v>0</v>
      </c>
      <c r="AH252" s="16" t="n">
        <v>840709.697328888</v>
      </c>
    </row>
    <row r="253" customFormat="false" ht="15.75" hidden="false" customHeight="false" outlineLevel="0" collapsed="false">
      <c r="A253" s="28" t="n">
        <v>37106</v>
      </c>
      <c r="B253" s="16" t="n">
        <v>1250000</v>
      </c>
      <c r="C253" s="16" t="n">
        <v>1209030.26</v>
      </c>
      <c r="D253" s="16" t="n">
        <v>770244.5</v>
      </c>
      <c r="E253" s="16"/>
      <c r="F253" s="16"/>
      <c r="G253" s="16"/>
      <c r="H253" s="16" t="n">
        <v>0</v>
      </c>
      <c r="I253" s="16" t="n">
        <v>0</v>
      </c>
      <c r="J253" s="16"/>
      <c r="K253" s="16" t="n">
        <v>2.83122062683105E-007</v>
      </c>
      <c r="L253" s="16" t="n">
        <v>0</v>
      </c>
      <c r="M253" s="16" t="n">
        <v>137317.57</v>
      </c>
      <c r="N253" s="16" t="n">
        <v>0</v>
      </c>
      <c r="O253" s="16" t="n">
        <v>1100000</v>
      </c>
      <c r="P253" s="16" t="n">
        <v>0</v>
      </c>
      <c r="Q253" s="16" t="n">
        <v>10125000</v>
      </c>
      <c r="R253" s="16" t="n">
        <v>7121810</v>
      </c>
      <c r="S253" s="16" t="n">
        <v>5644007</v>
      </c>
      <c r="T253" s="16" t="n">
        <v>20887594.86</v>
      </c>
      <c r="U253" s="16" t="n">
        <v>2560525</v>
      </c>
      <c r="V253" s="16"/>
      <c r="W253" s="16" t="n">
        <v>0</v>
      </c>
      <c r="X253" s="16" t="n">
        <v>0</v>
      </c>
      <c r="Y253" s="16" t="n">
        <v>1803840</v>
      </c>
      <c r="Z253" s="16" t="n">
        <v>2300803</v>
      </c>
      <c r="AA253" s="16" t="n">
        <v>8971988.34</v>
      </c>
      <c r="AB253" s="16" t="n">
        <v>2343750</v>
      </c>
      <c r="AC253" s="16" t="n">
        <v>16316247</v>
      </c>
      <c r="AD253" s="16" t="n">
        <v>1050000</v>
      </c>
      <c r="AE253" s="16" t="n">
        <v>44836040.1</v>
      </c>
      <c r="AF253" s="16" t="n">
        <v>0</v>
      </c>
      <c r="AG253" s="16" t="n">
        <v>0</v>
      </c>
      <c r="AH253" s="16" t="n">
        <v>841717.820121288</v>
      </c>
    </row>
    <row r="254" customFormat="false" ht="15.75" hidden="false" customHeight="false" outlineLevel="0" collapsed="false">
      <c r="A254" s="28" t="n">
        <v>37109</v>
      </c>
      <c r="B254" s="16" t="n">
        <v>1250000</v>
      </c>
      <c r="C254" s="16" t="n">
        <v>1209030.26</v>
      </c>
      <c r="D254" s="16" t="n">
        <v>770244.5</v>
      </c>
      <c r="E254" s="16"/>
      <c r="F254" s="16"/>
      <c r="G254" s="16"/>
      <c r="H254" s="16" t="n">
        <v>0</v>
      </c>
      <c r="I254" s="16" t="n">
        <v>0</v>
      </c>
      <c r="J254" s="16"/>
      <c r="K254" s="16" t="n">
        <v>2.83122062683105E-007</v>
      </c>
      <c r="L254" s="16" t="n">
        <v>0</v>
      </c>
      <c r="M254" s="16" t="n">
        <v>137317.57</v>
      </c>
      <c r="N254" s="16" t="n">
        <v>0</v>
      </c>
      <c r="O254" s="16" t="n">
        <v>1100000</v>
      </c>
      <c r="P254" s="16" t="n">
        <v>0</v>
      </c>
      <c r="Q254" s="16" t="n">
        <v>10125000</v>
      </c>
      <c r="R254" s="16" t="n">
        <v>7121810</v>
      </c>
      <c r="S254" s="16" t="n">
        <v>5644007</v>
      </c>
      <c r="T254" s="16" t="n">
        <v>20887594.86</v>
      </c>
      <c r="U254" s="16" t="n">
        <v>2560525</v>
      </c>
      <c r="V254" s="16"/>
      <c r="W254" s="16" t="n">
        <v>0</v>
      </c>
      <c r="X254" s="16" t="n">
        <v>0</v>
      </c>
      <c r="Y254" s="16" t="n">
        <v>1803840</v>
      </c>
      <c r="Z254" s="16" t="n">
        <v>2300803</v>
      </c>
      <c r="AA254" s="16" t="n">
        <v>8971988.34</v>
      </c>
      <c r="AB254" s="16" t="n">
        <v>2343750</v>
      </c>
      <c r="AC254" s="16" t="n">
        <v>16316247</v>
      </c>
      <c r="AD254" s="16" t="n">
        <v>1050000</v>
      </c>
      <c r="AE254" s="16" t="n">
        <v>44836040.1</v>
      </c>
      <c r="AF254" s="16" t="n">
        <v>0</v>
      </c>
      <c r="AG254" s="16" t="n">
        <v>0</v>
      </c>
      <c r="AH254" s="16" t="n">
        <v>841961.861289288</v>
      </c>
    </row>
    <row r="255" customFormat="false" ht="15.75" hidden="false" customHeight="false" outlineLevel="0" collapsed="false">
      <c r="A255" s="28" t="n">
        <v>37110</v>
      </c>
      <c r="B255" s="16" t="n">
        <v>1250000</v>
      </c>
      <c r="C255" s="16" t="n">
        <v>1209030.26</v>
      </c>
      <c r="D255" s="16" t="n">
        <v>770244.5</v>
      </c>
      <c r="E255" s="16"/>
      <c r="F255" s="16"/>
      <c r="G255" s="16"/>
      <c r="H255" s="16" t="n">
        <v>0</v>
      </c>
      <c r="I255" s="16" t="n">
        <v>0</v>
      </c>
      <c r="J255" s="16"/>
      <c r="K255" s="16" t="n">
        <v>2.83122062683105E-007</v>
      </c>
      <c r="L255" s="16" t="n">
        <v>0</v>
      </c>
      <c r="M255" s="16" t="n">
        <v>137317.57</v>
      </c>
      <c r="N255" s="16" t="n">
        <v>0</v>
      </c>
      <c r="O255" s="16" t="n">
        <v>1100000</v>
      </c>
      <c r="P255" s="16" t="n">
        <v>0</v>
      </c>
      <c r="Q255" s="16" t="n">
        <v>10125000</v>
      </c>
      <c r="R255" s="16" t="n">
        <v>7121810</v>
      </c>
      <c r="S255" s="16" t="n">
        <v>5644007</v>
      </c>
      <c r="T255" s="16" t="n">
        <v>20887594.86</v>
      </c>
      <c r="U255" s="16" t="n">
        <v>2560525</v>
      </c>
      <c r="V255" s="16"/>
      <c r="W255" s="16" t="n">
        <v>0</v>
      </c>
      <c r="X255" s="16" t="n">
        <v>0</v>
      </c>
      <c r="Y255" s="16" t="n">
        <v>1803840</v>
      </c>
      <c r="Z255" s="16" t="n">
        <v>2300803</v>
      </c>
      <c r="AA255" s="16" t="n">
        <v>8971988.34</v>
      </c>
      <c r="AB255" s="16" t="n">
        <v>2343750</v>
      </c>
      <c r="AC255" s="16" t="n">
        <v>16316247</v>
      </c>
      <c r="AD255" s="16" t="n">
        <v>1050000</v>
      </c>
      <c r="AE255" s="16" t="n">
        <v>44836040.1</v>
      </c>
      <c r="AF255" s="16" t="n">
        <v>0</v>
      </c>
      <c r="AG255" s="16" t="n">
        <v>0</v>
      </c>
      <c r="AH255" s="16" t="n">
        <v>840017.878102262</v>
      </c>
    </row>
    <row r="256" customFormat="false" ht="15.75" hidden="false" customHeight="false" outlineLevel="0" collapsed="false">
      <c r="A256" s="28" t="n">
        <v>37111</v>
      </c>
      <c r="B256" s="16" t="n">
        <v>1250000</v>
      </c>
      <c r="C256" s="16" t="n">
        <v>1209030.26</v>
      </c>
      <c r="D256" s="16" t="n">
        <v>770244.5</v>
      </c>
      <c r="E256" s="16"/>
      <c r="F256" s="16"/>
      <c r="G256" s="16"/>
      <c r="H256" s="16" t="n">
        <v>0</v>
      </c>
      <c r="I256" s="16" t="n">
        <v>0</v>
      </c>
      <c r="J256" s="16"/>
      <c r="K256" s="16" t="n">
        <v>2.83122062683105E-007</v>
      </c>
      <c r="L256" s="16" t="n">
        <v>0</v>
      </c>
      <c r="M256" s="16" t="n">
        <v>137317.57</v>
      </c>
      <c r="N256" s="16" t="n">
        <v>0</v>
      </c>
      <c r="O256" s="16" t="n">
        <v>1100000</v>
      </c>
      <c r="P256" s="16" t="n">
        <v>0</v>
      </c>
      <c r="Q256" s="16" t="n">
        <v>10125000</v>
      </c>
      <c r="R256" s="16" t="n">
        <v>7121810</v>
      </c>
      <c r="S256" s="16" t="n">
        <v>5644007</v>
      </c>
      <c r="T256" s="16" t="n">
        <v>20887594.86</v>
      </c>
      <c r="U256" s="16" t="n">
        <v>2560525</v>
      </c>
      <c r="V256" s="16"/>
      <c r="W256" s="16" t="n">
        <v>0</v>
      </c>
      <c r="X256" s="16" t="n">
        <v>0</v>
      </c>
      <c r="Y256" s="16" t="n">
        <v>1803840</v>
      </c>
      <c r="Z256" s="16" t="n">
        <v>2300803</v>
      </c>
      <c r="AA256" s="16" t="n">
        <v>8971988.34</v>
      </c>
      <c r="AB256" s="16" t="n">
        <v>2343750</v>
      </c>
      <c r="AC256" s="16" t="n">
        <v>16316247</v>
      </c>
      <c r="AD256" s="16" t="n">
        <v>1050000</v>
      </c>
      <c r="AE256" s="16" t="n">
        <v>44836040.1</v>
      </c>
      <c r="AF256" s="16" t="n">
        <v>0</v>
      </c>
      <c r="AG256" s="16" t="n">
        <v>0</v>
      </c>
      <c r="AH256" s="16" t="n">
        <v>839932.099916199</v>
      </c>
    </row>
    <row r="257" customFormat="false" ht="15.75" hidden="false" customHeight="false" outlineLevel="0" collapsed="false">
      <c r="A257" s="28" t="n">
        <v>37112</v>
      </c>
      <c r="B257" s="16" t="n">
        <v>1250000</v>
      </c>
      <c r="C257" s="16" t="n">
        <v>1209030.26</v>
      </c>
      <c r="D257" s="16" t="n">
        <v>770244.5</v>
      </c>
      <c r="E257" s="16"/>
      <c r="F257" s="16"/>
      <c r="G257" s="16"/>
      <c r="H257" s="16" t="n">
        <v>0</v>
      </c>
      <c r="I257" s="16" t="n">
        <v>0</v>
      </c>
      <c r="J257" s="16"/>
      <c r="K257" s="16" t="n">
        <v>2.83122062683105E-007</v>
      </c>
      <c r="L257" s="16" t="n">
        <v>0</v>
      </c>
      <c r="M257" s="16" t="n">
        <v>137317.57</v>
      </c>
      <c r="N257" s="16" t="n">
        <v>0</v>
      </c>
      <c r="O257" s="16" t="n">
        <v>1100000</v>
      </c>
      <c r="P257" s="16" t="n">
        <v>0</v>
      </c>
      <c r="Q257" s="16" t="n">
        <v>10125000</v>
      </c>
      <c r="R257" s="16" t="n">
        <v>7121810</v>
      </c>
      <c r="S257" s="16" t="n">
        <v>5644007</v>
      </c>
      <c r="T257" s="16" t="n">
        <v>20887594.86</v>
      </c>
      <c r="U257" s="16" t="n">
        <v>2560525</v>
      </c>
      <c r="V257" s="16"/>
      <c r="W257" s="16" t="n">
        <v>0</v>
      </c>
      <c r="X257" s="16" t="n">
        <v>0</v>
      </c>
      <c r="Y257" s="16" t="n">
        <v>1803840</v>
      </c>
      <c r="Z257" s="16" t="n">
        <v>2300803</v>
      </c>
      <c r="AA257" s="16" t="n">
        <v>8971988.34</v>
      </c>
      <c r="AB257" s="16" t="n">
        <v>2343750</v>
      </c>
      <c r="AC257" s="16" t="n">
        <v>16316247</v>
      </c>
      <c r="AD257" s="16" t="n">
        <v>1050000</v>
      </c>
      <c r="AE257" s="16" t="n">
        <v>44836040.1</v>
      </c>
      <c r="AF257" s="16" t="n">
        <v>0</v>
      </c>
      <c r="AG257" s="16" t="n">
        <v>0</v>
      </c>
      <c r="AH257" s="16" t="n">
        <v>838077.918265431</v>
      </c>
    </row>
    <row r="258" customFormat="false" ht="15.75" hidden="false" customHeight="false" outlineLevel="0" collapsed="false">
      <c r="A258" s="28" t="n">
        <v>37113</v>
      </c>
      <c r="B258" s="16" t="n">
        <v>1250000</v>
      </c>
      <c r="C258" s="16" t="n">
        <v>1209030.26</v>
      </c>
      <c r="D258" s="16" t="n">
        <v>770244.5</v>
      </c>
      <c r="E258" s="16"/>
      <c r="F258" s="16"/>
      <c r="G258" s="16"/>
      <c r="H258" s="16" t="n">
        <v>0</v>
      </c>
      <c r="I258" s="16" t="n">
        <v>0</v>
      </c>
      <c r="J258" s="16"/>
      <c r="K258" s="16" t="n">
        <v>2.83122062683105E-007</v>
      </c>
      <c r="L258" s="16" t="n">
        <v>0</v>
      </c>
      <c r="M258" s="16" t="n">
        <v>137317.57</v>
      </c>
      <c r="N258" s="16" t="n">
        <v>0</v>
      </c>
      <c r="O258" s="16" t="n">
        <v>1100000</v>
      </c>
      <c r="P258" s="16" t="n">
        <v>0</v>
      </c>
      <c r="Q258" s="16" t="n">
        <v>10125000</v>
      </c>
      <c r="R258" s="16" t="n">
        <v>7121810</v>
      </c>
      <c r="S258" s="16" t="n">
        <v>5644007</v>
      </c>
      <c r="T258" s="16" t="n">
        <v>20887594.86</v>
      </c>
      <c r="U258" s="16" t="n">
        <v>2560525</v>
      </c>
      <c r="V258" s="16"/>
      <c r="W258" s="16" t="n">
        <v>0</v>
      </c>
      <c r="X258" s="16" t="n">
        <v>0</v>
      </c>
      <c r="Y258" s="16" t="n">
        <v>1803840</v>
      </c>
      <c r="Z258" s="16" t="n">
        <v>2300803</v>
      </c>
      <c r="AA258" s="16" t="n">
        <v>8971988.34</v>
      </c>
      <c r="AB258" s="16" t="n">
        <v>2343750</v>
      </c>
      <c r="AC258" s="16" t="n">
        <v>16316247</v>
      </c>
      <c r="AD258" s="16" t="n">
        <v>1050000</v>
      </c>
      <c r="AE258" s="16" t="n">
        <v>44836040.1</v>
      </c>
      <c r="AF258" s="16" t="n">
        <v>0</v>
      </c>
      <c r="AG258" s="16" t="n">
        <v>0</v>
      </c>
      <c r="AH258" s="16" t="n">
        <v>838558.156058192</v>
      </c>
    </row>
    <row r="259" customFormat="false" ht="15.75" hidden="false" customHeight="false" outlineLevel="0" collapsed="false">
      <c r="A259" s="28" t="n">
        <v>37116</v>
      </c>
      <c r="B259" s="16" t="n">
        <v>1250000</v>
      </c>
      <c r="C259" s="16" t="n">
        <v>1209030.26</v>
      </c>
      <c r="D259" s="16" t="n">
        <v>770244.5</v>
      </c>
      <c r="E259" s="16"/>
      <c r="F259" s="16"/>
      <c r="G259" s="16"/>
      <c r="H259" s="16" t="n">
        <v>0</v>
      </c>
      <c r="I259" s="16" t="n">
        <v>0</v>
      </c>
      <c r="J259" s="16"/>
      <c r="K259" s="16" t="n">
        <v>2.83122062683105E-007</v>
      </c>
      <c r="L259" s="16" t="n">
        <v>0</v>
      </c>
      <c r="M259" s="16" t="n">
        <v>137317.57</v>
      </c>
      <c r="N259" s="16" t="n">
        <v>0</v>
      </c>
      <c r="O259" s="16" t="n">
        <v>1100000</v>
      </c>
      <c r="P259" s="16" t="n">
        <v>0</v>
      </c>
      <c r="Q259" s="16" t="n">
        <v>10125000</v>
      </c>
      <c r="R259" s="16" t="n">
        <v>7121810</v>
      </c>
      <c r="S259" s="16" t="n">
        <v>5644007</v>
      </c>
      <c r="T259" s="16" t="n">
        <v>20887594.86</v>
      </c>
      <c r="U259" s="16" t="n">
        <v>2560525</v>
      </c>
      <c r="V259" s="16"/>
      <c r="W259" s="16" t="n">
        <v>0</v>
      </c>
      <c r="X259" s="16" t="n">
        <v>0</v>
      </c>
      <c r="Y259" s="16" t="n">
        <v>1803840</v>
      </c>
      <c r="Z259" s="16" t="n">
        <v>2300803</v>
      </c>
      <c r="AA259" s="16" t="n">
        <v>8971988.34</v>
      </c>
      <c r="AB259" s="16" t="n">
        <v>2343750</v>
      </c>
      <c r="AC259" s="16" t="n">
        <v>16316247</v>
      </c>
      <c r="AD259" s="16" t="n">
        <v>1050000</v>
      </c>
      <c r="AE259" s="16" t="n">
        <v>44836040.1</v>
      </c>
      <c r="AF259" s="16" t="n">
        <v>0</v>
      </c>
      <c r="AG259" s="16" t="n">
        <v>0</v>
      </c>
      <c r="AH259" s="16" t="n">
        <v>838534.147316381</v>
      </c>
    </row>
    <row r="260" customFormat="false" ht="15.75" hidden="false" customHeight="false" outlineLevel="0" collapsed="false">
      <c r="A260" s="28" t="n">
        <v>37117</v>
      </c>
      <c r="B260" s="16" t="n">
        <v>1250000</v>
      </c>
      <c r="C260" s="16" t="n">
        <v>1209030.26</v>
      </c>
      <c r="D260" s="16" t="n">
        <v>770244.5</v>
      </c>
      <c r="E260" s="16"/>
      <c r="F260" s="16"/>
      <c r="G260" s="16"/>
      <c r="H260" s="16" t="n">
        <v>0</v>
      </c>
      <c r="I260" s="16" t="n">
        <v>0</v>
      </c>
      <c r="J260" s="16"/>
      <c r="K260" s="16" t="n">
        <v>2.83122062683105E-007</v>
      </c>
      <c r="L260" s="16" t="n">
        <v>0</v>
      </c>
      <c r="M260" s="16" t="n">
        <v>137317.57</v>
      </c>
      <c r="N260" s="16" t="n">
        <v>0</v>
      </c>
      <c r="O260" s="16" t="n">
        <v>1100000</v>
      </c>
      <c r="P260" s="16" t="n">
        <v>0</v>
      </c>
      <c r="Q260" s="16" t="n">
        <v>10125000</v>
      </c>
      <c r="R260" s="16" t="n">
        <v>7121810</v>
      </c>
      <c r="S260" s="16" t="n">
        <v>5644007</v>
      </c>
      <c r="T260" s="16" t="n">
        <v>20887594.86</v>
      </c>
      <c r="U260" s="16" t="n">
        <v>2560525</v>
      </c>
      <c r="V260" s="16"/>
      <c r="W260" s="16" t="n">
        <v>0</v>
      </c>
      <c r="X260" s="16" t="n">
        <v>0</v>
      </c>
      <c r="Y260" s="16" t="n">
        <v>1803840</v>
      </c>
      <c r="Z260" s="16" t="n">
        <v>2300803</v>
      </c>
      <c r="AA260" s="16" t="n">
        <v>8971988.34</v>
      </c>
      <c r="AB260" s="16" t="n">
        <v>2343750</v>
      </c>
      <c r="AC260" s="16" t="n">
        <v>16316247</v>
      </c>
      <c r="AD260" s="16" t="n">
        <v>1050000</v>
      </c>
      <c r="AE260" s="16" t="n">
        <v>44836040.1</v>
      </c>
      <c r="AF260" s="16" t="n">
        <v>0</v>
      </c>
      <c r="AG260" s="16" t="n">
        <v>0</v>
      </c>
      <c r="AH260" s="16" t="n">
        <v>834476.214777497</v>
      </c>
    </row>
    <row r="261" customFormat="false" ht="15.75" hidden="false" customHeight="false" outlineLevel="0" collapsed="false">
      <c r="A261" s="28" t="n">
        <v>37118</v>
      </c>
      <c r="B261" s="16" t="n">
        <v>1250000</v>
      </c>
      <c r="C261" s="16" t="n">
        <v>1209030.26</v>
      </c>
      <c r="D261" s="16" t="n">
        <v>770244.5</v>
      </c>
      <c r="E261" s="16"/>
      <c r="F261" s="16"/>
      <c r="G261" s="16"/>
      <c r="H261" s="16" t="n">
        <v>0</v>
      </c>
      <c r="I261" s="16" t="n">
        <v>0</v>
      </c>
      <c r="J261" s="16"/>
      <c r="K261" s="16" t="n">
        <v>2.83122062683105E-007</v>
      </c>
      <c r="L261" s="16" t="n">
        <v>0</v>
      </c>
      <c r="M261" s="16" t="n">
        <v>137317.57</v>
      </c>
      <c r="N261" s="16" t="n">
        <v>0</v>
      </c>
      <c r="O261" s="16" t="n">
        <v>1100000</v>
      </c>
      <c r="P261" s="16" t="n">
        <v>0</v>
      </c>
      <c r="Q261" s="16" t="n">
        <v>10125000</v>
      </c>
      <c r="R261" s="16" t="n">
        <v>7121810</v>
      </c>
      <c r="S261" s="16" t="n">
        <v>5644007</v>
      </c>
      <c r="T261" s="16" t="n">
        <v>20887594.86</v>
      </c>
      <c r="U261" s="16" t="n">
        <v>2560525</v>
      </c>
      <c r="V261" s="16"/>
      <c r="W261" s="16" t="n">
        <v>0</v>
      </c>
      <c r="X261" s="16" t="n">
        <v>0</v>
      </c>
      <c r="Y261" s="16" t="n">
        <v>1803840</v>
      </c>
      <c r="Z261" s="16" t="n">
        <v>2300803</v>
      </c>
      <c r="AA261" s="16" t="n">
        <v>8971988.34</v>
      </c>
      <c r="AB261" s="16" t="n">
        <v>2343750</v>
      </c>
      <c r="AC261" s="16" t="n">
        <v>16316247</v>
      </c>
      <c r="AD261" s="16" t="n">
        <v>1050000</v>
      </c>
      <c r="AE261" s="16" t="n">
        <v>44836040.1</v>
      </c>
      <c r="AF261" s="16" t="n">
        <v>0</v>
      </c>
      <c r="AG261" s="16" t="n">
        <v>0</v>
      </c>
      <c r="AH261" s="16" t="n">
        <v>833989.179851681</v>
      </c>
    </row>
    <row r="262" customFormat="false" ht="15.75" hidden="false" customHeight="false" outlineLevel="0" collapsed="false">
      <c r="A262" s="28" t="n">
        <v>37119</v>
      </c>
      <c r="B262" s="16" t="n">
        <v>1250000</v>
      </c>
      <c r="C262" s="16" t="n">
        <v>1209030.26</v>
      </c>
      <c r="D262" s="16" t="n">
        <v>770244.5</v>
      </c>
      <c r="E262" s="16"/>
      <c r="F262" s="16"/>
      <c r="G262" s="16"/>
      <c r="H262" s="16" t="n">
        <v>0</v>
      </c>
      <c r="I262" s="16" t="n">
        <v>0</v>
      </c>
      <c r="J262" s="16"/>
      <c r="K262" s="16" t="n">
        <v>2.83122062683105E-007</v>
      </c>
      <c r="L262" s="16" t="n">
        <v>0</v>
      </c>
      <c r="M262" s="16" t="n">
        <v>137317.57</v>
      </c>
      <c r="N262" s="16" t="n">
        <v>0</v>
      </c>
      <c r="O262" s="16" t="n">
        <v>1100000</v>
      </c>
      <c r="P262" s="16" t="n">
        <v>0</v>
      </c>
      <c r="Q262" s="16" t="n">
        <v>10125000</v>
      </c>
      <c r="R262" s="16" t="n">
        <v>7121810</v>
      </c>
      <c r="S262" s="16" t="n">
        <v>5644007</v>
      </c>
      <c r="T262" s="16" t="n">
        <v>20887594.86</v>
      </c>
      <c r="U262" s="16" t="n">
        <v>2560525</v>
      </c>
      <c r="V262" s="16"/>
      <c r="W262" s="16" t="n">
        <v>0</v>
      </c>
      <c r="X262" s="16" t="n">
        <v>0</v>
      </c>
      <c r="Y262" s="16" t="n">
        <v>1803840</v>
      </c>
      <c r="Z262" s="16" t="n">
        <v>2300803</v>
      </c>
      <c r="AA262" s="16" t="n">
        <v>8971988.34</v>
      </c>
      <c r="AB262" s="16" t="n">
        <v>2343750</v>
      </c>
      <c r="AC262" s="16" t="n">
        <v>16316247</v>
      </c>
      <c r="AD262" s="16" t="n">
        <v>1050000</v>
      </c>
      <c r="AE262" s="16" t="n">
        <v>44836040.1</v>
      </c>
      <c r="AF262" s="16" t="n">
        <v>0</v>
      </c>
      <c r="AG262" s="16" t="n">
        <v>0</v>
      </c>
      <c r="AH262" s="16" t="n">
        <v>833807.037027426</v>
      </c>
    </row>
    <row r="263" customFormat="false" ht="15.75" hidden="false" customHeight="false" outlineLevel="0" collapsed="false">
      <c r="A263" s="28" t="n">
        <v>37120</v>
      </c>
      <c r="B263" s="16" t="n">
        <v>1250000</v>
      </c>
      <c r="C263" s="16" t="n">
        <v>1209030.26</v>
      </c>
      <c r="D263" s="16" t="n">
        <v>770244.5</v>
      </c>
      <c r="E263" s="16"/>
      <c r="F263" s="16"/>
      <c r="G263" s="16"/>
      <c r="H263" s="16" t="n">
        <v>0</v>
      </c>
      <c r="I263" s="16" t="n">
        <v>0</v>
      </c>
      <c r="J263" s="16"/>
      <c r="K263" s="16" t="n">
        <v>2.83122062683105E-007</v>
      </c>
      <c r="L263" s="16" t="n">
        <v>0</v>
      </c>
      <c r="M263" s="16" t="n">
        <v>137317.57</v>
      </c>
      <c r="N263" s="16" t="n">
        <v>0</v>
      </c>
      <c r="O263" s="16" t="n">
        <v>1100000</v>
      </c>
      <c r="P263" s="16" t="n">
        <v>0</v>
      </c>
      <c r="Q263" s="16" t="n">
        <v>10125000</v>
      </c>
      <c r="R263" s="16" t="n">
        <v>7121810</v>
      </c>
      <c r="S263" s="16" t="n">
        <v>5644007</v>
      </c>
      <c r="T263" s="16" t="n">
        <v>20887594.86</v>
      </c>
      <c r="U263" s="16" t="n">
        <v>2560525</v>
      </c>
      <c r="V263" s="16"/>
      <c r="W263" s="16" t="n">
        <v>0</v>
      </c>
      <c r="X263" s="16" t="n">
        <v>0</v>
      </c>
      <c r="Y263" s="16" t="n">
        <v>1803840</v>
      </c>
      <c r="Z263" s="16" t="n">
        <v>2300803</v>
      </c>
      <c r="AA263" s="16" t="n">
        <v>8971988.34</v>
      </c>
      <c r="AB263" s="16" t="n">
        <v>2343750</v>
      </c>
      <c r="AC263" s="16" t="n">
        <v>16316247</v>
      </c>
      <c r="AD263" s="16" t="n">
        <v>1050000</v>
      </c>
      <c r="AE263" s="16" t="n">
        <v>44836040.1</v>
      </c>
      <c r="AF263" s="16" t="n">
        <v>0</v>
      </c>
      <c r="AG263" s="16" t="n">
        <v>0</v>
      </c>
      <c r="AH263" s="16" t="n">
        <v>833457.501120241</v>
      </c>
    </row>
    <row r="264" customFormat="false" ht="15.75" hidden="false" customHeight="false" outlineLevel="0" collapsed="false">
      <c r="A264" s="28" t="n">
        <v>37123</v>
      </c>
      <c r="B264" s="16" t="n">
        <v>1250000</v>
      </c>
      <c r="C264" s="16" t="n">
        <v>1209030.26</v>
      </c>
      <c r="D264" s="16" t="n">
        <v>770244.5</v>
      </c>
      <c r="E264" s="16"/>
      <c r="F264" s="16"/>
      <c r="G264" s="16"/>
      <c r="H264" s="16" t="n">
        <v>0</v>
      </c>
      <c r="I264" s="16" t="n">
        <v>0</v>
      </c>
      <c r="J264" s="16"/>
      <c r="K264" s="16" t="n">
        <v>2.83122062683105E-007</v>
      </c>
      <c r="L264" s="16" t="n">
        <v>0</v>
      </c>
      <c r="M264" s="16" t="n">
        <v>137317.57</v>
      </c>
      <c r="N264" s="16" t="n">
        <v>0</v>
      </c>
      <c r="O264" s="16" t="n">
        <v>1100000</v>
      </c>
      <c r="P264" s="16" t="n">
        <v>0</v>
      </c>
      <c r="Q264" s="16" t="n">
        <v>10125000</v>
      </c>
      <c r="R264" s="16" t="n">
        <v>7121810</v>
      </c>
      <c r="S264" s="16" t="n">
        <v>5644007</v>
      </c>
      <c r="T264" s="16" t="n">
        <v>20887594.86</v>
      </c>
      <c r="U264" s="16" t="n">
        <v>2560525</v>
      </c>
      <c r="V264" s="16"/>
      <c r="W264" s="16" t="n">
        <v>0</v>
      </c>
      <c r="X264" s="16" t="n">
        <v>0</v>
      </c>
      <c r="Y264" s="16" t="n">
        <v>1803840</v>
      </c>
      <c r="Z264" s="16" t="n">
        <v>2300803</v>
      </c>
      <c r="AA264" s="16" t="n">
        <v>8971988.34</v>
      </c>
      <c r="AB264" s="16" t="n">
        <v>2343750</v>
      </c>
      <c r="AC264" s="16" t="n">
        <v>16316247</v>
      </c>
      <c r="AD264" s="16" t="n">
        <v>1050000</v>
      </c>
      <c r="AE264" s="16" t="n">
        <v>44836040.1</v>
      </c>
      <c r="AF264" s="16" t="n">
        <v>0</v>
      </c>
      <c r="AG264" s="16" t="n">
        <v>0</v>
      </c>
      <c r="AH264" s="16" t="n">
        <v>830972.065903899</v>
      </c>
    </row>
    <row r="265" customFormat="false" ht="15.75" hidden="false" customHeight="false" outlineLevel="0" collapsed="false">
      <c r="A265" s="28" t="n">
        <v>37124</v>
      </c>
      <c r="B265" s="16" t="n">
        <v>1250000</v>
      </c>
      <c r="C265" s="16" t="n">
        <v>1209030.26</v>
      </c>
      <c r="D265" s="16" t="n">
        <v>770244.5</v>
      </c>
      <c r="E265" s="16"/>
      <c r="F265" s="16"/>
      <c r="G265" s="16"/>
      <c r="H265" s="16" t="n">
        <v>0</v>
      </c>
      <c r="I265" s="16" t="n">
        <v>0</v>
      </c>
      <c r="J265" s="16"/>
      <c r="K265" s="16" t="n">
        <v>2.83122062683105E-007</v>
      </c>
      <c r="L265" s="16" t="n">
        <v>0</v>
      </c>
      <c r="M265" s="16" t="n">
        <v>137317.57</v>
      </c>
      <c r="N265" s="16" t="n">
        <v>0</v>
      </c>
      <c r="O265" s="16" t="n">
        <v>1100000</v>
      </c>
      <c r="P265" s="16" t="n">
        <v>0</v>
      </c>
      <c r="Q265" s="16" t="n">
        <v>10125000</v>
      </c>
      <c r="R265" s="16" t="n">
        <v>7121810</v>
      </c>
      <c r="S265" s="16" t="n">
        <v>5644007</v>
      </c>
      <c r="T265" s="16" t="n">
        <v>20887594.86</v>
      </c>
      <c r="U265" s="16" t="n">
        <v>2560525</v>
      </c>
      <c r="V265" s="16"/>
      <c r="W265" s="16" t="n">
        <v>0</v>
      </c>
      <c r="X265" s="16" t="n">
        <v>0</v>
      </c>
      <c r="Y265" s="16" t="n">
        <v>1803840</v>
      </c>
      <c r="Z265" s="16" t="n">
        <v>2300803</v>
      </c>
      <c r="AA265" s="16" t="n">
        <v>8971988.34</v>
      </c>
      <c r="AB265" s="16" t="n">
        <v>2343750</v>
      </c>
      <c r="AC265" s="16" t="n">
        <v>16316247</v>
      </c>
      <c r="AD265" s="16" t="n">
        <v>1050000</v>
      </c>
      <c r="AE265" s="16" t="n">
        <v>44836040.1</v>
      </c>
      <c r="AF265" s="16" t="n">
        <v>0</v>
      </c>
      <c r="AG265" s="16" t="n">
        <v>0</v>
      </c>
      <c r="AH265" s="16" t="n">
        <v>832072.449952408</v>
      </c>
    </row>
    <row r="266" customFormat="false" ht="15.75" hidden="false" customHeight="false" outlineLevel="0" collapsed="false">
      <c r="A266" s="28" t="n">
        <v>37125</v>
      </c>
      <c r="B266" s="16" t="n">
        <v>1250000</v>
      </c>
      <c r="C266" s="16" t="n">
        <v>1209030.26</v>
      </c>
      <c r="D266" s="16" t="n">
        <v>770244.5</v>
      </c>
      <c r="E266" s="16"/>
      <c r="F266" s="16"/>
      <c r="G266" s="16"/>
      <c r="H266" s="16" t="n">
        <v>0</v>
      </c>
      <c r="I266" s="16" t="n">
        <v>0</v>
      </c>
      <c r="J266" s="16"/>
      <c r="K266" s="16" t="n">
        <v>2.83122062683105E-007</v>
      </c>
      <c r="L266" s="16" t="n">
        <v>0</v>
      </c>
      <c r="M266" s="16" t="n">
        <v>137317.57</v>
      </c>
      <c r="N266" s="16" t="n">
        <v>0</v>
      </c>
      <c r="O266" s="16" t="n">
        <v>1100000</v>
      </c>
      <c r="P266" s="16" t="n">
        <v>0</v>
      </c>
      <c r="Q266" s="16" t="n">
        <v>10125000</v>
      </c>
      <c r="R266" s="16" t="n">
        <v>7121810</v>
      </c>
      <c r="S266" s="16" t="n">
        <v>5644007</v>
      </c>
      <c r="T266" s="16" t="n">
        <v>20887594.86</v>
      </c>
      <c r="U266" s="16" t="n">
        <v>2560525</v>
      </c>
      <c r="V266" s="16"/>
      <c r="W266" s="16" t="n">
        <v>0</v>
      </c>
      <c r="X266" s="16" t="n">
        <v>0</v>
      </c>
      <c r="Y266" s="16" t="n">
        <v>1803840</v>
      </c>
      <c r="Z266" s="16" t="n">
        <v>2300803</v>
      </c>
      <c r="AA266" s="16" t="n">
        <v>8971988.34</v>
      </c>
      <c r="AB266" s="16" t="n">
        <v>2343750</v>
      </c>
      <c r="AC266" s="16" t="n">
        <v>16316247</v>
      </c>
      <c r="AD266" s="16" t="n">
        <v>1050000</v>
      </c>
      <c r="AE266" s="16" t="n">
        <v>44836040.1</v>
      </c>
      <c r="AF266" s="16" t="n">
        <v>0</v>
      </c>
      <c r="AG266" s="16" t="n">
        <v>0</v>
      </c>
      <c r="AH266" s="16" t="n">
        <v>832800.315427101</v>
      </c>
    </row>
    <row r="267" customFormat="false" ht="15.75" hidden="false" customHeight="false" outlineLevel="0" collapsed="false">
      <c r="A267" s="28" t="n">
        <v>37126</v>
      </c>
      <c r="B267" s="16" t="n">
        <v>1250000</v>
      </c>
      <c r="C267" s="16" t="n">
        <v>1209030.26</v>
      </c>
      <c r="D267" s="16" t="n">
        <v>770244.5</v>
      </c>
      <c r="E267" s="16"/>
      <c r="F267" s="16"/>
      <c r="G267" s="16"/>
      <c r="H267" s="16" t="n">
        <v>0</v>
      </c>
      <c r="I267" s="16" t="n">
        <v>0</v>
      </c>
      <c r="J267" s="16"/>
      <c r="K267" s="16" t="n">
        <v>2.83122062683105E-007</v>
      </c>
      <c r="L267" s="16" t="n">
        <v>0</v>
      </c>
      <c r="M267" s="16" t="n">
        <v>137317.57</v>
      </c>
      <c r="N267" s="16" t="n">
        <v>0</v>
      </c>
      <c r="O267" s="16" t="n">
        <v>1100000</v>
      </c>
      <c r="P267" s="16" t="n">
        <v>0</v>
      </c>
      <c r="Q267" s="16" t="n">
        <v>10125000</v>
      </c>
      <c r="R267" s="16" t="n">
        <v>7121810</v>
      </c>
      <c r="S267" s="16" t="n">
        <v>5644007</v>
      </c>
      <c r="T267" s="16" t="n">
        <v>20887594.86</v>
      </c>
      <c r="U267" s="16" t="n">
        <v>2560525</v>
      </c>
      <c r="V267" s="16"/>
      <c r="W267" s="16" t="n">
        <v>0</v>
      </c>
      <c r="X267" s="16" t="n">
        <v>0</v>
      </c>
      <c r="Y267" s="16" t="n">
        <v>1803840</v>
      </c>
      <c r="Z267" s="16" t="n">
        <v>2300803</v>
      </c>
      <c r="AA267" s="16" t="n">
        <v>8971988.34</v>
      </c>
      <c r="AB267" s="16" t="n">
        <v>2343750</v>
      </c>
      <c r="AC267" s="16" t="n">
        <v>16316247</v>
      </c>
      <c r="AD267" s="16" t="n">
        <v>1050000</v>
      </c>
      <c r="AE267" s="16" t="n">
        <v>44836040.1</v>
      </c>
      <c r="AF267" s="16" t="n">
        <v>0</v>
      </c>
      <c r="AG267" s="16" t="n">
        <v>0</v>
      </c>
      <c r="AH267" s="16" t="n">
        <v>833148.190416042</v>
      </c>
    </row>
    <row r="268" customFormat="false" ht="15.75" hidden="false" customHeight="false" outlineLevel="0" collapsed="false">
      <c r="A268" s="28" t="n">
        <v>37127</v>
      </c>
      <c r="B268" s="16" t="n">
        <v>1250000</v>
      </c>
      <c r="C268" s="16" t="n">
        <v>1209030.26</v>
      </c>
      <c r="D268" s="16" t="n">
        <v>770244.5</v>
      </c>
      <c r="E268" s="16"/>
      <c r="F268" s="16"/>
      <c r="G268" s="16"/>
      <c r="H268" s="16" t="n">
        <v>0</v>
      </c>
      <c r="I268" s="16" t="n">
        <v>0</v>
      </c>
      <c r="J268" s="16"/>
      <c r="K268" s="16" t="n">
        <v>2.83122062683105E-007</v>
      </c>
      <c r="L268" s="16" t="n">
        <v>0</v>
      </c>
      <c r="M268" s="16" t="n">
        <v>137317.57</v>
      </c>
      <c r="N268" s="16" t="n">
        <v>0</v>
      </c>
      <c r="O268" s="16" t="n">
        <v>1100000</v>
      </c>
      <c r="P268" s="16" t="n">
        <v>0</v>
      </c>
      <c r="Q268" s="16" t="n">
        <v>10125000</v>
      </c>
      <c r="R268" s="16" t="n">
        <v>7121810</v>
      </c>
      <c r="S268" s="16" t="n">
        <v>5644007</v>
      </c>
      <c r="T268" s="16" t="n">
        <v>20887594.86</v>
      </c>
      <c r="U268" s="16" t="n">
        <v>2560525</v>
      </c>
      <c r="V268" s="16"/>
      <c r="W268" s="16" t="n">
        <v>0</v>
      </c>
      <c r="X268" s="16" t="n">
        <v>0</v>
      </c>
      <c r="Y268" s="16" t="n">
        <v>1803840</v>
      </c>
      <c r="Z268" s="16" t="n">
        <v>2300803</v>
      </c>
      <c r="AA268" s="16" t="n">
        <v>8971988.34</v>
      </c>
      <c r="AB268" s="16" t="n">
        <v>2343750</v>
      </c>
      <c r="AC268" s="16" t="n">
        <v>16316247</v>
      </c>
      <c r="AD268" s="16" t="n">
        <v>1050000</v>
      </c>
      <c r="AE268" s="16" t="n">
        <v>44836040.1</v>
      </c>
      <c r="AF268" s="16" t="n">
        <v>0</v>
      </c>
      <c r="AG268" s="16" t="n">
        <v>0</v>
      </c>
      <c r="AH268" s="16" t="n">
        <v>834379.926075508</v>
      </c>
    </row>
    <row r="269" customFormat="false" ht="15.75" hidden="false" customHeight="false" outlineLevel="0" collapsed="false">
      <c r="A269" s="28" t="n">
        <v>37130</v>
      </c>
      <c r="B269" s="16" t="n">
        <v>1250000</v>
      </c>
      <c r="C269" s="16" t="n">
        <v>1209030.26</v>
      </c>
      <c r="D269" s="16" t="n">
        <v>770244.5</v>
      </c>
      <c r="E269" s="16"/>
      <c r="F269" s="16"/>
      <c r="G269" s="16"/>
      <c r="H269" s="16" t="n">
        <v>0</v>
      </c>
      <c r="I269" s="16" t="n">
        <v>0</v>
      </c>
      <c r="J269" s="16"/>
      <c r="K269" s="16" t="n">
        <v>2.83122062683105E-007</v>
      </c>
      <c r="L269" s="16" t="n">
        <v>0</v>
      </c>
      <c r="M269" s="16" t="n">
        <v>137317.57</v>
      </c>
      <c r="N269" s="16" t="n">
        <v>0</v>
      </c>
      <c r="O269" s="16" t="n">
        <v>1100000</v>
      </c>
      <c r="P269" s="16" t="n">
        <v>0</v>
      </c>
      <c r="Q269" s="16" t="n">
        <v>10125000</v>
      </c>
      <c r="R269" s="16" t="n">
        <v>7121810</v>
      </c>
      <c r="S269" s="16" t="n">
        <v>5644007</v>
      </c>
      <c r="T269" s="16" t="n">
        <v>20887594.86</v>
      </c>
      <c r="U269" s="16" t="n">
        <v>2560525</v>
      </c>
      <c r="V269" s="16"/>
      <c r="W269" s="16" t="n">
        <v>0</v>
      </c>
      <c r="X269" s="16" t="n">
        <v>0</v>
      </c>
      <c r="Y269" s="16" t="n">
        <v>1803840</v>
      </c>
      <c r="Z269" s="16" t="n">
        <v>2300803</v>
      </c>
      <c r="AA269" s="16" t="n">
        <v>8971988.34</v>
      </c>
      <c r="AB269" s="16" t="n">
        <v>2343750</v>
      </c>
      <c r="AC269" s="16" t="n">
        <v>16316247</v>
      </c>
      <c r="AD269" s="16" t="n">
        <v>1050000</v>
      </c>
      <c r="AE269" s="16" t="n">
        <v>44836040.1</v>
      </c>
      <c r="AF269" s="16" t="n">
        <v>0</v>
      </c>
      <c r="AG269" s="16" t="n">
        <v>0</v>
      </c>
      <c r="AH269" s="16" t="n">
        <v>835083.754320818</v>
      </c>
    </row>
    <row r="270" customFormat="false" ht="15.75" hidden="false" customHeight="false" outlineLevel="0" collapsed="false">
      <c r="A270" s="28" t="n">
        <v>37131</v>
      </c>
      <c r="B270" s="16" t="n">
        <v>1250000</v>
      </c>
      <c r="C270" s="16" t="n">
        <v>1209030.26</v>
      </c>
      <c r="D270" s="16" t="n">
        <v>770244.5</v>
      </c>
      <c r="E270" s="16"/>
      <c r="F270" s="16"/>
      <c r="G270" s="16"/>
      <c r="H270" s="16" t="n">
        <v>0</v>
      </c>
      <c r="I270" s="16" t="n">
        <v>0</v>
      </c>
      <c r="J270" s="16"/>
      <c r="K270" s="16" t="n">
        <v>2.83122062683105E-007</v>
      </c>
      <c r="L270" s="16" t="n">
        <v>0</v>
      </c>
      <c r="M270" s="16" t="n">
        <v>137317.57</v>
      </c>
      <c r="N270" s="16" t="n">
        <v>0</v>
      </c>
      <c r="O270" s="16" t="n">
        <v>1100000</v>
      </c>
      <c r="P270" s="16" t="n">
        <v>0</v>
      </c>
      <c r="Q270" s="16" t="n">
        <v>10125000</v>
      </c>
      <c r="R270" s="16" t="n">
        <v>7121810</v>
      </c>
      <c r="S270" s="16" t="n">
        <v>5644007</v>
      </c>
      <c r="T270" s="16" t="n">
        <v>20887594.86</v>
      </c>
      <c r="U270" s="16" t="n">
        <v>2560525</v>
      </c>
      <c r="V270" s="16"/>
      <c r="W270" s="16" t="n">
        <v>0</v>
      </c>
      <c r="X270" s="16" t="n">
        <v>0</v>
      </c>
      <c r="Y270" s="16" t="n">
        <v>1803840</v>
      </c>
      <c r="Z270" s="16" t="n">
        <v>2300803</v>
      </c>
      <c r="AA270" s="16" t="n">
        <v>8971988.34</v>
      </c>
      <c r="AB270" s="16" t="n">
        <v>2343750</v>
      </c>
      <c r="AC270" s="16" t="n">
        <v>16316247</v>
      </c>
      <c r="AD270" s="16" t="n">
        <v>1050000</v>
      </c>
      <c r="AE270" s="16" t="n">
        <v>44836040.1</v>
      </c>
      <c r="AF270" s="16" t="n">
        <v>0</v>
      </c>
      <c r="AG270" s="16" t="n">
        <v>0</v>
      </c>
      <c r="AH270" s="16" t="n">
        <v>834213.001667939</v>
      </c>
    </row>
    <row r="271" customFormat="false" ht="15.75" hidden="false" customHeight="false" outlineLevel="0" collapsed="false">
      <c r="A271" s="28" t="n">
        <v>37132</v>
      </c>
      <c r="B271" s="16" t="n">
        <v>1250000</v>
      </c>
      <c r="C271" s="16" t="n">
        <v>1209030.26</v>
      </c>
      <c r="D271" s="16" t="n">
        <v>770244.5</v>
      </c>
      <c r="E271" s="16"/>
      <c r="F271" s="16"/>
      <c r="G271" s="16"/>
      <c r="H271" s="16" t="n">
        <v>0</v>
      </c>
      <c r="I271" s="16" t="n">
        <v>0</v>
      </c>
      <c r="J271" s="16"/>
      <c r="K271" s="16" t="n">
        <v>2.83122062683105E-007</v>
      </c>
      <c r="L271" s="16" t="n">
        <v>0</v>
      </c>
      <c r="M271" s="16" t="n">
        <v>137317.57</v>
      </c>
      <c r="N271" s="16" t="n">
        <v>0</v>
      </c>
      <c r="O271" s="16" t="n">
        <v>1100000</v>
      </c>
      <c r="P271" s="16" t="n">
        <v>0</v>
      </c>
      <c r="Q271" s="16" t="n">
        <v>10125000</v>
      </c>
      <c r="R271" s="16" t="n">
        <v>7121810</v>
      </c>
      <c r="S271" s="16" t="n">
        <v>5644007</v>
      </c>
      <c r="T271" s="16" t="n">
        <v>20887594.86</v>
      </c>
      <c r="U271" s="16" t="n">
        <v>2560525</v>
      </c>
      <c r="V271" s="16"/>
      <c r="W271" s="16" t="n">
        <v>0</v>
      </c>
      <c r="X271" s="16" t="n">
        <v>0</v>
      </c>
      <c r="Y271" s="16" t="n">
        <v>1803840</v>
      </c>
      <c r="Z271" s="16" t="n">
        <v>2300803</v>
      </c>
      <c r="AA271" s="16" t="n">
        <v>8971988.34</v>
      </c>
      <c r="AB271" s="16" t="n">
        <v>2343750</v>
      </c>
      <c r="AC271" s="16" t="n">
        <v>16316247</v>
      </c>
      <c r="AD271" s="16" t="n">
        <v>1050000</v>
      </c>
      <c r="AE271" s="16" t="n">
        <v>44836040.1</v>
      </c>
      <c r="AF271" s="16" t="n">
        <v>0</v>
      </c>
      <c r="AG271" s="16" t="n">
        <v>0</v>
      </c>
      <c r="AH271" s="16" t="n">
        <v>832869.52450034</v>
      </c>
    </row>
    <row r="272" customFormat="false" ht="15.75" hidden="false" customHeight="false" outlineLevel="0" collapsed="false">
      <c r="A272" s="28" t="n">
        <v>37133</v>
      </c>
      <c r="B272" s="16" t="n">
        <v>1250000</v>
      </c>
      <c r="C272" s="16" t="n">
        <v>1209030.26</v>
      </c>
      <c r="D272" s="16" t="n">
        <v>770244.5</v>
      </c>
      <c r="E272" s="16"/>
      <c r="F272" s="16"/>
      <c r="G272" s="16"/>
      <c r="H272" s="16" t="n">
        <v>0</v>
      </c>
      <c r="I272" s="16" t="n">
        <v>0</v>
      </c>
      <c r="J272" s="16"/>
      <c r="K272" s="16" t="n">
        <v>2.83122062683105E-007</v>
      </c>
      <c r="L272" s="16" t="n">
        <v>0</v>
      </c>
      <c r="M272" s="16" t="n">
        <v>137317.57</v>
      </c>
      <c r="N272" s="16" t="n">
        <v>0</v>
      </c>
      <c r="O272" s="16" t="n">
        <v>1100000</v>
      </c>
      <c r="P272" s="16" t="n">
        <v>0</v>
      </c>
      <c r="Q272" s="16" t="n">
        <v>10125000</v>
      </c>
      <c r="R272" s="16" t="n">
        <v>7121810</v>
      </c>
      <c r="S272" s="16" t="n">
        <v>5644007</v>
      </c>
      <c r="T272" s="16" t="n">
        <v>20887594.86</v>
      </c>
      <c r="U272" s="16" t="n">
        <v>2560525</v>
      </c>
      <c r="V272" s="16"/>
      <c r="W272" s="16" t="n">
        <v>0</v>
      </c>
      <c r="X272" s="16" t="n">
        <v>0</v>
      </c>
      <c r="Y272" s="16" t="n">
        <v>1803840</v>
      </c>
      <c r="Z272" s="16" t="n">
        <v>2300803</v>
      </c>
      <c r="AA272" s="16" t="n">
        <v>8971988.34</v>
      </c>
      <c r="AB272" s="16" t="n">
        <v>2343750</v>
      </c>
      <c r="AC272" s="16" t="n">
        <v>16316247</v>
      </c>
      <c r="AD272" s="16" t="n">
        <v>1050000</v>
      </c>
      <c r="AE272" s="16" t="n">
        <v>44836040.1</v>
      </c>
      <c r="AF272" s="16" t="n">
        <v>0</v>
      </c>
      <c r="AG272" s="16" t="n">
        <v>0</v>
      </c>
      <c r="AH272" s="16" t="n">
        <v>831403.448998412</v>
      </c>
    </row>
    <row r="273" customFormat="false" ht="15.75" hidden="false" customHeight="false" outlineLevel="0" collapsed="false">
      <c r="A273" s="28" t="n">
        <v>37134</v>
      </c>
      <c r="B273" s="16" t="n">
        <v>1250000</v>
      </c>
      <c r="C273" s="16" t="n">
        <v>1209030.26</v>
      </c>
      <c r="D273" s="16" t="n">
        <v>770244.5</v>
      </c>
      <c r="E273" s="16"/>
      <c r="F273" s="16"/>
      <c r="G273" s="16"/>
      <c r="H273" s="16" t="n">
        <v>0</v>
      </c>
      <c r="I273" s="16" t="n">
        <v>0</v>
      </c>
      <c r="J273" s="16"/>
      <c r="K273" s="16" t="n">
        <v>2.83122062683105E-007</v>
      </c>
      <c r="L273" s="16" t="n">
        <v>0</v>
      </c>
      <c r="M273" s="16" t="n">
        <v>137317.57</v>
      </c>
      <c r="N273" s="16" t="n">
        <v>0</v>
      </c>
      <c r="O273" s="16" t="n">
        <v>1100000</v>
      </c>
      <c r="P273" s="16" t="n">
        <v>0</v>
      </c>
      <c r="Q273" s="16" t="n">
        <v>10125000</v>
      </c>
      <c r="R273" s="16" t="n">
        <v>7121810</v>
      </c>
      <c r="S273" s="16" t="n">
        <v>5644007</v>
      </c>
      <c r="T273" s="16" t="n">
        <v>20887594.86</v>
      </c>
      <c r="U273" s="16" t="n">
        <v>2560525</v>
      </c>
      <c r="V273" s="16"/>
      <c r="W273" s="16" t="n">
        <v>0</v>
      </c>
      <c r="X273" s="16" t="n">
        <v>0</v>
      </c>
      <c r="Y273" s="16" t="n">
        <v>1803840</v>
      </c>
      <c r="Z273" s="16" t="n">
        <v>2300803</v>
      </c>
      <c r="AA273" s="16" t="n">
        <v>8971988.34</v>
      </c>
      <c r="AB273" s="16" t="n">
        <v>2343750</v>
      </c>
      <c r="AC273" s="16" t="n">
        <v>16316247</v>
      </c>
      <c r="AD273" s="16" t="n">
        <v>1050000</v>
      </c>
      <c r="AE273" s="16" t="n">
        <v>44836040.1</v>
      </c>
      <c r="AF273" s="16" t="n">
        <v>0</v>
      </c>
      <c r="AG273" s="16" t="n">
        <v>0</v>
      </c>
      <c r="AH273" s="16" t="n">
        <v>832163.429525477</v>
      </c>
    </row>
    <row r="274" customFormat="false" ht="15.75" hidden="false" customHeight="false" outlineLevel="0" collapsed="false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</row>
    <row r="275" customFormat="false" ht="15.75" hidden="false" customHeight="false" outlineLevel="0" collapsed="false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</row>
    <row r="276" customFormat="false" ht="15.75" hidden="false" customHeight="false" outlineLevel="0" collapsed="false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</row>
    <row r="277" customFormat="false" ht="15.75" hidden="false" customHeight="false" outlineLevel="0" collapsed="false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</row>
    <row r="278" customFormat="false" ht="15.75" hidden="false" customHeight="false" outlineLevel="0" collapsed="false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</row>
    <row r="279" customFormat="false" ht="15.75" hidden="false" customHeight="false" outlineLevel="0" collapsed="false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</row>
    <row r="280" customFormat="false" ht="15.75" hidden="false" customHeight="false" outlineLevel="0" collapsed="false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</row>
    <row r="281" customFormat="false" ht="15.75" hidden="false" customHeight="false" outlineLevel="0" collapsed="false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</row>
    <row r="282" customFormat="false" ht="15.75" hidden="false" customHeight="false" outlineLevel="0" collapsed="false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</row>
    <row r="283" customFormat="false" ht="15.75" hidden="false" customHeight="false" outlineLevel="0" collapsed="false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</row>
    <row r="284" customFormat="false" ht="15.75" hidden="false" customHeight="false" outlineLevel="0" collapsed="false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</row>
    <row r="285" customFormat="false" ht="15.75" hidden="false" customHeight="false" outlineLevel="0" collapsed="false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</row>
    <row r="286" customFormat="false" ht="15.75" hidden="false" customHeight="false" outlineLevel="0" collapsed="false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</row>
    <row r="287" customFormat="false" ht="15.75" hidden="false" customHeight="false" outlineLevel="0" collapsed="false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</row>
    <row r="288" customFormat="false" ht="15.75" hidden="false" customHeight="false" outlineLevel="0" collapsed="false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</row>
    <row r="289" customFormat="false" ht="15.75" hidden="false" customHeight="false" outlineLevel="0" collapsed="false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</row>
    <row r="290" customFormat="false" ht="15.75" hidden="false" customHeight="false" outlineLevel="0" collapsed="false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</row>
    <row r="375" customFormat="false" ht="15.75" hidden="false" customHeight="false" outlineLevel="0" collapsed="false">
      <c r="A375" s="28" t="s">
        <v>120</v>
      </c>
      <c r="B375" s="0" t="s">
        <v>120</v>
      </c>
      <c r="C375" s="0" t="s">
        <v>120</v>
      </c>
      <c r="D375" s="0" t="s">
        <v>120</v>
      </c>
      <c r="E375" s="0" t="s">
        <v>120</v>
      </c>
      <c r="F375" s="0" t="s">
        <v>120</v>
      </c>
      <c r="G375" s="0" t="s">
        <v>120</v>
      </c>
      <c r="H375" s="0" t="s">
        <v>120</v>
      </c>
      <c r="I375" s="0" t="s">
        <v>120</v>
      </c>
      <c r="J375" s="0" t="s">
        <v>120</v>
      </c>
      <c r="K375" s="0" t="s">
        <v>120</v>
      </c>
      <c r="L375" s="0" t="s">
        <v>120</v>
      </c>
      <c r="M375" s="0" t="s">
        <v>120</v>
      </c>
      <c r="N375" s="0" t="s">
        <v>120</v>
      </c>
      <c r="O375" s="0" t="s">
        <v>120</v>
      </c>
      <c r="P375" s="0" t="s">
        <v>120</v>
      </c>
      <c r="Q375" s="0" t="s">
        <v>120</v>
      </c>
      <c r="R375" s="0" t="s">
        <v>120</v>
      </c>
      <c r="S375" s="0" t="s">
        <v>120</v>
      </c>
      <c r="T375" s="0" t="s">
        <v>120</v>
      </c>
      <c r="U375" s="0" t="s">
        <v>120</v>
      </c>
      <c r="V375" s="0" t="s">
        <v>120</v>
      </c>
      <c r="W375" s="0" t="s">
        <v>120</v>
      </c>
      <c r="X375" s="0" t="s">
        <v>120</v>
      </c>
      <c r="Y375" s="0" t="s">
        <v>120</v>
      </c>
      <c r="Z375" s="0" t="s">
        <v>120</v>
      </c>
      <c r="AA375" s="0" t="s">
        <v>120</v>
      </c>
      <c r="AB375" s="0" t="s">
        <v>120</v>
      </c>
      <c r="AC375" s="0" t="s">
        <v>120</v>
      </c>
      <c r="AD375" s="0" t="s">
        <v>120</v>
      </c>
      <c r="AE375" s="0" t="s">
        <v>120</v>
      </c>
      <c r="AF375" s="0" t="s">
        <v>120</v>
      </c>
      <c r="AG375" s="0" t="s">
        <v>120</v>
      </c>
      <c r="AH375" s="0" t="s">
        <v>120</v>
      </c>
    </row>
    <row r="377" customFormat="false" ht="15.75" hidden="false" customHeight="false" outlineLevel="0" collapsed="false">
      <c r="A377" s="28" t="n">
        <f aca="false">+'Stock Prices'!A378</f>
        <v>37134</v>
      </c>
      <c r="B377" s="16" t="n">
        <f aca="false">INDEX(MPRR,MATCH("Amerada Hess Exposure Raptor I",'MPR Raptor'!$E$3:$E$140,),MATCH("Per Share",'MPR Raptor'!$E$3:$CM$3,))-'Private Cash'!B377</f>
        <v>1250000</v>
      </c>
      <c r="C377" s="16" t="n">
        <f aca="false">INDEX(MPRR,MATCH("Ameritex Raptor I",'MPR Raptor'!$E$3:$E$140,),MATCH("Per Share",'MPR Raptor'!$E$3:$CM$3,))-'Private Cash'!C377</f>
        <v>1209030.26</v>
      </c>
      <c r="D377" s="16" t="n">
        <f aca="false">INDEX(MPRR,MATCH("Basic Energy CFPC Raptor I",'MPR Raptor'!$E$3:$E$140,),MATCH("Per Share",'MPR Raptor'!$E$3:$CM$3,))-'Private Cash'!D377</f>
        <v>770244.5</v>
      </c>
      <c r="E377" s="16"/>
      <c r="F377" s="16"/>
      <c r="G377" s="16"/>
      <c r="H377" s="16" t="n">
        <f aca="false">INDEX(MPRR,MATCH("City Forest IPC Raptor I",'MPR Raptor'!$E$3:$E$140,),MATCH("Per Share",'MPR Raptor'!$E$3:$CM$3,))-'Private Cash'!H377</f>
        <v>0</v>
      </c>
      <c r="I377" s="16" t="n">
        <f aca="false">INDEX(MPRR,MATCH("Ecogas Loan Raptor I",'MPR Raptor'!$E$3:$E$140,),MATCH("Per Share",'MPR Raptor'!$E$3:$CM$3,))-'Private Cash'!I377</f>
        <v>0</v>
      </c>
      <c r="J377" s="16"/>
      <c r="K377" s="16" t="n">
        <f aca="false">INDEX(MPRR,MATCH("Heartland Steel Common Raptor I",'MPR Raptor'!$E$3:$E$140,),MATCH("Per Share",'MPR Raptor'!$E$3:$CM$3,))*'Daily Position'!$H$43-'Private Cash'!K377</f>
        <v>2.83122062683105E-007</v>
      </c>
      <c r="L377" s="16" t="n">
        <f aca="false">INDEX(MPRR,MATCH("Heartland Steel Common Condor Raptor I",'MPR Raptor'!$E$3:$E$140,),MATCH("Per Share",'MPR Raptor'!$E$3:$CM$3,))-'Private Cash'!L377</f>
        <v>0</v>
      </c>
      <c r="M377" s="16" t="n">
        <f aca="false">INDEX(MPRR,MATCH("Heartland Contingent Construction Loan Raptor I",'MPR Raptor'!$E$3:$E$140,),MATCH("Per Share",'MPR Raptor'!$E$3:$CM$3,))-'Private Cash'!M377</f>
        <v>137317.57</v>
      </c>
      <c r="N377" s="16" t="n">
        <f aca="false">INDEX(MPRR,MATCH("Heartland Steel Warrants Raptor I",'MPR Raptor'!$E$3:$E$140,),MATCH("Per Share",'MPR Raptor'!$E$3:$CM$3,))-'Private Cash'!N377</f>
        <v>0</v>
      </c>
      <c r="O377" s="16" t="n">
        <f aca="false">INDEX(MPRR,MATCH("Hughes Rawls Loan Raptor I",'MPR Raptor'!$E$3:$E$140,),MATCH("Per Share",'MPR Raptor'!$E$3:$CM$3,))-'Private Cash'!O377</f>
        <v>1100000</v>
      </c>
      <c r="P377" s="16" t="n">
        <f aca="false">INDEX(MPRR,MATCH("Hughes Rawls Note Raptor I",'MPR Raptor'!$E$3:$E$140,),MATCH("Per Share",'MPR Raptor'!$E$3:$CM$3,))-'Private Cash'!P377</f>
        <v>0</v>
      </c>
      <c r="Q377" s="16" t="n">
        <f aca="false">INDEX(MPRR,MATCH("Hornbeck-Leevac Warrants Raptor I",'MPR Raptor'!$E$3:$E$140,),MATCH("Per Share",'MPR Raptor'!$E$3:$CM$3,))*'Private Cash'!Q385-'Private Cash'!Q377</f>
        <v>10125000</v>
      </c>
      <c r="R377" s="16" t="n">
        <f aca="false">INDEX(MPRR,MATCH("Industrial Holdings Raptor I",'MPR Raptor'!$E$3:$E$140,),MATCH("Per Share",'MPR Raptor'!$E$3:$CM$3,))-'Private Cash'!R377</f>
        <v>7121810</v>
      </c>
      <c r="S377" s="16" t="n">
        <f aca="false">INDEX(MPRR,MATCH("Invasion Energy Raptor I",'MPR Raptor'!$E$3:$E$140,),MATCH("Per Share",'MPR Raptor'!$E$3:$CM$3,))-'Private Cash'!S377</f>
        <v>5644007</v>
      </c>
      <c r="T377" s="16" t="n">
        <f aca="false">INDEX(MPRR,MATCH("Juniper Raptor I",'MPR Raptor'!$E$3:$E$140,),MATCH("Per Share",'MPR Raptor'!$E$3:$CM$3,))-'Private Cash'!T377</f>
        <v>20887594.86</v>
      </c>
      <c r="U377" s="16" t="n">
        <f aca="false">INDEX(MPRR,MATCH("Juniper Exposure Raptor I",'MPR Raptor'!$E$3:$E$140,),MATCH("Per Share",'MPR Raptor'!$E$3:$CM$3,))-'Private Cash'!U377</f>
        <v>2560525</v>
      </c>
      <c r="V377" s="16"/>
      <c r="W377" s="16" t="n">
        <f aca="false">INDEX(MPRR,MATCH("LSI Preferred (AIM) Raptor I",'MPR Raptor'!$E$3:$E$140,),MATCH("Per Share",'MPR Raptor'!$E$3:$CM$3,))-'Private Cash'!W377</f>
        <v>0</v>
      </c>
      <c r="X377" s="16" t="n">
        <f aca="false">INDEX(MPRR,MATCH("LSI Warrants (AIM) Raptor I",'MPR Raptor'!$E$3:$E$140,),MATCH("Per Share",'MPR Raptor'!$E$3:$CM$3,))-'Private Cash'!X377</f>
        <v>0</v>
      </c>
      <c r="Y377" s="16" t="n">
        <f aca="false">INDEX(MPRR,MATCH("Oconto Falls Common Raptor I",'MPR Raptor'!$E$3:$E$140,),MATCH("Per Share",'MPR Raptor'!$E$3:$CM$3,))-'Private Cash'!Y377</f>
        <v>1803840</v>
      </c>
      <c r="Z377" s="16" t="n">
        <f aca="false">INDEX(MPRR,MATCH("Oconto Falls IPC Raptor I",'MPR Raptor'!$E$3:$E$140,),MATCH("Per Share",'MPR Raptor'!$E$3:$CM$3,))-'Private Cash'!Z377</f>
        <v>2300803</v>
      </c>
      <c r="AA377" s="16" t="n">
        <f aca="false">INDEX(MPRR,MATCH("Texland Raptor I",'MPR Raptor'!$E$3:$E$140,),MATCH("Per Share",'MPR Raptor'!$E$3:$CM$3,))-'Private Cash'!AA377</f>
        <v>8971988.34</v>
      </c>
      <c r="AB377" s="16" t="n">
        <f aca="false">INDEX(MPRR,MATCH("Texland Exposure Raptor I",'MPR Raptor'!$E$3:$E$140,),MATCH("Per Share",'MPR Raptor'!$E$3:$CM$3,))-'Private Cash'!AB377</f>
        <v>2343750</v>
      </c>
      <c r="AC377" s="16" t="n">
        <f aca="false">INDEX(MPRR,MATCH("Vastar Raptor I",'MPR Raptor'!$E$3:$E$140,),MATCH("Per Share",'MPR Raptor'!$E$3:$CM$3,))-'Private Cash'!AC377</f>
        <v>16316247</v>
      </c>
      <c r="AD377" s="16" t="n">
        <f aca="false">INDEX(MPRR,MATCH("Vastar Exposure Raptor I",'MPR Raptor'!$E$3:$E$140,),MATCH("Per Share",'MPR Raptor'!$E$3:$CM$3,))-'Private Cash'!AD377</f>
        <v>1050000</v>
      </c>
      <c r="AE377" s="16" t="n">
        <f aca="false">INDEX(MPRR,MATCH("Venoco Convertible Raptor I",'MPR Raptor'!$E$3:$E$140,),MATCH("Per Share",'MPR Raptor'!$E$3:$CM$3,))*'Private Cash'!AE385-'Private Cash'!AE377</f>
        <v>44836040.1</v>
      </c>
      <c r="AF377" s="16" t="n">
        <f aca="false">INDEX(MPRR,MATCH("WB Oil &amp; Gas Raptor I",'MPR Raptor'!$E$3:$E$140,),MATCH("Per Share",'MPR Raptor'!$E$3:$CM$3,))*'Daily Position'!$H$64-'Private Cash'!AF377</f>
        <v>0</v>
      </c>
      <c r="AG377" s="16" t="n">
        <f aca="false">INDEX(MPRR,MATCH("Merlin Credit Derivative Raptor I",'MPR Raptor'!$E$3:$E$140,),MATCH("Per Share",'MPR Raptor'!$E$3:$CM$3,))-'Private Cash'!AG377</f>
        <v>0</v>
      </c>
      <c r="AH377" s="16" t="n">
        <f aca="false">(+P377+C377+'Daily Position'!$N$4*'Daily Position'!$H$4+'Daily Position'!$N$28*'Daily Position'!$H$28+'Daily Position'!$N$29*'Daily Position'!$H$29+'Daily Position'!$N$31*'Daily Position'!$H$31)/0.6*0.3612</f>
        <v>831699.863342734</v>
      </c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3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2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272" activePane="bottomRight" state="frozen"/>
      <selection pane="topLeft" activeCell="A3" activeCellId="0" sqref="A3"/>
      <selection pane="topRight" activeCell="B3" activeCellId="0" sqref="B3"/>
      <selection pane="bottomLeft" activeCell="A272" activeCellId="0" sqref="A272"/>
      <selection pane="bottomRight" activeCell="A277" activeCellId="0" sqref="A27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8" width="8.74"/>
    <col collapsed="false" customWidth="true" hidden="false" outlineLevel="0" max="2" min="2" style="80" width="11.12"/>
    <col collapsed="false" customWidth="true" hidden="false" outlineLevel="0" max="3" min="3" style="0" width="12.62"/>
    <col collapsed="false" customWidth="true" hidden="false" outlineLevel="0" max="4" min="4" style="80" width="13.87"/>
    <col collapsed="false" customWidth="true" hidden="false" outlineLevel="0" max="5" min="5" style="0" width="11.12"/>
    <col collapsed="false" customWidth="true" hidden="false" outlineLevel="0" max="6" min="6" style="80" width="13.11"/>
    <col collapsed="false" customWidth="true" hidden="false" outlineLevel="0" max="7" min="7" style="0" width="14.49"/>
    <col collapsed="false" customWidth="true" hidden="false" outlineLevel="0" max="8" min="8" style="80" width="11.12"/>
    <col collapsed="false" customWidth="true" hidden="false" outlineLevel="0" max="9" min="9" style="0" width="13.37"/>
    <col collapsed="false" customWidth="true" hidden="false" outlineLevel="0" max="10" min="10" style="92" width="11.12"/>
    <col collapsed="false" customWidth="true" hidden="false" outlineLevel="0" max="11" min="11" style="0" width="12.12"/>
    <col collapsed="false" customWidth="true" hidden="false" outlineLevel="0" max="12" min="12" style="80" width="12.12"/>
    <col collapsed="false" customWidth="true" hidden="false" outlineLevel="0" max="13" min="13" style="0" width="11.12"/>
    <col collapsed="false" customWidth="true" hidden="false" outlineLevel="0" max="14" min="14" style="80" width="11.12"/>
    <col collapsed="false" customWidth="true" hidden="false" outlineLevel="0" max="15" min="15" style="0" width="12.49"/>
    <col collapsed="false" customWidth="true" hidden="false" outlineLevel="0" max="16" min="16" style="80" width="9.62"/>
    <col collapsed="false" customWidth="true" hidden="false" outlineLevel="0" max="17" min="17" style="80" width="12.12"/>
    <col collapsed="false" customWidth="true" hidden="false" outlineLevel="0" max="18" min="18" style="80" width="11.12"/>
    <col collapsed="false" customWidth="true" hidden="false" outlineLevel="0" max="19" min="19" style="0" width="12.24"/>
    <col collapsed="false" customWidth="true" hidden="false" outlineLevel="0" max="20" min="20" style="93" width="12.12"/>
    <col collapsed="false" customWidth="true" hidden="false" outlineLevel="0" max="21" min="21" style="0" width="12.86"/>
    <col collapsed="false" customWidth="true" hidden="false" outlineLevel="0" max="22" min="22" style="80" width="13.37"/>
    <col collapsed="false" customWidth="true" hidden="false" outlineLevel="0" max="23" min="23" style="0" width="11.12"/>
    <col collapsed="false" customWidth="true" hidden="false" outlineLevel="0" max="24" min="24" style="80" width="11.74"/>
    <col collapsed="false" customWidth="true" hidden="false" outlineLevel="0" max="25" min="25" style="0" width="11.12"/>
    <col collapsed="false" customWidth="true" hidden="false" outlineLevel="0" max="26" min="26" style="80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2.6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94" t="s">
        <v>104</v>
      </c>
      <c r="B1" s="82"/>
      <c r="C1" s="25"/>
      <c r="D1" s="83"/>
    </row>
    <row r="2" customFormat="false" ht="15.75" hidden="false" customHeight="false" outlineLevel="0" collapsed="false">
      <c r="A2" s="95"/>
      <c r="B2" s="96" t="n">
        <v>2</v>
      </c>
      <c r="C2" s="96" t="n">
        <v>3</v>
      </c>
      <c r="D2" s="96" t="n">
        <v>4</v>
      </c>
      <c r="E2" s="96" t="n">
        <v>5</v>
      </c>
      <c r="F2" s="96" t="n">
        <v>6</v>
      </c>
      <c r="G2" s="96" t="n">
        <v>7</v>
      </c>
      <c r="H2" s="96" t="n">
        <v>8</v>
      </c>
      <c r="I2" s="96" t="n">
        <v>9</v>
      </c>
      <c r="J2" s="96" t="n">
        <v>10</v>
      </c>
      <c r="K2" s="96" t="n">
        <v>11</v>
      </c>
      <c r="L2" s="96" t="n">
        <v>12</v>
      </c>
      <c r="M2" s="96" t="n">
        <v>13</v>
      </c>
      <c r="N2" s="96" t="n">
        <v>14</v>
      </c>
      <c r="O2" s="96" t="n">
        <v>15</v>
      </c>
      <c r="P2" s="96" t="n">
        <v>16</v>
      </c>
      <c r="Q2" s="96" t="n">
        <v>17</v>
      </c>
      <c r="R2" s="96" t="n">
        <v>18</v>
      </c>
      <c r="S2" s="96" t="n">
        <v>19</v>
      </c>
      <c r="T2" s="96" t="n">
        <v>20</v>
      </c>
      <c r="U2" s="96" t="n">
        <v>21</v>
      </c>
      <c r="V2" s="96" t="n">
        <v>22</v>
      </c>
      <c r="W2" s="96" t="n">
        <v>23</v>
      </c>
      <c r="X2" s="96" t="n">
        <v>24</v>
      </c>
      <c r="Y2" s="96" t="n">
        <v>25</v>
      </c>
      <c r="Z2" s="96" t="n">
        <v>26</v>
      </c>
      <c r="AA2" s="96" t="n">
        <v>27</v>
      </c>
      <c r="AB2" s="96" t="n">
        <v>28</v>
      </c>
      <c r="AC2" s="96" t="n">
        <v>29</v>
      </c>
      <c r="AD2" s="96" t="n">
        <v>30</v>
      </c>
      <c r="AE2" s="96" t="n">
        <v>31</v>
      </c>
      <c r="AF2" s="96" t="n">
        <v>32</v>
      </c>
      <c r="AG2" s="96" t="n">
        <v>33</v>
      </c>
    </row>
    <row r="3" customFormat="false" ht="47.25" hidden="false" customHeight="false" outlineLevel="0" collapsed="false">
      <c r="A3" s="97" t="s">
        <v>31</v>
      </c>
      <c r="B3" s="98" t="s">
        <v>59</v>
      </c>
      <c r="C3" s="99" t="s">
        <v>60</v>
      </c>
      <c r="D3" s="99" t="s">
        <v>61</v>
      </c>
      <c r="E3" s="99" t="s">
        <v>62</v>
      </c>
      <c r="F3" s="99" t="s">
        <v>64</v>
      </c>
      <c r="G3" s="99" t="s">
        <v>109</v>
      </c>
      <c r="H3" s="99" t="s">
        <v>66</v>
      </c>
      <c r="I3" s="100" t="s">
        <v>67</v>
      </c>
      <c r="J3" s="99" t="s">
        <v>68</v>
      </c>
      <c r="K3" s="99" t="s">
        <v>69</v>
      </c>
      <c r="L3" s="99" t="s">
        <v>70</v>
      </c>
      <c r="M3" s="99" t="s">
        <v>71</v>
      </c>
      <c r="N3" s="99" t="s">
        <v>72</v>
      </c>
      <c r="O3" s="99" t="s">
        <v>73</v>
      </c>
      <c r="P3" s="99" t="s">
        <v>74</v>
      </c>
      <c r="Q3" s="99" t="s">
        <v>75</v>
      </c>
      <c r="R3" s="99" t="s">
        <v>76</v>
      </c>
      <c r="S3" s="99" t="s">
        <v>77</v>
      </c>
      <c r="T3" s="99" t="s">
        <v>78</v>
      </c>
      <c r="U3" s="99" t="s">
        <v>79</v>
      </c>
      <c r="V3" s="99" t="s">
        <v>80</v>
      </c>
      <c r="W3" s="99" t="s">
        <v>81</v>
      </c>
      <c r="X3" s="99" t="s">
        <v>82</v>
      </c>
      <c r="Y3" s="99" t="s">
        <v>83</v>
      </c>
      <c r="Z3" s="99" t="s">
        <v>84</v>
      </c>
      <c r="AA3" s="99" t="s">
        <v>85</v>
      </c>
      <c r="AB3" s="99" t="s">
        <v>86</v>
      </c>
      <c r="AC3" s="100" t="s">
        <v>87</v>
      </c>
      <c r="AD3" s="100" t="s">
        <v>88</v>
      </c>
      <c r="AE3" s="99" t="s">
        <v>89</v>
      </c>
      <c r="AF3" s="99" t="s">
        <v>90</v>
      </c>
      <c r="AG3" s="99" t="s">
        <v>91</v>
      </c>
    </row>
    <row r="4" customFormat="false" ht="15.75" hidden="false" customHeight="false" outlineLevel="0" collapsed="false">
      <c r="A4" s="28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90"/>
    </row>
    <row r="5" customFormat="false" ht="15.75" hidden="false" customHeight="false" outlineLevel="0" collapsed="false">
      <c r="A5" s="28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90"/>
    </row>
    <row r="6" customFormat="false" ht="15.75" hidden="false" customHeight="false" outlineLevel="0" collapsed="false">
      <c r="A6" s="28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90"/>
    </row>
    <row r="7" customFormat="false" ht="15.75" hidden="false" customHeight="false" outlineLevel="0" collapsed="false">
      <c r="A7" s="28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90"/>
    </row>
    <row r="8" customFormat="false" ht="15.75" hidden="false" customHeight="false" outlineLevel="0" collapsed="false">
      <c r="A8" s="28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90"/>
    </row>
    <row r="9" customFormat="false" ht="15.75" hidden="false" customHeight="false" outlineLevel="0" collapsed="false">
      <c r="A9" s="28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90"/>
    </row>
    <row r="10" customFormat="false" ht="15.75" hidden="false" customHeight="false" outlineLevel="0" collapsed="false">
      <c r="A10" s="28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90"/>
    </row>
    <row r="11" customFormat="false" ht="15.75" hidden="false" customHeight="false" outlineLevel="0" collapsed="false">
      <c r="A11" s="28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90"/>
    </row>
    <row r="12" customFormat="false" ht="15.75" hidden="false" customHeight="false" outlineLevel="0" collapsed="false">
      <c r="A12" s="28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90"/>
    </row>
    <row r="13" customFormat="false" ht="15.75" hidden="false" customHeight="false" outlineLevel="0" collapsed="false">
      <c r="A13" s="28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90"/>
    </row>
    <row r="14" customFormat="false" ht="15.75" hidden="false" customHeight="false" outlineLevel="0" collapsed="false">
      <c r="A14" s="28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90"/>
    </row>
    <row r="15" customFormat="false" ht="15.75" hidden="false" customHeight="false" outlineLevel="0" collapsed="false">
      <c r="A15" s="28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90"/>
    </row>
    <row r="16" customFormat="false" ht="15.75" hidden="false" customHeight="false" outlineLevel="0" collapsed="false">
      <c r="A16" s="28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90"/>
    </row>
    <row r="17" customFormat="false" ht="15.75" hidden="false" customHeight="false" outlineLevel="0" collapsed="false">
      <c r="A17" s="28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90"/>
    </row>
    <row r="18" customFormat="false" ht="15.75" hidden="false" customHeight="false" outlineLevel="0" collapsed="false">
      <c r="A18" s="28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90"/>
    </row>
    <row r="19" customFormat="false" ht="15.75" hidden="false" customHeight="false" outlineLevel="0" collapsed="false">
      <c r="A19" s="28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8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8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8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8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8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8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8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8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8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8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8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8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8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8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8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8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8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8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8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8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8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8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8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8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8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8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8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8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8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8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8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8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8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8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8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8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8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8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8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8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8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8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8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8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8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8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8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8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8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8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8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8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8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8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8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8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8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8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8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8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8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8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8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8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8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8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8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8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8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8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8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8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8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8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8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8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8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8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8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8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8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8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8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8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8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8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8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8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8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8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8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8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8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8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8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8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8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8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8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8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8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8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8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8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8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8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8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8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8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8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8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8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8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8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8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8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8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8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8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139" customFormat="false" ht="15.75" hidden="false" customHeight="false" outlineLevel="0" collapsed="false">
      <c r="A139" s="28" t="n">
        <v>36935</v>
      </c>
      <c r="B139" s="16" t="n">
        <v>0</v>
      </c>
      <c r="C139" s="16" t="n">
        <v>0</v>
      </c>
      <c r="D139" s="16" t="n">
        <v>0</v>
      </c>
      <c r="E139" s="16"/>
      <c r="F139" s="16"/>
      <c r="G139" s="16"/>
      <c r="H139" s="16" t="n">
        <v>0</v>
      </c>
      <c r="I139" s="16" t="n">
        <v>0</v>
      </c>
      <c r="J139" s="16"/>
      <c r="K139" s="16" t="n">
        <v>0</v>
      </c>
      <c r="L139" s="16" t="n">
        <v>0</v>
      </c>
      <c r="M139" s="16" t="n">
        <v>0</v>
      </c>
      <c r="N139" s="16" t="n">
        <v>0</v>
      </c>
      <c r="O139" s="16" t="n">
        <v>0</v>
      </c>
      <c r="P139" s="16" t="n">
        <v>0</v>
      </c>
      <c r="Q139" s="16" t="n">
        <v>0</v>
      </c>
      <c r="R139" s="16" t="n">
        <v>0</v>
      </c>
      <c r="S139" s="16" t="n">
        <v>0</v>
      </c>
      <c r="T139" s="16" t="n">
        <v>0</v>
      </c>
      <c r="U139" s="16" t="n">
        <v>0</v>
      </c>
      <c r="V139" s="16"/>
      <c r="W139" s="16"/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16" t="n">
        <v>0</v>
      </c>
      <c r="AF139" s="16" t="n">
        <v>0</v>
      </c>
      <c r="AG139" s="16" t="n">
        <v>0</v>
      </c>
    </row>
    <row r="140" customFormat="false" ht="15.75" hidden="false" customHeight="false" outlineLevel="0" collapsed="false">
      <c r="A140" s="28" t="n">
        <v>36936</v>
      </c>
      <c r="B140" s="16" t="n">
        <v>0</v>
      </c>
      <c r="C140" s="16" t="n">
        <v>0</v>
      </c>
      <c r="D140" s="16" t="n">
        <v>0</v>
      </c>
      <c r="E140" s="16"/>
      <c r="F140" s="16"/>
      <c r="G140" s="16"/>
      <c r="H140" s="16" t="n">
        <v>0</v>
      </c>
      <c r="I140" s="16" t="n">
        <v>0</v>
      </c>
      <c r="J140" s="16"/>
      <c r="K140" s="16" t="n">
        <v>0</v>
      </c>
      <c r="L140" s="16" t="n">
        <v>0</v>
      </c>
      <c r="M140" s="16" t="n">
        <v>0</v>
      </c>
      <c r="N140" s="16" t="n">
        <v>0</v>
      </c>
      <c r="O140" s="16" t="n">
        <v>0</v>
      </c>
      <c r="P140" s="16" t="n">
        <v>0</v>
      </c>
      <c r="Q140" s="16" t="n">
        <v>0</v>
      </c>
      <c r="R140" s="16" t="n">
        <v>0</v>
      </c>
      <c r="S140" s="16" t="n">
        <v>0</v>
      </c>
      <c r="T140" s="16" t="n">
        <v>0</v>
      </c>
      <c r="U140" s="16" t="n">
        <v>0</v>
      </c>
      <c r="V140" s="16"/>
      <c r="W140" s="16"/>
      <c r="X140" s="16" t="n">
        <v>0</v>
      </c>
      <c r="Y140" s="16" t="n">
        <v>0</v>
      </c>
      <c r="Z140" s="16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E140" s="16" t="n">
        <v>0</v>
      </c>
      <c r="AF140" s="16" t="n">
        <v>0</v>
      </c>
      <c r="AG140" s="16" t="n">
        <v>0</v>
      </c>
    </row>
    <row r="141" customFormat="false" ht="15.75" hidden="false" customHeight="false" outlineLevel="0" collapsed="false">
      <c r="A141" s="28" t="n">
        <v>36937</v>
      </c>
      <c r="B141" s="16" t="n">
        <v>0</v>
      </c>
      <c r="C141" s="16" t="n">
        <v>0</v>
      </c>
      <c r="D141" s="16" t="n">
        <v>0</v>
      </c>
      <c r="E141" s="16"/>
      <c r="F141" s="16"/>
      <c r="G141" s="16"/>
      <c r="H141" s="16" t="n">
        <v>0</v>
      </c>
      <c r="I141" s="16" t="n">
        <v>0</v>
      </c>
      <c r="J141" s="16"/>
      <c r="K141" s="16" t="n">
        <v>0</v>
      </c>
      <c r="L141" s="16" t="n">
        <v>0</v>
      </c>
      <c r="M141" s="16" t="n">
        <v>0</v>
      </c>
      <c r="N141" s="16" t="n">
        <v>0</v>
      </c>
      <c r="O141" s="16" t="n">
        <v>0</v>
      </c>
      <c r="P141" s="16" t="n">
        <v>0</v>
      </c>
      <c r="Q141" s="16" t="n">
        <v>0</v>
      </c>
      <c r="R141" s="16" t="n">
        <v>0</v>
      </c>
      <c r="S141" s="16" t="n">
        <v>0</v>
      </c>
      <c r="T141" s="16" t="n">
        <v>0</v>
      </c>
      <c r="U141" s="16" t="n">
        <v>0</v>
      </c>
      <c r="V141" s="16"/>
      <c r="W141" s="16"/>
      <c r="X141" s="16" t="n">
        <v>0</v>
      </c>
      <c r="Y141" s="16" t="n">
        <v>0</v>
      </c>
      <c r="Z141" s="16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E141" s="16" t="n">
        <v>0</v>
      </c>
      <c r="AF141" s="16" t="n">
        <v>0</v>
      </c>
      <c r="AG141" s="16" t="n">
        <v>0</v>
      </c>
    </row>
    <row r="142" customFormat="false" ht="15.75" hidden="false" customHeight="false" outlineLevel="0" collapsed="false">
      <c r="A142" s="28" t="n">
        <v>36938</v>
      </c>
      <c r="B142" s="16" t="n">
        <v>0</v>
      </c>
      <c r="C142" s="16" t="n">
        <v>0</v>
      </c>
      <c r="D142" s="16" t="n">
        <v>0</v>
      </c>
      <c r="E142" s="16"/>
      <c r="F142" s="16"/>
      <c r="G142" s="16"/>
      <c r="H142" s="16" t="n">
        <v>0</v>
      </c>
      <c r="I142" s="16" t="n">
        <v>0</v>
      </c>
      <c r="J142" s="16"/>
      <c r="K142" s="16" t="n">
        <v>0</v>
      </c>
      <c r="L142" s="16" t="n">
        <v>0</v>
      </c>
      <c r="M142" s="16" t="n">
        <v>0</v>
      </c>
      <c r="N142" s="16" t="n">
        <v>0</v>
      </c>
      <c r="O142" s="16" t="n">
        <v>0</v>
      </c>
      <c r="P142" s="16" t="n">
        <v>0</v>
      </c>
      <c r="Q142" s="16" t="n">
        <v>0</v>
      </c>
      <c r="R142" s="16" t="n">
        <v>0</v>
      </c>
      <c r="S142" s="16" t="n">
        <v>0</v>
      </c>
      <c r="T142" s="16" t="n">
        <v>0</v>
      </c>
      <c r="U142" s="16" t="n">
        <v>0</v>
      </c>
      <c r="V142" s="16"/>
      <c r="W142" s="16"/>
      <c r="X142" s="16" t="n">
        <v>0</v>
      </c>
      <c r="Y142" s="16" t="n">
        <v>0</v>
      </c>
      <c r="Z142" s="16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E142" s="16" t="n">
        <v>0</v>
      </c>
      <c r="AF142" s="16" t="n">
        <v>0</v>
      </c>
      <c r="AG142" s="16" t="n">
        <v>0</v>
      </c>
    </row>
    <row r="143" customFormat="false" ht="15.75" hidden="false" customHeight="false" outlineLevel="0" collapsed="false">
      <c r="A143" s="28" t="n">
        <v>36942</v>
      </c>
      <c r="B143" s="16" t="n">
        <v>0</v>
      </c>
      <c r="C143" s="16" t="n">
        <v>0</v>
      </c>
      <c r="D143" s="16" t="n">
        <v>0</v>
      </c>
      <c r="E143" s="16"/>
      <c r="F143" s="16"/>
      <c r="G143" s="16"/>
      <c r="H143" s="16" t="n">
        <v>0</v>
      </c>
      <c r="I143" s="16" t="n">
        <v>0</v>
      </c>
      <c r="J143" s="16"/>
      <c r="K143" s="16" t="n">
        <v>0</v>
      </c>
      <c r="L143" s="16" t="n">
        <v>0</v>
      </c>
      <c r="M143" s="16" t="n">
        <v>0</v>
      </c>
      <c r="N143" s="16" t="n">
        <v>0</v>
      </c>
      <c r="O143" s="16" t="n">
        <v>0</v>
      </c>
      <c r="P143" s="16" t="n">
        <v>0</v>
      </c>
      <c r="Q143" s="16" t="n">
        <v>0</v>
      </c>
      <c r="R143" s="16" t="n">
        <v>0</v>
      </c>
      <c r="S143" s="16" t="n">
        <v>0</v>
      </c>
      <c r="T143" s="16" t="n">
        <v>0</v>
      </c>
      <c r="U143" s="16" t="n">
        <v>0</v>
      </c>
      <c r="V143" s="16"/>
      <c r="W143" s="16"/>
      <c r="X143" s="16" t="n">
        <v>0</v>
      </c>
      <c r="Y143" s="16" t="n">
        <v>0</v>
      </c>
      <c r="Z143" s="16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E143" s="16" t="n">
        <v>0</v>
      </c>
      <c r="AF143" s="16" t="n">
        <v>0</v>
      </c>
      <c r="AG143" s="16" t="n">
        <v>0</v>
      </c>
    </row>
    <row r="144" customFormat="false" ht="15.75" hidden="false" customHeight="false" outlineLevel="0" collapsed="false">
      <c r="A144" s="28" t="n">
        <v>36943</v>
      </c>
      <c r="B144" s="16" t="n">
        <v>0</v>
      </c>
      <c r="C144" s="16" t="n">
        <v>0</v>
      </c>
      <c r="D144" s="16" t="n">
        <v>0</v>
      </c>
      <c r="E144" s="16"/>
      <c r="F144" s="16"/>
      <c r="G144" s="16"/>
      <c r="H144" s="16" t="n">
        <v>0</v>
      </c>
      <c r="I144" s="16" t="n">
        <v>0</v>
      </c>
      <c r="J144" s="16"/>
      <c r="K144" s="16" t="n">
        <v>0</v>
      </c>
      <c r="L144" s="16" t="n">
        <v>0</v>
      </c>
      <c r="M144" s="16" t="n">
        <v>0</v>
      </c>
      <c r="N144" s="16" t="n">
        <v>0</v>
      </c>
      <c r="O144" s="16" t="n">
        <v>0</v>
      </c>
      <c r="P144" s="16" t="n">
        <v>0</v>
      </c>
      <c r="Q144" s="16" t="n">
        <v>0</v>
      </c>
      <c r="R144" s="16" t="n">
        <v>0</v>
      </c>
      <c r="S144" s="16" t="n">
        <v>2217.0700000003</v>
      </c>
      <c r="T144" s="16" t="n">
        <v>0</v>
      </c>
      <c r="U144" s="16" t="n">
        <v>0</v>
      </c>
      <c r="V144" s="16"/>
      <c r="W144" s="16"/>
      <c r="X144" s="16" t="n">
        <v>0</v>
      </c>
      <c r="Y144" s="16" t="n">
        <v>0</v>
      </c>
      <c r="Z144" s="16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E144" s="16" t="n">
        <v>1030821.38</v>
      </c>
      <c r="AF144" s="16" t="n">
        <v>0</v>
      </c>
      <c r="AG144" s="16" t="n">
        <v>0</v>
      </c>
    </row>
    <row r="145" customFormat="false" ht="15.75" hidden="false" customHeight="false" outlineLevel="0" collapsed="false">
      <c r="A145" s="28" t="n">
        <v>36944</v>
      </c>
      <c r="B145" s="16" t="n">
        <v>0</v>
      </c>
      <c r="C145" s="16" t="n">
        <v>0</v>
      </c>
      <c r="D145" s="16" t="n">
        <v>0</v>
      </c>
      <c r="E145" s="16"/>
      <c r="F145" s="16"/>
      <c r="G145" s="16"/>
      <c r="H145" s="16" t="n">
        <v>0</v>
      </c>
      <c r="I145" s="16" t="n">
        <v>0</v>
      </c>
      <c r="J145" s="16"/>
      <c r="K145" s="16" t="n">
        <v>0</v>
      </c>
      <c r="L145" s="16" t="n">
        <v>0</v>
      </c>
      <c r="M145" s="16" t="n">
        <v>0</v>
      </c>
      <c r="N145" s="16" t="n">
        <v>0</v>
      </c>
      <c r="O145" s="16" t="n">
        <v>0</v>
      </c>
      <c r="P145" s="16" t="n">
        <v>0</v>
      </c>
      <c r="Q145" s="16" t="n">
        <v>0</v>
      </c>
      <c r="R145" s="16" t="n">
        <v>0</v>
      </c>
      <c r="S145" s="16" t="n">
        <v>0</v>
      </c>
      <c r="T145" s="16" t="n">
        <v>0</v>
      </c>
      <c r="U145" s="16" t="n">
        <v>0</v>
      </c>
      <c r="V145" s="16"/>
      <c r="W145" s="16"/>
      <c r="X145" s="16" t="n">
        <v>0</v>
      </c>
      <c r="Y145" s="16" t="n">
        <v>0</v>
      </c>
      <c r="Z145" s="16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E145" s="16" t="n">
        <v>0</v>
      </c>
      <c r="AF145" s="16" t="n">
        <v>0</v>
      </c>
      <c r="AG145" s="16" t="n">
        <v>0</v>
      </c>
    </row>
    <row r="146" customFormat="false" ht="15.75" hidden="false" customHeight="false" outlineLevel="0" collapsed="false">
      <c r="A146" s="28" t="n">
        <v>36945</v>
      </c>
      <c r="B146" s="16" t="n">
        <v>0</v>
      </c>
      <c r="C146" s="16" t="n">
        <v>0</v>
      </c>
      <c r="D146" s="16" t="n">
        <v>0</v>
      </c>
      <c r="E146" s="16"/>
      <c r="F146" s="16"/>
      <c r="G146" s="16"/>
      <c r="H146" s="16" t="n">
        <v>0</v>
      </c>
      <c r="I146" s="16" t="n">
        <v>0</v>
      </c>
      <c r="J146" s="16"/>
      <c r="K146" s="16" t="n">
        <v>0</v>
      </c>
      <c r="L146" s="16" t="n">
        <v>0</v>
      </c>
      <c r="M146" s="16" t="n">
        <v>0</v>
      </c>
      <c r="N146" s="16" t="n">
        <v>0</v>
      </c>
      <c r="O146" s="16" t="n">
        <v>0</v>
      </c>
      <c r="P146" s="16" t="n">
        <v>0</v>
      </c>
      <c r="Q146" s="16" t="n">
        <v>0</v>
      </c>
      <c r="R146" s="16" t="n">
        <v>0</v>
      </c>
      <c r="S146" s="16" t="n">
        <v>0</v>
      </c>
      <c r="T146" s="16" t="n">
        <v>0</v>
      </c>
      <c r="U146" s="16" t="n">
        <v>0</v>
      </c>
      <c r="V146" s="16"/>
      <c r="W146" s="16"/>
      <c r="X146" s="16" t="n">
        <v>0</v>
      </c>
      <c r="Y146" s="16" t="n">
        <v>0</v>
      </c>
      <c r="Z146" s="16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E146" s="16" t="n">
        <v>0</v>
      </c>
      <c r="AF146" s="16" t="n">
        <v>0</v>
      </c>
      <c r="AG146" s="16" t="n">
        <v>0</v>
      </c>
    </row>
    <row r="147" customFormat="false" ht="15.75" hidden="false" customHeight="false" outlineLevel="0" collapsed="false">
      <c r="A147" s="28" t="n">
        <v>36948</v>
      </c>
      <c r="B147" s="16" t="n">
        <v>0</v>
      </c>
      <c r="C147" s="16" t="n">
        <v>0</v>
      </c>
      <c r="D147" s="16" t="n">
        <v>0</v>
      </c>
      <c r="E147" s="16"/>
      <c r="F147" s="16"/>
      <c r="G147" s="16"/>
      <c r="H147" s="16" t="n">
        <v>0</v>
      </c>
      <c r="I147" s="16" t="n">
        <v>0</v>
      </c>
      <c r="J147" s="16"/>
      <c r="K147" s="16" t="n">
        <v>0</v>
      </c>
      <c r="L147" s="16" t="n">
        <v>0</v>
      </c>
      <c r="M147" s="16" t="n">
        <v>0</v>
      </c>
      <c r="N147" s="16" t="n">
        <v>0</v>
      </c>
      <c r="O147" s="16" t="n">
        <v>0</v>
      </c>
      <c r="P147" s="16" t="n">
        <v>0</v>
      </c>
      <c r="Q147" s="16" t="n">
        <v>0</v>
      </c>
      <c r="R147" s="16" t="n">
        <v>0</v>
      </c>
      <c r="S147" s="16" t="n">
        <v>0</v>
      </c>
      <c r="T147" s="16" t="n">
        <v>0</v>
      </c>
      <c r="U147" s="16" t="n">
        <v>0</v>
      </c>
      <c r="V147" s="16"/>
      <c r="W147" s="16"/>
      <c r="X147" s="16" t="n">
        <v>0</v>
      </c>
      <c r="Y147" s="16" t="n">
        <v>0</v>
      </c>
      <c r="Z147" s="16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E147" s="16" t="n">
        <v>0</v>
      </c>
      <c r="AF147" s="16" t="n">
        <v>0</v>
      </c>
      <c r="AG147" s="16" t="n">
        <v>0</v>
      </c>
    </row>
    <row r="148" customFormat="false" ht="15.75" hidden="false" customHeight="false" outlineLevel="0" collapsed="false">
      <c r="A148" s="28" t="n">
        <v>36949</v>
      </c>
      <c r="B148" s="16" t="n">
        <v>0</v>
      </c>
      <c r="C148" s="16" t="n">
        <v>0</v>
      </c>
      <c r="D148" s="16" t="n">
        <v>0</v>
      </c>
      <c r="E148" s="16"/>
      <c r="F148" s="16"/>
      <c r="G148" s="16"/>
      <c r="H148" s="16" t="n">
        <v>0</v>
      </c>
      <c r="I148" s="16" t="n">
        <v>0</v>
      </c>
      <c r="J148" s="16"/>
      <c r="K148" s="16" t="n">
        <v>0</v>
      </c>
      <c r="L148" s="16" t="n">
        <v>0</v>
      </c>
      <c r="M148" s="16" t="n">
        <v>0</v>
      </c>
      <c r="N148" s="16" t="n">
        <v>0</v>
      </c>
      <c r="O148" s="16" t="n">
        <v>0</v>
      </c>
      <c r="P148" s="16" t="n">
        <v>0</v>
      </c>
      <c r="Q148" s="16" t="n">
        <v>0</v>
      </c>
      <c r="R148" s="16" t="n">
        <v>0</v>
      </c>
      <c r="S148" s="16" t="n">
        <v>0</v>
      </c>
      <c r="T148" s="16" t="n">
        <v>0</v>
      </c>
      <c r="U148" s="16" t="n">
        <v>0</v>
      </c>
      <c r="V148" s="16"/>
      <c r="W148" s="16"/>
      <c r="X148" s="16" t="n">
        <v>0</v>
      </c>
      <c r="Y148" s="16" t="n">
        <v>0</v>
      </c>
      <c r="Z148" s="16" t="n">
        <v>0</v>
      </c>
      <c r="AA148" s="16" t="n">
        <v>0</v>
      </c>
      <c r="AB148" s="16" t="n">
        <v>0</v>
      </c>
      <c r="AC148" s="16" t="n">
        <v>0</v>
      </c>
      <c r="AD148" s="16" t="n">
        <v>0</v>
      </c>
      <c r="AE148" s="16" t="n">
        <v>0</v>
      </c>
      <c r="AF148" s="16" t="n">
        <v>0</v>
      </c>
      <c r="AG148" s="16" t="n">
        <v>0</v>
      </c>
    </row>
    <row r="149" customFormat="false" ht="15.75" hidden="false" customHeight="false" outlineLevel="0" collapsed="false">
      <c r="A149" s="28" t="n">
        <v>36950</v>
      </c>
      <c r="B149" s="16" t="n">
        <v>0</v>
      </c>
      <c r="C149" s="16" t="n">
        <v>0</v>
      </c>
      <c r="D149" s="16" t="n">
        <v>0</v>
      </c>
      <c r="E149" s="16"/>
      <c r="F149" s="16"/>
      <c r="G149" s="16"/>
      <c r="H149" s="16" t="n">
        <v>0</v>
      </c>
      <c r="I149" s="16" t="n">
        <v>0</v>
      </c>
      <c r="J149" s="16"/>
      <c r="K149" s="16" t="n">
        <v>0</v>
      </c>
      <c r="L149" s="16" t="n">
        <v>0</v>
      </c>
      <c r="M149" s="16" t="n">
        <v>0</v>
      </c>
      <c r="N149" s="16" t="n">
        <v>0</v>
      </c>
      <c r="O149" s="16" t="n">
        <v>0</v>
      </c>
      <c r="P149" s="16" t="n">
        <v>0</v>
      </c>
      <c r="Q149" s="16" t="n">
        <v>0</v>
      </c>
      <c r="R149" s="16" t="n">
        <v>0</v>
      </c>
      <c r="S149" s="16" t="n">
        <v>0</v>
      </c>
      <c r="T149" s="16" t="n">
        <v>0</v>
      </c>
      <c r="U149" s="16" t="n">
        <v>0</v>
      </c>
      <c r="V149" s="16"/>
      <c r="W149" s="16"/>
      <c r="X149" s="16" t="n">
        <v>0</v>
      </c>
      <c r="Y149" s="16" t="n">
        <v>0</v>
      </c>
      <c r="Z149" s="16" t="n">
        <v>0</v>
      </c>
      <c r="AA149" s="16" t="n">
        <v>0</v>
      </c>
      <c r="AB149" s="16" t="n">
        <v>0</v>
      </c>
      <c r="AC149" s="16" t="n">
        <v>0</v>
      </c>
      <c r="AD149" s="16" t="n">
        <v>0</v>
      </c>
      <c r="AE149" s="16" t="n">
        <v>0</v>
      </c>
      <c r="AF149" s="16" t="n">
        <v>0</v>
      </c>
      <c r="AG149" s="16" t="n">
        <v>0</v>
      </c>
    </row>
    <row r="150" customFormat="false" ht="15.75" hidden="false" customHeight="false" outlineLevel="0" collapsed="false">
      <c r="A150" s="28" t="n">
        <v>36951</v>
      </c>
      <c r="B150" s="16" t="n">
        <v>0</v>
      </c>
      <c r="C150" s="16" t="n">
        <v>0</v>
      </c>
      <c r="D150" s="16" t="n">
        <v>0</v>
      </c>
      <c r="E150" s="16"/>
      <c r="F150" s="16"/>
      <c r="G150" s="16"/>
      <c r="H150" s="16" t="n">
        <v>0</v>
      </c>
      <c r="I150" s="16" t="n">
        <v>0</v>
      </c>
      <c r="J150" s="16"/>
      <c r="K150" s="16" t="n">
        <v>0</v>
      </c>
      <c r="L150" s="16" t="n">
        <v>0</v>
      </c>
      <c r="M150" s="16" t="n">
        <v>0</v>
      </c>
      <c r="N150" s="16" t="n">
        <v>0</v>
      </c>
      <c r="O150" s="16" t="n">
        <v>0</v>
      </c>
      <c r="P150" s="16" t="n">
        <v>0</v>
      </c>
      <c r="Q150" s="16" t="n">
        <v>0</v>
      </c>
      <c r="R150" s="16" t="n">
        <v>0</v>
      </c>
      <c r="S150" s="16" t="n">
        <v>0</v>
      </c>
      <c r="T150" s="16" t="n">
        <v>0</v>
      </c>
      <c r="U150" s="16" t="n">
        <v>0</v>
      </c>
      <c r="V150" s="16"/>
      <c r="W150" s="16"/>
      <c r="X150" s="16" t="n">
        <v>0</v>
      </c>
      <c r="Y150" s="16" t="n">
        <v>0</v>
      </c>
      <c r="Z150" s="16" t="n">
        <v>0</v>
      </c>
      <c r="AA150" s="16" t="n">
        <v>0</v>
      </c>
      <c r="AB150" s="16" t="n">
        <v>0</v>
      </c>
      <c r="AC150" s="16" t="n">
        <v>0</v>
      </c>
      <c r="AD150" s="16" t="n">
        <v>0</v>
      </c>
      <c r="AE150" s="16" t="n">
        <v>0</v>
      </c>
      <c r="AF150" s="16" t="n">
        <v>0</v>
      </c>
      <c r="AG150" s="16" t="n">
        <v>0</v>
      </c>
    </row>
    <row r="151" customFormat="false" ht="15.75" hidden="false" customHeight="false" outlineLevel="0" collapsed="false">
      <c r="A151" s="28" t="n">
        <v>36952</v>
      </c>
      <c r="B151" s="16" t="n">
        <v>0</v>
      </c>
      <c r="C151" s="16" t="n">
        <v>0</v>
      </c>
      <c r="D151" s="16" t="n">
        <v>0</v>
      </c>
      <c r="E151" s="16"/>
      <c r="F151" s="16"/>
      <c r="G151" s="16"/>
      <c r="H151" s="16" t="n">
        <v>0</v>
      </c>
      <c r="I151" s="16" t="n">
        <v>0</v>
      </c>
      <c r="J151" s="16"/>
      <c r="K151" s="16" t="n">
        <v>0</v>
      </c>
      <c r="L151" s="16" t="n">
        <v>0</v>
      </c>
      <c r="M151" s="16" t="n">
        <v>0</v>
      </c>
      <c r="N151" s="16" t="n">
        <v>0</v>
      </c>
      <c r="O151" s="16" t="n">
        <v>0</v>
      </c>
      <c r="P151" s="16" t="n">
        <v>0</v>
      </c>
      <c r="Q151" s="16" t="n">
        <v>0</v>
      </c>
      <c r="R151" s="16" t="n">
        <v>0</v>
      </c>
      <c r="S151" s="16" t="n">
        <v>0</v>
      </c>
      <c r="T151" s="16" t="n">
        <v>0</v>
      </c>
      <c r="U151" s="16" t="n">
        <v>0</v>
      </c>
      <c r="V151" s="16"/>
      <c r="W151" s="16"/>
      <c r="X151" s="16" t="n">
        <v>0</v>
      </c>
      <c r="Y151" s="16" t="n">
        <v>0</v>
      </c>
      <c r="Z151" s="16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E151" s="16" t="n">
        <v>0</v>
      </c>
      <c r="AF151" s="16" t="n">
        <v>0</v>
      </c>
      <c r="AG151" s="16" t="n">
        <v>0</v>
      </c>
    </row>
    <row r="152" customFormat="false" ht="15.75" hidden="false" customHeight="false" outlineLevel="0" collapsed="false">
      <c r="A152" s="28" t="n">
        <v>36955</v>
      </c>
      <c r="B152" s="16" t="n">
        <v>0</v>
      </c>
      <c r="C152" s="16" t="n">
        <v>0</v>
      </c>
      <c r="D152" s="16" t="n">
        <v>0</v>
      </c>
      <c r="E152" s="16"/>
      <c r="F152" s="16"/>
      <c r="G152" s="16"/>
      <c r="H152" s="16" t="n">
        <v>0</v>
      </c>
      <c r="I152" s="16" t="n">
        <v>0</v>
      </c>
      <c r="J152" s="16"/>
      <c r="K152" s="16" t="n">
        <v>0</v>
      </c>
      <c r="L152" s="16" t="n">
        <v>0</v>
      </c>
      <c r="M152" s="16" t="n">
        <v>0</v>
      </c>
      <c r="N152" s="16" t="n">
        <v>0</v>
      </c>
      <c r="O152" s="16" t="n">
        <v>0</v>
      </c>
      <c r="P152" s="16" t="n">
        <v>0</v>
      </c>
      <c r="Q152" s="16" t="n">
        <v>0</v>
      </c>
      <c r="R152" s="16" t="n">
        <v>0</v>
      </c>
      <c r="S152" s="16" t="n">
        <v>0</v>
      </c>
      <c r="T152" s="16" t="n">
        <v>0</v>
      </c>
      <c r="U152" s="16" t="n">
        <v>0</v>
      </c>
      <c r="V152" s="16"/>
      <c r="W152" s="16"/>
      <c r="X152" s="16" t="n">
        <v>0</v>
      </c>
      <c r="Y152" s="16" t="n">
        <v>0</v>
      </c>
      <c r="Z152" s="16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E152" s="16" t="n">
        <v>0</v>
      </c>
      <c r="AF152" s="16" t="n">
        <v>0</v>
      </c>
      <c r="AG152" s="16" t="n">
        <v>0</v>
      </c>
    </row>
    <row r="153" customFormat="false" ht="15.75" hidden="false" customHeight="false" outlineLevel="0" collapsed="false">
      <c r="A153" s="28" t="n">
        <v>36956</v>
      </c>
      <c r="B153" s="16" t="n">
        <v>0</v>
      </c>
      <c r="C153" s="16" t="n">
        <v>0</v>
      </c>
      <c r="D153" s="16" t="n">
        <v>0</v>
      </c>
      <c r="E153" s="16"/>
      <c r="F153" s="16"/>
      <c r="G153" s="16"/>
      <c r="H153" s="16" t="n">
        <v>0</v>
      </c>
      <c r="I153" s="16" t="n">
        <v>0</v>
      </c>
      <c r="J153" s="16"/>
      <c r="K153" s="16" t="n">
        <v>0</v>
      </c>
      <c r="L153" s="16" t="n">
        <v>0</v>
      </c>
      <c r="M153" s="16" t="n">
        <v>0</v>
      </c>
      <c r="N153" s="16" t="n">
        <v>0</v>
      </c>
      <c r="O153" s="16" t="n">
        <v>0</v>
      </c>
      <c r="P153" s="16" t="n">
        <v>0</v>
      </c>
      <c r="Q153" s="16" t="n">
        <v>0</v>
      </c>
      <c r="R153" s="16" t="n">
        <v>0</v>
      </c>
      <c r="S153" s="16" t="n">
        <v>0</v>
      </c>
      <c r="T153" s="16" t="n">
        <v>0</v>
      </c>
      <c r="U153" s="16" t="n">
        <v>0</v>
      </c>
      <c r="V153" s="16"/>
      <c r="W153" s="16"/>
      <c r="X153" s="16" t="n">
        <v>0</v>
      </c>
      <c r="Y153" s="16" t="n">
        <v>0</v>
      </c>
      <c r="Z153" s="16" t="n">
        <v>0</v>
      </c>
      <c r="AA153" s="16" t="n">
        <v>0</v>
      </c>
      <c r="AB153" s="16" t="n">
        <v>0</v>
      </c>
      <c r="AC153" s="16" t="n">
        <v>200068.24</v>
      </c>
      <c r="AD153" s="16" t="n">
        <v>0</v>
      </c>
      <c r="AE153" s="16" t="n">
        <v>0</v>
      </c>
      <c r="AF153" s="16" t="n">
        <v>0</v>
      </c>
      <c r="AG153" s="16" t="n">
        <v>0</v>
      </c>
    </row>
    <row r="154" customFormat="false" ht="15.75" hidden="false" customHeight="false" outlineLevel="0" collapsed="false">
      <c r="A154" s="28" t="n">
        <v>36957</v>
      </c>
      <c r="B154" s="16" t="n">
        <v>0</v>
      </c>
      <c r="C154" s="16" t="n">
        <v>0</v>
      </c>
      <c r="D154" s="16" t="n">
        <v>0</v>
      </c>
      <c r="E154" s="16"/>
      <c r="F154" s="16"/>
      <c r="G154" s="16"/>
      <c r="H154" s="16" t="n">
        <v>0</v>
      </c>
      <c r="I154" s="16" t="n">
        <v>0</v>
      </c>
      <c r="J154" s="16"/>
      <c r="K154" s="16" t="n">
        <v>0</v>
      </c>
      <c r="L154" s="16" t="n">
        <v>0</v>
      </c>
      <c r="M154" s="16" t="n">
        <v>0</v>
      </c>
      <c r="N154" s="16" t="n">
        <v>0</v>
      </c>
      <c r="O154" s="16" t="n">
        <v>0</v>
      </c>
      <c r="P154" s="16" t="n">
        <v>0</v>
      </c>
      <c r="Q154" s="16" t="n">
        <v>0</v>
      </c>
      <c r="R154" s="16" t="n">
        <v>0</v>
      </c>
      <c r="S154" s="16" t="n">
        <v>0</v>
      </c>
      <c r="T154" s="16" t="n">
        <v>0</v>
      </c>
      <c r="U154" s="16" t="n">
        <v>0</v>
      </c>
      <c r="V154" s="16"/>
      <c r="W154" s="16"/>
      <c r="X154" s="16" t="n">
        <v>0</v>
      </c>
      <c r="Y154" s="16" t="n">
        <v>0</v>
      </c>
      <c r="Z154" s="16" t="n">
        <v>0</v>
      </c>
      <c r="AA154" s="16" t="n">
        <v>0</v>
      </c>
      <c r="AB154" s="16" t="n">
        <v>0</v>
      </c>
      <c r="AC154" s="16" t="n">
        <v>0</v>
      </c>
      <c r="AD154" s="16" t="n">
        <v>0</v>
      </c>
      <c r="AE154" s="16" t="n">
        <v>0</v>
      </c>
      <c r="AF154" s="16" t="n">
        <v>0</v>
      </c>
      <c r="AG154" s="16" t="n">
        <v>0</v>
      </c>
    </row>
    <row r="155" customFormat="false" ht="15.75" hidden="false" customHeight="false" outlineLevel="0" collapsed="false">
      <c r="A155" s="28" t="n">
        <v>36958</v>
      </c>
      <c r="B155" s="16" t="n">
        <v>0</v>
      </c>
      <c r="C155" s="16" t="n">
        <v>0</v>
      </c>
      <c r="D155" s="16" t="n">
        <v>0</v>
      </c>
      <c r="E155" s="16"/>
      <c r="F155" s="16"/>
      <c r="G155" s="16"/>
      <c r="H155" s="16" t="n">
        <v>0</v>
      </c>
      <c r="I155" s="16" t="n">
        <v>0</v>
      </c>
      <c r="J155" s="16"/>
      <c r="K155" s="16" t="n">
        <v>0</v>
      </c>
      <c r="L155" s="16" t="n">
        <v>0</v>
      </c>
      <c r="M155" s="16" t="n">
        <v>0</v>
      </c>
      <c r="N155" s="16" t="n">
        <v>0</v>
      </c>
      <c r="O155" s="16" t="n">
        <v>0</v>
      </c>
      <c r="P155" s="16" t="n">
        <v>0</v>
      </c>
      <c r="Q155" s="16" t="n">
        <v>0</v>
      </c>
      <c r="R155" s="16" t="n">
        <v>0</v>
      </c>
      <c r="S155" s="16" t="n">
        <v>0</v>
      </c>
      <c r="T155" s="16" t="n">
        <v>0</v>
      </c>
      <c r="U155" s="16" t="n">
        <v>0</v>
      </c>
      <c r="V155" s="16"/>
      <c r="W155" s="16"/>
      <c r="X155" s="16" t="n">
        <v>0</v>
      </c>
      <c r="Y155" s="16" t="n">
        <v>0</v>
      </c>
      <c r="Z155" s="16" t="n">
        <v>0</v>
      </c>
      <c r="AA155" s="16" t="n">
        <v>0</v>
      </c>
      <c r="AB155" s="16" t="n">
        <v>0</v>
      </c>
      <c r="AC155" s="16" t="n">
        <v>0</v>
      </c>
      <c r="AD155" s="16" t="n">
        <v>0</v>
      </c>
      <c r="AE155" s="16" t="n">
        <v>0</v>
      </c>
      <c r="AF155" s="16" t="n">
        <v>0</v>
      </c>
      <c r="AG155" s="16" t="n">
        <v>0</v>
      </c>
    </row>
    <row r="156" customFormat="false" ht="15.75" hidden="false" customHeight="false" outlineLevel="0" collapsed="false">
      <c r="A156" s="28" t="n">
        <v>36959</v>
      </c>
      <c r="B156" s="16" t="n">
        <v>0</v>
      </c>
      <c r="C156" s="16" t="n">
        <v>0</v>
      </c>
      <c r="D156" s="16" t="n">
        <v>0</v>
      </c>
      <c r="E156" s="16"/>
      <c r="F156" s="16"/>
      <c r="G156" s="16"/>
      <c r="H156" s="16" t="n">
        <v>0</v>
      </c>
      <c r="I156" s="16" t="n">
        <v>0</v>
      </c>
      <c r="J156" s="16"/>
      <c r="K156" s="16" t="n">
        <v>0</v>
      </c>
      <c r="L156" s="16" t="n">
        <v>0</v>
      </c>
      <c r="M156" s="16" t="n">
        <v>0</v>
      </c>
      <c r="N156" s="16" t="n">
        <v>0</v>
      </c>
      <c r="O156" s="16" t="n">
        <v>0</v>
      </c>
      <c r="P156" s="16" t="n">
        <v>0</v>
      </c>
      <c r="Q156" s="16" t="n">
        <v>0</v>
      </c>
      <c r="R156" s="16" t="n">
        <v>0</v>
      </c>
      <c r="S156" s="16" t="n">
        <v>0</v>
      </c>
      <c r="T156" s="16" t="n">
        <v>0</v>
      </c>
      <c r="U156" s="16" t="n">
        <v>0</v>
      </c>
      <c r="V156" s="16"/>
      <c r="W156" s="16"/>
      <c r="X156" s="16" t="n">
        <v>0</v>
      </c>
      <c r="Y156" s="16" t="n">
        <v>0</v>
      </c>
      <c r="Z156" s="16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E156" s="16" t="n">
        <v>0</v>
      </c>
      <c r="AF156" s="16" t="n">
        <v>0</v>
      </c>
      <c r="AG156" s="16" t="n">
        <v>0</v>
      </c>
    </row>
    <row r="157" customFormat="false" ht="15.75" hidden="false" customHeight="false" outlineLevel="0" collapsed="false">
      <c r="A157" s="28" t="n">
        <v>36962</v>
      </c>
      <c r="B157" s="16" t="n">
        <v>0</v>
      </c>
      <c r="C157" s="16" t="n">
        <v>0</v>
      </c>
      <c r="D157" s="16" t="n">
        <v>0</v>
      </c>
      <c r="E157" s="16"/>
      <c r="F157" s="16"/>
      <c r="G157" s="16"/>
      <c r="H157" s="16" t="n">
        <v>0</v>
      </c>
      <c r="I157" s="16" t="n">
        <v>0</v>
      </c>
      <c r="J157" s="16"/>
      <c r="K157" s="16" t="n">
        <v>0</v>
      </c>
      <c r="L157" s="16" t="n">
        <v>0</v>
      </c>
      <c r="M157" s="16" t="n">
        <v>0</v>
      </c>
      <c r="N157" s="16" t="n">
        <v>0</v>
      </c>
      <c r="O157" s="16" t="n">
        <v>0</v>
      </c>
      <c r="P157" s="16" t="n">
        <v>0</v>
      </c>
      <c r="Q157" s="16" t="n">
        <v>0</v>
      </c>
      <c r="R157" s="16" t="n">
        <v>0</v>
      </c>
      <c r="S157" s="16" t="n">
        <v>0</v>
      </c>
      <c r="T157" s="16" t="n">
        <v>0</v>
      </c>
      <c r="U157" s="16" t="n">
        <v>0</v>
      </c>
      <c r="V157" s="16"/>
      <c r="W157" s="16"/>
      <c r="X157" s="16" t="n">
        <v>0</v>
      </c>
      <c r="Y157" s="16" t="n">
        <v>0</v>
      </c>
      <c r="Z157" s="16" t="n">
        <v>0</v>
      </c>
      <c r="AA157" s="16" t="n">
        <v>0</v>
      </c>
      <c r="AB157" s="16" t="n">
        <v>0</v>
      </c>
      <c r="AC157" s="16" t="n">
        <v>0</v>
      </c>
      <c r="AD157" s="16" t="n">
        <v>0</v>
      </c>
      <c r="AE157" s="16" t="n">
        <v>0</v>
      </c>
      <c r="AF157" s="16" t="n">
        <v>0</v>
      </c>
      <c r="AG157" s="16" t="n">
        <v>0</v>
      </c>
    </row>
    <row r="158" customFormat="false" ht="15.75" hidden="false" customHeight="false" outlineLevel="0" collapsed="false">
      <c r="A158" s="28" t="n">
        <v>36963</v>
      </c>
      <c r="B158" s="16" t="n">
        <v>0</v>
      </c>
      <c r="C158" s="16" t="n">
        <v>80387.3300000001</v>
      </c>
      <c r="D158" s="16" t="n">
        <v>0</v>
      </c>
      <c r="E158" s="16"/>
      <c r="F158" s="16"/>
      <c r="G158" s="16"/>
      <c r="H158" s="16" t="n">
        <v>0</v>
      </c>
      <c r="I158" s="16" t="n">
        <v>0</v>
      </c>
      <c r="J158" s="16"/>
      <c r="K158" s="16" t="n">
        <v>0</v>
      </c>
      <c r="L158" s="16" t="n">
        <v>0</v>
      </c>
      <c r="M158" s="16" t="n">
        <v>0</v>
      </c>
      <c r="N158" s="16" t="n">
        <v>0</v>
      </c>
      <c r="O158" s="16" t="n">
        <v>0</v>
      </c>
      <c r="P158" s="16" t="n">
        <v>0</v>
      </c>
      <c r="Q158" s="16" t="n">
        <v>0</v>
      </c>
      <c r="R158" s="16" t="n">
        <v>0</v>
      </c>
      <c r="S158" s="16" t="n">
        <v>-134183.34</v>
      </c>
      <c r="T158" s="16" t="n">
        <v>0</v>
      </c>
      <c r="U158" s="16" t="n">
        <v>0</v>
      </c>
      <c r="V158" s="16"/>
      <c r="W158" s="16"/>
      <c r="X158" s="16" t="n">
        <v>0</v>
      </c>
      <c r="Y158" s="16" t="n">
        <v>0</v>
      </c>
      <c r="Z158" s="16" t="n">
        <v>0</v>
      </c>
      <c r="AA158" s="16" t="n">
        <v>0</v>
      </c>
      <c r="AB158" s="16" t="n">
        <v>0</v>
      </c>
      <c r="AC158" s="16" t="n">
        <v>0</v>
      </c>
      <c r="AD158" s="16" t="n">
        <v>0</v>
      </c>
      <c r="AE158" s="16" t="n">
        <v>0</v>
      </c>
      <c r="AF158" s="16" t="n">
        <v>0</v>
      </c>
      <c r="AG158" s="16" t="n">
        <v>0</v>
      </c>
    </row>
    <row r="159" customFormat="false" ht="15.75" hidden="false" customHeight="false" outlineLevel="0" collapsed="false">
      <c r="A159" s="28" t="n">
        <v>36964</v>
      </c>
      <c r="B159" s="16" t="n">
        <v>0</v>
      </c>
      <c r="C159" s="16" t="n">
        <v>0</v>
      </c>
      <c r="D159" s="16" t="n">
        <v>0</v>
      </c>
      <c r="E159" s="16"/>
      <c r="F159" s="16"/>
      <c r="G159" s="16"/>
      <c r="H159" s="16" t="n">
        <v>0</v>
      </c>
      <c r="I159" s="16" t="n">
        <v>0</v>
      </c>
      <c r="J159" s="16"/>
      <c r="K159" s="16" t="n">
        <v>0</v>
      </c>
      <c r="L159" s="16" t="n">
        <v>0</v>
      </c>
      <c r="M159" s="16" t="n">
        <v>0</v>
      </c>
      <c r="N159" s="16" t="n">
        <v>0</v>
      </c>
      <c r="O159" s="16" t="n">
        <v>0</v>
      </c>
      <c r="P159" s="16" t="n">
        <v>0</v>
      </c>
      <c r="Q159" s="16" t="n">
        <v>0</v>
      </c>
      <c r="R159" s="16" t="n">
        <v>0</v>
      </c>
      <c r="S159" s="16" t="n">
        <v>0</v>
      </c>
      <c r="T159" s="16" t="n">
        <v>0</v>
      </c>
      <c r="U159" s="16" t="n">
        <v>0</v>
      </c>
      <c r="V159" s="16"/>
      <c r="W159" s="16"/>
      <c r="X159" s="16" t="n">
        <v>0</v>
      </c>
      <c r="Y159" s="16" t="n">
        <v>0</v>
      </c>
      <c r="Z159" s="16" t="n">
        <v>0</v>
      </c>
      <c r="AA159" s="16" t="n">
        <v>0</v>
      </c>
      <c r="AB159" s="16" t="n">
        <v>0</v>
      </c>
      <c r="AC159" s="16" t="n">
        <v>0</v>
      </c>
      <c r="AD159" s="16" t="n">
        <v>0</v>
      </c>
      <c r="AE159" s="16" t="n">
        <v>0</v>
      </c>
      <c r="AF159" s="16" t="n">
        <v>0</v>
      </c>
      <c r="AG159" s="16" t="n">
        <v>0</v>
      </c>
    </row>
    <row r="160" customFormat="false" ht="15.75" hidden="false" customHeight="false" outlineLevel="0" collapsed="false">
      <c r="A160" s="28" t="n">
        <v>36965</v>
      </c>
      <c r="B160" s="16" t="n">
        <v>0</v>
      </c>
      <c r="C160" s="16" t="n">
        <v>0</v>
      </c>
      <c r="D160" s="16" t="n">
        <v>0</v>
      </c>
      <c r="E160" s="16"/>
      <c r="F160" s="16"/>
      <c r="G160" s="16"/>
      <c r="H160" s="16" t="n">
        <v>0</v>
      </c>
      <c r="I160" s="16" t="n">
        <v>0</v>
      </c>
      <c r="J160" s="16"/>
      <c r="K160" s="16" t="n">
        <v>0</v>
      </c>
      <c r="L160" s="16" t="n">
        <v>0</v>
      </c>
      <c r="M160" s="16" t="n">
        <v>0</v>
      </c>
      <c r="N160" s="16" t="n">
        <v>0</v>
      </c>
      <c r="O160" s="16" t="n">
        <v>0</v>
      </c>
      <c r="P160" s="16" t="n">
        <v>0</v>
      </c>
      <c r="Q160" s="16" t="n">
        <v>0</v>
      </c>
      <c r="R160" s="16" t="n">
        <v>0</v>
      </c>
      <c r="S160" s="16" t="n">
        <v>0</v>
      </c>
      <c r="T160" s="16" t="n">
        <v>0</v>
      </c>
      <c r="U160" s="16" t="n">
        <v>0</v>
      </c>
      <c r="V160" s="16"/>
      <c r="W160" s="16"/>
      <c r="X160" s="16" t="n">
        <v>0</v>
      </c>
      <c r="Y160" s="16" t="n">
        <v>0</v>
      </c>
      <c r="Z160" s="16" t="n">
        <v>0</v>
      </c>
      <c r="AA160" s="16" t="n">
        <v>0</v>
      </c>
      <c r="AB160" s="16" t="n">
        <v>0</v>
      </c>
      <c r="AC160" s="16" t="n">
        <v>0</v>
      </c>
      <c r="AD160" s="16" t="n">
        <v>0</v>
      </c>
      <c r="AE160" s="16" t="n">
        <v>0</v>
      </c>
      <c r="AF160" s="16" t="n">
        <v>0</v>
      </c>
      <c r="AG160" s="16" t="n">
        <v>0</v>
      </c>
    </row>
    <row r="161" customFormat="false" ht="15.75" hidden="false" customHeight="false" outlineLevel="0" collapsed="false">
      <c r="A161" s="28" t="n">
        <v>36966</v>
      </c>
      <c r="B161" s="16" t="n">
        <v>0</v>
      </c>
      <c r="C161" s="16" t="n">
        <v>0</v>
      </c>
      <c r="D161" s="16" t="n">
        <v>0</v>
      </c>
      <c r="E161" s="16"/>
      <c r="F161" s="16"/>
      <c r="G161" s="16"/>
      <c r="H161" s="16" t="n">
        <v>0</v>
      </c>
      <c r="I161" s="16" t="n">
        <v>0</v>
      </c>
      <c r="J161" s="16"/>
      <c r="K161" s="16" t="n">
        <v>0</v>
      </c>
      <c r="L161" s="16" t="n">
        <v>0</v>
      </c>
      <c r="M161" s="16" t="n">
        <v>0</v>
      </c>
      <c r="N161" s="16" t="n">
        <v>0</v>
      </c>
      <c r="O161" s="16" t="n">
        <v>0</v>
      </c>
      <c r="P161" s="16" t="n">
        <v>0</v>
      </c>
      <c r="Q161" s="16" t="n">
        <v>0</v>
      </c>
      <c r="R161" s="16" t="n">
        <v>0</v>
      </c>
      <c r="S161" s="16" t="n">
        <v>0</v>
      </c>
      <c r="T161" s="16" t="n">
        <v>0</v>
      </c>
      <c r="U161" s="16" t="n">
        <v>0</v>
      </c>
      <c r="V161" s="16"/>
      <c r="W161" s="16"/>
      <c r="X161" s="16" t="n">
        <v>0</v>
      </c>
      <c r="Y161" s="16" t="n">
        <v>0</v>
      </c>
      <c r="Z161" s="16" t="n">
        <v>0</v>
      </c>
      <c r="AA161" s="16" t="n">
        <v>0</v>
      </c>
      <c r="AB161" s="16" t="n">
        <v>0</v>
      </c>
      <c r="AC161" s="16" t="n">
        <v>0</v>
      </c>
      <c r="AD161" s="16" t="n">
        <v>0</v>
      </c>
      <c r="AE161" s="16" t="n">
        <v>0</v>
      </c>
      <c r="AF161" s="16" t="n">
        <v>0</v>
      </c>
      <c r="AG161" s="16" t="n">
        <v>0</v>
      </c>
    </row>
    <row r="162" customFormat="false" ht="15.75" hidden="false" customHeight="false" outlineLevel="0" collapsed="false">
      <c r="A162" s="28" t="n">
        <v>36969</v>
      </c>
      <c r="B162" s="16" t="n">
        <v>0</v>
      </c>
      <c r="C162" s="16" t="n">
        <v>0</v>
      </c>
      <c r="D162" s="16" t="n">
        <v>0</v>
      </c>
      <c r="E162" s="16"/>
      <c r="F162" s="16"/>
      <c r="G162" s="16"/>
      <c r="H162" s="16" t="n">
        <v>0</v>
      </c>
      <c r="I162" s="16" t="n">
        <v>0</v>
      </c>
      <c r="J162" s="16"/>
      <c r="K162" s="16" t="n">
        <v>0</v>
      </c>
      <c r="L162" s="16" t="n">
        <v>0</v>
      </c>
      <c r="M162" s="16" t="n">
        <v>0</v>
      </c>
      <c r="N162" s="16" t="n">
        <v>0</v>
      </c>
      <c r="O162" s="16" t="n">
        <v>0</v>
      </c>
      <c r="P162" s="16" t="n">
        <v>0</v>
      </c>
      <c r="Q162" s="16" t="n">
        <v>0</v>
      </c>
      <c r="R162" s="16" t="n">
        <v>0</v>
      </c>
      <c r="S162" s="16" t="n">
        <v>0</v>
      </c>
      <c r="T162" s="16" t="n">
        <v>0</v>
      </c>
      <c r="U162" s="16" t="n">
        <v>0</v>
      </c>
      <c r="V162" s="16"/>
      <c r="W162" s="16"/>
      <c r="X162" s="16" t="n">
        <v>0</v>
      </c>
      <c r="Y162" s="16" t="n">
        <v>0</v>
      </c>
      <c r="Z162" s="16" t="n">
        <v>0</v>
      </c>
      <c r="AA162" s="16" t="n">
        <v>0</v>
      </c>
      <c r="AB162" s="16" t="n">
        <v>0</v>
      </c>
      <c r="AC162" s="16" t="n">
        <v>0</v>
      </c>
      <c r="AD162" s="16" t="n">
        <v>0</v>
      </c>
      <c r="AE162" s="16" t="n">
        <v>0</v>
      </c>
      <c r="AF162" s="16" t="n">
        <v>0</v>
      </c>
      <c r="AG162" s="16" t="n">
        <v>0</v>
      </c>
    </row>
    <row r="163" customFormat="false" ht="15.75" hidden="false" customHeight="false" outlineLevel="0" collapsed="false">
      <c r="A163" s="28" t="n">
        <v>36970</v>
      </c>
      <c r="B163" s="16" t="n">
        <v>0</v>
      </c>
      <c r="C163" s="16" t="n">
        <v>0</v>
      </c>
      <c r="D163" s="16" t="n">
        <v>0</v>
      </c>
      <c r="E163" s="16"/>
      <c r="F163" s="16"/>
      <c r="G163" s="16"/>
      <c r="H163" s="16" t="n">
        <v>0</v>
      </c>
      <c r="I163" s="16" t="n">
        <v>0</v>
      </c>
      <c r="J163" s="16"/>
      <c r="K163" s="16" t="n">
        <v>0</v>
      </c>
      <c r="L163" s="16" t="n">
        <v>0</v>
      </c>
      <c r="M163" s="16" t="n">
        <v>0</v>
      </c>
      <c r="N163" s="16" t="n">
        <v>0</v>
      </c>
      <c r="O163" s="16" t="n">
        <v>0</v>
      </c>
      <c r="P163" s="16" t="n">
        <v>0</v>
      </c>
      <c r="Q163" s="16" t="n">
        <v>0</v>
      </c>
      <c r="R163" s="16" t="n">
        <v>0</v>
      </c>
      <c r="S163" s="16" t="n">
        <v>0</v>
      </c>
      <c r="T163" s="16" t="n">
        <v>0</v>
      </c>
      <c r="U163" s="16" t="n">
        <v>0</v>
      </c>
      <c r="V163" s="16"/>
      <c r="W163" s="16"/>
      <c r="X163" s="16" t="n">
        <v>0</v>
      </c>
      <c r="Y163" s="16" t="n">
        <v>0</v>
      </c>
      <c r="Z163" s="16" t="n">
        <v>0</v>
      </c>
      <c r="AA163" s="16" t="n">
        <v>0</v>
      </c>
      <c r="AB163" s="16" t="n">
        <v>0</v>
      </c>
      <c r="AC163" s="16" t="n">
        <v>0</v>
      </c>
      <c r="AD163" s="16" t="n">
        <v>0</v>
      </c>
      <c r="AE163" s="16" t="n">
        <v>0</v>
      </c>
      <c r="AF163" s="16" t="n">
        <v>0</v>
      </c>
      <c r="AG163" s="16" t="n">
        <v>0</v>
      </c>
    </row>
    <row r="164" customFormat="false" ht="15.75" hidden="false" customHeight="false" outlineLevel="0" collapsed="false">
      <c r="A164" s="28" t="n">
        <v>36971</v>
      </c>
      <c r="B164" s="16" t="n">
        <v>0</v>
      </c>
      <c r="C164" s="16" t="n">
        <v>0</v>
      </c>
      <c r="D164" s="16" t="n">
        <v>0</v>
      </c>
      <c r="E164" s="16"/>
      <c r="F164" s="16"/>
      <c r="G164" s="16"/>
      <c r="H164" s="16" t="n">
        <v>0</v>
      </c>
      <c r="I164" s="16" t="n">
        <v>0</v>
      </c>
      <c r="J164" s="16"/>
      <c r="K164" s="16" t="n">
        <v>0</v>
      </c>
      <c r="L164" s="16" t="n">
        <v>0</v>
      </c>
      <c r="M164" s="16" t="n">
        <v>0</v>
      </c>
      <c r="N164" s="16" t="n">
        <v>0</v>
      </c>
      <c r="O164" s="16" t="n">
        <v>0</v>
      </c>
      <c r="P164" s="16" t="n">
        <v>0</v>
      </c>
      <c r="Q164" s="16" t="n">
        <v>0</v>
      </c>
      <c r="R164" s="16" t="n">
        <v>0</v>
      </c>
      <c r="S164" s="16" t="n">
        <v>0</v>
      </c>
      <c r="T164" s="16" t="n">
        <v>0</v>
      </c>
      <c r="U164" s="16" t="n">
        <v>0</v>
      </c>
      <c r="V164" s="16"/>
      <c r="W164" s="16"/>
      <c r="X164" s="16" t="n">
        <v>0</v>
      </c>
      <c r="Y164" s="16" t="n">
        <v>0</v>
      </c>
      <c r="Z164" s="16" t="n">
        <v>0</v>
      </c>
      <c r="AA164" s="16" t="n">
        <v>0</v>
      </c>
      <c r="AB164" s="16" t="n">
        <v>0</v>
      </c>
      <c r="AC164" s="16" t="n">
        <v>0</v>
      </c>
      <c r="AD164" s="16" t="n">
        <v>0</v>
      </c>
      <c r="AE164" s="16" t="n">
        <v>0</v>
      </c>
      <c r="AF164" s="16" t="n">
        <v>0</v>
      </c>
      <c r="AG164" s="16" t="n">
        <v>0</v>
      </c>
    </row>
    <row r="165" customFormat="false" ht="15.75" hidden="false" customHeight="false" outlineLevel="0" collapsed="false">
      <c r="A165" s="28" t="n">
        <v>36972</v>
      </c>
      <c r="B165" s="16" t="n">
        <v>0</v>
      </c>
      <c r="C165" s="16" t="n">
        <v>0</v>
      </c>
      <c r="D165" s="16" t="n">
        <v>0</v>
      </c>
      <c r="E165" s="16"/>
      <c r="F165" s="16"/>
      <c r="G165" s="16"/>
      <c r="H165" s="16" t="n">
        <v>0</v>
      </c>
      <c r="I165" s="16" t="n">
        <v>0</v>
      </c>
      <c r="J165" s="16"/>
      <c r="K165" s="16" t="n">
        <v>0</v>
      </c>
      <c r="L165" s="16" t="n">
        <v>0</v>
      </c>
      <c r="M165" s="16" t="n">
        <v>0</v>
      </c>
      <c r="N165" s="16" t="n">
        <v>0</v>
      </c>
      <c r="O165" s="16" t="n">
        <v>0</v>
      </c>
      <c r="P165" s="16" t="n">
        <v>0</v>
      </c>
      <c r="Q165" s="16" t="n">
        <v>0</v>
      </c>
      <c r="R165" s="16" t="n">
        <v>0</v>
      </c>
      <c r="S165" s="16" t="n">
        <v>0</v>
      </c>
      <c r="T165" s="16" t="n">
        <v>0</v>
      </c>
      <c r="U165" s="16" t="n">
        <v>0</v>
      </c>
      <c r="V165" s="16"/>
      <c r="W165" s="16"/>
      <c r="X165" s="16" t="n">
        <v>0</v>
      </c>
      <c r="Y165" s="16" t="n">
        <v>0</v>
      </c>
      <c r="Z165" s="16" t="n">
        <v>0</v>
      </c>
      <c r="AA165" s="16" t="n">
        <v>0</v>
      </c>
      <c r="AB165" s="16" t="n">
        <v>0</v>
      </c>
      <c r="AC165" s="16" t="n">
        <v>0</v>
      </c>
      <c r="AD165" s="16" t="n">
        <v>0</v>
      </c>
      <c r="AE165" s="16" t="n">
        <v>0</v>
      </c>
      <c r="AF165" s="16" t="n">
        <v>0</v>
      </c>
      <c r="AG165" s="16" t="n">
        <v>0</v>
      </c>
    </row>
    <row r="166" customFormat="false" ht="15.75" hidden="false" customHeight="false" outlineLevel="0" collapsed="false">
      <c r="A166" s="28" t="n">
        <v>36973</v>
      </c>
      <c r="B166" s="16" t="n">
        <v>0</v>
      </c>
      <c r="C166" s="16" t="n">
        <v>0</v>
      </c>
      <c r="D166" s="16" t="n">
        <v>0</v>
      </c>
      <c r="E166" s="16"/>
      <c r="F166" s="16"/>
      <c r="G166" s="16"/>
      <c r="H166" s="16" t="n">
        <v>0</v>
      </c>
      <c r="I166" s="16" t="n">
        <v>0</v>
      </c>
      <c r="J166" s="16"/>
      <c r="K166" s="16" t="n">
        <v>0</v>
      </c>
      <c r="L166" s="16" t="n">
        <v>0</v>
      </c>
      <c r="M166" s="16" t="n">
        <v>0</v>
      </c>
      <c r="N166" s="16" t="n">
        <v>0</v>
      </c>
      <c r="O166" s="16" t="n">
        <v>0</v>
      </c>
      <c r="P166" s="16" t="n">
        <v>0</v>
      </c>
      <c r="Q166" s="16" t="n">
        <v>0</v>
      </c>
      <c r="R166" s="16" t="n">
        <v>0</v>
      </c>
      <c r="S166" s="16" t="n">
        <v>0</v>
      </c>
      <c r="T166" s="16" t="n">
        <v>0</v>
      </c>
      <c r="U166" s="16" t="n">
        <v>0</v>
      </c>
      <c r="V166" s="16"/>
      <c r="W166" s="16"/>
      <c r="X166" s="16" t="n">
        <v>0</v>
      </c>
      <c r="Y166" s="16" t="n">
        <v>0</v>
      </c>
      <c r="Z166" s="16" t="n">
        <v>0</v>
      </c>
      <c r="AA166" s="16" t="n">
        <v>0</v>
      </c>
      <c r="AB166" s="16" t="n">
        <v>0</v>
      </c>
      <c r="AC166" s="16" t="n">
        <v>0</v>
      </c>
      <c r="AD166" s="16" t="n">
        <v>0</v>
      </c>
      <c r="AE166" s="16" t="n">
        <v>0</v>
      </c>
      <c r="AF166" s="16" t="n">
        <v>0</v>
      </c>
      <c r="AG166" s="16" t="n">
        <v>0</v>
      </c>
    </row>
    <row r="167" customFormat="false" ht="15.75" hidden="false" customHeight="false" outlineLevel="0" collapsed="false">
      <c r="A167" s="28" t="n">
        <v>36976</v>
      </c>
      <c r="B167" s="16" t="n">
        <v>0</v>
      </c>
      <c r="C167" s="16" t="n">
        <v>0</v>
      </c>
      <c r="D167" s="16" t="n">
        <v>0</v>
      </c>
      <c r="E167" s="16"/>
      <c r="F167" s="16"/>
      <c r="G167" s="16"/>
      <c r="H167" s="16" t="n">
        <v>0</v>
      </c>
      <c r="I167" s="16" t="n">
        <v>0</v>
      </c>
      <c r="J167" s="16"/>
      <c r="K167" s="16" t="n">
        <v>0</v>
      </c>
      <c r="L167" s="16" t="n">
        <v>0</v>
      </c>
      <c r="M167" s="16" t="n">
        <v>0</v>
      </c>
      <c r="N167" s="16" t="n">
        <v>0</v>
      </c>
      <c r="O167" s="16" t="n">
        <v>0</v>
      </c>
      <c r="P167" s="16" t="n">
        <v>0</v>
      </c>
      <c r="Q167" s="16" t="n">
        <v>0</v>
      </c>
      <c r="R167" s="16" t="n">
        <v>0</v>
      </c>
      <c r="S167" s="16" t="n">
        <v>0</v>
      </c>
      <c r="T167" s="16" t="n">
        <v>0</v>
      </c>
      <c r="U167" s="16" t="n">
        <v>0</v>
      </c>
      <c r="V167" s="16"/>
      <c r="W167" s="16"/>
      <c r="X167" s="16" t="n">
        <v>0</v>
      </c>
      <c r="Y167" s="16" t="n">
        <v>0</v>
      </c>
      <c r="Z167" s="16" t="n">
        <v>0</v>
      </c>
      <c r="AA167" s="16" t="n">
        <v>0</v>
      </c>
      <c r="AB167" s="16" t="n">
        <v>0</v>
      </c>
      <c r="AC167" s="16" t="n">
        <v>187500</v>
      </c>
      <c r="AD167" s="16" t="n">
        <v>0</v>
      </c>
      <c r="AE167" s="16" t="n">
        <v>0</v>
      </c>
      <c r="AF167" s="16" t="n">
        <v>0</v>
      </c>
      <c r="AG167" s="16" t="n">
        <v>0</v>
      </c>
    </row>
    <row r="168" customFormat="false" ht="15.75" hidden="false" customHeight="false" outlineLevel="0" collapsed="false">
      <c r="A168" s="28" t="n">
        <v>36977</v>
      </c>
      <c r="B168" s="16" t="n">
        <v>0</v>
      </c>
      <c r="C168" s="16" t="n">
        <v>0</v>
      </c>
      <c r="D168" s="16" t="n">
        <v>0</v>
      </c>
      <c r="E168" s="16"/>
      <c r="F168" s="16"/>
      <c r="G168" s="16"/>
      <c r="H168" s="16" t="n">
        <v>0</v>
      </c>
      <c r="I168" s="16" t="n">
        <v>0</v>
      </c>
      <c r="J168" s="16"/>
      <c r="K168" s="16" t="n">
        <v>0</v>
      </c>
      <c r="L168" s="16" t="n">
        <v>0</v>
      </c>
      <c r="M168" s="16" t="n">
        <v>0</v>
      </c>
      <c r="N168" s="16" t="n">
        <v>0</v>
      </c>
      <c r="O168" s="16" t="n">
        <v>0</v>
      </c>
      <c r="P168" s="16" t="n">
        <v>0</v>
      </c>
      <c r="Q168" s="16" t="n">
        <v>0</v>
      </c>
      <c r="R168" s="16" t="n">
        <v>0</v>
      </c>
      <c r="S168" s="16" t="n">
        <v>0</v>
      </c>
      <c r="T168" s="16" t="n">
        <v>0</v>
      </c>
      <c r="U168" s="16" t="n">
        <v>0</v>
      </c>
      <c r="V168" s="16"/>
      <c r="W168" s="16"/>
      <c r="X168" s="16" t="n">
        <v>0</v>
      </c>
      <c r="Y168" s="16" t="n">
        <v>0</v>
      </c>
      <c r="Z168" s="16" t="n">
        <v>0</v>
      </c>
      <c r="AA168" s="16" t="n">
        <v>0</v>
      </c>
      <c r="AB168" s="16" t="n">
        <v>0</v>
      </c>
      <c r="AC168" s="16" t="n">
        <v>0</v>
      </c>
      <c r="AD168" s="16" t="n">
        <v>0</v>
      </c>
      <c r="AE168" s="16" t="n">
        <v>0</v>
      </c>
      <c r="AF168" s="16" t="n">
        <v>0</v>
      </c>
      <c r="AG168" s="16" t="n">
        <v>0</v>
      </c>
    </row>
    <row r="169" customFormat="false" ht="15.75" hidden="false" customHeight="false" outlineLevel="0" collapsed="false">
      <c r="A169" s="28" t="n">
        <v>36978</v>
      </c>
      <c r="B169" s="16" t="n">
        <v>0</v>
      </c>
      <c r="C169" s="16" t="n">
        <v>0</v>
      </c>
      <c r="D169" s="16" t="n">
        <v>0</v>
      </c>
      <c r="E169" s="16"/>
      <c r="F169" s="16"/>
      <c r="G169" s="16"/>
      <c r="H169" s="16" t="n">
        <v>0</v>
      </c>
      <c r="I169" s="16" t="n">
        <v>0</v>
      </c>
      <c r="J169" s="16"/>
      <c r="K169" s="16" t="n">
        <v>0</v>
      </c>
      <c r="L169" s="16" t="n">
        <v>0</v>
      </c>
      <c r="M169" s="16" t="n">
        <v>0</v>
      </c>
      <c r="N169" s="16" t="n">
        <v>0</v>
      </c>
      <c r="O169" s="16" t="n">
        <v>0</v>
      </c>
      <c r="P169" s="16" t="n">
        <v>0</v>
      </c>
      <c r="Q169" s="16" t="n">
        <v>0</v>
      </c>
      <c r="R169" s="16" t="n">
        <v>0</v>
      </c>
      <c r="S169" s="16" t="n">
        <v>0</v>
      </c>
      <c r="T169" s="16" t="n">
        <v>0</v>
      </c>
      <c r="U169" s="16" t="n">
        <v>0</v>
      </c>
      <c r="V169" s="16"/>
      <c r="W169" s="16"/>
      <c r="X169" s="16" t="n">
        <v>0</v>
      </c>
      <c r="Y169" s="16" t="n">
        <v>0</v>
      </c>
      <c r="Z169" s="16" t="n">
        <v>0</v>
      </c>
      <c r="AA169" s="16" t="n">
        <v>0</v>
      </c>
      <c r="AB169" s="16" t="n">
        <v>0</v>
      </c>
      <c r="AC169" s="16" t="n">
        <v>0</v>
      </c>
      <c r="AD169" s="16" t="n">
        <v>0</v>
      </c>
      <c r="AE169" s="16" t="n">
        <v>0</v>
      </c>
      <c r="AF169" s="16" t="n">
        <v>0</v>
      </c>
      <c r="AG169" s="16" t="n">
        <v>0</v>
      </c>
    </row>
    <row r="170" customFormat="false" ht="15.75" hidden="false" customHeight="false" outlineLevel="0" collapsed="false">
      <c r="A170" s="28" t="n">
        <v>36979</v>
      </c>
      <c r="B170" s="16" t="n">
        <v>0</v>
      </c>
      <c r="C170" s="16" t="n">
        <v>0</v>
      </c>
      <c r="D170" s="16" t="n">
        <v>0</v>
      </c>
      <c r="E170" s="16"/>
      <c r="F170" s="16"/>
      <c r="G170" s="16"/>
      <c r="H170" s="16" t="n">
        <v>0</v>
      </c>
      <c r="I170" s="16" t="n">
        <v>0</v>
      </c>
      <c r="J170" s="16"/>
      <c r="K170" s="16" t="n">
        <v>0</v>
      </c>
      <c r="L170" s="16" t="n">
        <v>0</v>
      </c>
      <c r="M170" s="16" t="n">
        <v>0</v>
      </c>
      <c r="N170" s="16" t="n">
        <v>0</v>
      </c>
      <c r="O170" s="16" t="n">
        <v>0</v>
      </c>
      <c r="P170" s="16" t="n">
        <v>0</v>
      </c>
      <c r="Q170" s="16" t="n">
        <v>0</v>
      </c>
      <c r="R170" s="16" t="n">
        <v>0</v>
      </c>
      <c r="S170" s="16" t="n">
        <v>0</v>
      </c>
      <c r="T170" s="16" t="n">
        <v>0</v>
      </c>
      <c r="U170" s="16" t="n">
        <v>0</v>
      </c>
      <c r="V170" s="16"/>
      <c r="W170" s="16"/>
      <c r="X170" s="16" t="n">
        <v>0</v>
      </c>
      <c r="Y170" s="16" t="n">
        <v>0</v>
      </c>
      <c r="Z170" s="16" t="n">
        <v>0</v>
      </c>
      <c r="AA170" s="16" t="n">
        <v>0</v>
      </c>
      <c r="AB170" s="16" t="n">
        <v>0</v>
      </c>
      <c r="AC170" s="16" t="n">
        <v>0</v>
      </c>
      <c r="AD170" s="16" t="n">
        <v>0</v>
      </c>
      <c r="AE170" s="16" t="n">
        <v>0</v>
      </c>
      <c r="AF170" s="16" t="n">
        <v>0</v>
      </c>
      <c r="AG170" s="16" t="n">
        <v>0</v>
      </c>
    </row>
    <row r="171" customFormat="false" ht="15.75" hidden="false" customHeight="false" outlineLevel="0" collapsed="false">
      <c r="A171" s="28" t="n">
        <v>36980</v>
      </c>
      <c r="B171" s="16" t="n">
        <v>0</v>
      </c>
      <c r="C171" s="16" t="n">
        <v>0</v>
      </c>
      <c r="D171" s="16" t="n">
        <v>0</v>
      </c>
      <c r="E171" s="16"/>
      <c r="F171" s="16"/>
      <c r="G171" s="16"/>
      <c r="H171" s="16" t="n">
        <v>0</v>
      </c>
      <c r="I171" s="16" t="n">
        <v>0</v>
      </c>
      <c r="J171" s="16"/>
      <c r="K171" s="16" t="n">
        <v>0</v>
      </c>
      <c r="L171" s="16" t="n">
        <v>0</v>
      </c>
      <c r="M171" s="16" t="n">
        <v>0</v>
      </c>
      <c r="N171" s="16" t="n">
        <v>0</v>
      </c>
      <c r="O171" s="16" t="n">
        <v>0</v>
      </c>
      <c r="P171" s="16" t="n">
        <v>0</v>
      </c>
      <c r="Q171" s="16" t="n">
        <v>0</v>
      </c>
      <c r="R171" s="16" t="n">
        <v>0</v>
      </c>
      <c r="S171" s="16" t="n">
        <v>-5406650.61</v>
      </c>
      <c r="T171" s="16" t="n">
        <v>0</v>
      </c>
      <c r="U171" s="16" t="n">
        <v>0</v>
      </c>
      <c r="V171" s="16"/>
      <c r="W171" s="16"/>
      <c r="X171" s="16" t="n">
        <v>0</v>
      </c>
      <c r="Y171" s="16" t="n">
        <v>0</v>
      </c>
      <c r="Z171" s="16" t="n">
        <v>0</v>
      </c>
      <c r="AA171" s="16" t="n">
        <v>0</v>
      </c>
      <c r="AB171" s="16" t="n">
        <v>0</v>
      </c>
      <c r="AC171" s="16" t="n">
        <v>0</v>
      </c>
      <c r="AD171" s="16" t="n">
        <v>0</v>
      </c>
      <c r="AE171" s="16" t="n">
        <v>0</v>
      </c>
      <c r="AF171" s="16" t="n">
        <v>0</v>
      </c>
      <c r="AG171" s="16" t="n">
        <v>0</v>
      </c>
    </row>
    <row r="172" customFormat="false" ht="15.75" hidden="false" customHeight="false" outlineLevel="0" collapsed="false">
      <c r="A172" s="28" t="n">
        <v>36981</v>
      </c>
      <c r="B172" s="16" t="n">
        <v>0</v>
      </c>
      <c r="C172" s="16" t="n">
        <v>0</v>
      </c>
      <c r="D172" s="16" t="n">
        <v>0</v>
      </c>
      <c r="E172" s="16"/>
      <c r="F172" s="16"/>
      <c r="G172" s="16"/>
      <c r="H172" s="16" t="n">
        <v>0</v>
      </c>
      <c r="I172" s="16" t="n">
        <v>0</v>
      </c>
      <c r="J172" s="16"/>
      <c r="K172" s="16" t="n">
        <v>0</v>
      </c>
      <c r="L172" s="16" t="n">
        <v>0</v>
      </c>
      <c r="M172" s="16" t="n">
        <v>0</v>
      </c>
      <c r="N172" s="16" t="n">
        <v>0</v>
      </c>
      <c r="O172" s="16" t="n">
        <v>0</v>
      </c>
      <c r="P172" s="16" t="n">
        <v>0</v>
      </c>
      <c r="Q172" s="16" t="n">
        <v>0</v>
      </c>
      <c r="R172" s="16" t="n">
        <v>0</v>
      </c>
      <c r="S172" s="16" t="n">
        <v>0</v>
      </c>
      <c r="T172" s="16" t="n">
        <v>0</v>
      </c>
      <c r="U172" s="16" t="n">
        <v>0</v>
      </c>
      <c r="V172" s="16"/>
      <c r="W172" s="16"/>
      <c r="X172" s="16" t="n">
        <v>0</v>
      </c>
      <c r="Y172" s="16" t="n">
        <v>0</v>
      </c>
      <c r="Z172" s="16" t="n">
        <v>0</v>
      </c>
      <c r="AA172" s="16" t="n">
        <v>0</v>
      </c>
      <c r="AB172" s="16" t="n">
        <v>0</v>
      </c>
      <c r="AC172" s="16" t="n">
        <v>0</v>
      </c>
      <c r="AD172" s="16" t="n">
        <v>0</v>
      </c>
      <c r="AE172" s="16" t="n">
        <v>0</v>
      </c>
      <c r="AF172" s="16" t="n">
        <v>0</v>
      </c>
      <c r="AG172" s="16" t="n">
        <v>0</v>
      </c>
    </row>
    <row r="173" customFormat="false" ht="15.75" hidden="false" customHeight="false" outlineLevel="0" collapsed="false">
      <c r="A173" s="28" t="n">
        <v>36983</v>
      </c>
      <c r="B173" s="16" t="n">
        <v>0</v>
      </c>
      <c r="C173" s="16" t="n">
        <v>0</v>
      </c>
      <c r="D173" s="16" t="n">
        <v>0</v>
      </c>
      <c r="E173" s="16"/>
      <c r="F173" s="16"/>
      <c r="G173" s="16"/>
      <c r="H173" s="16" t="n">
        <v>0</v>
      </c>
      <c r="I173" s="16" t="n">
        <v>0</v>
      </c>
      <c r="J173" s="16"/>
      <c r="K173" s="16" t="n">
        <v>0</v>
      </c>
      <c r="L173" s="16" t="n">
        <v>0</v>
      </c>
      <c r="M173" s="16" t="n">
        <v>0</v>
      </c>
      <c r="N173" s="16" t="n">
        <v>0</v>
      </c>
      <c r="O173" s="16" t="n">
        <v>0</v>
      </c>
      <c r="P173" s="16" t="n">
        <v>0</v>
      </c>
      <c r="Q173" s="16" t="n">
        <v>0</v>
      </c>
      <c r="R173" s="16" t="n">
        <v>0</v>
      </c>
      <c r="S173" s="16" t="n">
        <v>0</v>
      </c>
      <c r="T173" s="16" t="n">
        <v>0</v>
      </c>
      <c r="U173" s="16" t="n">
        <v>0</v>
      </c>
      <c r="V173" s="16"/>
      <c r="W173" s="16"/>
      <c r="X173" s="16" t="n">
        <v>0</v>
      </c>
      <c r="Y173" s="16" t="n">
        <v>0</v>
      </c>
      <c r="Z173" s="16" t="n">
        <v>0</v>
      </c>
      <c r="AA173" s="16" t="n">
        <v>0</v>
      </c>
      <c r="AB173" s="16" t="n">
        <v>0</v>
      </c>
      <c r="AC173" s="16" t="n">
        <v>0</v>
      </c>
      <c r="AD173" s="16" t="n">
        <v>0</v>
      </c>
      <c r="AE173" s="16" t="n">
        <v>0</v>
      </c>
      <c r="AF173" s="16" t="n">
        <v>0</v>
      </c>
      <c r="AG173" s="16" t="n">
        <v>0</v>
      </c>
    </row>
    <row r="174" customFormat="false" ht="15.75" hidden="false" customHeight="false" outlineLevel="0" collapsed="false">
      <c r="A174" s="28" t="n">
        <v>36984</v>
      </c>
      <c r="B174" s="16" t="n">
        <v>0</v>
      </c>
      <c r="C174" s="16" t="n">
        <v>0</v>
      </c>
      <c r="D174" s="16" t="n">
        <v>0</v>
      </c>
      <c r="E174" s="16"/>
      <c r="F174" s="16"/>
      <c r="G174" s="16"/>
      <c r="H174" s="16" t="n">
        <v>0</v>
      </c>
      <c r="I174" s="16" t="n">
        <v>0</v>
      </c>
      <c r="J174" s="16"/>
      <c r="K174" s="16" t="n">
        <v>0</v>
      </c>
      <c r="L174" s="16" t="n">
        <v>0</v>
      </c>
      <c r="M174" s="16" t="n">
        <v>0</v>
      </c>
      <c r="N174" s="16" t="n">
        <v>0</v>
      </c>
      <c r="O174" s="16" t="n">
        <v>0</v>
      </c>
      <c r="P174" s="16" t="n">
        <v>0</v>
      </c>
      <c r="Q174" s="16" t="n">
        <v>0</v>
      </c>
      <c r="R174" s="16" t="n">
        <v>0</v>
      </c>
      <c r="S174" s="16" t="n">
        <v>0</v>
      </c>
      <c r="T174" s="16" t="n">
        <v>0</v>
      </c>
      <c r="U174" s="16" t="n">
        <v>0</v>
      </c>
      <c r="V174" s="16"/>
      <c r="W174" s="16"/>
      <c r="X174" s="16" t="n">
        <v>0</v>
      </c>
      <c r="Y174" s="16" t="n">
        <v>0</v>
      </c>
      <c r="Z174" s="16" t="n">
        <v>0</v>
      </c>
      <c r="AA174" s="16" t="n">
        <v>0</v>
      </c>
      <c r="AB174" s="16" t="n">
        <v>0</v>
      </c>
      <c r="AC174" s="16" t="n">
        <v>0</v>
      </c>
      <c r="AD174" s="16" t="n">
        <v>0</v>
      </c>
      <c r="AE174" s="16" t="n">
        <v>0</v>
      </c>
      <c r="AF174" s="16" t="n">
        <v>0</v>
      </c>
      <c r="AG174" s="16" t="n">
        <v>0</v>
      </c>
    </row>
    <row r="175" customFormat="false" ht="15.75" hidden="false" customHeight="false" outlineLevel="0" collapsed="false">
      <c r="A175" s="28" t="n">
        <v>36985</v>
      </c>
      <c r="B175" s="16" t="n">
        <v>0</v>
      </c>
      <c r="C175" s="16" t="n">
        <v>0</v>
      </c>
      <c r="D175" s="16" t="n">
        <v>0</v>
      </c>
      <c r="E175" s="16"/>
      <c r="F175" s="16"/>
      <c r="G175" s="16"/>
      <c r="H175" s="16" t="n">
        <v>0</v>
      </c>
      <c r="I175" s="16" t="n">
        <v>0</v>
      </c>
      <c r="J175" s="16"/>
      <c r="K175" s="16" t="n">
        <v>0</v>
      </c>
      <c r="L175" s="16" t="n">
        <v>0</v>
      </c>
      <c r="M175" s="16" t="n">
        <v>0</v>
      </c>
      <c r="N175" s="16" t="n">
        <v>0</v>
      </c>
      <c r="O175" s="16" t="n">
        <v>0</v>
      </c>
      <c r="P175" s="16" t="n">
        <v>0</v>
      </c>
      <c r="Q175" s="16" t="n">
        <v>0</v>
      </c>
      <c r="R175" s="16" t="n">
        <v>0</v>
      </c>
      <c r="S175" s="16" t="n">
        <v>0</v>
      </c>
      <c r="T175" s="16" t="n">
        <v>0</v>
      </c>
      <c r="U175" s="16" t="n">
        <v>0</v>
      </c>
      <c r="V175" s="16"/>
      <c r="W175" s="16"/>
      <c r="X175" s="16" t="n">
        <v>0</v>
      </c>
      <c r="Y175" s="16" t="n">
        <v>0</v>
      </c>
      <c r="Z175" s="16" t="n">
        <v>0</v>
      </c>
      <c r="AA175" s="16" t="n">
        <v>0</v>
      </c>
      <c r="AB175" s="16" t="n">
        <v>0</v>
      </c>
      <c r="AC175" s="16" t="n">
        <v>0</v>
      </c>
      <c r="AD175" s="16" t="n">
        <v>0</v>
      </c>
      <c r="AE175" s="16" t="n">
        <v>0</v>
      </c>
      <c r="AF175" s="16" t="n">
        <v>0</v>
      </c>
      <c r="AG175" s="16" t="n">
        <v>0</v>
      </c>
    </row>
    <row r="176" customFormat="false" ht="15.75" hidden="false" customHeight="false" outlineLevel="0" collapsed="false">
      <c r="A176" s="28" t="n">
        <v>36986</v>
      </c>
      <c r="B176" s="16" t="n">
        <v>0</v>
      </c>
      <c r="C176" s="16" t="n">
        <v>0</v>
      </c>
      <c r="D176" s="16" t="n">
        <v>0</v>
      </c>
      <c r="E176" s="16"/>
      <c r="F176" s="16"/>
      <c r="G176" s="16"/>
      <c r="H176" s="16" t="n">
        <v>0</v>
      </c>
      <c r="I176" s="16" t="n">
        <v>0</v>
      </c>
      <c r="J176" s="16"/>
      <c r="K176" s="16" t="n">
        <v>0</v>
      </c>
      <c r="L176" s="16" t="n">
        <v>0</v>
      </c>
      <c r="M176" s="16" t="n">
        <v>0</v>
      </c>
      <c r="N176" s="16" t="n">
        <v>0</v>
      </c>
      <c r="O176" s="16" t="n">
        <v>0</v>
      </c>
      <c r="P176" s="16" t="n">
        <v>0</v>
      </c>
      <c r="Q176" s="16" t="n">
        <v>0</v>
      </c>
      <c r="R176" s="16" t="n">
        <v>0</v>
      </c>
      <c r="S176" s="16" t="n">
        <v>0</v>
      </c>
      <c r="T176" s="16" t="n">
        <v>0</v>
      </c>
      <c r="U176" s="16" t="n">
        <v>0</v>
      </c>
      <c r="V176" s="16"/>
      <c r="W176" s="16"/>
      <c r="X176" s="16" t="n">
        <v>0</v>
      </c>
      <c r="Y176" s="16" t="n">
        <v>0</v>
      </c>
      <c r="Z176" s="16" t="n">
        <v>0</v>
      </c>
      <c r="AA176" s="16" t="n">
        <v>0</v>
      </c>
      <c r="AB176" s="16" t="n">
        <v>0</v>
      </c>
      <c r="AC176" s="16" t="n">
        <v>0</v>
      </c>
      <c r="AD176" s="16" t="n">
        <v>0</v>
      </c>
      <c r="AE176" s="16" t="n">
        <v>0</v>
      </c>
      <c r="AF176" s="16" t="n">
        <v>0</v>
      </c>
      <c r="AG176" s="16" t="n">
        <v>0</v>
      </c>
    </row>
    <row r="177" customFormat="false" ht="15.75" hidden="false" customHeight="false" outlineLevel="0" collapsed="false">
      <c r="A177" s="28" t="n">
        <v>36987</v>
      </c>
      <c r="B177" s="16" t="n">
        <v>0</v>
      </c>
      <c r="C177" s="16" t="n">
        <v>0</v>
      </c>
      <c r="D177" s="16" t="n">
        <v>0</v>
      </c>
      <c r="E177" s="16"/>
      <c r="F177" s="16"/>
      <c r="G177" s="16"/>
      <c r="H177" s="16" t="n">
        <v>0</v>
      </c>
      <c r="I177" s="16" t="n">
        <v>0</v>
      </c>
      <c r="J177" s="16"/>
      <c r="K177" s="16" t="n">
        <v>0</v>
      </c>
      <c r="L177" s="16" t="n">
        <v>0</v>
      </c>
      <c r="M177" s="16" t="n">
        <v>0</v>
      </c>
      <c r="N177" s="16" t="n">
        <v>0</v>
      </c>
      <c r="O177" s="16" t="n">
        <v>0</v>
      </c>
      <c r="P177" s="16" t="n">
        <v>0</v>
      </c>
      <c r="Q177" s="16" t="n">
        <v>0</v>
      </c>
      <c r="R177" s="16" t="n">
        <v>0</v>
      </c>
      <c r="S177" s="16" t="n">
        <v>0</v>
      </c>
      <c r="T177" s="16" t="n">
        <v>0</v>
      </c>
      <c r="U177" s="16" t="n">
        <v>0</v>
      </c>
      <c r="V177" s="16"/>
      <c r="W177" s="16"/>
      <c r="X177" s="16" t="n">
        <v>0</v>
      </c>
      <c r="Y177" s="16" t="n">
        <v>0</v>
      </c>
      <c r="Z177" s="16" t="n">
        <v>0</v>
      </c>
      <c r="AA177" s="16" t="n">
        <v>0</v>
      </c>
      <c r="AB177" s="16" t="n">
        <v>0</v>
      </c>
      <c r="AC177" s="16" t="n">
        <v>0</v>
      </c>
      <c r="AD177" s="16" t="n">
        <v>0</v>
      </c>
      <c r="AE177" s="16" t="n">
        <v>0</v>
      </c>
      <c r="AF177" s="16" t="n">
        <v>0</v>
      </c>
      <c r="AG177" s="16" t="n">
        <v>0</v>
      </c>
    </row>
    <row r="178" customFormat="false" ht="15.75" hidden="false" customHeight="false" outlineLevel="0" collapsed="false">
      <c r="A178" s="28" t="n">
        <v>36990</v>
      </c>
      <c r="B178" s="16" t="n">
        <v>0</v>
      </c>
      <c r="C178" s="16" t="n">
        <v>0</v>
      </c>
      <c r="D178" s="16" t="n">
        <v>0</v>
      </c>
      <c r="E178" s="16"/>
      <c r="F178" s="16"/>
      <c r="G178" s="16"/>
      <c r="H178" s="16" t="n">
        <v>0</v>
      </c>
      <c r="I178" s="16" t="n">
        <v>0</v>
      </c>
      <c r="J178" s="16"/>
      <c r="K178" s="16" t="n">
        <v>0</v>
      </c>
      <c r="L178" s="16" t="n">
        <v>0</v>
      </c>
      <c r="M178" s="16" t="n">
        <v>0</v>
      </c>
      <c r="N178" s="16" t="n">
        <v>0</v>
      </c>
      <c r="O178" s="16" t="n">
        <v>0</v>
      </c>
      <c r="P178" s="16" t="n">
        <v>0</v>
      </c>
      <c r="Q178" s="16" t="n">
        <v>0</v>
      </c>
      <c r="R178" s="16" t="n">
        <v>0</v>
      </c>
      <c r="S178" s="16" t="n">
        <v>0</v>
      </c>
      <c r="T178" s="16" t="n">
        <v>0</v>
      </c>
      <c r="U178" s="16" t="n">
        <v>0</v>
      </c>
      <c r="V178" s="16"/>
      <c r="W178" s="16"/>
      <c r="X178" s="16" t="n">
        <v>0</v>
      </c>
      <c r="Y178" s="16" t="n">
        <v>0</v>
      </c>
      <c r="Z178" s="16" t="n">
        <v>0</v>
      </c>
      <c r="AA178" s="16" t="n">
        <v>0</v>
      </c>
      <c r="AB178" s="16" t="n">
        <v>0</v>
      </c>
      <c r="AC178" s="16" t="n">
        <v>0</v>
      </c>
      <c r="AD178" s="16" t="n">
        <v>0</v>
      </c>
      <c r="AE178" s="16" t="n">
        <v>0</v>
      </c>
      <c r="AF178" s="16" t="n">
        <v>0</v>
      </c>
      <c r="AG178" s="16" t="n">
        <v>0</v>
      </c>
    </row>
    <row r="179" customFormat="false" ht="15.75" hidden="false" customHeight="false" outlineLevel="0" collapsed="false">
      <c r="A179" s="28" t="n">
        <v>36991</v>
      </c>
      <c r="B179" s="16" t="n">
        <v>0</v>
      </c>
      <c r="C179" s="16" t="n">
        <v>0</v>
      </c>
      <c r="D179" s="16" t="n">
        <v>0</v>
      </c>
      <c r="E179" s="16"/>
      <c r="F179" s="16"/>
      <c r="G179" s="16"/>
      <c r="H179" s="16" t="n">
        <v>0</v>
      </c>
      <c r="I179" s="16" t="n">
        <v>0</v>
      </c>
      <c r="J179" s="16"/>
      <c r="K179" s="16" t="n">
        <v>0</v>
      </c>
      <c r="L179" s="16" t="n">
        <v>0</v>
      </c>
      <c r="M179" s="16" t="n">
        <v>0</v>
      </c>
      <c r="N179" s="16" t="n">
        <v>0</v>
      </c>
      <c r="O179" s="16" t="n">
        <v>0</v>
      </c>
      <c r="P179" s="16" t="n">
        <v>0</v>
      </c>
      <c r="Q179" s="16" t="n">
        <v>0</v>
      </c>
      <c r="R179" s="16" t="n">
        <v>0</v>
      </c>
      <c r="S179" s="16" t="n">
        <v>0</v>
      </c>
      <c r="T179" s="16" t="n">
        <v>0</v>
      </c>
      <c r="U179" s="16" t="n">
        <v>0</v>
      </c>
      <c r="V179" s="16"/>
      <c r="W179" s="16"/>
      <c r="X179" s="16" t="n">
        <v>0</v>
      </c>
      <c r="Y179" s="16" t="n">
        <v>0</v>
      </c>
      <c r="Z179" s="16" t="n">
        <v>0</v>
      </c>
      <c r="AA179" s="16" t="n">
        <v>0</v>
      </c>
      <c r="AB179" s="16" t="n">
        <v>0</v>
      </c>
      <c r="AC179" s="16" t="n">
        <v>0</v>
      </c>
      <c r="AD179" s="16" t="n">
        <v>0</v>
      </c>
      <c r="AE179" s="16" t="n">
        <v>0</v>
      </c>
      <c r="AF179" s="16" t="n">
        <v>0</v>
      </c>
      <c r="AG179" s="16" t="n">
        <v>0</v>
      </c>
    </row>
    <row r="180" customFormat="false" ht="15.75" hidden="false" customHeight="false" outlineLevel="0" collapsed="false">
      <c r="A180" s="28" t="n">
        <v>36992</v>
      </c>
      <c r="B180" s="16" t="n">
        <v>0</v>
      </c>
      <c r="C180" s="16" t="n">
        <v>0</v>
      </c>
      <c r="D180" s="16" t="n">
        <v>0</v>
      </c>
      <c r="E180" s="16"/>
      <c r="F180" s="16"/>
      <c r="G180" s="16"/>
      <c r="H180" s="16" t="n">
        <v>0</v>
      </c>
      <c r="I180" s="16" t="n">
        <v>0</v>
      </c>
      <c r="J180" s="16"/>
      <c r="K180" s="16" t="n">
        <v>0</v>
      </c>
      <c r="L180" s="16" t="n">
        <v>0</v>
      </c>
      <c r="M180" s="16" t="n">
        <v>0</v>
      </c>
      <c r="N180" s="16" t="n">
        <v>0</v>
      </c>
      <c r="O180" s="16" t="n">
        <v>0</v>
      </c>
      <c r="P180" s="16" t="n">
        <v>0</v>
      </c>
      <c r="Q180" s="16" t="n">
        <v>0</v>
      </c>
      <c r="R180" s="16" t="n">
        <v>0</v>
      </c>
      <c r="S180" s="16" t="n">
        <v>0</v>
      </c>
      <c r="T180" s="16" t="n">
        <v>0</v>
      </c>
      <c r="U180" s="16" t="n">
        <v>0</v>
      </c>
      <c r="V180" s="16"/>
      <c r="W180" s="16"/>
      <c r="X180" s="16" t="n">
        <v>0</v>
      </c>
      <c r="Y180" s="16" t="n">
        <v>0</v>
      </c>
      <c r="Z180" s="16" t="n">
        <v>0</v>
      </c>
      <c r="AA180" s="16" t="n">
        <v>0</v>
      </c>
      <c r="AB180" s="16" t="n">
        <v>0</v>
      </c>
      <c r="AC180" s="16" t="n">
        <v>0</v>
      </c>
      <c r="AD180" s="16" t="n">
        <v>0</v>
      </c>
      <c r="AE180" s="16" t="n">
        <v>0</v>
      </c>
      <c r="AF180" s="16" t="n">
        <v>0</v>
      </c>
      <c r="AG180" s="16" t="n">
        <v>0</v>
      </c>
    </row>
    <row r="181" customFormat="false" ht="15.75" hidden="false" customHeight="false" outlineLevel="0" collapsed="false">
      <c r="A181" s="28" t="n">
        <v>36993</v>
      </c>
      <c r="B181" s="16" t="n">
        <v>0</v>
      </c>
      <c r="C181" s="16" t="n">
        <v>0</v>
      </c>
      <c r="D181" s="16" t="n">
        <v>0</v>
      </c>
      <c r="E181" s="16"/>
      <c r="F181" s="16"/>
      <c r="G181" s="16"/>
      <c r="H181" s="16" t="n">
        <v>0</v>
      </c>
      <c r="I181" s="16" t="n">
        <v>0</v>
      </c>
      <c r="J181" s="16"/>
      <c r="K181" s="16" t="n">
        <v>0</v>
      </c>
      <c r="L181" s="16" t="n">
        <v>0</v>
      </c>
      <c r="M181" s="16" t="n">
        <v>0</v>
      </c>
      <c r="N181" s="16" t="n">
        <v>0</v>
      </c>
      <c r="O181" s="16" t="n">
        <v>0</v>
      </c>
      <c r="P181" s="16" t="n">
        <v>0</v>
      </c>
      <c r="Q181" s="16" t="n">
        <v>0</v>
      </c>
      <c r="R181" s="16" t="n">
        <v>0</v>
      </c>
      <c r="S181" s="16" t="n">
        <v>0</v>
      </c>
      <c r="T181" s="16" t="n">
        <v>0</v>
      </c>
      <c r="U181" s="16" t="n">
        <v>0</v>
      </c>
      <c r="V181" s="16"/>
      <c r="W181" s="16"/>
      <c r="X181" s="16" t="n">
        <v>0</v>
      </c>
      <c r="Y181" s="16" t="n">
        <v>0</v>
      </c>
      <c r="Z181" s="16" t="n">
        <v>0</v>
      </c>
      <c r="AA181" s="16" t="n">
        <v>0</v>
      </c>
      <c r="AB181" s="16" t="n">
        <v>0</v>
      </c>
      <c r="AC181" s="16" t="n">
        <v>0</v>
      </c>
      <c r="AD181" s="16" t="n">
        <v>0</v>
      </c>
      <c r="AE181" s="16" t="n">
        <v>0</v>
      </c>
      <c r="AF181" s="16" t="n">
        <v>0</v>
      </c>
      <c r="AG181" s="16" t="n">
        <v>0</v>
      </c>
    </row>
    <row r="182" customFormat="false" ht="15.75" hidden="false" customHeight="false" outlineLevel="0" collapsed="false">
      <c r="A182" s="28" t="n">
        <v>36997</v>
      </c>
      <c r="B182" s="16" t="n">
        <v>0</v>
      </c>
      <c r="C182" s="16" t="n">
        <v>0</v>
      </c>
      <c r="D182" s="16" t="n">
        <v>0</v>
      </c>
      <c r="E182" s="16"/>
      <c r="F182" s="16"/>
      <c r="G182" s="16"/>
      <c r="H182" s="16" t="n">
        <v>0</v>
      </c>
      <c r="I182" s="16" t="n">
        <v>0</v>
      </c>
      <c r="J182" s="16"/>
      <c r="K182" s="16" t="n">
        <v>0</v>
      </c>
      <c r="L182" s="16" t="n">
        <v>0</v>
      </c>
      <c r="M182" s="16" t="n">
        <v>0</v>
      </c>
      <c r="N182" s="16" t="n">
        <v>0</v>
      </c>
      <c r="O182" s="16" t="n">
        <v>0</v>
      </c>
      <c r="P182" s="16" t="n">
        <v>0</v>
      </c>
      <c r="Q182" s="16" t="n">
        <v>0</v>
      </c>
      <c r="R182" s="16" t="n">
        <v>0</v>
      </c>
      <c r="S182" s="16" t="n">
        <v>0</v>
      </c>
      <c r="T182" s="16" t="n">
        <v>0</v>
      </c>
      <c r="U182" s="16" t="n">
        <v>0</v>
      </c>
      <c r="V182" s="16"/>
      <c r="W182" s="16"/>
      <c r="X182" s="16" t="n">
        <v>0</v>
      </c>
      <c r="Y182" s="16" t="n">
        <v>0</v>
      </c>
      <c r="Z182" s="16" t="n">
        <v>0</v>
      </c>
      <c r="AA182" s="16" t="n">
        <v>0</v>
      </c>
      <c r="AB182" s="16" t="n">
        <v>0</v>
      </c>
      <c r="AC182" s="16" t="n">
        <v>0</v>
      </c>
      <c r="AD182" s="16" t="n">
        <v>0</v>
      </c>
      <c r="AE182" s="16" t="n">
        <v>0</v>
      </c>
      <c r="AF182" s="16" t="n">
        <v>0</v>
      </c>
      <c r="AG182" s="16" t="n">
        <v>0</v>
      </c>
    </row>
    <row r="183" customFormat="false" ht="15.75" hidden="false" customHeight="false" outlineLevel="0" collapsed="false">
      <c r="A183" s="28" t="n">
        <v>36998</v>
      </c>
      <c r="B183" s="16" t="n">
        <v>0</v>
      </c>
      <c r="C183" s="16" t="n">
        <v>0</v>
      </c>
      <c r="D183" s="16" t="n">
        <v>0</v>
      </c>
      <c r="E183" s="16"/>
      <c r="F183" s="16"/>
      <c r="G183" s="16"/>
      <c r="H183" s="16" t="n">
        <v>0</v>
      </c>
      <c r="I183" s="16" t="n">
        <v>0</v>
      </c>
      <c r="J183" s="16"/>
      <c r="K183" s="16" t="n">
        <v>0</v>
      </c>
      <c r="L183" s="16" t="n">
        <v>0</v>
      </c>
      <c r="M183" s="16" t="n">
        <v>0</v>
      </c>
      <c r="N183" s="16" t="n">
        <v>0</v>
      </c>
      <c r="O183" s="16" t="n">
        <v>0</v>
      </c>
      <c r="P183" s="16" t="n">
        <v>0</v>
      </c>
      <c r="Q183" s="16" t="n">
        <v>0</v>
      </c>
      <c r="R183" s="16" t="n">
        <v>0</v>
      </c>
      <c r="S183" s="16" t="n">
        <v>0</v>
      </c>
      <c r="T183" s="16" t="n">
        <v>0</v>
      </c>
      <c r="U183" s="16" t="n">
        <v>0</v>
      </c>
      <c r="V183" s="16"/>
      <c r="W183" s="16"/>
      <c r="X183" s="16" t="n">
        <v>0</v>
      </c>
      <c r="Y183" s="16" t="n">
        <v>0</v>
      </c>
      <c r="Z183" s="16" t="n">
        <v>0</v>
      </c>
      <c r="AA183" s="16" t="n">
        <v>0</v>
      </c>
      <c r="AB183" s="16" t="n">
        <v>0</v>
      </c>
      <c r="AC183" s="16" t="n">
        <v>0</v>
      </c>
      <c r="AD183" s="16" t="n">
        <v>0</v>
      </c>
      <c r="AE183" s="16" t="n">
        <v>0</v>
      </c>
      <c r="AF183" s="16" t="n">
        <v>0</v>
      </c>
      <c r="AG183" s="16" t="n">
        <v>0</v>
      </c>
    </row>
    <row r="184" customFormat="false" ht="15.75" hidden="false" customHeight="false" outlineLevel="0" collapsed="false">
      <c r="A184" s="28" t="n">
        <v>36999</v>
      </c>
      <c r="B184" s="16" t="n">
        <v>0</v>
      </c>
      <c r="C184" s="16" t="n">
        <v>0</v>
      </c>
      <c r="D184" s="16" t="n">
        <v>0</v>
      </c>
      <c r="E184" s="16"/>
      <c r="F184" s="16"/>
      <c r="G184" s="16"/>
      <c r="H184" s="16" t="n">
        <v>0</v>
      </c>
      <c r="I184" s="16" t="n">
        <v>0</v>
      </c>
      <c r="J184" s="16"/>
      <c r="K184" s="16" t="n">
        <v>0</v>
      </c>
      <c r="L184" s="16" t="n">
        <v>0</v>
      </c>
      <c r="M184" s="16" t="n">
        <v>0</v>
      </c>
      <c r="N184" s="16" t="n">
        <v>0</v>
      </c>
      <c r="O184" s="16" t="n">
        <v>0</v>
      </c>
      <c r="P184" s="16" t="n">
        <v>0</v>
      </c>
      <c r="Q184" s="16" t="n">
        <v>0</v>
      </c>
      <c r="R184" s="16" t="n">
        <v>0</v>
      </c>
      <c r="S184" s="16" t="n">
        <v>0</v>
      </c>
      <c r="T184" s="16" t="n">
        <v>0</v>
      </c>
      <c r="U184" s="16" t="n">
        <v>0</v>
      </c>
      <c r="V184" s="16"/>
      <c r="W184" s="16"/>
      <c r="X184" s="16" t="n">
        <v>0</v>
      </c>
      <c r="Y184" s="16" t="n">
        <v>0</v>
      </c>
      <c r="Z184" s="16" t="n">
        <v>0</v>
      </c>
      <c r="AA184" s="16" t="n">
        <v>0</v>
      </c>
      <c r="AB184" s="16" t="n">
        <v>0</v>
      </c>
      <c r="AC184" s="16" t="n">
        <v>0</v>
      </c>
      <c r="AD184" s="16" t="n">
        <v>0</v>
      </c>
      <c r="AE184" s="16" t="n">
        <v>0</v>
      </c>
      <c r="AF184" s="16" t="n">
        <v>0</v>
      </c>
      <c r="AG184" s="16" t="n">
        <v>0</v>
      </c>
    </row>
    <row r="185" customFormat="false" ht="15.75" hidden="false" customHeight="false" outlineLevel="0" collapsed="false">
      <c r="A185" s="28" t="n">
        <v>37000</v>
      </c>
      <c r="B185" s="16" t="n">
        <v>0</v>
      </c>
      <c r="C185" s="16" t="n">
        <v>0</v>
      </c>
      <c r="D185" s="16" t="n">
        <v>0</v>
      </c>
      <c r="E185" s="16"/>
      <c r="F185" s="16"/>
      <c r="G185" s="16"/>
      <c r="H185" s="16" t="n">
        <v>0</v>
      </c>
      <c r="I185" s="16" t="n">
        <v>0</v>
      </c>
      <c r="J185" s="16"/>
      <c r="K185" s="16" t="n">
        <v>0</v>
      </c>
      <c r="L185" s="16" t="n">
        <v>0</v>
      </c>
      <c r="M185" s="16" t="n">
        <v>0</v>
      </c>
      <c r="N185" s="16" t="n">
        <v>0</v>
      </c>
      <c r="O185" s="16" t="n">
        <v>0</v>
      </c>
      <c r="P185" s="16" t="n">
        <v>0</v>
      </c>
      <c r="Q185" s="16" t="n">
        <v>0</v>
      </c>
      <c r="R185" s="16" t="n">
        <v>0</v>
      </c>
      <c r="S185" s="16" t="n">
        <v>0</v>
      </c>
      <c r="T185" s="16" t="n">
        <v>0</v>
      </c>
      <c r="U185" s="16" t="n">
        <v>0</v>
      </c>
      <c r="V185" s="16"/>
      <c r="W185" s="16"/>
      <c r="X185" s="16" t="n">
        <v>0</v>
      </c>
      <c r="Y185" s="16" t="n">
        <v>0</v>
      </c>
      <c r="Z185" s="16" t="n">
        <v>0</v>
      </c>
      <c r="AA185" s="16" t="n">
        <v>0</v>
      </c>
      <c r="AB185" s="16" t="n">
        <v>0</v>
      </c>
      <c r="AC185" s="16" t="n">
        <v>0</v>
      </c>
      <c r="AD185" s="16" t="n">
        <v>0</v>
      </c>
      <c r="AE185" s="16" t="n">
        <v>0</v>
      </c>
      <c r="AF185" s="16" t="n">
        <v>0</v>
      </c>
      <c r="AG185" s="16" t="n">
        <v>0</v>
      </c>
    </row>
    <row r="186" customFormat="false" ht="15.75" hidden="false" customHeight="false" outlineLevel="0" collapsed="false">
      <c r="A186" s="28" t="n">
        <v>37001</v>
      </c>
      <c r="B186" s="16" t="n">
        <v>0</v>
      </c>
      <c r="C186" s="16" t="n">
        <v>0</v>
      </c>
      <c r="D186" s="16" t="n">
        <v>0</v>
      </c>
      <c r="E186" s="16"/>
      <c r="F186" s="16"/>
      <c r="G186" s="16"/>
      <c r="H186" s="16" t="n">
        <v>0</v>
      </c>
      <c r="I186" s="16" t="n">
        <v>0</v>
      </c>
      <c r="J186" s="16"/>
      <c r="K186" s="16" t="n">
        <v>0</v>
      </c>
      <c r="L186" s="16" t="n">
        <v>0</v>
      </c>
      <c r="M186" s="16" t="n">
        <v>0</v>
      </c>
      <c r="N186" s="16" t="n">
        <v>0</v>
      </c>
      <c r="O186" s="16" t="n">
        <v>0</v>
      </c>
      <c r="P186" s="16" t="n">
        <v>0</v>
      </c>
      <c r="Q186" s="16" t="n">
        <v>0</v>
      </c>
      <c r="R186" s="16" t="n">
        <v>0</v>
      </c>
      <c r="S186" s="16" t="n">
        <v>0</v>
      </c>
      <c r="T186" s="16" t="n">
        <v>0</v>
      </c>
      <c r="U186" s="16" t="n">
        <v>0</v>
      </c>
      <c r="V186" s="16"/>
      <c r="W186" s="16"/>
      <c r="X186" s="16" t="n">
        <v>0</v>
      </c>
      <c r="Y186" s="16" t="n">
        <v>0</v>
      </c>
      <c r="Z186" s="16" t="n">
        <v>0</v>
      </c>
      <c r="AA186" s="16" t="n">
        <v>0</v>
      </c>
      <c r="AB186" s="16" t="n">
        <v>0</v>
      </c>
      <c r="AC186" s="16" t="n">
        <v>0</v>
      </c>
      <c r="AD186" s="16" t="n">
        <v>0</v>
      </c>
      <c r="AE186" s="16" t="n">
        <v>0</v>
      </c>
      <c r="AF186" s="16" t="n">
        <v>0</v>
      </c>
      <c r="AG186" s="16" t="n">
        <v>0</v>
      </c>
    </row>
    <row r="187" customFormat="false" ht="15.75" hidden="false" customHeight="false" outlineLevel="0" collapsed="false">
      <c r="A187" s="28" t="n">
        <v>37004</v>
      </c>
      <c r="B187" s="16" t="n">
        <v>0</v>
      </c>
      <c r="C187" s="16" t="n">
        <v>0</v>
      </c>
      <c r="D187" s="16" t="n">
        <v>0</v>
      </c>
      <c r="E187" s="16"/>
      <c r="F187" s="16"/>
      <c r="G187" s="16"/>
      <c r="H187" s="16" t="n">
        <v>0</v>
      </c>
      <c r="I187" s="16" t="n">
        <v>0</v>
      </c>
      <c r="J187" s="16"/>
      <c r="K187" s="16" t="n">
        <v>0</v>
      </c>
      <c r="L187" s="16" t="n">
        <v>0</v>
      </c>
      <c r="M187" s="16" t="n">
        <v>0</v>
      </c>
      <c r="N187" s="16" t="n">
        <v>0</v>
      </c>
      <c r="O187" s="16" t="n">
        <v>0</v>
      </c>
      <c r="P187" s="16" t="n">
        <v>0</v>
      </c>
      <c r="Q187" s="16" t="n">
        <v>0</v>
      </c>
      <c r="R187" s="16" t="n">
        <v>0</v>
      </c>
      <c r="S187" s="16" t="n">
        <v>0</v>
      </c>
      <c r="T187" s="16" t="n">
        <v>0</v>
      </c>
      <c r="U187" s="16" t="n">
        <v>0</v>
      </c>
      <c r="V187" s="16"/>
      <c r="W187" s="16"/>
      <c r="X187" s="16" t="n">
        <v>0</v>
      </c>
      <c r="Y187" s="16" t="n">
        <v>0</v>
      </c>
      <c r="Z187" s="16" t="n">
        <v>0</v>
      </c>
      <c r="AA187" s="16" t="n">
        <v>0</v>
      </c>
      <c r="AB187" s="16" t="n">
        <v>0</v>
      </c>
      <c r="AC187" s="16" t="n">
        <v>0</v>
      </c>
      <c r="AD187" s="16" t="n">
        <v>0</v>
      </c>
      <c r="AE187" s="16" t="n">
        <v>0</v>
      </c>
      <c r="AF187" s="16" t="n">
        <v>0</v>
      </c>
      <c r="AG187" s="16" t="n">
        <v>0</v>
      </c>
    </row>
    <row r="188" customFormat="false" ht="15.75" hidden="false" customHeight="false" outlineLevel="0" collapsed="false">
      <c r="A188" s="28" t="n">
        <v>37005</v>
      </c>
      <c r="B188" s="16" t="n">
        <v>0</v>
      </c>
      <c r="C188" s="16" t="n">
        <v>0</v>
      </c>
      <c r="D188" s="16" t="n">
        <v>0</v>
      </c>
      <c r="E188" s="16"/>
      <c r="F188" s="16"/>
      <c r="G188" s="16"/>
      <c r="H188" s="16" t="n">
        <v>0</v>
      </c>
      <c r="I188" s="16" t="n">
        <v>0</v>
      </c>
      <c r="J188" s="16"/>
      <c r="K188" s="16" t="n">
        <v>0</v>
      </c>
      <c r="L188" s="16" t="n">
        <v>0</v>
      </c>
      <c r="M188" s="16" t="n">
        <v>0</v>
      </c>
      <c r="N188" s="16" t="n">
        <v>0</v>
      </c>
      <c r="O188" s="16" t="n">
        <v>0</v>
      </c>
      <c r="P188" s="16" t="n">
        <v>0</v>
      </c>
      <c r="Q188" s="16" t="n">
        <v>0</v>
      </c>
      <c r="R188" s="16" t="n">
        <v>0</v>
      </c>
      <c r="S188" s="16" t="n">
        <v>0</v>
      </c>
      <c r="T188" s="16" t="n">
        <v>0</v>
      </c>
      <c r="U188" s="16" t="n">
        <v>0</v>
      </c>
      <c r="V188" s="16"/>
      <c r="W188" s="16"/>
      <c r="X188" s="16" t="n">
        <v>0</v>
      </c>
      <c r="Y188" s="16" t="n">
        <v>0</v>
      </c>
      <c r="Z188" s="16" t="n">
        <v>0</v>
      </c>
      <c r="AA188" s="16" t="n">
        <v>0</v>
      </c>
      <c r="AB188" s="16" t="n">
        <v>0</v>
      </c>
      <c r="AC188" s="16" t="n">
        <v>0</v>
      </c>
      <c r="AD188" s="16" t="n">
        <v>0</v>
      </c>
      <c r="AE188" s="16" t="n">
        <v>0</v>
      </c>
      <c r="AF188" s="16" t="n">
        <v>0</v>
      </c>
      <c r="AG188" s="16" t="n">
        <v>0</v>
      </c>
    </row>
    <row r="189" customFormat="false" ht="15.75" hidden="false" customHeight="false" outlineLevel="0" collapsed="false">
      <c r="A189" s="28" t="n">
        <v>37006</v>
      </c>
      <c r="B189" s="16" t="n">
        <v>0</v>
      </c>
      <c r="C189" s="16" t="n">
        <v>0</v>
      </c>
      <c r="D189" s="16" t="n">
        <v>0</v>
      </c>
      <c r="E189" s="16"/>
      <c r="F189" s="16"/>
      <c r="G189" s="16"/>
      <c r="H189" s="16" t="n">
        <v>0</v>
      </c>
      <c r="I189" s="16" t="n">
        <v>0</v>
      </c>
      <c r="J189" s="16"/>
      <c r="K189" s="16" t="n">
        <v>0</v>
      </c>
      <c r="L189" s="16" t="n">
        <v>0</v>
      </c>
      <c r="M189" s="16" t="n">
        <v>0</v>
      </c>
      <c r="N189" s="16" t="n">
        <v>0</v>
      </c>
      <c r="O189" s="16" t="n">
        <v>0</v>
      </c>
      <c r="P189" s="16" t="n">
        <v>0</v>
      </c>
      <c r="Q189" s="16" t="n">
        <v>0</v>
      </c>
      <c r="R189" s="16" t="n">
        <v>0</v>
      </c>
      <c r="S189" s="16" t="n">
        <v>0</v>
      </c>
      <c r="T189" s="16" t="n">
        <v>0</v>
      </c>
      <c r="U189" s="16" t="n">
        <v>0</v>
      </c>
      <c r="V189" s="16"/>
      <c r="W189" s="16"/>
      <c r="X189" s="16" t="n">
        <v>0</v>
      </c>
      <c r="Y189" s="16" t="n">
        <v>0</v>
      </c>
      <c r="Z189" s="16" t="n">
        <v>0</v>
      </c>
      <c r="AA189" s="16" t="n">
        <v>0</v>
      </c>
      <c r="AB189" s="16" t="n">
        <v>0</v>
      </c>
      <c r="AC189" s="16" t="n">
        <v>0</v>
      </c>
      <c r="AD189" s="16" t="n">
        <v>0</v>
      </c>
      <c r="AE189" s="16" t="n">
        <v>0</v>
      </c>
      <c r="AF189" s="16" t="n">
        <v>0</v>
      </c>
      <c r="AG189" s="16" t="n">
        <v>0</v>
      </c>
    </row>
    <row r="190" customFormat="false" ht="15.75" hidden="false" customHeight="false" outlineLevel="0" collapsed="false">
      <c r="A190" s="28" t="n">
        <v>37007</v>
      </c>
      <c r="B190" s="16" t="n">
        <v>0</v>
      </c>
      <c r="C190" s="16" t="n">
        <v>0</v>
      </c>
      <c r="D190" s="16" t="n">
        <v>0</v>
      </c>
      <c r="E190" s="16"/>
      <c r="F190" s="16"/>
      <c r="G190" s="16"/>
      <c r="H190" s="16" t="n">
        <v>0</v>
      </c>
      <c r="I190" s="16" t="n">
        <v>0</v>
      </c>
      <c r="J190" s="16"/>
      <c r="K190" s="16" t="n">
        <v>0</v>
      </c>
      <c r="L190" s="16" t="n">
        <v>0</v>
      </c>
      <c r="M190" s="16" t="n">
        <v>0</v>
      </c>
      <c r="N190" s="16" t="n">
        <v>0</v>
      </c>
      <c r="O190" s="16" t="n">
        <v>0</v>
      </c>
      <c r="P190" s="16" t="n">
        <v>0</v>
      </c>
      <c r="Q190" s="16" t="n">
        <v>0</v>
      </c>
      <c r="R190" s="16" t="n">
        <v>0</v>
      </c>
      <c r="S190" s="16" t="n">
        <v>0</v>
      </c>
      <c r="T190" s="16" t="n">
        <v>0</v>
      </c>
      <c r="U190" s="16" t="n">
        <v>0</v>
      </c>
      <c r="V190" s="16"/>
      <c r="W190" s="16"/>
      <c r="X190" s="16" t="n">
        <v>0</v>
      </c>
      <c r="Y190" s="16" t="n">
        <v>0</v>
      </c>
      <c r="Z190" s="16" t="n">
        <v>0</v>
      </c>
      <c r="AA190" s="16" t="n">
        <v>0</v>
      </c>
      <c r="AB190" s="16" t="n">
        <v>0</v>
      </c>
      <c r="AC190" s="16" t="n">
        <v>0</v>
      </c>
      <c r="AD190" s="16" t="n">
        <v>0</v>
      </c>
      <c r="AE190" s="16" t="n">
        <v>0</v>
      </c>
      <c r="AF190" s="16" t="n">
        <v>0</v>
      </c>
      <c r="AG190" s="16" t="n">
        <v>0</v>
      </c>
    </row>
    <row r="191" customFormat="false" ht="15.75" hidden="false" customHeight="false" outlineLevel="0" collapsed="false">
      <c r="A191" s="28" t="n">
        <v>37008</v>
      </c>
      <c r="B191" s="16" t="n">
        <v>0</v>
      </c>
      <c r="C191" s="16" t="n">
        <v>0</v>
      </c>
      <c r="D191" s="16" t="n">
        <v>0</v>
      </c>
      <c r="E191" s="16"/>
      <c r="F191" s="16"/>
      <c r="G191" s="16"/>
      <c r="H191" s="16" t="n">
        <v>0</v>
      </c>
      <c r="I191" s="16" t="n">
        <v>0</v>
      </c>
      <c r="J191" s="16"/>
      <c r="K191" s="16" t="n">
        <v>0</v>
      </c>
      <c r="L191" s="16" t="n">
        <v>0</v>
      </c>
      <c r="M191" s="16" t="n">
        <v>0</v>
      </c>
      <c r="N191" s="16" t="n">
        <v>0</v>
      </c>
      <c r="O191" s="16" t="n">
        <v>0</v>
      </c>
      <c r="P191" s="16" t="n">
        <v>0</v>
      </c>
      <c r="Q191" s="16" t="n">
        <v>0</v>
      </c>
      <c r="R191" s="16" t="n">
        <v>0</v>
      </c>
      <c r="S191" s="16" t="n">
        <v>0</v>
      </c>
      <c r="T191" s="16" t="n">
        <v>0</v>
      </c>
      <c r="U191" s="16" t="n">
        <v>0</v>
      </c>
      <c r="V191" s="16"/>
      <c r="W191" s="16"/>
      <c r="X191" s="16" t="n">
        <v>0</v>
      </c>
      <c r="Y191" s="16" t="n">
        <v>0</v>
      </c>
      <c r="Z191" s="16" t="n">
        <v>0</v>
      </c>
      <c r="AA191" s="16" t="n">
        <v>0</v>
      </c>
      <c r="AB191" s="16" t="n">
        <v>0</v>
      </c>
      <c r="AC191" s="16" t="n">
        <v>0</v>
      </c>
      <c r="AD191" s="16" t="n">
        <v>0</v>
      </c>
      <c r="AE191" s="16" t="n">
        <v>0</v>
      </c>
      <c r="AF191" s="16" t="n">
        <v>0</v>
      </c>
      <c r="AG191" s="16" t="n">
        <v>0</v>
      </c>
    </row>
    <row r="192" customFormat="false" ht="15.75" hidden="false" customHeight="false" outlineLevel="0" collapsed="false">
      <c r="A192" s="28" t="n">
        <v>37011</v>
      </c>
      <c r="B192" s="16" t="n">
        <v>0</v>
      </c>
      <c r="C192" s="16" t="n">
        <v>0</v>
      </c>
      <c r="D192" s="16" t="n">
        <v>0</v>
      </c>
      <c r="E192" s="16"/>
      <c r="F192" s="16"/>
      <c r="G192" s="16"/>
      <c r="H192" s="16" t="n">
        <v>0</v>
      </c>
      <c r="I192" s="16" t="n">
        <v>0</v>
      </c>
      <c r="J192" s="16"/>
      <c r="K192" s="16" t="n">
        <v>0</v>
      </c>
      <c r="L192" s="16" t="n">
        <v>0</v>
      </c>
      <c r="M192" s="16" t="n">
        <v>0</v>
      </c>
      <c r="N192" s="16" t="n">
        <v>0</v>
      </c>
      <c r="O192" s="16" t="n">
        <v>0</v>
      </c>
      <c r="P192" s="16" t="n">
        <v>0</v>
      </c>
      <c r="Q192" s="16" t="n">
        <v>0</v>
      </c>
      <c r="R192" s="16" t="n">
        <v>0</v>
      </c>
      <c r="S192" s="16" t="n">
        <v>0</v>
      </c>
      <c r="T192" s="16" t="n">
        <v>0</v>
      </c>
      <c r="U192" s="16" t="n">
        <v>0</v>
      </c>
      <c r="V192" s="16"/>
      <c r="W192" s="16"/>
      <c r="X192" s="16" t="n">
        <v>0</v>
      </c>
      <c r="Y192" s="16" t="n">
        <v>0</v>
      </c>
      <c r="Z192" s="16" t="n">
        <v>0</v>
      </c>
      <c r="AA192" s="16" t="n">
        <v>0</v>
      </c>
      <c r="AB192" s="16" t="n">
        <v>0</v>
      </c>
      <c r="AC192" s="16" t="n">
        <v>0</v>
      </c>
      <c r="AD192" s="16" t="n">
        <v>0</v>
      </c>
      <c r="AE192" s="16" t="n">
        <v>0</v>
      </c>
      <c r="AF192" s="16" t="n">
        <v>0</v>
      </c>
      <c r="AG192" s="16" t="n">
        <v>0</v>
      </c>
    </row>
    <row r="193" customFormat="false" ht="15.75" hidden="false" customHeight="false" outlineLevel="0" collapsed="false">
      <c r="A193" s="28" t="n">
        <v>37012</v>
      </c>
      <c r="B193" s="16" t="n">
        <v>0</v>
      </c>
      <c r="C193" s="16" t="n">
        <v>-15406.7400000002</v>
      </c>
      <c r="D193" s="16" t="n">
        <v>0</v>
      </c>
      <c r="E193" s="16"/>
      <c r="F193" s="16"/>
      <c r="G193" s="16"/>
      <c r="H193" s="16" t="n">
        <v>0</v>
      </c>
      <c r="I193" s="16" t="n">
        <v>0</v>
      </c>
      <c r="J193" s="16"/>
      <c r="K193" s="16" t="n">
        <v>0</v>
      </c>
      <c r="L193" s="16" t="n">
        <v>0</v>
      </c>
      <c r="M193" s="16" t="n">
        <v>0</v>
      </c>
      <c r="N193" s="16" t="n">
        <v>0</v>
      </c>
      <c r="O193" s="16" t="n">
        <v>0</v>
      </c>
      <c r="P193" s="16" t="n">
        <v>0</v>
      </c>
      <c r="Q193" s="16" t="n">
        <v>0</v>
      </c>
      <c r="R193" s="16" t="n">
        <v>0</v>
      </c>
      <c r="S193" s="16" t="n">
        <v>0</v>
      </c>
      <c r="T193" s="16" t="n">
        <v>0</v>
      </c>
      <c r="U193" s="16" t="n">
        <v>0</v>
      </c>
      <c r="V193" s="16"/>
      <c r="W193" s="16"/>
      <c r="X193" s="16" t="n">
        <v>0</v>
      </c>
      <c r="Y193" s="16" t="n">
        <v>0</v>
      </c>
      <c r="Z193" s="16" t="n">
        <v>0</v>
      </c>
      <c r="AA193" s="16" t="n">
        <v>0</v>
      </c>
      <c r="AB193" s="16" t="n">
        <v>0</v>
      </c>
      <c r="AC193" s="16" t="n">
        <v>212700</v>
      </c>
      <c r="AD193" s="16" t="n">
        <v>0</v>
      </c>
      <c r="AE193" s="16" t="n">
        <v>0</v>
      </c>
      <c r="AF193" s="16" t="n">
        <v>0</v>
      </c>
      <c r="AG193" s="16" t="n">
        <v>0</v>
      </c>
    </row>
    <row r="194" customFormat="false" ht="15.75" hidden="false" customHeight="false" outlineLevel="0" collapsed="false">
      <c r="A194" s="28" t="n">
        <v>37013</v>
      </c>
      <c r="B194" s="16" t="n">
        <v>0</v>
      </c>
      <c r="C194" s="16" t="n">
        <v>0</v>
      </c>
      <c r="D194" s="16" t="n">
        <v>0</v>
      </c>
      <c r="E194" s="16"/>
      <c r="F194" s="16"/>
      <c r="G194" s="16"/>
      <c r="H194" s="16" t="n">
        <v>0</v>
      </c>
      <c r="I194" s="16" t="n">
        <v>0</v>
      </c>
      <c r="J194" s="16"/>
      <c r="K194" s="16" t="n">
        <v>0</v>
      </c>
      <c r="L194" s="16" t="n">
        <v>0</v>
      </c>
      <c r="M194" s="16" t="n">
        <v>0</v>
      </c>
      <c r="N194" s="16" t="n">
        <v>0</v>
      </c>
      <c r="O194" s="16" t="n">
        <v>0</v>
      </c>
      <c r="P194" s="16" t="n">
        <v>0</v>
      </c>
      <c r="Q194" s="16" t="n">
        <v>0</v>
      </c>
      <c r="R194" s="16" t="n">
        <v>0</v>
      </c>
      <c r="S194" s="16" t="n">
        <v>0</v>
      </c>
      <c r="T194" s="16" t="n">
        <v>0</v>
      </c>
      <c r="U194" s="16" t="n">
        <v>0</v>
      </c>
      <c r="V194" s="16"/>
      <c r="W194" s="16"/>
      <c r="X194" s="16" t="n">
        <v>0</v>
      </c>
      <c r="Y194" s="16" t="n">
        <v>0</v>
      </c>
      <c r="Z194" s="16" t="n">
        <v>0</v>
      </c>
      <c r="AA194" s="16" t="n">
        <v>0</v>
      </c>
      <c r="AB194" s="16" t="n">
        <v>0</v>
      </c>
      <c r="AC194" s="16" t="n">
        <v>0</v>
      </c>
      <c r="AD194" s="16" t="n">
        <v>0</v>
      </c>
      <c r="AE194" s="16" t="n">
        <v>0</v>
      </c>
      <c r="AF194" s="16" t="n">
        <v>0</v>
      </c>
      <c r="AG194" s="16" t="n">
        <v>0</v>
      </c>
    </row>
    <row r="195" customFormat="false" ht="15.75" hidden="false" customHeight="false" outlineLevel="0" collapsed="false">
      <c r="A195" s="28" t="n">
        <v>37014</v>
      </c>
      <c r="B195" s="16" t="n">
        <v>0</v>
      </c>
      <c r="C195" s="16" t="n">
        <v>0</v>
      </c>
      <c r="D195" s="16" t="n">
        <v>0</v>
      </c>
      <c r="E195" s="16"/>
      <c r="F195" s="16"/>
      <c r="G195" s="16"/>
      <c r="H195" s="16" t="n">
        <v>0</v>
      </c>
      <c r="I195" s="16" t="n">
        <v>0</v>
      </c>
      <c r="J195" s="16"/>
      <c r="K195" s="16" t="n">
        <v>0</v>
      </c>
      <c r="L195" s="16" t="n">
        <v>0</v>
      </c>
      <c r="M195" s="16" t="n">
        <v>0</v>
      </c>
      <c r="N195" s="16" t="n">
        <v>0</v>
      </c>
      <c r="O195" s="16" t="n">
        <v>0</v>
      </c>
      <c r="P195" s="16" t="n">
        <v>0</v>
      </c>
      <c r="Q195" s="16" t="n">
        <v>0</v>
      </c>
      <c r="R195" s="16" t="n">
        <v>0</v>
      </c>
      <c r="S195" s="16" t="n">
        <v>0</v>
      </c>
      <c r="T195" s="16" t="n">
        <v>0</v>
      </c>
      <c r="U195" s="16" t="n">
        <v>0</v>
      </c>
      <c r="V195" s="16"/>
      <c r="W195" s="16"/>
      <c r="X195" s="16" t="n">
        <v>0</v>
      </c>
      <c r="Y195" s="16" t="n">
        <v>0</v>
      </c>
      <c r="Z195" s="16" t="n">
        <v>0</v>
      </c>
      <c r="AA195" s="16" t="n">
        <v>0</v>
      </c>
      <c r="AB195" s="16" t="n">
        <v>0</v>
      </c>
      <c r="AC195" s="16" t="n">
        <v>0</v>
      </c>
      <c r="AD195" s="16" t="n">
        <v>0</v>
      </c>
      <c r="AE195" s="16" t="n">
        <v>0</v>
      </c>
      <c r="AF195" s="16" t="n">
        <v>0</v>
      </c>
      <c r="AG195" s="16" t="n">
        <v>0</v>
      </c>
    </row>
    <row r="196" customFormat="false" ht="15.75" hidden="false" customHeight="false" outlineLevel="0" collapsed="false">
      <c r="A196" s="28" t="n">
        <v>37015</v>
      </c>
      <c r="B196" s="16" t="n">
        <v>0</v>
      </c>
      <c r="C196" s="16" t="n">
        <v>0</v>
      </c>
      <c r="D196" s="16" t="n">
        <v>0</v>
      </c>
      <c r="E196" s="16"/>
      <c r="F196" s="16"/>
      <c r="G196" s="16"/>
      <c r="H196" s="16" t="n">
        <v>0</v>
      </c>
      <c r="I196" s="16" t="n">
        <v>0</v>
      </c>
      <c r="J196" s="16"/>
      <c r="K196" s="16" t="n">
        <v>0</v>
      </c>
      <c r="L196" s="16" t="n">
        <v>0</v>
      </c>
      <c r="M196" s="16" t="n">
        <v>0</v>
      </c>
      <c r="N196" s="16" t="n">
        <v>0</v>
      </c>
      <c r="O196" s="16" t="n">
        <v>0</v>
      </c>
      <c r="P196" s="16" t="n">
        <v>0</v>
      </c>
      <c r="Q196" s="16" t="n">
        <v>0</v>
      </c>
      <c r="R196" s="16" t="n">
        <v>0</v>
      </c>
      <c r="S196" s="16" t="n">
        <v>0</v>
      </c>
      <c r="T196" s="16" t="n">
        <v>0</v>
      </c>
      <c r="U196" s="16" t="n">
        <v>0</v>
      </c>
      <c r="V196" s="16"/>
      <c r="W196" s="16"/>
      <c r="X196" s="16" t="n">
        <v>0</v>
      </c>
      <c r="Y196" s="16" t="n">
        <v>0</v>
      </c>
      <c r="Z196" s="16" t="n">
        <v>0</v>
      </c>
      <c r="AA196" s="16" t="n">
        <v>0</v>
      </c>
      <c r="AB196" s="16" t="n">
        <v>0</v>
      </c>
      <c r="AC196" s="16" t="n">
        <v>0</v>
      </c>
      <c r="AD196" s="16" t="n">
        <v>0</v>
      </c>
      <c r="AE196" s="16" t="n">
        <v>0</v>
      </c>
      <c r="AF196" s="16" t="n">
        <v>0</v>
      </c>
      <c r="AG196" s="16" t="n">
        <v>0</v>
      </c>
    </row>
    <row r="197" customFormat="false" ht="15.75" hidden="false" customHeight="false" outlineLevel="0" collapsed="false">
      <c r="A197" s="28" t="n">
        <v>37018</v>
      </c>
      <c r="B197" s="16" t="n">
        <v>0</v>
      </c>
      <c r="C197" s="16" t="n">
        <v>133557.3</v>
      </c>
      <c r="D197" s="16" t="n">
        <v>0</v>
      </c>
      <c r="E197" s="16"/>
      <c r="F197" s="16"/>
      <c r="G197" s="16"/>
      <c r="H197" s="16" t="n">
        <v>0</v>
      </c>
      <c r="I197" s="16" t="n">
        <v>0</v>
      </c>
      <c r="J197" s="16"/>
      <c r="K197" s="16" t="n">
        <v>0</v>
      </c>
      <c r="L197" s="16" t="n">
        <v>0</v>
      </c>
      <c r="M197" s="16" t="n">
        <v>0</v>
      </c>
      <c r="N197" s="16" t="n">
        <v>0</v>
      </c>
      <c r="O197" s="16" t="n">
        <v>0</v>
      </c>
      <c r="P197" s="16" t="n">
        <v>0</v>
      </c>
      <c r="Q197" s="16" t="n">
        <v>0</v>
      </c>
      <c r="R197" s="16" t="n">
        <v>0</v>
      </c>
      <c r="S197" s="16" t="n">
        <v>0</v>
      </c>
      <c r="T197" s="16" t="n">
        <v>0</v>
      </c>
      <c r="U197" s="16" t="n">
        <v>0</v>
      </c>
      <c r="V197" s="16"/>
      <c r="W197" s="16"/>
      <c r="X197" s="16" t="n">
        <v>0</v>
      </c>
      <c r="Y197" s="16" t="n">
        <v>0</v>
      </c>
      <c r="Z197" s="16" t="n">
        <v>0</v>
      </c>
      <c r="AA197" s="16" t="n">
        <v>0</v>
      </c>
      <c r="AB197" s="16" t="n">
        <v>0</v>
      </c>
      <c r="AC197" s="16" t="n">
        <v>0</v>
      </c>
      <c r="AD197" s="16" t="n">
        <v>0</v>
      </c>
      <c r="AE197" s="16" t="n">
        <v>0</v>
      </c>
      <c r="AF197" s="16" t="n">
        <v>0</v>
      </c>
      <c r="AG197" s="16" t="n">
        <v>0</v>
      </c>
    </row>
    <row r="198" customFormat="false" ht="15.75" hidden="false" customHeight="false" outlineLevel="0" collapsed="false">
      <c r="A198" s="28" t="n">
        <v>37019</v>
      </c>
      <c r="B198" s="16" t="n">
        <v>0</v>
      </c>
      <c r="C198" s="16" t="n">
        <v>0</v>
      </c>
      <c r="D198" s="16" t="n">
        <v>0</v>
      </c>
      <c r="E198" s="16"/>
      <c r="F198" s="16"/>
      <c r="G198" s="16"/>
      <c r="H198" s="16" t="n">
        <v>0</v>
      </c>
      <c r="I198" s="16" t="n">
        <v>0</v>
      </c>
      <c r="J198" s="16"/>
      <c r="K198" s="16" t="n">
        <v>0</v>
      </c>
      <c r="L198" s="16" t="n">
        <v>0</v>
      </c>
      <c r="M198" s="16" t="n">
        <v>0</v>
      </c>
      <c r="N198" s="16" t="n">
        <v>0</v>
      </c>
      <c r="O198" s="16" t="n">
        <v>0</v>
      </c>
      <c r="P198" s="16" t="n">
        <v>0</v>
      </c>
      <c r="Q198" s="16" t="n">
        <v>0</v>
      </c>
      <c r="R198" s="16" t="n">
        <v>0</v>
      </c>
      <c r="S198" s="16" t="n">
        <v>0</v>
      </c>
      <c r="T198" s="16" t="n">
        <v>0</v>
      </c>
      <c r="U198" s="16" t="n">
        <v>0</v>
      </c>
      <c r="V198" s="16"/>
      <c r="W198" s="16"/>
      <c r="X198" s="16" t="n">
        <v>0</v>
      </c>
      <c r="Y198" s="16" t="n">
        <v>0</v>
      </c>
      <c r="Z198" s="16" t="n">
        <v>0</v>
      </c>
      <c r="AA198" s="16" t="n">
        <v>0</v>
      </c>
      <c r="AB198" s="16" t="n">
        <v>0</v>
      </c>
      <c r="AC198" s="16" t="n">
        <v>0</v>
      </c>
      <c r="AD198" s="16" t="n">
        <v>0</v>
      </c>
      <c r="AE198" s="16" t="n">
        <v>0</v>
      </c>
      <c r="AF198" s="16" t="n">
        <v>0</v>
      </c>
      <c r="AG198" s="16" t="n">
        <v>0</v>
      </c>
    </row>
    <row r="199" customFormat="false" ht="15.75" hidden="false" customHeight="false" outlineLevel="0" collapsed="false">
      <c r="A199" s="28" t="n">
        <v>37020</v>
      </c>
      <c r="B199" s="16" t="n">
        <v>0</v>
      </c>
      <c r="C199" s="16" t="n">
        <v>0</v>
      </c>
      <c r="D199" s="16" t="n">
        <v>0</v>
      </c>
      <c r="E199" s="16"/>
      <c r="F199" s="16"/>
      <c r="G199" s="16"/>
      <c r="H199" s="16" t="n">
        <v>0</v>
      </c>
      <c r="I199" s="16" t="n">
        <v>0</v>
      </c>
      <c r="J199" s="16"/>
      <c r="K199" s="16" t="n">
        <v>0</v>
      </c>
      <c r="L199" s="16" t="n">
        <v>0</v>
      </c>
      <c r="M199" s="16" t="n">
        <v>0</v>
      </c>
      <c r="N199" s="16" t="n">
        <v>0</v>
      </c>
      <c r="O199" s="16" t="n">
        <v>0</v>
      </c>
      <c r="P199" s="16" t="n">
        <v>0</v>
      </c>
      <c r="Q199" s="16" t="n">
        <v>0</v>
      </c>
      <c r="R199" s="16" t="n">
        <v>0</v>
      </c>
      <c r="S199" s="16" t="n">
        <v>0</v>
      </c>
      <c r="T199" s="16" t="n">
        <v>0</v>
      </c>
      <c r="U199" s="16" t="n">
        <v>0</v>
      </c>
      <c r="V199" s="16"/>
      <c r="W199" s="16"/>
      <c r="X199" s="16" t="n">
        <v>0</v>
      </c>
      <c r="Y199" s="16" t="n">
        <v>0</v>
      </c>
      <c r="Z199" s="16" t="n">
        <v>0</v>
      </c>
      <c r="AA199" s="16" t="n">
        <v>0</v>
      </c>
      <c r="AB199" s="16" t="n">
        <v>0</v>
      </c>
      <c r="AC199" s="16" t="n">
        <v>0</v>
      </c>
      <c r="AD199" s="16" t="n">
        <v>0</v>
      </c>
      <c r="AE199" s="16" t="n">
        <v>0</v>
      </c>
      <c r="AF199" s="16" t="n">
        <v>0</v>
      </c>
      <c r="AG199" s="16" t="n">
        <v>0</v>
      </c>
    </row>
    <row r="200" customFormat="false" ht="15.75" hidden="false" customHeight="false" outlineLevel="0" collapsed="false">
      <c r="A200" s="28" t="n">
        <v>37021</v>
      </c>
      <c r="B200" s="16" t="n">
        <v>0</v>
      </c>
      <c r="C200" s="16" t="n">
        <v>0</v>
      </c>
      <c r="D200" s="16" t="n">
        <v>0</v>
      </c>
      <c r="E200" s="16"/>
      <c r="F200" s="16"/>
      <c r="G200" s="16"/>
      <c r="H200" s="16" t="n">
        <v>0</v>
      </c>
      <c r="I200" s="16" t="n">
        <v>0</v>
      </c>
      <c r="J200" s="16"/>
      <c r="K200" s="16" t="n">
        <v>0</v>
      </c>
      <c r="L200" s="16" t="n">
        <v>0</v>
      </c>
      <c r="M200" s="16" t="n">
        <v>0</v>
      </c>
      <c r="N200" s="16" t="n">
        <v>0</v>
      </c>
      <c r="O200" s="16" t="n">
        <v>0</v>
      </c>
      <c r="P200" s="16" t="n">
        <v>0</v>
      </c>
      <c r="Q200" s="16" t="n">
        <v>0</v>
      </c>
      <c r="R200" s="16" t="n">
        <v>0</v>
      </c>
      <c r="S200" s="16" t="n">
        <v>0</v>
      </c>
      <c r="T200" s="16" t="n">
        <v>0</v>
      </c>
      <c r="U200" s="16" t="n">
        <v>0</v>
      </c>
      <c r="V200" s="16"/>
      <c r="W200" s="16"/>
      <c r="X200" s="16" t="n">
        <v>0</v>
      </c>
      <c r="Y200" s="16" t="n">
        <v>0</v>
      </c>
      <c r="Z200" s="16" t="n">
        <v>0</v>
      </c>
      <c r="AA200" s="16" t="n">
        <v>0</v>
      </c>
      <c r="AB200" s="16" t="n">
        <v>0</v>
      </c>
      <c r="AC200" s="16" t="n">
        <v>0</v>
      </c>
      <c r="AD200" s="16" t="n">
        <v>0</v>
      </c>
      <c r="AE200" s="16" t="n">
        <v>0</v>
      </c>
      <c r="AF200" s="16" t="n">
        <v>0</v>
      </c>
      <c r="AG200" s="16" t="n">
        <v>0</v>
      </c>
    </row>
    <row r="201" customFormat="false" ht="15.75" hidden="false" customHeight="false" outlineLevel="0" collapsed="false">
      <c r="A201" s="28" t="n">
        <v>37022</v>
      </c>
      <c r="B201" s="16" t="n">
        <v>0</v>
      </c>
      <c r="C201" s="16" t="n">
        <v>0</v>
      </c>
      <c r="D201" s="16" t="n">
        <v>0</v>
      </c>
      <c r="E201" s="16"/>
      <c r="F201" s="16"/>
      <c r="G201" s="16"/>
      <c r="H201" s="16" t="n">
        <v>0</v>
      </c>
      <c r="I201" s="16" t="n">
        <v>0</v>
      </c>
      <c r="J201" s="16"/>
      <c r="K201" s="16" t="n">
        <v>0</v>
      </c>
      <c r="L201" s="16" t="n">
        <v>0</v>
      </c>
      <c r="M201" s="16" t="n">
        <v>0</v>
      </c>
      <c r="N201" s="16" t="n">
        <v>0</v>
      </c>
      <c r="O201" s="16" t="n">
        <v>0</v>
      </c>
      <c r="P201" s="16" t="n">
        <v>0</v>
      </c>
      <c r="Q201" s="16" t="n">
        <v>0</v>
      </c>
      <c r="R201" s="16" t="n">
        <v>0</v>
      </c>
      <c r="S201" s="16" t="n">
        <v>0</v>
      </c>
      <c r="T201" s="16" t="n">
        <v>0</v>
      </c>
      <c r="U201" s="16" t="n">
        <v>0</v>
      </c>
      <c r="V201" s="16"/>
      <c r="W201" s="16"/>
      <c r="X201" s="16" t="n">
        <v>0</v>
      </c>
      <c r="Y201" s="16" t="n">
        <v>0</v>
      </c>
      <c r="Z201" s="16" t="n">
        <v>0</v>
      </c>
      <c r="AA201" s="16" t="n">
        <v>0</v>
      </c>
      <c r="AB201" s="16" t="n">
        <v>0</v>
      </c>
      <c r="AC201" s="16" t="n">
        <v>0</v>
      </c>
      <c r="AD201" s="16" t="n">
        <v>0</v>
      </c>
      <c r="AE201" s="16" t="n">
        <v>0</v>
      </c>
      <c r="AF201" s="16" t="n">
        <v>0</v>
      </c>
      <c r="AG201" s="16" t="n">
        <v>0</v>
      </c>
    </row>
    <row r="202" customFormat="false" ht="15.75" hidden="false" customHeight="false" outlineLevel="0" collapsed="false">
      <c r="A202" s="28" t="n">
        <v>37025</v>
      </c>
      <c r="B202" s="16" t="n">
        <v>0</v>
      </c>
      <c r="C202" s="16" t="n">
        <v>0</v>
      </c>
      <c r="D202" s="16" t="n">
        <v>0</v>
      </c>
      <c r="E202" s="16"/>
      <c r="F202" s="16"/>
      <c r="G202" s="16"/>
      <c r="H202" s="16" t="n">
        <v>0</v>
      </c>
      <c r="I202" s="16" t="n">
        <v>0</v>
      </c>
      <c r="J202" s="16"/>
      <c r="K202" s="16" t="n">
        <v>0</v>
      </c>
      <c r="L202" s="16" t="n">
        <v>0</v>
      </c>
      <c r="M202" s="16" t="n">
        <v>0</v>
      </c>
      <c r="N202" s="16" t="n">
        <v>0</v>
      </c>
      <c r="O202" s="16" t="n">
        <v>0</v>
      </c>
      <c r="P202" s="16" t="n">
        <v>0</v>
      </c>
      <c r="Q202" s="16" t="n">
        <v>0</v>
      </c>
      <c r="R202" s="16" t="n">
        <v>0</v>
      </c>
      <c r="S202" s="16" t="n">
        <v>0</v>
      </c>
      <c r="T202" s="16" t="n">
        <v>0</v>
      </c>
      <c r="U202" s="16" t="n">
        <v>0</v>
      </c>
      <c r="V202" s="16"/>
      <c r="W202" s="16"/>
      <c r="X202" s="16" t="n">
        <v>0</v>
      </c>
      <c r="Y202" s="16" t="n">
        <v>0</v>
      </c>
      <c r="Z202" s="16" t="n">
        <v>0</v>
      </c>
      <c r="AA202" s="16" t="n">
        <v>0</v>
      </c>
      <c r="AB202" s="16" t="n">
        <v>0</v>
      </c>
      <c r="AC202" s="16" t="n">
        <v>0</v>
      </c>
      <c r="AD202" s="16" t="n">
        <v>0</v>
      </c>
      <c r="AE202" s="16" t="n">
        <v>1054015.11</v>
      </c>
      <c r="AF202" s="16" t="n">
        <v>0</v>
      </c>
      <c r="AG202" s="16" t="n">
        <v>0</v>
      </c>
    </row>
    <row r="203" customFormat="false" ht="15.75" hidden="false" customHeight="false" outlineLevel="0" collapsed="false">
      <c r="A203" s="28" t="n">
        <v>37026</v>
      </c>
      <c r="B203" s="16" t="n">
        <v>0</v>
      </c>
      <c r="C203" s="16" t="n">
        <v>0</v>
      </c>
      <c r="D203" s="16" t="n">
        <v>0</v>
      </c>
      <c r="E203" s="16"/>
      <c r="F203" s="16"/>
      <c r="G203" s="16"/>
      <c r="H203" s="16" t="n">
        <v>0</v>
      </c>
      <c r="I203" s="16" t="n">
        <v>0</v>
      </c>
      <c r="J203" s="16"/>
      <c r="K203" s="16" t="n">
        <v>0</v>
      </c>
      <c r="L203" s="16" t="n">
        <v>0</v>
      </c>
      <c r="M203" s="16" t="n">
        <v>0</v>
      </c>
      <c r="N203" s="16" t="n">
        <v>0</v>
      </c>
      <c r="O203" s="16" t="n">
        <v>0</v>
      </c>
      <c r="P203" s="16" t="n">
        <v>0</v>
      </c>
      <c r="Q203" s="16" t="n">
        <v>0</v>
      </c>
      <c r="R203" s="16" t="n">
        <v>0</v>
      </c>
      <c r="S203" s="16" t="n">
        <v>0</v>
      </c>
      <c r="T203" s="16" t="n">
        <v>0</v>
      </c>
      <c r="U203" s="16" t="n">
        <v>0</v>
      </c>
      <c r="V203" s="16"/>
      <c r="W203" s="16"/>
      <c r="X203" s="16" t="n">
        <v>0</v>
      </c>
      <c r="Y203" s="16" t="n">
        <v>0</v>
      </c>
      <c r="Z203" s="16" t="n">
        <v>0</v>
      </c>
      <c r="AA203" s="16" t="n">
        <v>0</v>
      </c>
      <c r="AB203" s="16" t="n">
        <v>0</v>
      </c>
      <c r="AC203" s="16" t="n">
        <v>0</v>
      </c>
      <c r="AD203" s="16" t="n">
        <v>0</v>
      </c>
      <c r="AE203" s="16" t="n">
        <v>0</v>
      </c>
      <c r="AF203" s="16" t="n">
        <v>0</v>
      </c>
      <c r="AG203" s="16" t="n">
        <v>0</v>
      </c>
    </row>
    <row r="204" customFormat="false" ht="15.75" hidden="false" customHeight="false" outlineLevel="0" collapsed="false">
      <c r="A204" s="28" t="n">
        <v>37027</v>
      </c>
      <c r="B204" s="16" t="n">
        <v>0</v>
      </c>
      <c r="C204" s="16" t="n">
        <v>0</v>
      </c>
      <c r="D204" s="16" t="n">
        <v>0</v>
      </c>
      <c r="E204" s="16"/>
      <c r="F204" s="16"/>
      <c r="G204" s="16"/>
      <c r="H204" s="16" t="n">
        <v>0</v>
      </c>
      <c r="I204" s="16" t="n">
        <v>0</v>
      </c>
      <c r="J204" s="16"/>
      <c r="K204" s="16" t="n">
        <v>0</v>
      </c>
      <c r="L204" s="16" t="n">
        <v>0</v>
      </c>
      <c r="M204" s="16" t="n">
        <v>0</v>
      </c>
      <c r="N204" s="16" t="n">
        <v>0</v>
      </c>
      <c r="O204" s="16" t="n">
        <v>0</v>
      </c>
      <c r="P204" s="16" t="n">
        <v>0</v>
      </c>
      <c r="Q204" s="16" t="n">
        <v>0</v>
      </c>
      <c r="R204" s="16" t="n">
        <v>0</v>
      </c>
      <c r="S204" s="16" t="n">
        <v>0</v>
      </c>
      <c r="T204" s="16" t="n">
        <v>0</v>
      </c>
      <c r="U204" s="16" t="n">
        <v>0</v>
      </c>
      <c r="V204" s="16"/>
      <c r="W204" s="16"/>
      <c r="X204" s="16" t="n">
        <v>0</v>
      </c>
      <c r="Y204" s="16" t="n">
        <v>0</v>
      </c>
      <c r="Z204" s="16" t="n">
        <v>0</v>
      </c>
      <c r="AA204" s="16" t="n">
        <v>0</v>
      </c>
      <c r="AB204" s="16" t="n">
        <v>0</v>
      </c>
      <c r="AC204" s="16" t="n">
        <v>0</v>
      </c>
      <c r="AD204" s="16" t="n">
        <v>0</v>
      </c>
      <c r="AE204" s="16" t="n">
        <v>0</v>
      </c>
      <c r="AF204" s="16" t="n">
        <v>0</v>
      </c>
      <c r="AG204" s="16" t="n">
        <v>0</v>
      </c>
    </row>
    <row r="205" customFormat="false" ht="15.75" hidden="false" customHeight="false" outlineLevel="0" collapsed="false">
      <c r="A205" s="28" t="n">
        <v>37028</v>
      </c>
      <c r="B205" s="16" t="n">
        <v>0</v>
      </c>
      <c r="C205" s="16" t="n">
        <v>0</v>
      </c>
      <c r="D205" s="16" t="n">
        <v>0</v>
      </c>
      <c r="E205" s="16"/>
      <c r="F205" s="16"/>
      <c r="G205" s="16"/>
      <c r="H205" s="16" t="n">
        <v>0</v>
      </c>
      <c r="I205" s="16" t="n">
        <v>0</v>
      </c>
      <c r="J205" s="16"/>
      <c r="K205" s="16" t="n">
        <v>0</v>
      </c>
      <c r="L205" s="16" t="n">
        <v>0</v>
      </c>
      <c r="M205" s="16" t="n">
        <v>0</v>
      </c>
      <c r="N205" s="16" t="n">
        <v>0</v>
      </c>
      <c r="O205" s="16" t="n">
        <v>0</v>
      </c>
      <c r="P205" s="16" t="n">
        <v>0</v>
      </c>
      <c r="Q205" s="16" t="n">
        <v>0</v>
      </c>
      <c r="R205" s="16" t="n">
        <v>0</v>
      </c>
      <c r="S205" s="16" t="n">
        <v>0</v>
      </c>
      <c r="T205" s="16" t="n">
        <v>0</v>
      </c>
      <c r="U205" s="16" t="n">
        <v>0</v>
      </c>
      <c r="V205" s="16"/>
      <c r="W205" s="16"/>
      <c r="X205" s="16" t="n">
        <v>0</v>
      </c>
      <c r="Y205" s="16" t="n">
        <v>0</v>
      </c>
      <c r="Z205" s="16" t="n">
        <v>0</v>
      </c>
      <c r="AA205" s="16" t="n">
        <v>0</v>
      </c>
      <c r="AB205" s="16" t="n">
        <v>0</v>
      </c>
      <c r="AC205" s="16" t="n">
        <v>0</v>
      </c>
      <c r="AD205" s="16" t="n">
        <v>0</v>
      </c>
      <c r="AE205" s="16" t="n">
        <v>0</v>
      </c>
      <c r="AF205" s="16" t="n">
        <v>0</v>
      </c>
      <c r="AG205" s="16" t="n">
        <v>0</v>
      </c>
    </row>
    <row r="206" customFormat="false" ht="15.75" hidden="false" customHeight="false" outlineLevel="0" collapsed="false">
      <c r="A206" s="28" t="n">
        <v>37029</v>
      </c>
      <c r="B206" s="16" t="n">
        <v>0</v>
      </c>
      <c r="C206" s="16" t="n">
        <v>0</v>
      </c>
      <c r="D206" s="16" t="n">
        <v>0</v>
      </c>
      <c r="E206" s="16"/>
      <c r="F206" s="16"/>
      <c r="G206" s="16"/>
      <c r="H206" s="16" t="n">
        <v>0</v>
      </c>
      <c r="I206" s="16" t="n">
        <v>0</v>
      </c>
      <c r="J206" s="16"/>
      <c r="K206" s="16" t="n">
        <v>0</v>
      </c>
      <c r="L206" s="16" t="n">
        <v>0</v>
      </c>
      <c r="M206" s="16" t="n">
        <v>0</v>
      </c>
      <c r="N206" s="16" t="n">
        <v>0</v>
      </c>
      <c r="O206" s="16" t="n">
        <v>0</v>
      </c>
      <c r="P206" s="16" t="n">
        <v>0</v>
      </c>
      <c r="Q206" s="16" t="n">
        <v>0</v>
      </c>
      <c r="R206" s="16" t="n">
        <v>0</v>
      </c>
      <c r="S206" s="16" t="n">
        <v>0</v>
      </c>
      <c r="T206" s="16" t="n">
        <v>0</v>
      </c>
      <c r="U206" s="16" t="n">
        <v>0</v>
      </c>
      <c r="V206" s="16"/>
      <c r="W206" s="16"/>
      <c r="X206" s="16" t="n">
        <v>0</v>
      </c>
      <c r="Y206" s="16" t="n">
        <v>0</v>
      </c>
      <c r="Z206" s="16" t="n">
        <v>0</v>
      </c>
      <c r="AA206" s="16" t="n">
        <v>0</v>
      </c>
      <c r="AB206" s="16" t="n">
        <v>0</v>
      </c>
      <c r="AC206" s="16" t="n">
        <v>0</v>
      </c>
      <c r="AD206" s="16" t="n">
        <v>0</v>
      </c>
      <c r="AE206" s="16" t="n">
        <v>0</v>
      </c>
      <c r="AF206" s="16" t="n">
        <v>0</v>
      </c>
      <c r="AG206" s="16" t="n">
        <v>0</v>
      </c>
    </row>
    <row r="207" customFormat="false" ht="15.75" hidden="false" customHeight="false" outlineLevel="0" collapsed="false">
      <c r="A207" s="28" t="n">
        <v>37032</v>
      </c>
      <c r="B207" s="16" t="n">
        <v>0</v>
      </c>
      <c r="C207" s="16" t="n">
        <v>0</v>
      </c>
      <c r="D207" s="16" t="n">
        <v>0</v>
      </c>
      <c r="E207" s="16"/>
      <c r="F207" s="16"/>
      <c r="G207" s="16"/>
      <c r="H207" s="16" t="n">
        <v>0</v>
      </c>
      <c r="I207" s="16" t="n">
        <v>0</v>
      </c>
      <c r="J207" s="16"/>
      <c r="K207" s="16" t="n">
        <v>0</v>
      </c>
      <c r="L207" s="16" t="n">
        <v>0</v>
      </c>
      <c r="M207" s="16" t="n">
        <v>0</v>
      </c>
      <c r="N207" s="16" t="n">
        <v>0</v>
      </c>
      <c r="O207" s="16" t="n">
        <v>0</v>
      </c>
      <c r="P207" s="16" t="n">
        <v>0</v>
      </c>
      <c r="Q207" s="16" t="n">
        <v>0</v>
      </c>
      <c r="R207" s="16" t="n">
        <v>0</v>
      </c>
      <c r="S207" s="16" t="n">
        <v>0</v>
      </c>
      <c r="T207" s="16" t="n">
        <v>0</v>
      </c>
      <c r="U207" s="16" t="n">
        <v>0</v>
      </c>
      <c r="V207" s="16"/>
      <c r="W207" s="16"/>
      <c r="X207" s="16" t="n">
        <v>0</v>
      </c>
      <c r="Y207" s="16" t="n">
        <v>0</v>
      </c>
      <c r="Z207" s="16" t="n">
        <v>0</v>
      </c>
      <c r="AA207" s="16" t="n">
        <v>0</v>
      </c>
      <c r="AB207" s="16" t="n">
        <v>0</v>
      </c>
      <c r="AC207" s="16" t="n">
        <v>0</v>
      </c>
      <c r="AD207" s="16" t="n">
        <v>0</v>
      </c>
      <c r="AE207" s="16" t="n">
        <v>0</v>
      </c>
      <c r="AF207" s="16" t="n">
        <v>0</v>
      </c>
      <c r="AG207" s="16" t="n">
        <v>0</v>
      </c>
    </row>
    <row r="208" customFormat="false" ht="15.75" hidden="false" customHeight="false" outlineLevel="0" collapsed="false">
      <c r="A208" s="28" t="n">
        <v>37033</v>
      </c>
      <c r="B208" s="16" t="n">
        <v>0</v>
      </c>
      <c r="C208" s="16" t="n">
        <v>0</v>
      </c>
      <c r="D208" s="16" t="n">
        <v>0</v>
      </c>
      <c r="E208" s="16"/>
      <c r="F208" s="16"/>
      <c r="G208" s="16"/>
      <c r="H208" s="16" t="n">
        <v>0</v>
      </c>
      <c r="I208" s="16" t="n">
        <v>0</v>
      </c>
      <c r="J208" s="16"/>
      <c r="K208" s="16" t="n">
        <v>0</v>
      </c>
      <c r="L208" s="16" t="n">
        <v>0</v>
      </c>
      <c r="M208" s="16" t="n">
        <v>0</v>
      </c>
      <c r="N208" s="16" t="n">
        <v>0</v>
      </c>
      <c r="O208" s="16" t="n">
        <v>0</v>
      </c>
      <c r="P208" s="16" t="n">
        <v>0</v>
      </c>
      <c r="Q208" s="16" t="n">
        <v>0</v>
      </c>
      <c r="R208" s="16" t="n">
        <v>0</v>
      </c>
      <c r="S208" s="16" t="n">
        <v>0</v>
      </c>
      <c r="T208" s="16" t="n">
        <v>0</v>
      </c>
      <c r="U208" s="16" t="n">
        <v>0</v>
      </c>
      <c r="V208" s="16"/>
      <c r="W208" s="16"/>
      <c r="X208" s="16" t="n">
        <v>0</v>
      </c>
      <c r="Y208" s="16" t="n">
        <v>0</v>
      </c>
      <c r="Z208" s="16" t="n">
        <v>0</v>
      </c>
      <c r="AA208" s="16" t="n">
        <v>0</v>
      </c>
      <c r="AB208" s="16" t="n">
        <v>0</v>
      </c>
      <c r="AC208" s="16" t="n">
        <v>0</v>
      </c>
      <c r="AD208" s="16" t="n">
        <v>0</v>
      </c>
      <c r="AE208" s="16" t="n">
        <v>0</v>
      </c>
      <c r="AF208" s="16" t="n">
        <v>0</v>
      </c>
      <c r="AG208" s="16" t="n">
        <v>0</v>
      </c>
    </row>
    <row r="209" customFormat="false" ht="15.75" hidden="false" customHeight="false" outlineLevel="0" collapsed="false">
      <c r="A209" s="28" t="n">
        <v>37034</v>
      </c>
      <c r="B209" s="16" t="n">
        <v>0</v>
      </c>
      <c r="C209" s="16" t="n">
        <v>0</v>
      </c>
      <c r="D209" s="16" t="n">
        <v>0</v>
      </c>
      <c r="E209" s="16"/>
      <c r="F209" s="16"/>
      <c r="G209" s="16"/>
      <c r="H209" s="16" t="n">
        <v>0</v>
      </c>
      <c r="I209" s="16" t="n">
        <v>0</v>
      </c>
      <c r="J209" s="16"/>
      <c r="K209" s="16" t="n">
        <v>0</v>
      </c>
      <c r="L209" s="16" t="n">
        <v>0</v>
      </c>
      <c r="M209" s="16" t="n">
        <v>0</v>
      </c>
      <c r="N209" s="16" t="n">
        <v>0</v>
      </c>
      <c r="O209" s="16" t="n">
        <v>0</v>
      </c>
      <c r="P209" s="16" t="n">
        <v>0</v>
      </c>
      <c r="Q209" s="16" t="n">
        <v>0</v>
      </c>
      <c r="R209" s="16" t="n">
        <v>0</v>
      </c>
      <c r="S209" s="16" t="n">
        <v>0</v>
      </c>
      <c r="T209" s="16" t="n">
        <v>0</v>
      </c>
      <c r="U209" s="16" t="n">
        <v>0</v>
      </c>
      <c r="V209" s="16"/>
      <c r="W209" s="16"/>
      <c r="X209" s="16" t="n">
        <v>0</v>
      </c>
      <c r="Y209" s="16" t="n">
        <v>0</v>
      </c>
      <c r="Z209" s="16" t="n">
        <v>0</v>
      </c>
      <c r="AA209" s="16" t="n">
        <v>0</v>
      </c>
      <c r="AB209" s="16" t="n">
        <v>0</v>
      </c>
      <c r="AC209" s="16" t="n">
        <v>0</v>
      </c>
      <c r="AD209" s="16" t="n">
        <v>0</v>
      </c>
      <c r="AE209" s="16" t="n">
        <v>0</v>
      </c>
      <c r="AF209" s="16" t="n">
        <v>0</v>
      </c>
      <c r="AG209" s="16" t="n">
        <v>0</v>
      </c>
    </row>
    <row r="210" customFormat="false" ht="15.75" hidden="false" customHeight="false" outlineLevel="0" collapsed="false">
      <c r="A210" s="28" t="n">
        <v>37035</v>
      </c>
      <c r="B210" s="16" t="n">
        <v>0</v>
      </c>
      <c r="C210" s="16" t="n">
        <v>0</v>
      </c>
      <c r="D210" s="16" t="n">
        <v>0</v>
      </c>
      <c r="E210" s="16"/>
      <c r="F210" s="16"/>
      <c r="G210" s="16"/>
      <c r="H210" s="16" t="n">
        <v>0</v>
      </c>
      <c r="I210" s="16" t="n">
        <v>0</v>
      </c>
      <c r="J210" s="16"/>
      <c r="K210" s="16" t="n">
        <v>0</v>
      </c>
      <c r="L210" s="16" t="n">
        <v>0</v>
      </c>
      <c r="M210" s="16" t="n">
        <v>0</v>
      </c>
      <c r="N210" s="16" t="n">
        <v>0</v>
      </c>
      <c r="O210" s="16" t="n">
        <v>0</v>
      </c>
      <c r="P210" s="16" t="n">
        <v>0</v>
      </c>
      <c r="Q210" s="16" t="n">
        <v>0</v>
      </c>
      <c r="R210" s="16" t="n">
        <v>0</v>
      </c>
      <c r="S210" s="16" t="n">
        <v>0</v>
      </c>
      <c r="T210" s="16" t="n">
        <v>0</v>
      </c>
      <c r="U210" s="16" t="n">
        <v>0</v>
      </c>
      <c r="V210" s="16"/>
      <c r="W210" s="16"/>
      <c r="X210" s="16" t="n">
        <v>0</v>
      </c>
      <c r="Y210" s="16" t="n">
        <v>0</v>
      </c>
      <c r="Z210" s="16" t="n">
        <v>0</v>
      </c>
      <c r="AA210" s="16" t="n">
        <v>0</v>
      </c>
      <c r="AB210" s="16" t="n">
        <v>0</v>
      </c>
      <c r="AC210" s="16" t="n">
        <v>0</v>
      </c>
      <c r="AD210" s="16" t="n">
        <v>0</v>
      </c>
      <c r="AE210" s="16" t="n">
        <v>0</v>
      </c>
      <c r="AF210" s="16" t="n">
        <v>0</v>
      </c>
      <c r="AG210" s="16" t="n">
        <v>0</v>
      </c>
    </row>
    <row r="211" customFormat="false" ht="15.75" hidden="false" customHeight="false" outlineLevel="0" collapsed="false">
      <c r="A211" s="28" t="n">
        <v>37036</v>
      </c>
      <c r="B211" s="16" t="n">
        <v>0</v>
      </c>
      <c r="C211" s="16" t="n">
        <v>0</v>
      </c>
      <c r="D211" s="16" t="n">
        <v>0</v>
      </c>
      <c r="E211" s="16"/>
      <c r="F211" s="16"/>
      <c r="G211" s="16"/>
      <c r="H211" s="16" t="n">
        <v>0</v>
      </c>
      <c r="I211" s="16" t="n">
        <v>0</v>
      </c>
      <c r="J211" s="16"/>
      <c r="K211" s="16" t="n">
        <v>0</v>
      </c>
      <c r="L211" s="16" t="n">
        <v>0</v>
      </c>
      <c r="M211" s="16" t="n">
        <v>0</v>
      </c>
      <c r="N211" s="16" t="n">
        <v>0</v>
      </c>
      <c r="O211" s="16" t="n">
        <v>0</v>
      </c>
      <c r="P211" s="16" t="n">
        <v>0</v>
      </c>
      <c r="Q211" s="16" t="n">
        <v>0</v>
      </c>
      <c r="R211" s="16" t="n">
        <v>0</v>
      </c>
      <c r="S211" s="16" t="n">
        <v>0</v>
      </c>
      <c r="T211" s="16" t="n">
        <v>0</v>
      </c>
      <c r="U211" s="16" t="n">
        <v>0</v>
      </c>
      <c r="V211" s="16"/>
      <c r="W211" s="16"/>
      <c r="X211" s="16" t="n">
        <v>0</v>
      </c>
      <c r="Y211" s="16" t="n">
        <v>0</v>
      </c>
      <c r="Z211" s="16" t="n">
        <v>0</v>
      </c>
      <c r="AA211" s="16" t="n">
        <v>0</v>
      </c>
      <c r="AB211" s="16" t="n">
        <v>0</v>
      </c>
      <c r="AC211" s="16" t="n">
        <v>0</v>
      </c>
      <c r="AD211" s="16" t="n">
        <v>0</v>
      </c>
      <c r="AE211" s="16" t="n">
        <v>0</v>
      </c>
      <c r="AF211" s="16" t="n">
        <v>0</v>
      </c>
      <c r="AG211" s="16" t="n">
        <v>0</v>
      </c>
    </row>
    <row r="212" customFormat="false" ht="15.75" hidden="false" customHeight="false" outlineLevel="0" collapsed="false">
      <c r="A212" s="28" t="n">
        <v>37040</v>
      </c>
      <c r="B212" s="16" t="n">
        <v>0</v>
      </c>
      <c r="C212" s="16" t="n">
        <v>0</v>
      </c>
      <c r="D212" s="16" t="n">
        <v>0</v>
      </c>
      <c r="E212" s="16"/>
      <c r="F212" s="16"/>
      <c r="G212" s="16"/>
      <c r="H212" s="16" t="n">
        <v>0</v>
      </c>
      <c r="I212" s="16" t="n">
        <v>0</v>
      </c>
      <c r="J212" s="16"/>
      <c r="K212" s="16" t="n">
        <v>0</v>
      </c>
      <c r="L212" s="16" t="n">
        <v>0</v>
      </c>
      <c r="M212" s="16" t="n">
        <v>0</v>
      </c>
      <c r="N212" s="16" t="n">
        <v>0</v>
      </c>
      <c r="O212" s="16" t="n">
        <v>0</v>
      </c>
      <c r="P212" s="16" t="n">
        <v>0</v>
      </c>
      <c r="Q212" s="16" t="n">
        <v>0</v>
      </c>
      <c r="R212" s="16" t="n">
        <v>0</v>
      </c>
      <c r="S212" s="16" t="n">
        <v>0</v>
      </c>
      <c r="T212" s="16" t="n">
        <v>0</v>
      </c>
      <c r="U212" s="16" t="n">
        <v>0</v>
      </c>
      <c r="V212" s="16"/>
      <c r="W212" s="16"/>
      <c r="X212" s="16" t="n">
        <v>0</v>
      </c>
      <c r="Y212" s="16" t="n">
        <v>0</v>
      </c>
      <c r="Z212" s="16" t="n">
        <v>0</v>
      </c>
      <c r="AA212" s="16" t="n">
        <v>0</v>
      </c>
      <c r="AB212" s="16" t="n">
        <v>0</v>
      </c>
      <c r="AC212" s="16" t="n">
        <v>0</v>
      </c>
      <c r="AD212" s="16" t="n">
        <v>0</v>
      </c>
      <c r="AE212" s="16" t="n">
        <v>0</v>
      </c>
      <c r="AF212" s="16" t="n">
        <v>0</v>
      </c>
      <c r="AG212" s="16" t="n">
        <v>0</v>
      </c>
    </row>
    <row r="213" customFormat="false" ht="15.75" hidden="false" customHeight="false" outlineLevel="0" collapsed="false">
      <c r="A213" s="28" t="n">
        <v>37041</v>
      </c>
      <c r="B213" s="16" t="n">
        <v>0</v>
      </c>
      <c r="C213" s="16" t="n">
        <v>0</v>
      </c>
      <c r="D213" s="16" t="n">
        <v>0</v>
      </c>
      <c r="E213" s="16"/>
      <c r="F213" s="16"/>
      <c r="G213" s="16"/>
      <c r="H213" s="16" t="n">
        <v>0</v>
      </c>
      <c r="I213" s="16" t="n">
        <v>0</v>
      </c>
      <c r="J213" s="16"/>
      <c r="K213" s="16" t="n">
        <v>0</v>
      </c>
      <c r="L213" s="16" t="n">
        <v>0</v>
      </c>
      <c r="M213" s="16" t="n">
        <v>0</v>
      </c>
      <c r="N213" s="16" t="n">
        <v>0</v>
      </c>
      <c r="O213" s="16" t="n">
        <v>0</v>
      </c>
      <c r="P213" s="16" t="n">
        <v>0</v>
      </c>
      <c r="Q213" s="16" t="n">
        <v>0</v>
      </c>
      <c r="R213" s="16" t="n">
        <v>0</v>
      </c>
      <c r="S213" s="16" t="n">
        <v>0</v>
      </c>
      <c r="T213" s="16" t="n">
        <v>0</v>
      </c>
      <c r="U213" s="16" t="n">
        <v>0</v>
      </c>
      <c r="V213" s="16"/>
      <c r="W213" s="16"/>
      <c r="X213" s="16" t="n">
        <v>0</v>
      </c>
      <c r="Y213" s="16" t="n">
        <v>0</v>
      </c>
      <c r="Z213" s="16" t="n">
        <v>0</v>
      </c>
      <c r="AA213" s="16" t="n">
        <v>0</v>
      </c>
      <c r="AB213" s="16" t="n">
        <v>0</v>
      </c>
      <c r="AC213" s="16" t="n">
        <v>280000</v>
      </c>
      <c r="AD213" s="16" t="n">
        <v>0</v>
      </c>
      <c r="AE213" s="16" t="n">
        <v>0</v>
      </c>
      <c r="AF213" s="16" t="n">
        <v>0</v>
      </c>
      <c r="AG213" s="16" t="n">
        <v>0</v>
      </c>
    </row>
    <row r="214" customFormat="false" ht="15.75" hidden="false" customHeight="false" outlineLevel="0" collapsed="false">
      <c r="A214" s="28" t="n">
        <v>37042</v>
      </c>
      <c r="B214" s="16" t="n">
        <v>0</v>
      </c>
      <c r="C214" s="16" t="n">
        <v>0</v>
      </c>
      <c r="D214" s="16" t="n">
        <v>0</v>
      </c>
      <c r="E214" s="16"/>
      <c r="F214" s="16"/>
      <c r="G214" s="16"/>
      <c r="H214" s="16" t="n">
        <v>0</v>
      </c>
      <c r="I214" s="16" t="n">
        <v>0</v>
      </c>
      <c r="J214" s="16"/>
      <c r="K214" s="16" t="n">
        <v>0</v>
      </c>
      <c r="L214" s="16" t="n">
        <v>0</v>
      </c>
      <c r="M214" s="16" t="n">
        <v>0</v>
      </c>
      <c r="N214" s="16" t="n">
        <v>0</v>
      </c>
      <c r="O214" s="16" t="n">
        <v>0</v>
      </c>
      <c r="P214" s="16" t="n">
        <v>0</v>
      </c>
      <c r="Q214" s="16" t="n">
        <v>0</v>
      </c>
      <c r="R214" s="16" t="n">
        <v>0</v>
      </c>
      <c r="S214" s="16" t="n">
        <v>0</v>
      </c>
      <c r="T214" s="16" t="n">
        <v>0</v>
      </c>
      <c r="U214" s="16" t="n">
        <v>0</v>
      </c>
      <c r="V214" s="16"/>
      <c r="W214" s="16"/>
      <c r="X214" s="16" t="n">
        <v>0</v>
      </c>
      <c r="Y214" s="16" t="n">
        <v>0</v>
      </c>
      <c r="Z214" s="16" t="n">
        <v>0</v>
      </c>
      <c r="AA214" s="16" t="n">
        <v>0</v>
      </c>
      <c r="AB214" s="16" t="n">
        <v>0</v>
      </c>
      <c r="AC214" s="16" t="n">
        <v>0</v>
      </c>
      <c r="AD214" s="16" t="n">
        <v>0</v>
      </c>
      <c r="AE214" s="16" t="n">
        <v>0</v>
      </c>
      <c r="AF214" s="16" t="n">
        <v>0</v>
      </c>
      <c r="AG214" s="16" t="n">
        <v>0</v>
      </c>
    </row>
    <row r="215" customFormat="false" ht="15.75" hidden="false" customHeight="false" outlineLevel="0" collapsed="false">
      <c r="A215" s="28" t="n">
        <v>37043</v>
      </c>
      <c r="B215" s="16" t="n">
        <v>0</v>
      </c>
      <c r="C215" s="16" t="n">
        <v>0</v>
      </c>
      <c r="D215" s="16" t="n">
        <v>0</v>
      </c>
      <c r="E215" s="16"/>
      <c r="F215" s="16"/>
      <c r="G215" s="16"/>
      <c r="H215" s="16" t="n">
        <v>0</v>
      </c>
      <c r="I215" s="16" t="n">
        <v>0</v>
      </c>
      <c r="J215" s="16"/>
      <c r="K215" s="16" t="n">
        <v>0</v>
      </c>
      <c r="L215" s="16" t="n">
        <v>0</v>
      </c>
      <c r="M215" s="16" t="n">
        <v>0</v>
      </c>
      <c r="N215" s="16" t="n">
        <v>0</v>
      </c>
      <c r="O215" s="16" t="n">
        <v>0</v>
      </c>
      <c r="P215" s="16" t="n">
        <v>0</v>
      </c>
      <c r="Q215" s="16" t="n">
        <v>0</v>
      </c>
      <c r="R215" s="16" t="n">
        <v>0</v>
      </c>
      <c r="S215" s="16" t="n">
        <v>0</v>
      </c>
      <c r="T215" s="16" t="n">
        <v>0</v>
      </c>
      <c r="U215" s="16" t="n">
        <v>0</v>
      </c>
      <c r="V215" s="16"/>
      <c r="W215" s="16"/>
      <c r="X215" s="16" t="n">
        <v>0</v>
      </c>
      <c r="Y215" s="16" t="n">
        <v>0</v>
      </c>
      <c r="Z215" s="16" t="n">
        <v>0</v>
      </c>
      <c r="AA215" s="16" t="n">
        <v>0</v>
      </c>
      <c r="AB215" s="16" t="n">
        <v>0</v>
      </c>
      <c r="AC215" s="16" t="n">
        <v>0</v>
      </c>
      <c r="AD215" s="16" t="n">
        <v>0</v>
      </c>
      <c r="AE215" s="16" t="n">
        <v>0</v>
      </c>
      <c r="AF215" s="16" t="n">
        <v>0</v>
      </c>
      <c r="AG215" s="16" t="n">
        <v>0</v>
      </c>
    </row>
    <row r="216" customFormat="false" ht="15.75" hidden="false" customHeight="false" outlineLevel="0" collapsed="false">
      <c r="A216" s="28" t="n">
        <v>37046</v>
      </c>
      <c r="B216" s="16" t="n">
        <v>0</v>
      </c>
      <c r="C216" s="16" t="n">
        <v>0</v>
      </c>
      <c r="D216" s="16" t="n">
        <v>0</v>
      </c>
      <c r="E216" s="16"/>
      <c r="F216" s="16"/>
      <c r="G216" s="16"/>
      <c r="H216" s="16" t="n">
        <v>0</v>
      </c>
      <c r="I216" s="16" t="n">
        <v>0</v>
      </c>
      <c r="J216" s="16"/>
      <c r="K216" s="16" t="n">
        <v>0</v>
      </c>
      <c r="L216" s="16" t="n">
        <v>0</v>
      </c>
      <c r="M216" s="16" t="n">
        <v>0</v>
      </c>
      <c r="N216" s="16" t="n">
        <v>0</v>
      </c>
      <c r="O216" s="16" t="n">
        <v>0</v>
      </c>
      <c r="P216" s="16" t="n">
        <v>0</v>
      </c>
      <c r="Q216" s="16" t="n">
        <v>0</v>
      </c>
      <c r="R216" s="16" t="n">
        <v>0</v>
      </c>
      <c r="S216" s="16" t="n">
        <v>0</v>
      </c>
      <c r="T216" s="16" t="n">
        <v>0</v>
      </c>
      <c r="U216" s="16" t="n">
        <v>0</v>
      </c>
      <c r="V216" s="16"/>
      <c r="W216" s="16"/>
      <c r="X216" s="16" t="n">
        <v>0</v>
      </c>
      <c r="Y216" s="16" t="n">
        <v>0</v>
      </c>
      <c r="Z216" s="16" t="n">
        <v>0</v>
      </c>
      <c r="AA216" s="16" t="n">
        <v>0</v>
      </c>
      <c r="AB216" s="16" t="n">
        <v>0</v>
      </c>
      <c r="AC216" s="16" t="n">
        <v>0</v>
      </c>
      <c r="AD216" s="16" t="n">
        <v>0</v>
      </c>
      <c r="AE216" s="16" t="n">
        <v>0</v>
      </c>
      <c r="AF216" s="16" t="n">
        <v>0</v>
      </c>
      <c r="AG216" s="16" t="n">
        <v>0</v>
      </c>
    </row>
    <row r="217" customFormat="false" ht="15.75" hidden="false" customHeight="false" outlineLevel="0" collapsed="false">
      <c r="A217" s="28" t="n">
        <v>37047</v>
      </c>
      <c r="B217" s="16" t="n">
        <v>0</v>
      </c>
      <c r="C217" s="16" t="n">
        <v>0</v>
      </c>
      <c r="D217" s="16" t="n">
        <v>0</v>
      </c>
      <c r="E217" s="16"/>
      <c r="F217" s="16"/>
      <c r="G217" s="16"/>
      <c r="H217" s="16" t="n">
        <v>0</v>
      </c>
      <c r="I217" s="16" t="n">
        <v>0</v>
      </c>
      <c r="J217" s="16"/>
      <c r="K217" s="16" t="n">
        <v>0</v>
      </c>
      <c r="L217" s="16" t="n">
        <v>0</v>
      </c>
      <c r="M217" s="16" t="n">
        <v>0</v>
      </c>
      <c r="N217" s="16" t="n">
        <v>0</v>
      </c>
      <c r="O217" s="16" t="n">
        <v>0</v>
      </c>
      <c r="P217" s="16" t="n">
        <v>0</v>
      </c>
      <c r="Q217" s="16" t="n">
        <v>0</v>
      </c>
      <c r="R217" s="16" t="n">
        <v>0</v>
      </c>
      <c r="S217" s="16" t="n">
        <v>0</v>
      </c>
      <c r="T217" s="16" t="n">
        <v>0</v>
      </c>
      <c r="U217" s="16" t="n">
        <v>0</v>
      </c>
      <c r="V217" s="16"/>
      <c r="W217" s="16"/>
      <c r="X217" s="16" t="n">
        <v>0</v>
      </c>
      <c r="Y217" s="16" t="n">
        <v>0</v>
      </c>
      <c r="Z217" s="16" t="n">
        <v>0</v>
      </c>
      <c r="AA217" s="16" t="n">
        <v>0</v>
      </c>
      <c r="AB217" s="16" t="n">
        <v>0</v>
      </c>
      <c r="AC217" s="16" t="n">
        <v>0</v>
      </c>
      <c r="AD217" s="16" t="n">
        <v>0</v>
      </c>
      <c r="AE217" s="16" t="n">
        <v>0</v>
      </c>
      <c r="AF217" s="16" t="n">
        <v>0</v>
      </c>
      <c r="AG217" s="16" t="n">
        <v>0</v>
      </c>
    </row>
    <row r="218" customFormat="false" ht="15.75" hidden="false" customHeight="false" outlineLevel="0" collapsed="false">
      <c r="A218" s="28" t="n">
        <v>37048</v>
      </c>
      <c r="B218" s="16" t="n">
        <v>0</v>
      </c>
      <c r="C218" s="16" t="n">
        <v>0</v>
      </c>
      <c r="D218" s="16" t="n">
        <v>0</v>
      </c>
      <c r="E218" s="16"/>
      <c r="F218" s="16"/>
      <c r="G218" s="16"/>
      <c r="H218" s="16" t="n">
        <v>0</v>
      </c>
      <c r="I218" s="16" t="n">
        <v>0</v>
      </c>
      <c r="J218" s="16"/>
      <c r="K218" s="16" t="n">
        <v>0</v>
      </c>
      <c r="L218" s="16" t="n">
        <v>0</v>
      </c>
      <c r="M218" s="16" t="n">
        <v>0</v>
      </c>
      <c r="N218" s="16" t="n">
        <v>0</v>
      </c>
      <c r="O218" s="16" t="n">
        <v>0</v>
      </c>
      <c r="P218" s="16" t="n">
        <v>0</v>
      </c>
      <c r="Q218" s="16" t="n">
        <v>0</v>
      </c>
      <c r="R218" s="16" t="n">
        <v>0</v>
      </c>
      <c r="S218" s="16" t="n">
        <v>0</v>
      </c>
      <c r="T218" s="16" t="n">
        <v>0</v>
      </c>
      <c r="U218" s="16" t="n">
        <v>0</v>
      </c>
      <c r="V218" s="16"/>
      <c r="W218" s="16"/>
      <c r="X218" s="16" t="n">
        <v>0</v>
      </c>
      <c r="Y218" s="16" t="n">
        <v>0</v>
      </c>
      <c r="Z218" s="16" t="n">
        <v>0</v>
      </c>
      <c r="AA218" s="16" t="n">
        <v>0</v>
      </c>
      <c r="AB218" s="16" t="n">
        <v>0</v>
      </c>
      <c r="AC218" s="16" t="n">
        <v>0</v>
      </c>
      <c r="AD218" s="16" t="n">
        <v>0</v>
      </c>
      <c r="AE218" s="16" t="n">
        <v>0</v>
      </c>
      <c r="AF218" s="16" t="n">
        <v>0</v>
      </c>
      <c r="AG218" s="16" t="n">
        <v>0</v>
      </c>
    </row>
    <row r="219" customFormat="false" ht="15.75" hidden="false" customHeight="false" outlineLevel="0" collapsed="false">
      <c r="A219" s="28" t="n">
        <v>37049</v>
      </c>
      <c r="B219" s="16" t="n">
        <v>0</v>
      </c>
      <c r="C219" s="16" t="n">
        <v>0</v>
      </c>
      <c r="D219" s="16" t="n">
        <v>0</v>
      </c>
      <c r="E219" s="16"/>
      <c r="F219" s="16"/>
      <c r="G219" s="16"/>
      <c r="H219" s="16" t="n">
        <v>0</v>
      </c>
      <c r="I219" s="16" t="n">
        <v>0</v>
      </c>
      <c r="J219" s="16"/>
      <c r="K219" s="16" t="n">
        <v>0</v>
      </c>
      <c r="L219" s="16" t="n">
        <v>0</v>
      </c>
      <c r="M219" s="16" t="n">
        <v>0</v>
      </c>
      <c r="N219" s="16" t="n">
        <v>0</v>
      </c>
      <c r="O219" s="16" t="n">
        <v>0</v>
      </c>
      <c r="P219" s="16" t="n">
        <v>0</v>
      </c>
      <c r="Q219" s="16" t="n">
        <v>0</v>
      </c>
      <c r="R219" s="16" t="n">
        <v>0</v>
      </c>
      <c r="S219" s="16" t="n">
        <v>0</v>
      </c>
      <c r="T219" s="16" t="n">
        <v>0</v>
      </c>
      <c r="U219" s="16" t="n">
        <v>0</v>
      </c>
      <c r="V219" s="16"/>
      <c r="W219" s="16"/>
      <c r="X219" s="16" t="n">
        <v>0</v>
      </c>
      <c r="Y219" s="16" t="n">
        <v>0</v>
      </c>
      <c r="Z219" s="16" t="n">
        <v>0</v>
      </c>
      <c r="AA219" s="16" t="n">
        <v>0</v>
      </c>
      <c r="AB219" s="16" t="n">
        <v>0</v>
      </c>
      <c r="AC219" s="16" t="n">
        <v>0</v>
      </c>
      <c r="AD219" s="16" t="n">
        <v>0</v>
      </c>
      <c r="AE219" s="16" t="n">
        <v>0</v>
      </c>
      <c r="AF219" s="16" t="n">
        <v>0</v>
      </c>
      <c r="AG219" s="16" t="n">
        <v>0</v>
      </c>
    </row>
    <row r="220" customFormat="false" ht="15.75" hidden="false" customHeight="false" outlineLevel="0" collapsed="false">
      <c r="A220" s="28" t="n">
        <v>37050</v>
      </c>
      <c r="B220" s="16" t="n">
        <v>0</v>
      </c>
      <c r="C220" s="16" t="n">
        <v>0</v>
      </c>
      <c r="D220" s="16" t="n">
        <v>0</v>
      </c>
      <c r="E220" s="16"/>
      <c r="F220" s="16"/>
      <c r="G220" s="16"/>
      <c r="H220" s="16" t="n">
        <v>0</v>
      </c>
      <c r="I220" s="16" t="n">
        <v>0</v>
      </c>
      <c r="J220" s="16"/>
      <c r="K220" s="16" t="n">
        <v>0</v>
      </c>
      <c r="L220" s="16" t="n">
        <v>0</v>
      </c>
      <c r="M220" s="16" t="n">
        <v>0</v>
      </c>
      <c r="N220" s="16" t="n">
        <v>0</v>
      </c>
      <c r="O220" s="16" t="n">
        <v>0</v>
      </c>
      <c r="P220" s="16" t="n">
        <v>0</v>
      </c>
      <c r="Q220" s="16" t="n">
        <v>0</v>
      </c>
      <c r="R220" s="16" t="n">
        <v>0</v>
      </c>
      <c r="S220" s="16" t="n">
        <v>0</v>
      </c>
      <c r="T220" s="16" t="n">
        <v>0</v>
      </c>
      <c r="U220" s="16" t="n">
        <v>0</v>
      </c>
      <c r="V220" s="16"/>
      <c r="W220" s="16"/>
      <c r="X220" s="16" t="n">
        <v>0</v>
      </c>
      <c r="Y220" s="16" t="n">
        <v>0</v>
      </c>
      <c r="Z220" s="16" t="n">
        <v>0</v>
      </c>
      <c r="AA220" s="16" t="n">
        <v>0</v>
      </c>
      <c r="AB220" s="16" t="n">
        <v>0</v>
      </c>
      <c r="AC220" s="16" t="n">
        <v>0</v>
      </c>
      <c r="AD220" s="16" t="n">
        <v>0</v>
      </c>
      <c r="AE220" s="16" t="n">
        <v>0</v>
      </c>
      <c r="AF220" s="16" t="n">
        <v>0</v>
      </c>
      <c r="AG220" s="16" t="n">
        <v>0</v>
      </c>
    </row>
    <row r="221" customFormat="false" ht="15.75" hidden="false" customHeight="false" outlineLevel="0" collapsed="false">
      <c r="A221" s="28" t="n">
        <v>37053</v>
      </c>
      <c r="B221" s="16" t="n">
        <v>0</v>
      </c>
      <c r="C221" s="16" t="n">
        <v>0</v>
      </c>
      <c r="D221" s="16" t="n">
        <v>0</v>
      </c>
      <c r="E221" s="16"/>
      <c r="F221" s="16"/>
      <c r="G221" s="16"/>
      <c r="H221" s="16" t="n">
        <v>0</v>
      </c>
      <c r="I221" s="16" t="n">
        <v>0</v>
      </c>
      <c r="J221" s="16"/>
      <c r="K221" s="16" t="n">
        <v>0</v>
      </c>
      <c r="L221" s="16" t="n">
        <v>0</v>
      </c>
      <c r="M221" s="16" t="n">
        <v>0</v>
      </c>
      <c r="N221" s="16" t="n">
        <v>0</v>
      </c>
      <c r="O221" s="16" t="n">
        <v>0</v>
      </c>
      <c r="P221" s="16" t="n">
        <v>0</v>
      </c>
      <c r="Q221" s="16" t="n">
        <v>0</v>
      </c>
      <c r="R221" s="16" t="n">
        <v>0</v>
      </c>
      <c r="S221" s="16" t="n">
        <v>0</v>
      </c>
      <c r="T221" s="16" t="n">
        <v>0</v>
      </c>
      <c r="U221" s="16" t="n">
        <v>0</v>
      </c>
      <c r="V221" s="16"/>
      <c r="W221" s="16"/>
      <c r="X221" s="16" t="n">
        <v>0</v>
      </c>
      <c r="Y221" s="16" t="n">
        <v>0</v>
      </c>
      <c r="Z221" s="16" t="n">
        <v>0</v>
      </c>
      <c r="AA221" s="16" t="n">
        <v>0</v>
      </c>
      <c r="AB221" s="16" t="n">
        <v>0</v>
      </c>
      <c r="AC221" s="16" t="n">
        <v>100000</v>
      </c>
      <c r="AD221" s="16" t="n">
        <v>0</v>
      </c>
      <c r="AE221" s="16" t="n">
        <v>0</v>
      </c>
      <c r="AF221" s="16" t="n">
        <v>0</v>
      </c>
      <c r="AG221" s="16" t="n">
        <v>0</v>
      </c>
    </row>
    <row r="222" customFormat="false" ht="15.75" hidden="false" customHeight="false" outlineLevel="0" collapsed="false">
      <c r="A222" s="28" t="n">
        <v>37054</v>
      </c>
      <c r="B222" s="16" t="n">
        <v>0</v>
      </c>
      <c r="C222" s="16" t="n">
        <v>0</v>
      </c>
      <c r="D222" s="16" t="n">
        <v>0</v>
      </c>
      <c r="E222" s="16"/>
      <c r="F222" s="16"/>
      <c r="G222" s="16"/>
      <c r="H222" s="16" t="n">
        <v>0</v>
      </c>
      <c r="I222" s="16" t="n">
        <v>0</v>
      </c>
      <c r="J222" s="16"/>
      <c r="K222" s="16" t="n">
        <v>0</v>
      </c>
      <c r="L222" s="16" t="n">
        <v>0</v>
      </c>
      <c r="M222" s="16" t="n">
        <v>0</v>
      </c>
      <c r="N222" s="16" t="n">
        <v>0</v>
      </c>
      <c r="O222" s="16" t="n">
        <v>0</v>
      </c>
      <c r="P222" s="16" t="n">
        <v>0</v>
      </c>
      <c r="Q222" s="16" t="n">
        <v>0</v>
      </c>
      <c r="R222" s="16" t="n">
        <v>0</v>
      </c>
      <c r="S222" s="16" t="n">
        <v>0</v>
      </c>
      <c r="T222" s="16" t="n">
        <v>0</v>
      </c>
      <c r="U222" s="16" t="n">
        <v>0</v>
      </c>
      <c r="V222" s="16"/>
      <c r="W222" s="16"/>
      <c r="X222" s="16" t="n">
        <v>0</v>
      </c>
      <c r="Y222" s="16" t="n">
        <v>0</v>
      </c>
      <c r="Z222" s="16" t="n">
        <v>0</v>
      </c>
      <c r="AA222" s="16" t="n">
        <v>0</v>
      </c>
      <c r="AB222" s="16" t="n">
        <v>0</v>
      </c>
      <c r="AC222" s="16" t="n">
        <v>0</v>
      </c>
      <c r="AD222" s="16" t="n">
        <v>0</v>
      </c>
      <c r="AE222" s="16" t="n">
        <v>0</v>
      </c>
      <c r="AF222" s="16" t="n">
        <v>0</v>
      </c>
      <c r="AG222" s="16" t="n">
        <v>0</v>
      </c>
    </row>
    <row r="223" customFormat="false" ht="15.75" hidden="false" customHeight="false" outlineLevel="0" collapsed="false">
      <c r="A223" s="28" t="n">
        <v>37055</v>
      </c>
      <c r="B223" s="16" t="n">
        <v>0</v>
      </c>
      <c r="C223" s="16" t="n">
        <v>0</v>
      </c>
      <c r="D223" s="16" t="n">
        <v>0</v>
      </c>
      <c r="E223" s="16"/>
      <c r="F223" s="16"/>
      <c r="G223" s="16"/>
      <c r="H223" s="16" t="n">
        <v>0</v>
      </c>
      <c r="I223" s="16" t="n">
        <v>0</v>
      </c>
      <c r="J223" s="16"/>
      <c r="K223" s="16" t="n">
        <v>0</v>
      </c>
      <c r="L223" s="16" t="n">
        <v>0</v>
      </c>
      <c r="M223" s="16" t="n">
        <v>0</v>
      </c>
      <c r="N223" s="16" t="n">
        <v>0</v>
      </c>
      <c r="O223" s="16" t="n">
        <v>-60000</v>
      </c>
      <c r="P223" s="16" t="n">
        <v>0</v>
      </c>
      <c r="Q223" s="16" t="n">
        <v>0</v>
      </c>
      <c r="R223" s="16" t="n">
        <v>0</v>
      </c>
      <c r="S223" s="16" t="n">
        <v>0</v>
      </c>
      <c r="T223" s="16" t="n">
        <v>0</v>
      </c>
      <c r="U223" s="16" t="n">
        <v>0</v>
      </c>
      <c r="V223" s="16"/>
      <c r="W223" s="16"/>
      <c r="X223" s="16" t="n">
        <v>0</v>
      </c>
      <c r="Y223" s="16" t="n">
        <v>0</v>
      </c>
      <c r="Z223" s="16" t="n">
        <v>0</v>
      </c>
      <c r="AA223" s="16" t="n">
        <v>0</v>
      </c>
      <c r="AB223" s="16" t="n">
        <v>0</v>
      </c>
      <c r="AC223" s="16" t="n">
        <v>0</v>
      </c>
      <c r="AD223" s="16" t="n">
        <v>0</v>
      </c>
      <c r="AE223" s="16" t="n">
        <v>0</v>
      </c>
      <c r="AF223" s="16" t="n">
        <v>0</v>
      </c>
      <c r="AG223" s="16" t="n">
        <v>0</v>
      </c>
    </row>
    <row r="224" customFormat="false" ht="15.75" hidden="false" customHeight="false" outlineLevel="0" collapsed="false">
      <c r="A224" s="28" t="n">
        <v>37056</v>
      </c>
      <c r="B224" s="16" t="n">
        <v>0</v>
      </c>
      <c r="C224" s="16" t="n">
        <v>0</v>
      </c>
      <c r="D224" s="16" t="n">
        <v>0</v>
      </c>
      <c r="E224" s="16"/>
      <c r="F224" s="16"/>
      <c r="G224" s="16"/>
      <c r="H224" s="16" t="n">
        <v>0</v>
      </c>
      <c r="I224" s="16" t="n">
        <v>0</v>
      </c>
      <c r="J224" s="16"/>
      <c r="K224" s="16" t="n">
        <v>0</v>
      </c>
      <c r="L224" s="16" t="n">
        <v>0</v>
      </c>
      <c r="M224" s="16" t="n">
        <v>0</v>
      </c>
      <c r="N224" s="16" t="n">
        <v>0</v>
      </c>
      <c r="O224" s="16" t="n">
        <v>0</v>
      </c>
      <c r="P224" s="16" t="n">
        <v>0</v>
      </c>
      <c r="Q224" s="16" t="n">
        <v>0</v>
      </c>
      <c r="R224" s="16" t="n">
        <v>0</v>
      </c>
      <c r="S224" s="16" t="n">
        <v>0</v>
      </c>
      <c r="T224" s="16" t="n">
        <v>0</v>
      </c>
      <c r="U224" s="16" t="n">
        <v>0</v>
      </c>
      <c r="V224" s="16"/>
      <c r="W224" s="16"/>
      <c r="X224" s="16" t="n">
        <v>0</v>
      </c>
      <c r="Y224" s="16" t="n">
        <v>0</v>
      </c>
      <c r="Z224" s="16" t="n">
        <v>0</v>
      </c>
      <c r="AA224" s="16" t="n">
        <v>0</v>
      </c>
      <c r="AB224" s="16" t="n">
        <v>0</v>
      </c>
      <c r="AC224" s="16" t="n">
        <v>0</v>
      </c>
      <c r="AD224" s="16" t="n">
        <v>0</v>
      </c>
      <c r="AE224" s="16" t="n">
        <v>0</v>
      </c>
      <c r="AF224" s="16" t="n">
        <v>0</v>
      </c>
      <c r="AG224" s="16" t="n">
        <v>0</v>
      </c>
    </row>
    <row r="225" customFormat="false" ht="15.75" hidden="false" customHeight="false" outlineLevel="0" collapsed="false">
      <c r="A225" s="28" t="n">
        <v>37057</v>
      </c>
      <c r="B225" s="16" t="n">
        <v>0</v>
      </c>
      <c r="C225" s="16" t="n">
        <v>0</v>
      </c>
      <c r="D225" s="16" t="n">
        <v>0</v>
      </c>
      <c r="E225" s="16"/>
      <c r="F225" s="16"/>
      <c r="G225" s="16"/>
      <c r="H225" s="16" t="n">
        <v>0</v>
      </c>
      <c r="I225" s="16" t="n">
        <v>0</v>
      </c>
      <c r="J225" s="16"/>
      <c r="K225" s="16" t="n">
        <v>0</v>
      </c>
      <c r="L225" s="16" t="n">
        <v>0</v>
      </c>
      <c r="M225" s="16" t="n">
        <v>0</v>
      </c>
      <c r="N225" s="16" t="n">
        <v>0</v>
      </c>
      <c r="O225" s="16" t="n">
        <v>0</v>
      </c>
      <c r="P225" s="16" t="n">
        <v>0</v>
      </c>
      <c r="Q225" s="16" t="n">
        <v>0</v>
      </c>
      <c r="R225" s="16" t="n">
        <v>0</v>
      </c>
      <c r="S225" s="16" t="n">
        <v>0</v>
      </c>
      <c r="T225" s="16" t="n">
        <v>0</v>
      </c>
      <c r="U225" s="16" t="n">
        <v>0</v>
      </c>
      <c r="V225" s="16"/>
      <c r="W225" s="16"/>
      <c r="X225" s="16" t="n">
        <v>0</v>
      </c>
      <c r="Y225" s="16" t="n">
        <v>0</v>
      </c>
      <c r="Z225" s="16" t="n">
        <v>0</v>
      </c>
      <c r="AA225" s="16" t="n">
        <v>0</v>
      </c>
      <c r="AB225" s="16" t="n">
        <v>0</v>
      </c>
      <c r="AC225" s="16" t="n">
        <v>0</v>
      </c>
      <c r="AD225" s="16" t="n">
        <v>0</v>
      </c>
      <c r="AE225" s="16" t="n">
        <v>0</v>
      </c>
      <c r="AF225" s="16" t="n">
        <v>0</v>
      </c>
      <c r="AG225" s="16" t="n">
        <v>0</v>
      </c>
    </row>
    <row r="226" customFormat="false" ht="15.75" hidden="false" customHeight="false" outlineLevel="0" collapsed="false">
      <c r="A226" s="28" t="n">
        <v>37060</v>
      </c>
      <c r="B226" s="16" t="n">
        <v>0</v>
      </c>
      <c r="C226" s="16" t="n">
        <v>0</v>
      </c>
      <c r="D226" s="16" t="n">
        <v>0</v>
      </c>
      <c r="E226" s="16"/>
      <c r="F226" s="16"/>
      <c r="G226" s="16"/>
      <c r="H226" s="16" t="n">
        <v>0</v>
      </c>
      <c r="I226" s="16" t="n">
        <v>0</v>
      </c>
      <c r="J226" s="16"/>
      <c r="K226" s="16" t="n">
        <v>0</v>
      </c>
      <c r="L226" s="16" t="n">
        <v>0</v>
      </c>
      <c r="M226" s="16" t="n">
        <v>0</v>
      </c>
      <c r="N226" s="16" t="n">
        <v>0</v>
      </c>
      <c r="O226" s="16" t="n">
        <v>0</v>
      </c>
      <c r="P226" s="16" t="n">
        <v>0</v>
      </c>
      <c r="Q226" s="16" t="n">
        <v>0</v>
      </c>
      <c r="R226" s="16" t="n">
        <v>0</v>
      </c>
      <c r="S226" s="16" t="n">
        <v>0</v>
      </c>
      <c r="T226" s="16" t="n">
        <v>0</v>
      </c>
      <c r="U226" s="16" t="n">
        <v>0</v>
      </c>
      <c r="V226" s="16"/>
      <c r="W226" s="16"/>
      <c r="X226" s="16" t="n">
        <v>0</v>
      </c>
      <c r="Y226" s="16" t="n">
        <v>0</v>
      </c>
      <c r="Z226" s="16" t="n">
        <v>0</v>
      </c>
      <c r="AA226" s="16" t="n">
        <v>0</v>
      </c>
      <c r="AB226" s="16" t="n">
        <v>0</v>
      </c>
      <c r="AC226" s="16" t="n">
        <v>0</v>
      </c>
      <c r="AD226" s="16" t="n">
        <v>0</v>
      </c>
      <c r="AE226" s="16" t="n">
        <v>0</v>
      </c>
      <c r="AF226" s="16" t="n">
        <v>0</v>
      </c>
      <c r="AG226" s="16" t="n">
        <v>0</v>
      </c>
    </row>
    <row r="227" customFormat="false" ht="15.75" hidden="false" customHeight="false" outlineLevel="0" collapsed="false">
      <c r="A227" s="28" t="n">
        <v>37061</v>
      </c>
      <c r="B227" s="16" t="n">
        <v>0</v>
      </c>
      <c r="C227" s="16" t="n">
        <v>0</v>
      </c>
      <c r="D227" s="16" t="n">
        <v>0</v>
      </c>
      <c r="E227" s="16"/>
      <c r="F227" s="16"/>
      <c r="G227" s="16"/>
      <c r="H227" s="16" t="n">
        <v>0</v>
      </c>
      <c r="I227" s="16" t="n">
        <v>0</v>
      </c>
      <c r="J227" s="16"/>
      <c r="K227" s="16" t="n">
        <v>0</v>
      </c>
      <c r="L227" s="16" t="n">
        <v>0</v>
      </c>
      <c r="M227" s="16" t="n">
        <v>0</v>
      </c>
      <c r="N227" s="16" t="n">
        <v>0</v>
      </c>
      <c r="O227" s="16" t="n">
        <v>0</v>
      </c>
      <c r="P227" s="16" t="n">
        <v>0</v>
      </c>
      <c r="Q227" s="16" t="n">
        <v>0</v>
      </c>
      <c r="R227" s="16" t="n">
        <v>0</v>
      </c>
      <c r="S227" s="16" t="n">
        <v>0</v>
      </c>
      <c r="T227" s="16" t="n">
        <v>0</v>
      </c>
      <c r="U227" s="16" t="n">
        <v>0</v>
      </c>
      <c r="V227" s="16"/>
      <c r="W227" s="16"/>
      <c r="X227" s="16" t="n">
        <v>0</v>
      </c>
      <c r="Y227" s="16" t="n">
        <v>0</v>
      </c>
      <c r="Z227" s="16" t="n">
        <v>0</v>
      </c>
      <c r="AA227" s="16" t="n">
        <v>0</v>
      </c>
      <c r="AB227" s="16" t="n">
        <v>0</v>
      </c>
      <c r="AC227" s="16" t="n">
        <v>0</v>
      </c>
      <c r="AD227" s="16" t="n">
        <v>0</v>
      </c>
      <c r="AE227" s="16" t="n">
        <v>0</v>
      </c>
      <c r="AF227" s="16" t="n">
        <v>0</v>
      </c>
      <c r="AG227" s="16" t="n">
        <v>0</v>
      </c>
    </row>
    <row r="228" customFormat="false" ht="15.75" hidden="false" customHeight="false" outlineLevel="0" collapsed="false">
      <c r="A228" s="28" t="n">
        <v>37062</v>
      </c>
      <c r="B228" s="16" t="n">
        <v>0</v>
      </c>
      <c r="C228" s="16" t="n">
        <v>0</v>
      </c>
      <c r="D228" s="16" t="n">
        <v>0</v>
      </c>
      <c r="E228" s="16"/>
      <c r="F228" s="16"/>
      <c r="G228" s="16"/>
      <c r="H228" s="16" t="n">
        <v>0</v>
      </c>
      <c r="I228" s="16" t="n">
        <v>0</v>
      </c>
      <c r="J228" s="16"/>
      <c r="K228" s="16" t="n">
        <v>0</v>
      </c>
      <c r="L228" s="16" t="n">
        <v>0</v>
      </c>
      <c r="M228" s="16" t="n">
        <v>0</v>
      </c>
      <c r="N228" s="16" t="n">
        <v>0</v>
      </c>
      <c r="O228" s="16" t="n">
        <v>0</v>
      </c>
      <c r="P228" s="16" t="n">
        <v>0</v>
      </c>
      <c r="Q228" s="16" t="n">
        <v>0</v>
      </c>
      <c r="R228" s="16" t="n">
        <v>0</v>
      </c>
      <c r="S228" s="16" t="n">
        <v>0</v>
      </c>
      <c r="T228" s="16" t="n">
        <v>0</v>
      </c>
      <c r="U228" s="16" t="n">
        <v>0</v>
      </c>
      <c r="V228" s="16"/>
      <c r="W228" s="16"/>
      <c r="X228" s="16" t="n">
        <v>0</v>
      </c>
      <c r="Y228" s="16" t="n">
        <v>0</v>
      </c>
      <c r="Z228" s="16" t="n">
        <v>0</v>
      </c>
      <c r="AA228" s="16" t="n">
        <v>0</v>
      </c>
      <c r="AB228" s="16" t="n">
        <v>0</v>
      </c>
      <c r="AC228" s="16" t="n">
        <v>0</v>
      </c>
      <c r="AD228" s="16" t="n">
        <v>0</v>
      </c>
      <c r="AE228" s="16" t="n">
        <v>0</v>
      </c>
      <c r="AF228" s="16" t="n">
        <v>0</v>
      </c>
      <c r="AG228" s="16" t="n">
        <v>0</v>
      </c>
    </row>
    <row r="229" customFormat="false" ht="15.75" hidden="false" customHeight="false" outlineLevel="0" collapsed="false">
      <c r="A229" s="28" t="n">
        <v>37063</v>
      </c>
      <c r="B229" s="16" t="n">
        <v>0</v>
      </c>
      <c r="C229" s="16" t="n">
        <v>0</v>
      </c>
      <c r="D229" s="16" t="n">
        <v>0</v>
      </c>
      <c r="E229" s="16"/>
      <c r="F229" s="16"/>
      <c r="G229" s="16"/>
      <c r="H229" s="16" t="n">
        <v>0</v>
      </c>
      <c r="I229" s="16" t="n">
        <v>0</v>
      </c>
      <c r="J229" s="16"/>
      <c r="K229" s="16" t="n">
        <v>0</v>
      </c>
      <c r="L229" s="16" t="n">
        <v>0</v>
      </c>
      <c r="M229" s="16" t="n">
        <v>0</v>
      </c>
      <c r="N229" s="16" t="n">
        <v>0</v>
      </c>
      <c r="O229" s="16" t="n">
        <v>0</v>
      </c>
      <c r="P229" s="16" t="n">
        <v>0</v>
      </c>
      <c r="Q229" s="16" t="n">
        <v>0</v>
      </c>
      <c r="R229" s="16" t="n">
        <v>0</v>
      </c>
      <c r="S229" s="16" t="n">
        <v>0</v>
      </c>
      <c r="T229" s="16" t="n">
        <v>0</v>
      </c>
      <c r="U229" s="16" t="n">
        <v>0</v>
      </c>
      <c r="V229" s="16"/>
      <c r="W229" s="16"/>
      <c r="X229" s="16" t="n">
        <v>0</v>
      </c>
      <c r="Y229" s="16" t="n">
        <v>0</v>
      </c>
      <c r="Z229" s="16" t="n">
        <v>0</v>
      </c>
      <c r="AA229" s="16" t="n">
        <v>0</v>
      </c>
      <c r="AB229" s="16" t="n">
        <v>0</v>
      </c>
      <c r="AC229" s="16" t="n">
        <v>0</v>
      </c>
      <c r="AD229" s="16" t="n">
        <v>0</v>
      </c>
      <c r="AE229" s="16" t="n">
        <v>0</v>
      </c>
      <c r="AF229" s="16" t="n">
        <v>0</v>
      </c>
      <c r="AG229" s="16" t="n">
        <v>0</v>
      </c>
    </row>
    <row r="230" customFormat="false" ht="15.75" hidden="false" customHeight="false" outlineLevel="0" collapsed="false">
      <c r="A230" s="28" t="n">
        <v>37064</v>
      </c>
      <c r="B230" s="16" t="n">
        <v>0</v>
      </c>
      <c r="C230" s="16" t="n">
        <v>0</v>
      </c>
      <c r="D230" s="16" t="n">
        <v>0</v>
      </c>
      <c r="E230" s="16"/>
      <c r="F230" s="16"/>
      <c r="G230" s="16"/>
      <c r="H230" s="16" t="n">
        <v>0</v>
      </c>
      <c r="I230" s="16" t="n">
        <v>0</v>
      </c>
      <c r="J230" s="16"/>
      <c r="K230" s="16" t="n">
        <v>0</v>
      </c>
      <c r="L230" s="16" t="n">
        <v>0</v>
      </c>
      <c r="M230" s="16" t="n">
        <v>0</v>
      </c>
      <c r="N230" s="16" t="n">
        <v>0</v>
      </c>
      <c r="O230" s="16" t="n">
        <v>0</v>
      </c>
      <c r="P230" s="16" t="n">
        <v>0</v>
      </c>
      <c r="Q230" s="16" t="n">
        <v>0</v>
      </c>
      <c r="R230" s="16" t="n">
        <v>0</v>
      </c>
      <c r="S230" s="16" t="n">
        <v>0</v>
      </c>
      <c r="T230" s="16" t="n">
        <v>0</v>
      </c>
      <c r="U230" s="16" t="n">
        <v>0</v>
      </c>
      <c r="V230" s="16"/>
      <c r="W230" s="16"/>
      <c r="X230" s="16" t="n">
        <v>0</v>
      </c>
      <c r="Y230" s="16" t="n">
        <v>0</v>
      </c>
      <c r="Z230" s="16" t="n">
        <v>0</v>
      </c>
      <c r="AA230" s="16" t="n">
        <v>0</v>
      </c>
      <c r="AB230" s="16" t="n">
        <v>0</v>
      </c>
      <c r="AC230" s="16" t="n">
        <v>0</v>
      </c>
      <c r="AD230" s="16" t="n">
        <v>0</v>
      </c>
      <c r="AE230" s="16" t="n">
        <v>0</v>
      </c>
      <c r="AF230" s="16" t="n">
        <v>0</v>
      </c>
      <c r="AG230" s="16" t="n">
        <v>0</v>
      </c>
    </row>
    <row r="231" customFormat="false" ht="15.75" hidden="false" customHeight="false" outlineLevel="0" collapsed="false">
      <c r="A231" s="28" t="n">
        <v>37067</v>
      </c>
      <c r="B231" s="16" t="n">
        <v>0</v>
      </c>
      <c r="C231" s="16" t="n">
        <v>0</v>
      </c>
      <c r="D231" s="16" t="n">
        <v>0</v>
      </c>
      <c r="E231" s="16"/>
      <c r="F231" s="16"/>
      <c r="G231" s="16"/>
      <c r="H231" s="16" t="n">
        <v>0</v>
      </c>
      <c r="I231" s="16" t="n">
        <v>0</v>
      </c>
      <c r="J231" s="16"/>
      <c r="K231" s="16" t="n">
        <v>0</v>
      </c>
      <c r="L231" s="16" t="n">
        <v>0</v>
      </c>
      <c r="M231" s="16" t="n">
        <v>0</v>
      </c>
      <c r="N231" s="16" t="n">
        <v>0</v>
      </c>
      <c r="O231" s="16" t="n">
        <v>0</v>
      </c>
      <c r="P231" s="16" t="n">
        <v>0</v>
      </c>
      <c r="Q231" s="16" t="n">
        <v>0</v>
      </c>
      <c r="R231" s="16" t="n">
        <v>0</v>
      </c>
      <c r="S231" s="16" t="n">
        <v>0</v>
      </c>
      <c r="T231" s="16" t="n">
        <v>0</v>
      </c>
      <c r="U231" s="16" t="n">
        <v>0</v>
      </c>
      <c r="V231" s="16"/>
      <c r="W231" s="16"/>
      <c r="X231" s="16" t="n">
        <v>0</v>
      </c>
      <c r="Y231" s="16" t="n">
        <v>0</v>
      </c>
      <c r="Z231" s="16" t="n">
        <v>0</v>
      </c>
      <c r="AA231" s="16" t="n">
        <v>0</v>
      </c>
      <c r="AB231" s="16" t="n">
        <v>0</v>
      </c>
      <c r="AC231" s="16" t="n">
        <v>0</v>
      </c>
      <c r="AD231" s="16" t="n">
        <v>0</v>
      </c>
      <c r="AE231" s="16" t="n">
        <v>0</v>
      </c>
      <c r="AF231" s="16" t="n">
        <v>0</v>
      </c>
      <c r="AG231" s="16" t="n">
        <v>0</v>
      </c>
    </row>
    <row r="232" customFormat="false" ht="15.75" hidden="false" customHeight="false" outlineLevel="0" collapsed="false">
      <c r="A232" s="28" t="n">
        <v>37068</v>
      </c>
      <c r="B232" s="16" t="n">
        <v>0</v>
      </c>
      <c r="C232" s="16" t="n">
        <v>0</v>
      </c>
      <c r="D232" s="16" t="n">
        <v>0</v>
      </c>
      <c r="E232" s="16"/>
      <c r="F232" s="16"/>
      <c r="G232" s="16"/>
      <c r="H232" s="16" t="n">
        <v>0</v>
      </c>
      <c r="I232" s="16" t="n">
        <v>0</v>
      </c>
      <c r="J232" s="16"/>
      <c r="K232" s="16" t="n">
        <v>0</v>
      </c>
      <c r="L232" s="16" t="n">
        <v>0</v>
      </c>
      <c r="M232" s="16" t="n">
        <v>0</v>
      </c>
      <c r="N232" s="16" t="n">
        <v>0</v>
      </c>
      <c r="O232" s="16" t="n">
        <v>0</v>
      </c>
      <c r="P232" s="16" t="n">
        <v>0</v>
      </c>
      <c r="Q232" s="16" t="n">
        <v>0</v>
      </c>
      <c r="R232" s="16" t="n">
        <v>0</v>
      </c>
      <c r="S232" s="16" t="n">
        <v>0</v>
      </c>
      <c r="T232" s="16" t="n">
        <v>0</v>
      </c>
      <c r="U232" s="16" t="n">
        <v>0</v>
      </c>
      <c r="V232" s="16"/>
      <c r="W232" s="16"/>
      <c r="X232" s="16" t="n">
        <v>0</v>
      </c>
      <c r="Y232" s="16" t="n">
        <v>0</v>
      </c>
      <c r="Z232" s="16" t="n">
        <v>0</v>
      </c>
      <c r="AA232" s="16" t="n">
        <v>0</v>
      </c>
      <c r="AB232" s="16" t="n">
        <v>0</v>
      </c>
      <c r="AC232" s="16" t="n">
        <v>0</v>
      </c>
      <c r="AD232" s="16" t="n">
        <v>0</v>
      </c>
      <c r="AE232" s="16" t="n">
        <v>0</v>
      </c>
      <c r="AF232" s="16" t="n">
        <v>0</v>
      </c>
      <c r="AG232" s="16" t="n">
        <v>0</v>
      </c>
    </row>
    <row r="233" customFormat="false" ht="15.75" hidden="false" customHeight="false" outlineLevel="0" collapsed="false">
      <c r="A233" s="28" t="n">
        <v>37069</v>
      </c>
      <c r="B233" s="16" t="n">
        <v>0</v>
      </c>
      <c r="C233" s="16" t="n">
        <v>0</v>
      </c>
      <c r="D233" s="16" t="n">
        <v>0</v>
      </c>
      <c r="E233" s="16"/>
      <c r="F233" s="16"/>
      <c r="G233" s="16"/>
      <c r="H233" s="16" t="n">
        <v>0</v>
      </c>
      <c r="I233" s="16" t="n">
        <v>0</v>
      </c>
      <c r="J233" s="16"/>
      <c r="K233" s="16" t="n">
        <v>0</v>
      </c>
      <c r="L233" s="16" t="n">
        <v>0</v>
      </c>
      <c r="M233" s="16" t="n">
        <v>0</v>
      </c>
      <c r="N233" s="16" t="n">
        <v>0</v>
      </c>
      <c r="O233" s="16" t="n">
        <v>0</v>
      </c>
      <c r="P233" s="16" t="n">
        <v>0</v>
      </c>
      <c r="Q233" s="16" t="n">
        <v>0</v>
      </c>
      <c r="R233" s="16" t="n">
        <v>0</v>
      </c>
      <c r="S233" s="16" t="n">
        <v>0</v>
      </c>
      <c r="T233" s="16" t="n">
        <v>0</v>
      </c>
      <c r="U233" s="16" t="n">
        <v>0</v>
      </c>
      <c r="V233" s="16"/>
      <c r="W233" s="16"/>
      <c r="X233" s="16" t="n">
        <v>0</v>
      </c>
      <c r="Y233" s="16" t="n">
        <v>0</v>
      </c>
      <c r="Z233" s="16" t="n">
        <v>0</v>
      </c>
      <c r="AA233" s="16" t="n">
        <v>0</v>
      </c>
      <c r="AB233" s="16" t="n">
        <v>0</v>
      </c>
      <c r="AC233" s="16" t="n">
        <v>0</v>
      </c>
      <c r="AD233" s="16" t="n">
        <v>0</v>
      </c>
      <c r="AE233" s="16" t="n">
        <v>0</v>
      </c>
      <c r="AF233" s="16" t="n">
        <v>0</v>
      </c>
      <c r="AG233" s="16" t="n">
        <v>0</v>
      </c>
    </row>
    <row r="234" customFormat="false" ht="15.75" hidden="false" customHeight="false" outlineLevel="0" collapsed="false">
      <c r="A234" s="28" t="n">
        <v>37070</v>
      </c>
      <c r="B234" s="16" t="n">
        <v>0</v>
      </c>
      <c r="C234" s="16" t="n">
        <v>0</v>
      </c>
      <c r="D234" s="16" t="n">
        <v>0</v>
      </c>
      <c r="E234" s="16"/>
      <c r="F234" s="16"/>
      <c r="G234" s="16"/>
      <c r="H234" s="16" t="n">
        <v>0</v>
      </c>
      <c r="I234" s="16" t="n">
        <v>0</v>
      </c>
      <c r="J234" s="16"/>
      <c r="K234" s="16" t="n">
        <v>0</v>
      </c>
      <c r="L234" s="16" t="n">
        <v>0</v>
      </c>
      <c r="M234" s="16" t="n">
        <v>0</v>
      </c>
      <c r="N234" s="16" t="n">
        <v>0</v>
      </c>
      <c r="O234" s="16" t="n">
        <v>0</v>
      </c>
      <c r="P234" s="16" t="n">
        <v>0</v>
      </c>
      <c r="Q234" s="16" t="n">
        <v>0</v>
      </c>
      <c r="R234" s="16" t="n">
        <v>0</v>
      </c>
      <c r="S234" s="16" t="n">
        <v>0</v>
      </c>
      <c r="T234" s="16" t="n">
        <f aca="false">532687.51</f>
        <v>532687.51</v>
      </c>
      <c r="U234" s="16" t="n">
        <f aca="false">-532687.51</f>
        <v>-532687.51</v>
      </c>
      <c r="V234" s="16"/>
      <c r="W234" s="16"/>
      <c r="X234" s="16" t="n">
        <v>0</v>
      </c>
      <c r="Y234" s="16" t="n">
        <v>0</v>
      </c>
      <c r="Z234" s="16" t="n">
        <v>0</v>
      </c>
      <c r="AA234" s="16" t="n">
        <v>0</v>
      </c>
      <c r="AB234" s="16" t="n">
        <v>0</v>
      </c>
      <c r="AC234" s="16" t="n">
        <v>0</v>
      </c>
      <c r="AD234" s="16" t="n">
        <v>0</v>
      </c>
      <c r="AE234" s="16" t="n">
        <v>0</v>
      </c>
      <c r="AF234" s="16" t="n">
        <v>0</v>
      </c>
      <c r="AG234" s="16" t="n">
        <v>0</v>
      </c>
    </row>
    <row r="235" customFormat="false" ht="15.75" hidden="false" customHeight="false" outlineLevel="0" collapsed="false">
      <c r="A235" s="28" t="n">
        <v>37071</v>
      </c>
      <c r="B235" s="16" t="n">
        <v>0</v>
      </c>
      <c r="C235" s="16" t="n">
        <v>123724.3</v>
      </c>
      <c r="D235" s="16" t="n">
        <v>0</v>
      </c>
      <c r="E235" s="16"/>
      <c r="F235" s="16"/>
      <c r="G235" s="16"/>
      <c r="H235" s="16" t="n">
        <v>0</v>
      </c>
      <c r="I235" s="16" t="n">
        <v>0</v>
      </c>
      <c r="J235" s="16"/>
      <c r="K235" s="16" t="n">
        <v>0</v>
      </c>
      <c r="L235" s="16" t="n">
        <v>0</v>
      </c>
      <c r="M235" s="16" t="n">
        <v>0</v>
      </c>
      <c r="N235" s="16" t="n">
        <v>0</v>
      </c>
      <c r="O235" s="16" t="n">
        <v>-40000</v>
      </c>
      <c r="P235" s="16" t="n">
        <v>0</v>
      </c>
      <c r="Q235" s="16" t="n">
        <v>0</v>
      </c>
      <c r="R235" s="16" t="n">
        <v>0</v>
      </c>
      <c r="S235" s="16" t="n">
        <v>0</v>
      </c>
      <c r="T235" s="16" t="n">
        <v>1497687.5</v>
      </c>
      <c r="U235" s="16" t="n">
        <v>-1422307.76</v>
      </c>
      <c r="V235" s="16"/>
      <c r="W235" s="16"/>
      <c r="X235" s="16" t="n">
        <v>0</v>
      </c>
      <c r="Y235" s="16" t="n">
        <v>0</v>
      </c>
      <c r="Z235" s="16" t="n">
        <v>0</v>
      </c>
      <c r="AA235" s="16" t="n">
        <v>0</v>
      </c>
      <c r="AB235" s="16" t="n">
        <v>0</v>
      </c>
      <c r="AC235" s="16" t="n">
        <v>915000</v>
      </c>
      <c r="AD235" s="16" t="n">
        <v>-162836.33</v>
      </c>
      <c r="AE235" s="16" t="n">
        <v>0</v>
      </c>
      <c r="AF235" s="16" t="n">
        <v>0</v>
      </c>
      <c r="AG235" s="16" t="n">
        <v>0</v>
      </c>
    </row>
    <row r="236" customFormat="false" ht="15.75" hidden="false" customHeight="false" outlineLevel="0" collapsed="false">
      <c r="A236" s="28" t="n">
        <v>37083</v>
      </c>
      <c r="B236" s="16" t="n">
        <v>0</v>
      </c>
      <c r="C236" s="16" t="n">
        <v>0</v>
      </c>
      <c r="D236" s="16" t="n">
        <v>0</v>
      </c>
      <c r="E236" s="16"/>
      <c r="F236" s="16"/>
      <c r="G236" s="16"/>
      <c r="H236" s="16" t="n">
        <v>0</v>
      </c>
      <c r="I236" s="16" t="n">
        <v>0</v>
      </c>
      <c r="J236" s="16"/>
      <c r="K236" s="16" t="n">
        <v>0</v>
      </c>
      <c r="L236" s="16" t="n">
        <v>0</v>
      </c>
      <c r="M236" s="16" t="n">
        <v>0</v>
      </c>
      <c r="N236" s="16" t="n">
        <v>0</v>
      </c>
      <c r="O236" s="16" t="n">
        <v>0</v>
      </c>
      <c r="P236" s="16" t="n">
        <v>0</v>
      </c>
      <c r="Q236" s="16" t="n">
        <v>0</v>
      </c>
      <c r="R236" s="16" t="n">
        <v>0</v>
      </c>
      <c r="S236" s="16" t="n">
        <v>0</v>
      </c>
      <c r="T236" s="16" t="n">
        <v>0</v>
      </c>
      <c r="U236" s="16" t="n">
        <v>0</v>
      </c>
      <c r="V236" s="16"/>
      <c r="W236" s="16"/>
      <c r="X236" s="16" t="n">
        <v>0</v>
      </c>
      <c r="Y236" s="16" t="n">
        <v>0</v>
      </c>
      <c r="Z236" s="16" t="n">
        <v>0</v>
      </c>
      <c r="AA236" s="16" t="n">
        <v>0</v>
      </c>
      <c r="AB236" s="16" t="n">
        <v>0</v>
      </c>
      <c r="AC236" s="16" t="n">
        <v>0</v>
      </c>
      <c r="AD236" s="16" t="n">
        <v>0</v>
      </c>
      <c r="AE236" s="16" t="n">
        <v>0</v>
      </c>
      <c r="AF236" s="16" t="n">
        <v>0</v>
      </c>
      <c r="AG236" s="16" t="n">
        <v>0</v>
      </c>
    </row>
    <row r="237" customFormat="false" ht="15.75" hidden="false" customHeight="false" outlineLevel="0" collapsed="false">
      <c r="A237" s="28" t="n">
        <v>37084</v>
      </c>
      <c r="B237" s="16" t="n">
        <v>0</v>
      </c>
      <c r="C237" s="16" t="n">
        <v>0</v>
      </c>
      <c r="D237" s="16" t="n">
        <v>0</v>
      </c>
      <c r="E237" s="16"/>
      <c r="F237" s="16"/>
      <c r="G237" s="16"/>
      <c r="H237" s="16" t="n">
        <v>0</v>
      </c>
      <c r="I237" s="16" t="n">
        <v>0</v>
      </c>
      <c r="J237" s="16"/>
      <c r="K237" s="16" t="n">
        <v>0</v>
      </c>
      <c r="L237" s="16" t="n">
        <v>0</v>
      </c>
      <c r="M237" s="16" t="n">
        <v>0</v>
      </c>
      <c r="N237" s="16" t="n">
        <v>0</v>
      </c>
      <c r="O237" s="16" t="n">
        <v>0</v>
      </c>
      <c r="P237" s="16" t="n">
        <v>0</v>
      </c>
      <c r="Q237" s="16" t="n">
        <v>0</v>
      </c>
      <c r="R237" s="16" t="n">
        <v>0</v>
      </c>
      <c r="S237" s="16" t="n">
        <v>0</v>
      </c>
      <c r="T237" s="16" t="n">
        <v>0</v>
      </c>
      <c r="U237" s="16" t="n">
        <v>0</v>
      </c>
      <c r="V237" s="16"/>
      <c r="W237" s="16"/>
      <c r="X237" s="16" t="n">
        <v>0</v>
      </c>
      <c r="Y237" s="16" t="n">
        <v>0</v>
      </c>
      <c r="Z237" s="16" t="n">
        <v>0</v>
      </c>
      <c r="AA237" s="16" t="n">
        <v>0</v>
      </c>
      <c r="AB237" s="16" t="n">
        <v>0</v>
      </c>
      <c r="AC237" s="16" t="n">
        <v>0</v>
      </c>
      <c r="AD237" s="16" t="n">
        <v>0</v>
      </c>
      <c r="AE237" s="16" t="n">
        <v>0</v>
      </c>
      <c r="AF237" s="16" t="n">
        <v>0</v>
      </c>
      <c r="AG237" s="16" t="n">
        <v>0</v>
      </c>
    </row>
    <row r="238" customFormat="false" ht="15.75" hidden="false" customHeight="false" outlineLevel="0" collapsed="false">
      <c r="A238" s="28" t="n">
        <v>37085</v>
      </c>
      <c r="B238" s="16" t="n">
        <v>0</v>
      </c>
      <c r="C238" s="16" t="n">
        <v>0</v>
      </c>
      <c r="D238" s="16" t="n">
        <v>0</v>
      </c>
      <c r="E238" s="16"/>
      <c r="F238" s="16"/>
      <c r="G238" s="16"/>
      <c r="H238" s="16" t="n">
        <v>0</v>
      </c>
      <c r="I238" s="16" t="n">
        <v>0</v>
      </c>
      <c r="J238" s="16"/>
      <c r="K238" s="16" t="n">
        <v>0</v>
      </c>
      <c r="L238" s="16" t="n">
        <v>0</v>
      </c>
      <c r="M238" s="16" t="n">
        <v>0</v>
      </c>
      <c r="N238" s="16" t="n">
        <v>0</v>
      </c>
      <c r="O238" s="16" t="n">
        <v>0</v>
      </c>
      <c r="P238" s="16" t="n">
        <v>0</v>
      </c>
      <c r="Q238" s="16" t="n">
        <v>0</v>
      </c>
      <c r="R238" s="16" t="n">
        <v>0</v>
      </c>
      <c r="S238" s="16" t="n">
        <v>0</v>
      </c>
      <c r="T238" s="16" t="n">
        <v>0</v>
      </c>
      <c r="U238" s="16" t="n">
        <v>0</v>
      </c>
      <c r="V238" s="16"/>
      <c r="W238" s="16"/>
      <c r="X238" s="16" t="n">
        <v>0</v>
      </c>
      <c r="Y238" s="16" t="n">
        <v>0</v>
      </c>
      <c r="Z238" s="16" t="n">
        <v>0</v>
      </c>
      <c r="AA238" s="16" t="n">
        <v>0</v>
      </c>
      <c r="AB238" s="16" t="n">
        <v>0</v>
      </c>
      <c r="AC238" s="16" t="n">
        <v>0</v>
      </c>
      <c r="AD238" s="16" t="n">
        <v>0</v>
      </c>
      <c r="AE238" s="16" t="n">
        <v>0</v>
      </c>
      <c r="AF238" s="16" t="n">
        <v>0</v>
      </c>
      <c r="AG238" s="16" t="n">
        <v>0</v>
      </c>
    </row>
    <row r="239" customFormat="false" ht="15.75" hidden="false" customHeight="false" outlineLevel="0" collapsed="false">
      <c r="A239" s="28" t="n">
        <v>37088</v>
      </c>
      <c r="B239" s="16" t="n">
        <v>0</v>
      </c>
      <c r="C239" s="16" t="n">
        <v>0</v>
      </c>
      <c r="D239" s="16" t="n">
        <v>0</v>
      </c>
      <c r="E239" s="16"/>
      <c r="F239" s="16"/>
      <c r="G239" s="16"/>
      <c r="H239" s="16" t="n">
        <v>0</v>
      </c>
      <c r="I239" s="16" t="n">
        <v>0</v>
      </c>
      <c r="J239" s="16"/>
      <c r="K239" s="16" t="n">
        <v>0</v>
      </c>
      <c r="L239" s="16" t="n">
        <v>0</v>
      </c>
      <c r="M239" s="16" t="n">
        <v>0</v>
      </c>
      <c r="N239" s="16" t="n">
        <v>0</v>
      </c>
      <c r="O239" s="16" t="n">
        <v>0</v>
      </c>
      <c r="P239" s="16" t="n">
        <v>0</v>
      </c>
      <c r="Q239" s="16" t="n">
        <v>0</v>
      </c>
      <c r="R239" s="16" t="n">
        <v>0</v>
      </c>
      <c r="S239" s="16" t="n">
        <v>0</v>
      </c>
      <c r="T239" s="16" t="n">
        <v>0</v>
      </c>
      <c r="U239" s="16" t="n">
        <v>0</v>
      </c>
      <c r="V239" s="16"/>
      <c r="W239" s="16"/>
      <c r="X239" s="16" t="n">
        <v>0</v>
      </c>
      <c r="Y239" s="16" t="n">
        <v>0</v>
      </c>
      <c r="Z239" s="16" t="n">
        <v>0</v>
      </c>
      <c r="AA239" s="16" t="n">
        <v>0</v>
      </c>
      <c r="AB239" s="16" t="n">
        <v>0</v>
      </c>
      <c r="AC239" s="16" t="n">
        <v>0</v>
      </c>
      <c r="AD239" s="16" t="n">
        <v>0</v>
      </c>
      <c r="AE239" s="16" t="n">
        <v>0</v>
      </c>
      <c r="AF239" s="16" t="n">
        <v>0</v>
      </c>
      <c r="AG239" s="16" t="n">
        <v>0</v>
      </c>
    </row>
    <row r="240" customFormat="false" ht="15.75" hidden="false" customHeight="false" outlineLevel="0" collapsed="false">
      <c r="A240" s="28" t="n">
        <v>37089</v>
      </c>
      <c r="B240" s="16" t="n">
        <v>0</v>
      </c>
      <c r="C240" s="16" t="n">
        <v>0</v>
      </c>
      <c r="D240" s="16" t="n">
        <v>0</v>
      </c>
      <c r="E240" s="16"/>
      <c r="F240" s="16"/>
      <c r="G240" s="16"/>
      <c r="H240" s="16" t="n">
        <v>0</v>
      </c>
      <c r="I240" s="16" t="n">
        <v>0</v>
      </c>
      <c r="J240" s="16"/>
      <c r="K240" s="16" t="n">
        <v>0</v>
      </c>
      <c r="L240" s="16" t="n">
        <v>0</v>
      </c>
      <c r="M240" s="16" t="n">
        <v>0</v>
      </c>
      <c r="N240" s="16" t="n">
        <v>0</v>
      </c>
      <c r="O240" s="16" t="n">
        <v>0</v>
      </c>
      <c r="P240" s="16" t="n">
        <v>0</v>
      </c>
      <c r="Q240" s="16" t="n">
        <v>0</v>
      </c>
      <c r="R240" s="16" t="n">
        <v>0</v>
      </c>
      <c r="S240" s="16" t="n">
        <v>0</v>
      </c>
      <c r="T240" s="16" t="n">
        <v>0</v>
      </c>
      <c r="U240" s="16" t="n">
        <v>0</v>
      </c>
      <c r="V240" s="16"/>
      <c r="W240" s="16"/>
      <c r="X240" s="16" t="n">
        <v>0</v>
      </c>
      <c r="Y240" s="16" t="n">
        <v>0</v>
      </c>
      <c r="Z240" s="16" t="n">
        <v>0</v>
      </c>
      <c r="AA240" s="16" t="n">
        <v>0</v>
      </c>
      <c r="AB240" s="16" t="n">
        <v>0</v>
      </c>
      <c r="AC240" s="16" t="n">
        <v>0</v>
      </c>
      <c r="AD240" s="16" t="n">
        <v>0</v>
      </c>
      <c r="AE240" s="16" t="n">
        <v>0</v>
      </c>
      <c r="AF240" s="16" t="n">
        <v>0</v>
      </c>
      <c r="AG240" s="16" t="n">
        <v>0</v>
      </c>
    </row>
    <row r="241" customFormat="false" ht="15.75" hidden="false" customHeight="false" outlineLevel="0" collapsed="false">
      <c r="A241" s="28" t="n">
        <v>37090</v>
      </c>
      <c r="B241" s="16" t="n">
        <v>0</v>
      </c>
      <c r="C241" s="16" t="n">
        <v>0</v>
      </c>
      <c r="D241" s="16" t="n">
        <v>0</v>
      </c>
      <c r="E241" s="16"/>
      <c r="F241" s="16"/>
      <c r="G241" s="16"/>
      <c r="H241" s="16" t="n">
        <v>0</v>
      </c>
      <c r="I241" s="16" t="n">
        <v>0</v>
      </c>
      <c r="J241" s="16"/>
      <c r="K241" s="16" t="n">
        <v>0</v>
      </c>
      <c r="L241" s="16" t="n">
        <v>0</v>
      </c>
      <c r="M241" s="16" t="n">
        <v>0</v>
      </c>
      <c r="N241" s="16" t="n">
        <v>0</v>
      </c>
      <c r="O241" s="16" t="n">
        <v>0</v>
      </c>
      <c r="P241" s="16" t="n">
        <v>0</v>
      </c>
      <c r="Q241" s="16" t="n">
        <v>0</v>
      </c>
      <c r="R241" s="16" t="n">
        <v>0</v>
      </c>
      <c r="S241" s="16" t="n">
        <v>0</v>
      </c>
      <c r="T241" s="16" t="n">
        <v>0</v>
      </c>
      <c r="U241" s="16" t="n">
        <v>0</v>
      </c>
      <c r="V241" s="16"/>
      <c r="W241" s="16"/>
      <c r="X241" s="16" t="n">
        <v>0</v>
      </c>
      <c r="Y241" s="16" t="n">
        <v>0</v>
      </c>
      <c r="Z241" s="16" t="n">
        <v>0</v>
      </c>
      <c r="AA241" s="16" t="n">
        <v>0</v>
      </c>
      <c r="AB241" s="16" t="n">
        <v>0</v>
      </c>
      <c r="AC241" s="16" t="n">
        <v>0</v>
      </c>
      <c r="AD241" s="16" t="n">
        <v>0</v>
      </c>
      <c r="AE241" s="16" t="n">
        <v>0</v>
      </c>
      <c r="AF241" s="16" t="n">
        <v>0</v>
      </c>
      <c r="AG241" s="16" t="n">
        <v>0</v>
      </c>
    </row>
    <row r="242" customFormat="false" ht="15.75" hidden="false" customHeight="false" outlineLevel="0" collapsed="false">
      <c r="A242" s="28" t="n">
        <v>37091</v>
      </c>
      <c r="B242" s="16" t="n">
        <v>0</v>
      </c>
      <c r="C242" s="16" t="n">
        <v>0</v>
      </c>
      <c r="D242" s="16" t="n">
        <v>0</v>
      </c>
      <c r="E242" s="16"/>
      <c r="F242" s="16"/>
      <c r="G242" s="16"/>
      <c r="H242" s="16" t="n">
        <v>0</v>
      </c>
      <c r="I242" s="16" t="n">
        <v>0</v>
      </c>
      <c r="J242" s="16"/>
      <c r="K242" s="16" t="n">
        <v>0</v>
      </c>
      <c r="L242" s="16" t="n">
        <v>0</v>
      </c>
      <c r="M242" s="16" t="n">
        <v>0</v>
      </c>
      <c r="N242" s="16" t="n">
        <v>0</v>
      </c>
      <c r="O242" s="16" t="n">
        <v>0</v>
      </c>
      <c r="P242" s="16" t="n">
        <v>0</v>
      </c>
      <c r="Q242" s="16" t="n">
        <v>0</v>
      </c>
      <c r="R242" s="16" t="n">
        <v>0</v>
      </c>
      <c r="S242" s="16" t="n">
        <v>0</v>
      </c>
      <c r="T242" s="16" t="n">
        <v>0</v>
      </c>
      <c r="U242" s="16" t="n">
        <v>0</v>
      </c>
      <c r="V242" s="16"/>
      <c r="W242" s="16"/>
      <c r="X242" s="16" t="n">
        <v>0</v>
      </c>
      <c r="Y242" s="16" t="n">
        <v>0</v>
      </c>
      <c r="Z242" s="16" t="n">
        <v>0</v>
      </c>
      <c r="AA242" s="16" t="n">
        <v>0</v>
      </c>
      <c r="AB242" s="16" t="n">
        <v>0</v>
      </c>
      <c r="AC242" s="16" t="n">
        <v>0</v>
      </c>
      <c r="AD242" s="16" t="n">
        <v>0</v>
      </c>
      <c r="AE242" s="16" t="n">
        <v>0</v>
      </c>
      <c r="AF242" s="16" t="n">
        <v>0</v>
      </c>
      <c r="AG242" s="16" t="n">
        <v>0</v>
      </c>
    </row>
    <row r="243" customFormat="false" ht="15.75" hidden="false" customHeight="false" outlineLevel="0" collapsed="false">
      <c r="A243" s="28" t="n">
        <v>37092</v>
      </c>
      <c r="B243" s="16" t="n">
        <v>0</v>
      </c>
      <c r="C243" s="16" t="n">
        <v>0</v>
      </c>
      <c r="D243" s="16" t="n">
        <v>0</v>
      </c>
      <c r="E243" s="16"/>
      <c r="F243" s="16"/>
      <c r="G243" s="16"/>
      <c r="H243" s="16" t="n">
        <v>0</v>
      </c>
      <c r="I243" s="16" t="n">
        <v>0</v>
      </c>
      <c r="J243" s="16"/>
      <c r="K243" s="16" t="n">
        <v>0</v>
      </c>
      <c r="L243" s="16" t="n">
        <v>0</v>
      </c>
      <c r="M243" s="16" t="n">
        <v>0</v>
      </c>
      <c r="N243" s="16" t="n">
        <v>0</v>
      </c>
      <c r="O243" s="16" t="n">
        <v>0</v>
      </c>
      <c r="P243" s="16" t="n">
        <v>0</v>
      </c>
      <c r="Q243" s="16" t="n">
        <v>0</v>
      </c>
      <c r="R243" s="16" t="n">
        <v>0</v>
      </c>
      <c r="S243" s="16" t="n">
        <v>0</v>
      </c>
      <c r="T243" s="16" t="n">
        <v>0</v>
      </c>
      <c r="U243" s="16" t="n">
        <v>0</v>
      </c>
      <c r="V243" s="16"/>
      <c r="W243" s="16"/>
      <c r="X243" s="16" t="n">
        <v>0</v>
      </c>
      <c r="Y243" s="16" t="n">
        <v>0</v>
      </c>
      <c r="Z243" s="16" t="n">
        <v>0</v>
      </c>
      <c r="AA243" s="16" t="n">
        <v>0</v>
      </c>
      <c r="AB243" s="16" t="n">
        <v>0</v>
      </c>
      <c r="AC243" s="16" t="n">
        <v>0</v>
      </c>
      <c r="AD243" s="16" t="n">
        <v>0</v>
      </c>
      <c r="AE243" s="16" t="n">
        <v>0</v>
      </c>
      <c r="AF243" s="16" t="n">
        <v>0</v>
      </c>
      <c r="AG243" s="16" t="n">
        <v>0</v>
      </c>
    </row>
    <row r="244" customFormat="false" ht="15.75" hidden="false" customHeight="false" outlineLevel="0" collapsed="false">
      <c r="A244" s="28" t="n">
        <v>37095</v>
      </c>
      <c r="B244" s="16" t="n">
        <v>0</v>
      </c>
      <c r="C244" s="16" t="n">
        <v>0</v>
      </c>
      <c r="D244" s="16" t="n">
        <v>0</v>
      </c>
      <c r="E244" s="16"/>
      <c r="F244" s="16"/>
      <c r="G244" s="16"/>
      <c r="H244" s="16" t="n">
        <v>0</v>
      </c>
      <c r="I244" s="16" t="n">
        <v>0</v>
      </c>
      <c r="J244" s="16"/>
      <c r="K244" s="16" t="n">
        <v>0</v>
      </c>
      <c r="L244" s="16" t="n">
        <v>0</v>
      </c>
      <c r="M244" s="16" t="n">
        <v>0</v>
      </c>
      <c r="N244" s="16" t="n">
        <v>0</v>
      </c>
      <c r="O244" s="16" t="n">
        <v>0</v>
      </c>
      <c r="P244" s="16" t="n">
        <v>0</v>
      </c>
      <c r="Q244" s="16" t="n">
        <v>0</v>
      </c>
      <c r="R244" s="16" t="n">
        <v>0</v>
      </c>
      <c r="S244" s="16" t="n">
        <v>0</v>
      </c>
      <c r="T244" s="16" t="n">
        <v>0</v>
      </c>
      <c r="U244" s="16" t="n">
        <v>0</v>
      </c>
      <c r="V244" s="16"/>
      <c r="W244" s="16"/>
      <c r="X244" s="16" t="n">
        <v>0</v>
      </c>
      <c r="Y244" s="16" t="n">
        <v>0</v>
      </c>
      <c r="Z244" s="16" t="n">
        <v>0</v>
      </c>
      <c r="AA244" s="16" t="n">
        <v>0</v>
      </c>
      <c r="AB244" s="16" t="n">
        <v>0</v>
      </c>
      <c r="AC244" s="16" t="n">
        <v>0</v>
      </c>
      <c r="AD244" s="16" t="n">
        <v>0</v>
      </c>
      <c r="AE244" s="16" t="n">
        <v>0</v>
      </c>
      <c r="AF244" s="16" t="n">
        <v>0</v>
      </c>
      <c r="AG244" s="16" t="n">
        <v>0</v>
      </c>
    </row>
    <row r="245" customFormat="false" ht="15.75" hidden="false" customHeight="false" outlineLevel="0" collapsed="false">
      <c r="A245" s="28" t="n">
        <v>37096</v>
      </c>
      <c r="B245" s="16" t="n">
        <v>0</v>
      </c>
      <c r="C245" s="16" t="n">
        <v>0</v>
      </c>
      <c r="D245" s="16" t="n">
        <v>0</v>
      </c>
      <c r="E245" s="16"/>
      <c r="F245" s="16"/>
      <c r="G245" s="16"/>
      <c r="H245" s="16" t="n">
        <v>0</v>
      </c>
      <c r="I245" s="16" t="n">
        <v>0</v>
      </c>
      <c r="J245" s="16"/>
      <c r="K245" s="16" t="n">
        <v>0</v>
      </c>
      <c r="L245" s="16" t="n">
        <v>0</v>
      </c>
      <c r="M245" s="16" t="n">
        <v>0</v>
      </c>
      <c r="N245" s="16" t="n">
        <v>0</v>
      </c>
      <c r="O245" s="16" t="n">
        <v>0</v>
      </c>
      <c r="P245" s="16" t="n">
        <v>0</v>
      </c>
      <c r="Q245" s="16" t="n">
        <v>0</v>
      </c>
      <c r="R245" s="16" t="n">
        <v>0</v>
      </c>
      <c r="S245" s="16" t="n">
        <v>0</v>
      </c>
      <c r="T245" s="16" t="n">
        <v>1965625</v>
      </c>
      <c r="U245" s="16" t="n">
        <v>0</v>
      </c>
      <c r="V245" s="16"/>
      <c r="W245" s="16"/>
      <c r="X245" s="16" t="n">
        <v>0</v>
      </c>
      <c r="Y245" s="16" t="n">
        <v>0</v>
      </c>
      <c r="Z245" s="16" t="n">
        <v>0</v>
      </c>
      <c r="AA245" s="16" t="n">
        <v>0</v>
      </c>
      <c r="AB245" s="16" t="n">
        <v>0</v>
      </c>
      <c r="AC245" s="16" t="n">
        <v>0</v>
      </c>
      <c r="AD245" s="16" t="n">
        <v>0</v>
      </c>
      <c r="AE245" s="16" t="n">
        <v>0</v>
      </c>
      <c r="AF245" s="16" t="n">
        <v>0</v>
      </c>
      <c r="AG245" s="16" t="n">
        <v>0</v>
      </c>
    </row>
    <row r="246" customFormat="false" ht="15.75" hidden="false" customHeight="false" outlineLevel="0" collapsed="false">
      <c r="A246" s="28" t="n">
        <v>37097</v>
      </c>
      <c r="B246" s="16" t="n">
        <v>0</v>
      </c>
      <c r="C246" s="16" t="n">
        <v>0</v>
      </c>
      <c r="D246" s="16" t="n">
        <v>0</v>
      </c>
      <c r="E246" s="16"/>
      <c r="F246" s="16"/>
      <c r="G246" s="16"/>
      <c r="H246" s="16" t="n">
        <v>0</v>
      </c>
      <c r="I246" s="16" t="n">
        <v>0</v>
      </c>
      <c r="J246" s="16"/>
      <c r="K246" s="16" t="n">
        <v>0</v>
      </c>
      <c r="L246" s="16" t="n">
        <v>0</v>
      </c>
      <c r="M246" s="16" t="n">
        <v>0</v>
      </c>
      <c r="N246" s="16" t="n">
        <v>0</v>
      </c>
      <c r="O246" s="16" t="n">
        <v>0</v>
      </c>
      <c r="P246" s="16" t="n">
        <v>0</v>
      </c>
      <c r="Q246" s="16" t="n">
        <v>0</v>
      </c>
      <c r="R246" s="16" t="n">
        <v>0</v>
      </c>
      <c r="S246" s="16" t="n">
        <v>0</v>
      </c>
      <c r="T246" s="16" t="n">
        <v>0</v>
      </c>
      <c r="U246" s="16" t="n">
        <v>0</v>
      </c>
      <c r="V246" s="16"/>
      <c r="W246" s="16"/>
      <c r="X246" s="16" t="n">
        <v>0</v>
      </c>
      <c r="Y246" s="16" t="n">
        <v>0</v>
      </c>
      <c r="Z246" s="16" t="n">
        <v>0</v>
      </c>
      <c r="AA246" s="16" t="n">
        <v>0</v>
      </c>
      <c r="AB246" s="16" t="n">
        <v>0</v>
      </c>
      <c r="AC246" s="16" t="n">
        <v>0</v>
      </c>
      <c r="AD246" s="16" t="n">
        <v>0</v>
      </c>
      <c r="AE246" s="16" t="n">
        <v>0</v>
      </c>
      <c r="AF246" s="16" t="n">
        <v>0</v>
      </c>
      <c r="AG246" s="16" t="n">
        <v>0</v>
      </c>
    </row>
    <row r="247" customFormat="false" ht="15.75" hidden="false" customHeight="false" outlineLevel="0" collapsed="false">
      <c r="A247" s="28" t="n">
        <v>37098</v>
      </c>
      <c r="B247" s="16" t="n">
        <v>0</v>
      </c>
      <c r="C247" s="16" t="n">
        <v>0</v>
      </c>
      <c r="D247" s="16" t="n">
        <v>0</v>
      </c>
      <c r="E247" s="16"/>
      <c r="F247" s="16"/>
      <c r="G247" s="16"/>
      <c r="H247" s="16" t="n">
        <v>0</v>
      </c>
      <c r="I247" s="16" t="n">
        <v>0</v>
      </c>
      <c r="J247" s="16"/>
      <c r="K247" s="16" t="n">
        <v>0</v>
      </c>
      <c r="L247" s="16" t="n">
        <v>0</v>
      </c>
      <c r="M247" s="16" t="n">
        <v>0</v>
      </c>
      <c r="N247" s="16" t="n">
        <v>0</v>
      </c>
      <c r="O247" s="16" t="n">
        <v>0</v>
      </c>
      <c r="P247" s="16" t="n">
        <v>0</v>
      </c>
      <c r="Q247" s="16" t="n">
        <v>0</v>
      </c>
      <c r="R247" s="16" t="n">
        <v>0</v>
      </c>
      <c r="S247" s="16" t="n">
        <v>0</v>
      </c>
      <c r="T247" s="16" t="n">
        <v>0</v>
      </c>
      <c r="U247" s="16" t="n">
        <v>0</v>
      </c>
      <c r="V247" s="16"/>
      <c r="W247" s="16"/>
      <c r="X247" s="16" t="n">
        <v>0</v>
      </c>
      <c r="Y247" s="16" t="n">
        <v>0</v>
      </c>
      <c r="Z247" s="16" t="n">
        <v>0</v>
      </c>
      <c r="AA247" s="16" t="n">
        <v>0</v>
      </c>
      <c r="AB247" s="16" t="n">
        <v>0</v>
      </c>
      <c r="AC247" s="16" t="n">
        <v>0</v>
      </c>
      <c r="AD247" s="16" t="n">
        <v>0</v>
      </c>
      <c r="AE247" s="16" t="n">
        <v>0</v>
      </c>
      <c r="AF247" s="16" t="n">
        <v>0</v>
      </c>
      <c r="AG247" s="16" t="n">
        <v>0</v>
      </c>
    </row>
    <row r="248" customFormat="false" ht="15.75" hidden="false" customHeight="false" outlineLevel="0" collapsed="false">
      <c r="A248" s="28" t="n">
        <v>37099</v>
      </c>
      <c r="B248" s="16" t="n">
        <v>0</v>
      </c>
      <c r="C248" s="16" t="n">
        <v>0</v>
      </c>
      <c r="D248" s="16" t="n">
        <v>0</v>
      </c>
      <c r="E248" s="16"/>
      <c r="F248" s="16"/>
      <c r="G248" s="16"/>
      <c r="H248" s="16" t="n">
        <v>0</v>
      </c>
      <c r="I248" s="16" t="n">
        <v>0</v>
      </c>
      <c r="J248" s="16"/>
      <c r="K248" s="16" t="n">
        <v>0</v>
      </c>
      <c r="L248" s="16" t="n">
        <v>0</v>
      </c>
      <c r="M248" s="16" t="n">
        <v>0</v>
      </c>
      <c r="N248" s="16" t="n">
        <v>0</v>
      </c>
      <c r="O248" s="16" t="n">
        <v>0</v>
      </c>
      <c r="P248" s="16" t="n">
        <v>0</v>
      </c>
      <c r="Q248" s="16" t="n">
        <v>0</v>
      </c>
      <c r="R248" s="16" t="n">
        <v>0</v>
      </c>
      <c r="S248" s="16" t="n">
        <v>0</v>
      </c>
      <c r="T248" s="16" t="n">
        <v>0</v>
      </c>
      <c r="U248" s="16" t="n">
        <v>0</v>
      </c>
      <c r="V248" s="16"/>
      <c r="W248" s="16"/>
      <c r="X248" s="16" t="n">
        <v>0</v>
      </c>
      <c r="Y248" s="16" t="n">
        <v>0</v>
      </c>
      <c r="Z248" s="16" t="n">
        <v>0</v>
      </c>
      <c r="AA248" s="16" t="n">
        <v>0</v>
      </c>
      <c r="AB248" s="16" t="n">
        <v>0</v>
      </c>
      <c r="AC248" s="16" t="n">
        <v>0</v>
      </c>
      <c r="AD248" s="16" t="n">
        <v>0</v>
      </c>
      <c r="AE248" s="16" t="n">
        <v>0</v>
      </c>
      <c r="AF248" s="16" t="n">
        <v>0</v>
      </c>
      <c r="AG248" s="16" t="n">
        <v>0</v>
      </c>
    </row>
    <row r="249" customFormat="false" ht="15.75" hidden="false" customHeight="false" outlineLevel="0" collapsed="false">
      <c r="A249" s="28" t="n">
        <v>37102</v>
      </c>
      <c r="B249" s="16" t="n">
        <v>0</v>
      </c>
      <c r="C249" s="16" t="n">
        <v>0</v>
      </c>
      <c r="D249" s="16" t="n">
        <v>0</v>
      </c>
      <c r="E249" s="16"/>
      <c r="F249" s="16"/>
      <c r="G249" s="16"/>
      <c r="H249" s="16" t="n">
        <v>0</v>
      </c>
      <c r="I249" s="16" t="n">
        <v>0</v>
      </c>
      <c r="J249" s="16"/>
      <c r="K249" s="16" t="n">
        <v>0</v>
      </c>
      <c r="L249" s="16" t="n">
        <v>0</v>
      </c>
      <c r="M249" s="16" t="n">
        <v>0</v>
      </c>
      <c r="N249" s="16" t="n">
        <v>0</v>
      </c>
      <c r="O249" s="16" t="n">
        <v>0</v>
      </c>
      <c r="P249" s="16" t="n">
        <v>0</v>
      </c>
      <c r="Q249" s="16" t="n">
        <v>0</v>
      </c>
      <c r="R249" s="16" t="n">
        <v>0</v>
      </c>
      <c r="S249" s="16" t="n">
        <v>0</v>
      </c>
      <c r="T249" s="16" t="n">
        <v>0</v>
      </c>
      <c r="U249" s="16" t="n">
        <v>0</v>
      </c>
      <c r="V249" s="16"/>
      <c r="W249" s="16"/>
      <c r="X249" s="16" t="n">
        <v>0</v>
      </c>
      <c r="Y249" s="16" t="n">
        <v>0</v>
      </c>
      <c r="Z249" s="16" t="n">
        <v>0</v>
      </c>
      <c r="AA249" s="16" t="n">
        <v>0</v>
      </c>
      <c r="AB249" s="16" t="n">
        <v>0</v>
      </c>
      <c r="AC249" s="16" t="n">
        <v>0</v>
      </c>
      <c r="AD249" s="16" t="n">
        <v>0</v>
      </c>
      <c r="AE249" s="16" t="n">
        <v>0</v>
      </c>
      <c r="AF249" s="16" t="n">
        <v>0</v>
      </c>
      <c r="AG249" s="16" t="n">
        <v>0</v>
      </c>
    </row>
    <row r="250" customFormat="false" ht="15.75" hidden="false" customHeight="false" outlineLevel="0" collapsed="false">
      <c r="A250" s="28" t="n">
        <v>37103</v>
      </c>
      <c r="B250" s="16" t="n">
        <v>0</v>
      </c>
      <c r="C250" s="16" t="n">
        <v>0</v>
      </c>
      <c r="D250" s="16" t="n">
        <v>0</v>
      </c>
      <c r="E250" s="16"/>
      <c r="F250" s="16"/>
      <c r="G250" s="16"/>
      <c r="H250" s="16" t="n">
        <v>0</v>
      </c>
      <c r="I250" s="16" t="n">
        <v>0</v>
      </c>
      <c r="J250" s="16"/>
      <c r="K250" s="16" t="n">
        <v>0</v>
      </c>
      <c r="L250" s="16" t="n">
        <v>0</v>
      </c>
      <c r="M250" s="16" t="n">
        <v>0</v>
      </c>
      <c r="N250" s="16" t="n">
        <v>0</v>
      </c>
      <c r="O250" s="16" t="n">
        <v>0</v>
      </c>
      <c r="P250" s="16" t="n">
        <v>0</v>
      </c>
      <c r="Q250" s="16" t="n">
        <v>0</v>
      </c>
      <c r="R250" s="16" t="n">
        <v>0</v>
      </c>
      <c r="S250" s="16" t="n">
        <v>0</v>
      </c>
      <c r="T250" s="16" t="n">
        <v>0</v>
      </c>
      <c r="U250" s="16" t="n">
        <v>0</v>
      </c>
      <c r="V250" s="16"/>
      <c r="W250" s="16"/>
      <c r="X250" s="16" t="n">
        <v>0</v>
      </c>
      <c r="Y250" s="16" t="n">
        <v>0</v>
      </c>
      <c r="Z250" s="16" t="n">
        <v>0</v>
      </c>
      <c r="AA250" s="16" t="n">
        <v>0</v>
      </c>
      <c r="AB250" s="16" t="n">
        <v>0</v>
      </c>
      <c r="AC250" s="16" t="n">
        <v>0</v>
      </c>
      <c r="AD250" s="16" t="n">
        <v>0</v>
      </c>
      <c r="AE250" s="16" t="n">
        <v>0</v>
      </c>
      <c r="AF250" s="16" t="n">
        <v>0</v>
      </c>
      <c r="AG250" s="16" t="n">
        <v>0</v>
      </c>
    </row>
    <row r="251" customFormat="false" ht="15.75" hidden="false" customHeight="false" outlineLevel="0" collapsed="false">
      <c r="A251" s="28" t="n">
        <v>37104</v>
      </c>
      <c r="B251" s="16" t="n">
        <v>0</v>
      </c>
      <c r="C251" s="16" t="n">
        <v>0</v>
      </c>
      <c r="D251" s="16" t="n">
        <v>0</v>
      </c>
      <c r="E251" s="16"/>
      <c r="F251" s="16"/>
      <c r="G251" s="16"/>
      <c r="H251" s="16" t="n">
        <v>0</v>
      </c>
      <c r="I251" s="16" t="n">
        <v>0</v>
      </c>
      <c r="J251" s="16"/>
      <c r="K251" s="16" t="n">
        <v>0</v>
      </c>
      <c r="L251" s="16" t="n">
        <v>0</v>
      </c>
      <c r="M251" s="16" t="n">
        <v>0</v>
      </c>
      <c r="N251" s="16" t="n">
        <v>0</v>
      </c>
      <c r="O251" s="16" t="n">
        <v>0</v>
      </c>
      <c r="P251" s="16" t="n">
        <v>0</v>
      </c>
      <c r="Q251" s="16" t="n">
        <v>0</v>
      </c>
      <c r="R251" s="16" t="n">
        <v>0</v>
      </c>
      <c r="S251" s="16" t="n">
        <v>0</v>
      </c>
      <c r="T251" s="16" t="n">
        <v>0</v>
      </c>
      <c r="U251" s="16" t="n">
        <v>0</v>
      </c>
      <c r="V251" s="16"/>
      <c r="W251" s="16"/>
      <c r="X251" s="16" t="n">
        <v>0</v>
      </c>
      <c r="Y251" s="16" t="n">
        <v>0</v>
      </c>
      <c r="Z251" s="16" t="n">
        <v>0</v>
      </c>
      <c r="AA251" s="16" t="n">
        <v>0</v>
      </c>
      <c r="AB251" s="16" t="n">
        <v>0</v>
      </c>
      <c r="AC251" s="16" t="n">
        <v>0</v>
      </c>
      <c r="AD251" s="16" t="n">
        <v>0</v>
      </c>
      <c r="AE251" s="16" t="n">
        <v>0</v>
      </c>
      <c r="AF251" s="16" t="n">
        <v>0</v>
      </c>
      <c r="AG251" s="16" t="n">
        <v>0</v>
      </c>
    </row>
    <row r="252" customFormat="false" ht="15.75" hidden="false" customHeight="false" outlineLevel="0" collapsed="false">
      <c r="A252" s="28" t="n">
        <v>37105</v>
      </c>
      <c r="B252" s="16" t="n">
        <v>0</v>
      </c>
      <c r="C252" s="16" t="n">
        <v>0</v>
      </c>
      <c r="D252" s="16" t="n">
        <v>0</v>
      </c>
      <c r="E252" s="16"/>
      <c r="F252" s="16"/>
      <c r="G252" s="16"/>
      <c r="H252" s="16" t="n">
        <v>0</v>
      </c>
      <c r="I252" s="16" t="n">
        <v>0</v>
      </c>
      <c r="J252" s="16"/>
      <c r="K252" s="16" t="n">
        <v>0</v>
      </c>
      <c r="L252" s="16" t="n">
        <v>0</v>
      </c>
      <c r="M252" s="16" t="n">
        <v>0</v>
      </c>
      <c r="N252" s="16" t="n">
        <v>0</v>
      </c>
      <c r="O252" s="16" t="n">
        <v>0</v>
      </c>
      <c r="P252" s="16" t="n">
        <v>0</v>
      </c>
      <c r="Q252" s="16" t="n">
        <v>0</v>
      </c>
      <c r="R252" s="16" t="n">
        <v>0</v>
      </c>
      <c r="S252" s="16" t="n">
        <v>0</v>
      </c>
      <c r="T252" s="16" t="n">
        <v>0</v>
      </c>
      <c r="U252" s="16" t="n">
        <v>0</v>
      </c>
      <c r="V252" s="16"/>
      <c r="W252" s="16"/>
      <c r="X252" s="16" t="n">
        <v>0</v>
      </c>
      <c r="Y252" s="16" t="n">
        <v>0</v>
      </c>
      <c r="Z252" s="16" t="n">
        <v>0</v>
      </c>
      <c r="AA252" s="16" t="n">
        <v>0</v>
      </c>
      <c r="AB252" s="16" t="n">
        <v>0</v>
      </c>
      <c r="AC252" s="16" t="n">
        <v>0</v>
      </c>
      <c r="AD252" s="16" t="n">
        <v>0</v>
      </c>
      <c r="AE252" s="16" t="n">
        <v>0</v>
      </c>
      <c r="AF252" s="16" t="n">
        <v>0</v>
      </c>
      <c r="AG252" s="16" t="n">
        <v>0</v>
      </c>
    </row>
    <row r="253" customFormat="false" ht="15.75" hidden="false" customHeight="false" outlineLevel="0" collapsed="false">
      <c r="A253" s="28" t="n">
        <v>37106</v>
      </c>
      <c r="B253" s="16" t="n">
        <v>0</v>
      </c>
      <c r="C253" s="16" t="n">
        <v>0</v>
      </c>
      <c r="D253" s="16" t="n">
        <v>0</v>
      </c>
      <c r="E253" s="16"/>
      <c r="F253" s="16"/>
      <c r="G253" s="16"/>
      <c r="H253" s="16" t="n">
        <v>0</v>
      </c>
      <c r="I253" s="16" t="n">
        <v>0</v>
      </c>
      <c r="J253" s="16"/>
      <c r="K253" s="16" t="n">
        <v>0</v>
      </c>
      <c r="L253" s="16" t="n">
        <v>0</v>
      </c>
      <c r="M253" s="16" t="n">
        <v>0</v>
      </c>
      <c r="N253" s="16" t="n">
        <v>0</v>
      </c>
      <c r="O253" s="16" t="n">
        <v>0</v>
      </c>
      <c r="P253" s="16" t="n">
        <v>0</v>
      </c>
      <c r="Q253" s="16" t="n">
        <v>0</v>
      </c>
      <c r="R253" s="16" t="n">
        <v>0</v>
      </c>
      <c r="S253" s="16" t="n">
        <v>0</v>
      </c>
      <c r="T253" s="16" t="n">
        <v>0</v>
      </c>
      <c r="U253" s="16" t="n">
        <v>0</v>
      </c>
      <c r="V253" s="16"/>
      <c r="W253" s="16"/>
      <c r="X253" s="16" t="n">
        <v>0</v>
      </c>
      <c r="Y253" s="16" t="n">
        <v>0</v>
      </c>
      <c r="Z253" s="16" t="n">
        <v>0</v>
      </c>
      <c r="AA253" s="16" t="n">
        <v>0</v>
      </c>
      <c r="AB253" s="16" t="n">
        <v>0</v>
      </c>
      <c r="AC253" s="16" t="n">
        <v>0</v>
      </c>
      <c r="AD253" s="16" t="n">
        <v>0</v>
      </c>
      <c r="AE253" s="16" t="n">
        <v>0</v>
      </c>
      <c r="AF253" s="16" t="n">
        <v>0</v>
      </c>
      <c r="AG253" s="16" t="n">
        <v>0</v>
      </c>
    </row>
    <row r="254" customFormat="false" ht="15.75" hidden="false" customHeight="false" outlineLevel="0" collapsed="false">
      <c r="A254" s="28" t="n">
        <v>37109</v>
      </c>
      <c r="B254" s="16" t="n">
        <v>0</v>
      </c>
      <c r="C254" s="16" t="n">
        <v>0</v>
      </c>
      <c r="D254" s="16" t="n">
        <v>0</v>
      </c>
      <c r="E254" s="16"/>
      <c r="F254" s="16"/>
      <c r="G254" s="16"/>
      <c r="H254" s="16" t="n">
        <v>0</v>
      </c>
      <c r="I254" s="16" t="n">
        <v>0</v>
      </c>
      <c r="J254" s="16"/>
      <c r="K254" s="16" t="n">
        <v>0</v>
      </c>
      <c r="L254" s="16" t="n">
        <v>0</v>
      </c>
      <c r="M254" s="16" t="n">
        <v>0</v>
      </c>
      <c r="N254" s="16" t="n">
        <v>0</v>
      </c>
      <c r="O254" s="16" t="n">
        <v>0</v>
      </c>
      <c r="P254" s="16" t="n">
        <v>0</v>
      </c>
      <c r="Q254" s="16" t="n">
        <v>0</v>
      </c>
      <c r="R254" s="16" t="n">
        <v>0</v>
      </c>
      <c r="S254" s="16" t="n">
        <v>0</v>
      </c>
      <c r="T254" s="16" t="n">
        <v>0</v>
      </c>
      <c r="U254" s="16" t="n">
        <v>0</v>
      </c>
      <c r="V254" s="16"/>
      <c r="W254" s="16"/>
      <c r="X254" s="16" t="n">
        <v>0</v>
      </c>
      <c r="Y254" s="16" t="n">
        <v>0</v>
      </c>
      <c r="Z254" s="16" t="n">
        <v>0</v>
      </c>
      <c r="AA254" s="16" t="n">
        <v>0</v>
      </c>
      <c r="AB254" s="16" t="n">
        <v>0</v>
      </c>
      <c r="AC254" s="16" t="n">
        <v>0</v>
      </c>
      <c r="AD254" s="16" t="n">
        <v>0</v>
      </c>
      <c r="AE254" s="16" t="n">
        <v>0</v>
      </c>
      <c r="AF254" s="16" t="n">
        <v>0</v>
      </c>
      <c r="AG254" s="16" t="n">
        <v>0</v>
      </c>
    </row>
    <row r="255" customFormat="false" ht="15.75" hidden="false" customHeight="false" outlineLevel="0" collapsed="false">
      <c r="A255" s="28" t="n">
        <v>37110</v>
      </c>
      <c r="B255" s="16" t="n">
        <v>0</v>
      </c>
      <c r="C255" s="16" t="n">
        <v>0</v>
      </c>
      <c r="D255" s="16" t="n">
        <v>0</v>
      </c>
      <c r="E255" s="16"/>
      <c r="F255" s="16"/>
      <c r="G255" s="16"/>
      <c r="H255" s="16" t="n">
        <v>0</v>
      </c>
      <c r="I255" s="16" t="n">
        <v>0</v>
      </c>
      <c r="J255" s="16"/>
      <c r="K255" s="16" t="n">
        <v>0</v>
      </c>
      <c r="L255" s="16" t="n">
        <v>0</v>
      </c>
      <c r="M255" s="16" t="n">
        <v>0</v>
      </c>
      <c r="N255" s="16" t="n">
        <v>0</v>
      </c>
      <c r="O255" s="16" t="n">
        <v>0</v>
      </c>
      <c r="P255" s="16" t="n">
        <v>0</v>
      </c>
      <c r="Q255" s="16" t="n">
        <v>0</v>
      </c>
      <c r="R255" s="16" t="n">
        <v>0</v>
      </c>
      <c r="S255" s="16" t="n">
        <v>0</v>
      </c>
      <c r="T255" s="16" t="n">
        <v>0</v>
      </c>
      <c r="U255" s="16" t="n">
        <v>0</v>
      </c>
      <c r="V255" s="16"/>
      <c r="W255" s="16"/>
      <c r="X255" s="16" t="n">
        <v>0</v>
      </c>
      <c r="Y255" s="16" t="n">
        <v>0</v>
      </c>
      <c r="Z255" s="16" t="n">
        <v>0</v>
      </c>
      <c r="AA255" s="16" t="n">
        <v>0</v>
      </c>
      <c r="AB255" s="16" t="n">
        <v>0</v>
      </c>
      <c r="AC255" s="16" t="n">
        <v>0</v>
      </c>
      <c r="AD255" s="16" t="n">
        <v>0</v>
      </c>
      <c r="AE255" s="16" t="n">
        <v>0</v>
      </c>
      <c r="AF255" s="16" t="n">
        <v>0</v>
      </c>
      <c r="AG255" s="16" t="n">
        <v>0</v>
      </c>
    </row>
    <row r="256" customFormat="false" ht="15.75" hidden="false" customHeight="false" outlineLevel="0" collapsed="false">
      <c r="A256" s="28" t="n">
        <v>37111</v>
      </c>
      <c r="B256" s="16" t="n">
        <v>0</v>
      </c>
      <c r="C256" s="16" t="n">
        <v>0</v>
      </c>
      <c r="D256" s="16" t="n">
        <v>0</v>
      </c>
      <c r="E256" s="16"/>
      <c r="F256" s="16"/>
      <c r="G256" s="16"/>
      <c r="H256" s="16" t="n">
        <v>0</v>
      </c>
      <c r="I256" s="16" t="n">
        <v>0</v>
      </c>
      <c r="J256" s="16"/>
      <c r="K256" s="16" t="n">
        <v>0</v>
      </c>
      <c r="L256" s="16" t="n">
        <v>0</v>
      </c>
      <c r="M256" s="16" t="n">
        <v>0</v>
      </c>
      <c r="N256" s="16" t="n">
        <v>0</v>
      </c>
      <c r="O256" s="16" t="n">
        <v>0</v>
      </c>
      <c r="P256" s="16" t="n">
        <v>0</v>
      </c>
      <c r="Q256" s="16" t="n">
        <v>0</v>
      </c>
      <c r="R256" s="16" t="n">
        <v>0</v>
      </c>
      <c r="S256" s="16" t="n">
        <v>0</v>
      </c>
      <c r="T256" s="16" t="n">
        <v>0</v>
      </c>
      <c r="U256" s="16" t="n">
        <v>0</v>
      </c>
      <c r="V256" s="16"/>
      <c r="W256" s="16"/>
      <c r="X256" s="16" t="n">
        <v>0</v>
      </c>
      <c r="Y256" s="16" t="n">
        <v>0</v>
      </c>
      <c r="Z256" s="16" t="n">
        <v>0</v>
      </c>
      <c r="AA256" s="16" t="n">
        <v>0</v>
      </c>
      <c r="AB256" s="16" t="n">
        <v>0</v>
      </c>
      <c r="AC256" s="16" t="n">
        <v>0</v>
      </c>
      <c r="AD256" s="16" t="n">
        <v>0</v>
      </c>
      <c r="AE256" s="16" t="n">
        <v>0</v>
      </c>
      <c r="AF256" s="16" t="n">
        <v>0</v>
      </c>
      <c r="AG256" s="16" t="n">
        <v>0</v>
      </c>
    </row>
    <row r="257" customFormat="false" ht="15.75" hidden="false" customHeight="false" outlineLevel="0" collapsed="false">
      <c r="A257" s="28" t="n">
        <v>37112</v>
      </c>
      <c r="B257" s="16" t="n">
        <v>0</v>
      </c>
      <c r="C257" s="16" t="n">
        <v>0</v>
      </c>
      <c r="D257" s="16" t="n">
        <v>0</v>
      </c>
      <c r="E257" s="16"/>
      <c r="F257" s="16"/>
      <c r="G257" s="16"/>
      <c r="H257" s="16" t="n">
        <v>0</v>
      </c>
      <c r="I257" s="16" t="n">
        <v>0</v>
      </c>
      <c r="J257" s="16"/>
      <c r="K257" s="16" t="n">
        <v>0</v>
      </c>
      <c r="L257" s="16" t="n">
        <v>0</v>
      </c>
      <c r="M257" s="16" t="n">
        <v>0</v>
      </c>
      <c r="N257" s="16" t="n">
        <v>0</v>
      </c>
      <c r="O257" s="16" t="n">
        <v>0</v>
      </c>
      <c r="P257" s="16" t="n">
        <v>0</v>
      </c>
      <c r="Q257" s="16" t="n">
        <v>0</v>
      </c>
      <c r="R257" s="16" t="n">
        <v>0</v>
      </c>
      <c r="S257" s="16" t="n">
        <v>0</v>
      </c>
      <c r="T257" s="16" t="n">
        <v>0</v>
      </c>
      <c r="U257" s="16" t="n">
        <v>0</v>
      </c>
      <c r="V257" s="16"/>
      <c r="W257" s="16"/>
      <c r="X257" s="16" t="n">
        <v>0</v>
      </c>
      <c r="Y257" s="16" t="n">
        <v>0</v>
      </c>
      <c r="Z257" s="16" t="n">
        <v>0</v>
      </c>
      <c r="AA257" s="16" t="n">
        <v>0</v>
      </c>
      <c r="AB257" s="16" t="n">
        <v>0</v>
      </c>
      <c r="AC257" s="16" t="n">
        <v>0</v>
      </c>
      <c r="AD257" s="16" t="n">
        <v>0</v>
      </c>
      <c r="AE257" s="16" t="n">
        <v>0</v>
      </c>
      <c r="AF257" s="16" t="n">
        <v>0</v>
      </c>
      <c r="AG257" s="16" t="n">
        <v>0</v>
      </c>
    </row>
    <row r="258" customFormat="false" ht="15.75" hidden="false" customHeight="false" outlineLevel="0" collapsed="false">
      <c r="A258" s="28" t="n">
        <v>37113</v>
      </c>
      <c r="B258" s="16" t="n">
        <v>0</v>
      </c>
      <c r="C258" s="16" t="n">
        <v>0</v>
      </c>
      <c r="D258" s="16" t="n">
        <v>0</v>
      </c>
      <c r="E258" s="16"/>
      <c r="F258" s="16"/>
      <c r="G258" s="16"/>
      <c r="H258" s="16" t="n">
        <v>0</v>
      </c>
      <c r="I258" s="16" t="n">
        <v>0</v>
      </c>
      <c r="J258" s="16"/>
      <c r="K258" s="16" t="n">
        <v>0</v>
      </c>
      <c r="L258" s="16" t="n">
        <v>0</v>
      </c>
      <c r="M258" s="16" t="n">
        <v>0</v>
      </c>
      <c r="N258" s="16" t="n">
        <v>0</v>
      </c>
      <c r="O258" s="16" t="n">
        <v>0</v>
      </c>
      <c r="P258" s="16" t="n">
        <v>0</v>
      </c>
      <c r="Q258" s="16" t="n">
        <v>0</v>
      </c>
      <c r="R258" s="16" t="n">
        <v>0</v>
      </c>
      <c r="S258" s="16" t="n">
        <v>0</v>
      </c>
      <c r="T258" s="16" t="n">
        <v>0</v>
      </c>
      <c r="U258" s="16" t="n">
        <v>0</v>
      </c>
      <c r="V258" s="16"/>
      <c r="W258" s="16"/>
      <c r="X258" s="16" t="n">
        <v>0</v>
      </c>
      <c r="Y258" s="16" t="n">
        <v>0</v>
      </c>
      <c r="Z258" s="16" t="n">
        <v>0</v>
      </c>
      <c r="AA258" s="16" t="n">
        <v>0</v>
      </c>
      <c r="AB258" s="16" t="n">
        <v>0</v>
      </c>
      <c r="AC258" s="16" t="n">
        <v>0</v>
      </c>
      <c r="AD258" s="16" t="n">
        <v>0</v>
      </c>
      <c r="AE258" s="16" t="n">
        <v>0</v>
      </c>
      <c r="AF258" s="16" t="n">
        <v>0</v>
      </c>
      <c r="AG258" s="16" t="n">
        <v>0</v>
      </c>
    </row>
    <row r="259" customFormat="false" ht="15.75" hidden="false" customHeight="false" outlineLevel="0" collapsed="false">
      <c r="A259" s="28" t="n">
        <v>37116</v>
      </c>
      <c r="B259" s="16" t="n">
        <v>0</v>
      </c>
      <c r="C259" s="16" t="n">
        <v>-506111.69</v>
      </c>
      <c r="D259" s="16" t="n">
        <v>0</v>
      </c>
      <c r="E259" s="16"/>
      <c r="F259" s="16"/>
      <c r="G259" s="16"/>
      <c r="H259" s="16" t="n">
        <v>0</v>
      </c>
      <c r="I259" s="16" t="n">
        <v>0</v>
      </c>
      <c r="J259" s="16"/>
      <c r="K259" s="16" t="n">
        <v>0</v>
      </c>
      <c r="L259" s="16" t="n">
        <v>0</v>
      </c>
      <c r="M259" s="16" t="n">
        <v>0</v>
      </c>
      <c r="N259" s="16" t="n">
        <v>0</v>
      </c>
      <c r="O259" s="16" t="n">
        <v>0</v>
      </c>
      <c r="P259" s="16" t="n">
        <v>0</v>
      </c>
      <c r="Q259" s="16" t="n">
        <v>0</v>
      </c>
      <c r="R259" s="16" t="n">
        <v>0</v>
      </c>
      <c r="S259" s="16" t="n">
        <v>0</v>
      </c>
      <c r="T259" s="16" t="n">
        <v>0</v>
      </c>
      <c r="U259" s="16" t="n">
        <v>0</v>
      </c>
      <c r="V259" s="16"/>
      <c r="W259" s="16"/>
      <c r="X259" s="16" t="n">
        <v>0</v>
      </c>
      <c r="Y259" s="16" t="n">
        <v>0</v>
      </c>
      <c r="Z259" s="16" t="n">
        <v>0</v>
      </c>
      <c r="AA259" s="16" t="n">
        <v>0</v>
      </c>
      <c r="AB259" s="16" t="n">
        <v>0</v>
      </c>
      <c r="AC259" s="16" t="n">
        <v>0</v>
      </c>
      <c r="AD259" s="16" t="n">
        <v>0</v>
      </c>
      <c r="AE259" s="16" t="n">
        <v>1077730.36</v>
      </c>
      <c r="AF259" s="16" t="n">
        <v>0</v>
      </c>
      <c r="AG259" s="16" t="n">
        <v>0</v>
      </c>
    </row>
    <row r="260" customFormat="false" ht="15.75" hidden="false" customHeight="false" outlineLevel="0" collapsed="false">
      <c r="A260" s="28" t="n">
        <v>37117</v>
      </c>
      <c r="B260" s="16" t="n">
        <v>0</v>
      </c>
      <c r="C260" s="16" t="n">
        <v>0</v>
      </c>
      <c r="D260" s="16" t="n">
        <v>0</v>
      </c>
      <c r="E260" s="16"/>
      <c r="F260" s="16"/>
      <c r="G260" s="16"/>
      <c r="H260" s="16" t="n">
        <v>0</v>
      </c>
      <c r="I260" s="16" t="n">
        <v>0</v>
      </c>
      <c r="J260" s="16"/>
      <c r="K260" s="16" t="n">
        <v>0</v>
      </c>
      <c r="L260" s="16" t="n">
        <v>0</v>
      </c>
      <c r="M260" s="16" t="n">
        <v>0</v>
      </c>
      <c r="N260" s="16" t="n">
        <v>0</v>
      </c>
      <c r="O260" s="16" t="n">
        <v>0</v>
      </c>
      <c r="P260" s="16" t="n">
        <v>0</v>
      </c>
      <c r="Q260" s="16" t="n">
        <v>0</v>
      </c>
      <c r="R260" s="16" t="n">
        <v>0</v>
      </c>
      <c r="S260" s="16" t="n">
        <v>0</v>
      </c>
      <c r="T260" s="16" t="n">
        <v>0</v>
      </c>
      <c r="U260" s="16" t="n">
        <v>0</v>
      </c>
      <c r="V260" s="16"/>
      <c r="W260" s="16"/>
      <c r="X260" s="16" t="n">
        <v>0</v>
      </c>
      <c r="Y260" s="16" t="n">
        <v>0</v>
      </c>
      <c r="Z260" s="16" t="n">
        <v>0</v>
      </c>
      <c r="AA260" s="16" t="n">
        <v>0</v>
      </c>
      <c r="AB260" s="16" t="n">
        <v>0</v>
      </c>
      <c r="AC260" s="16" t="n">
        <v>0</v>
      </c>
      <c r="AD260" s="16" t="n">
        <v>0</v>
      </c>
      <c r="AE260" s="16" t="n">
        <v>0</v>
      </c>
      <c r="AF260" s="16" t="n">
        <v>0</v>
      </c>
      <c r="AG260" s="16" t="n">
        <v>0</v>
      </c>
    </row>
    <row r="261" customFormat="false" ht="15.75" hidden="false" customHeight="false" outlineLevel="0" collapsed="false">
      <c r="A261" s="28" t="n">
        <v>37118</v>
      </c>
      <c r="B261" s="16" t="n">
        <v>0</v>
      </c>
      <c r="C261" s="16" t="n">
        <v>0</v>
      </c>
      <c r="D261" s="16" t="n">
        <v>0</v>
      </c>
      <c r="E261" s="16"/>
      <c r="F261" s="16"/>
      <c r="G261" s="16"/>
      <c r="H261" s="16" t="n">
        <v>0</v>
      </c>
      <c r="I261" s="16" t="n">
        <v>0</v>
      </c>
      <c r="J261" s="16"/>
      <c r="K261" s="16" t="n">
        <v>0</v>
      </c>
      <c r="L261" s="16" t="n">
        <v>0</v>
      </c>
      <c r="M261" s="16" t="n">
        <v>0</v>
      </c>
      <c r="N261" s="16" t="n">
        <v>0</v>
      </c>
      <c r="O261" s="16" t="n">
        <v>0</v>
      </c>
      <c r="P261" s="16" t="n">
        <v>0</v>
      </c>
      <c r="Q261" s="16" t="n">
        <v>0</v>
      </c>
      <c r="R261" s="16" t="n">
        <v>0</v>
      </c>
      <c r="S261" s="16" t="n">
        <v>0</v>
      </c>
      <c r="T261" s="16" t="n">
        <v>0</v>
      </c>
      <c r="U261" s="16" t="n">
        <v>0</v>
      </c>
      <c r="V261" s="16"/>
      <c r="W261" s="16"/>
      <c r="X261" s="16" t="n">
        <v>0</v>
      </c>
      <c r="Y261" s="16" t="n">
        <v>0</v>
      </c>
      <c r="Z261" s="16" t="n">
        <v>0</v>
      </c>
      <c r="AA261" s="16" t="n">
        <v>0</v>
      </c>
      <c r="AB261" s="16" t="n">
        <v>0</v>
      </c>
      <c r="AC261" s="16" t="n">
        <v>0</v>
      </c>
      <c r="AD261" s="16" t="n">
        <v>0</v>
      </c>
      <c r="AE261" s="16" t="n">
        <v>0</v>
      </c>
      <c r="AF261" s="16" t="n">
        <v>0</v>
      </c>
      <c r="AG261" s="16" t="n">
        <v>0</v>
      </c>
    </row>
    <row r="262" customFormat="false" ht="15.75" hidden="false" customHeight="false" outlineLevel="0" collapsed="false">
      <c r="A262" s="28" t="n">
        <v>37119</v>
      </c>
      <c r="B262" s="16" t="n">
        <v>0</v>
      </c>
      <c r="C262" s="16" t="n">
        <v>0</v>
      </c>
      <c r="D262" s="16" t="n">
        <v>0</v>
      </c>
      <c r="E262" s="16"/>
      <c r="F262" s="16"/>
      <c r="G262" s="16"/>
      <c r="H262" s="16" t="n">
        <v>0</v>
      </c>
      <c r="I262" s="16" t="n">
        <v>0</v>
      </c>
      <c r="J262" s="16"/>
      <c r="K262" s="16" t="n">
        <v>0</v>
      </c>
      <c r="L262" s="16" t="n">
        <v>0</v>
      </c>
      <c r="M262" s="16" t="n">
        <v>0</v>
      </c>
      <c r="N262" s="16" t="n">
        <v>0</v>
      </c>
      <c r="O262" s="16" t="n">
        <v>0</v>
      </c>
      <c r="P262" s="16" t="n">
        <v>0</v>
      </c>
      <c r="Q262" s="16" t="n">
        <v>0</v>
      </c>
      <c r="R262" s="16" t="n">
        <v>0</v>
      </c>
      <c r="S262" s="16" t="n">
        <v>0</v>
      </c>
      <c r="T262" s="16" t="n">
        <v>0</v>
      </c>
      <c r="U262" s="16" t="n">
        <v>0</v>
      </c>
      <c r="V262" s="16"/>
      <c r="W262" s="16"/>
      <c r="X262" s="16" t="n">
        <v>0</v>
      </c>
      <c r="Y262" s="16" t="n">
        <v>0</v>
      </c>
      <c r="Z262" s="16" t="n">
        <v>0</v>
      </c>
      <c r="AA262" s="16" t="n">
        <v>0</v>
      </c>
      <c r="AB262" s="16" t="n">
        <v>0</v>
      </c>
      <c r="AC262" s="16" t="n">
        <v>0</v>
      </c>
      <c r="AD262" s="16" t="n">
        <v>0</v>
      </c>
      <c r="AE262" s="16" t="n">
        <v>0</v>
      </c>
      <c r="AF262" s="16" t="n">
        <v>0</v>
      </c>
      <c r="AG262" s="16" t="n">
        <v>0</v>
      </c>
    </row>
    <row r="263" customFormat="false" ht="15.75" hidden="false" customHeight="false" outlineLevel="0" collapsed="false">
      <c r="A263" s="28" t="n">
        <v>37120</v>
      </c>
      <c r="B263" s="16" t="n">
        <v>0</v>
      </c>
      <c r="C263" s="16" t="n">
        <v>0</v>
      </c>
      <c r="D263" s="16" t="n">
        <v>0</v>
      </c>
      <c r="E263" s="16"/>
      <c r="F263" s="16"/>
      <c r="G263" s="16"/>
      <c r="H263" s="16" t="n">
        <v>0</v>
      </c>
      <c r="I263" s="16" t="n">
        <v>0</v>
      </c>
      <c r="J263" s="16"/>
      <c r="K263" s="16" t="n">
        <v>0</v>
      </c>
      <c r="L263" s="16" t="n">
        <v>0</v>
      </c>
      <c r="M263" s="16" t="n">
        <v>0</v>
      </c>
      <c r="N263" s="16" t="n">
        <v>0</v>
      </c>
      <c r="O263" s="16" t="n">
        <v>0</v>
      </c>
      <c r="P263" s="16" t="n">
        <v>0</v>
      </c>
      <c r="Q263" s="16" t="n">
        <v>0</v>
      </c>
      <c r="R263" s="16" t="n">
        <v>0</v>
      </c>
      <c r="S263" s="16" t="n">
        <v>0</v>
      </c>
      <c r="T263" s="16" t="n">
        <v>0</v>
      </c>
      <c r="U263" s="16" t="n">
        <v>0</v>
      </c>
      <c r="V263" s="16"/>
      <c r="W263" s="16"/>
      <c r="X263" s="16" t="n">
        <v>0</v>
      </c>
      <c r="Y263" s="16" t="n">
        <v>0</v>
      </c>
      <c r="Z263" s="16" t="n">
        <v>0</v>
      </c>
      <c r="AA263" s="16" t="n">
        <v>0</v>
      </c>
      <c r="AB263" s="16" t="n">
        <v>0</v>
      </c>
      <c r="AC263" s="16" t="n">
        <v>0</v>
      </c>
      <c r="AD263" s="16" t="n">
        <v>0</v>
      </c>
      <c r="AE263" s="16" t="n">
        <v>0</v>
      </c>
      <c r="AF263" s="16" t="n">
        <v>0</v>
      </c>
      <c r="AG263" s="16" t="n">
        <v>0</v>
      </c>
    </row>
    <row r="264" customFormat="false" ht="15.75" hidden="false" customHeight="false" outlineLevel="0" collapsed="false">
      <c r="A264" s="28" t="n">
        <v>37123</v>
      </c>
      <c r="B264" s="16" t="n">
        <v>0</v>
      </c>
      <c r="C264" s="16" t="n">
        <v>0</v>
      </c>
      <c r="D264" s="16" t="n">
        <v>0</v>
      </c>
      <c r="E264" s="16"/>
      <c r="F264" s="16"/>
      <c r="G264" s="16"/>
      <c r="H264" s="16" t="n">
        <v>0</v>
      </c>
      <c r="I264" s="16" t="n">
        <v>0</v>
      </c>
      <c r="J264" s="16"/>
      <c r="K264" s="16" t="n">
        <v>0</v>
      </c>
      <c r="L264" s="16" t="n">
        <v>0</v>
      </c>
      <c r="M264" s="16" t="n">
        <v>0</v>
      </c>
      <c r="N264" s="16" t="n">
        <v>0</v>
      </c>
      <c r="O264" s="16" t="n">
        <v>0</v>
      </c>
      <c r="P264" s="16" t="n">
        <v>0</v>
      </c>
      <c r="Q264" s="16" t="n">
        <v>0</v>
      </c>
      <c r="R264" s="16" t="n">
        <v>0</v>
      </c>
      <c r="S264" s="16" t="n">
        <v>0</v>
      </c>
      <c r="T264" s="16" t="n">
        <v>0</v>
      </c>
      <c r="U264" s="16" t="n">
        <v>0</v>
      </c>
      <c r="V264" s="16"/>
      <c r="W264" s="16"/>
      <c r="X264" s="16" t="n">
        <v>0</v>
      </c>
      <c r="Y264" s="16" t="n">
        <v>0</v>
      </c>
      <c r="Z264" s="16" t="n">
        <v>0</v>
      </c>
      <c r="AA264" s="16" t="n">
        <v>0</v>
      </c>
      <c r="AB264" s="16" t="n">
        <v>0</v>
      </c>
      <c r="AC264" s="16" t="n">
        <v>0</v>
      </c>
      <c r="AD264" s="16" t="n">
        <v>0</v>
      </c>
      <c r="AE264" s="16" t="n">
        <v>0</v>
      </c>
      <c r="AF264" s="16" t="n">
        <v>0</v>
      </c>
      <c r="AG264" s="16" t="n">
        <v>0</v>
      </c>
    </row>
    <row r="265" customFormat="false" ht="15.75" hidden="false" customHeight="false" outlineLevel="0" collapsed="false">
      <c r="A265" s="28" t="n">
        <v>37124</v>
      </c>
      <c r="B265" s="16" t="n">
        <v>0</v>
      </c>
      <c r="C265" s="16" t="n">
        <v>0</v>
      </c>
      <c r="D265" s="16" t="n">
        <v>0</v>
      </c>
      <c r="E265" s="16"/>
      <c r="F265" s="16"/>
      <c r="G265" s="16"/>
      <c r="H265" s="16" t="n">
        <v>0</v>
      </c>
      <c r="I265" s="16" t="n">
        <v>0</v>
      </c>
      <c r="J265" s="16"/>
      <c r="K265" s="16" t="n">
        <v>0</v>
      </c>
      <c r="L265" s="16" t="n">
        <v>0</v>
      </c>
      <c r="M265" s="16" t="n">
        <v>0</v>
      </c>
      <c r="N265" s="16" t="n">
        <v>0</v>
      </c>
      <c r="O265" s="16" t="n">
        <v>0</v>
      </c>
      <c r="P265" s="16" t="n">
        <v>0</v>
      </c>
      <c r="Q265" s="16" t="n">
        <v>0</v>
      </c>
      <c r="R265" s="16" t="n">
        <v>0</v>
      </c>
      <c r="S265" s="16" t="n">
        <v>0</v>
      </c>
      <c r="T265" s="16" t="n">
        <v>0</v>
      </c>
      <c r="U265" s="16" t="n">
        <v>0</v>
      </c>
      <c r="V265" s="16"/>
      <c r="W265" s="16"/>
      <c r="X265" s="16" t="n">
        <v>0</v>
      </c>
      <c r="Y265" s="16" t="n">
        <v>0</v>
      </c>
      <c r="Z265" s="16" t="n">
        <v>0</v>
      </c>
      <c r="AA265" s="16" t="n">
        <v>0</v>
      </c>
      <c r="AB265" s="16" t="n">
        <v>0</v>
      </c>
      <c r="AC265" s="16" t="n">
        <v>0</v>
      </c>
      <c r="AD265" s="16" t="n">
        <v>0</v>
      </c>
      <c r="AE265" s="16" t="n">
        <v>0</v>
      </c>
      <c r="AF265" s="16" t="n">
        <v>0</v>
      </c>
      <c r="AG265" s="16" t="n">
        <v>0</v>
      </c>
    </row>
    <row r="266" customFormat="false" ht="15.75" hidden="false" customHeight="false" outlineLevel="0" collapsed="false">
      <c r="A266" s="28" t="n">
        <v>37125</v>
      </c>
      <c r="B266" s="16" t="n">
        <v>0</v>
      </c>
      <c r="C266" s="16" t="n">
        <v>0</v>
      </c>
      <c r="D266" s="16" t="n">
        <v>0</v>
      </c>
      <c r="E266" s="16"/>
      <c r="F266" s="16"/>
      <c r="G266" s="16"/>
      <c r="H266" s="16" t="n">
        <v>0</v>
      </c>
      <c r="I266" s="16" t="n">
        <v>0</v>
      </c>
      <c r="J266" s="16"/>
      <c r="K266" s="16" t="n">
        <v>0</v>
      </c>
      <c r="L266" s="16" t="n">
        <v>0</v>
      </c>
      <c r="M266" s="16" t="n">
        <v>0</v>
      </c>
      <c r="N266" s="16" t="n">
        <v>0</v>
      </c>
      <c r="O266" s="16" t="n">
        <v>0</v>
      </c>
      <c r="P266" s="16" t="n">
        <v>0</v>
      </c>
      <c r="Q266" s="16" t="n">
        <v>0</v>
      </c>
      <c r="R266" s="16" t="n">
        <v>0</v>
      </c>
      <c r="S266" s="16" t="n">
        <v>0</v>
      </c>
      <c r="T266" s="16" t="n">
        <v>0</v>
      </c>
      <c r="U266" s="16" t="n">
        <v>0</v>
      </c>
      <c r="V266" s="16"/>
      <c r="W266" s="16"/>
      <c r="X266" s="16" t="n">
        <v>0</v>
      </c>
      <c r="Y266" s="16" t="n">
        <v>0</v>
      </c>
      <c r="Z266" s="16" t="n">
        <v>0</v>
      </c>
      <c r="AA266" s="16" t="n">
        <v>0</v>
      </c>
      <c r="AB266" s="16" t="n">
        <v>0</v>
      </c>
      <c r="AC266" s="16" t="n">
        <v>0</v>
      </c>
      <c r="AD266" s="16" t="n">
        <v>0</v>
      </c>
      <c r="AE266" s="16" t="n">
        <v>0</v>
      </c>
      <c r="AF266" s="16" t="n">
        <v>0</v>
      </c>
      <c r="AG266" s="16" t="n">
        <v>0</v>
      </c>
    </row>
    <row r="267" customFormat="false" ht="15.75" hidden="false" customHeight="false" outlineLevel="0" collapsed="false">
      <c r="A267" s="28" t="n">
        <v>37126</v>
      </c>
      <c r="B267" s="16" t="n">
        <v>0</v>
      </c>
      <c r="C267" s="16" t="n">
        <v>0</v>
      </c>
      <c r="D267" s="16" t="n">
        <v>0</v>
      </c>
      <c r="E267" s="16"/>
      <c r="F267" s="16"/>
      <c r="G267" s="16"/>
      <c r="H267" s="16" t="n">
        <v>0</v>
      </c>
      <c r="I267" s="16" t="n">
        <v>0</v>
      </c>
      <c r="J267" s="16"/>
      <c r="K267" s="16" t="n">
        <v>0</v>
      </c>
      <c r="L267" s="16" t="n">
        <v>0</v>
      </c>
      <c r="M267" s="16" t="n">
        <v>0</v>
      </c>
      <c r="N267" s="16" t="n">
        <v>0</v>
      </c>
      <c r="O267" s="16" t="n">
        <v>0</v>
      </c>
      <c r="P267" s="16" t="n">
        <v>0</v>
      </c>
      <c r="Q267" s="16" t="n">
        <v>0</v>
      </c>
      <c r="R267" s="16" t="n">
        <v>0</v>
      </c>
      <c r="S267" s="16" t="n">
        <v>0</v>
      </c>
      <c r="T267" s="16" t="n">
        <v>0</v>
      </c>
      <c r="U267" s="16" t="n">
        <v>0</v>
      </c>
      <c r="V267" s="16"/>
      <c r="W267" s="16"/>
      <c r="X267" s="16" t="n">
        <v>0</v>
      </c>
      <c r="Y267" s="16" t="n">
        <v>0</v>
      </c>
      <c r="Z267" s="16" t="n">
        <v>0</v>
      </c>
      <c r="AA267" s="16" t="n">
        <v>0</v>
      </c>
      <c r="AB267" s="16" t="n">
        <v>0</v>
      </c>
      <c r="AC267" s="16" t="n">
        <v>0</v>
      </c>
      <c r="AD267" s="16" t="n">
        <v>0</v>
      </c>
      <c r="AE267" s="16" t="n">
        <v>0</v>
      </c>
      <c r="AF267" s="16" t="n">
        <v>0</v>
      </c>
      <c r="AG267" s="16" t="n">
        <v>0</v>
      </c>
    </row>
    <row r="268" customFormat="false" ht="15.75" hidden="false" customHeight="false" outlineLevel="0" collapsed="false">
      <c r="A268" s="28" t="n">
        <v>37127</v>
      </c>
      <c r="B268" s="16" t="n">
        <v>0</v>
      </c>
      <c r="C268" s="16" t="n">
        <v>0</v>
      </c>
      <c r="D268" s="16" t="n">
        <v>0</v>
      </c>
      <c r="E268" s="16"/>
      <c r="F268" s="16"/>
      <c r="G268" s="16"/>
      <c r="H268" s="16" t="n">
        <v>0</v>
      </c>
      <c r="I268" s="16" t="n">
        <v>0</v>
      </c>
      <c r="J268" s="16"/>
      <c r="K268" s="16" t="n">
        <v>0</v>
      </c>
      <c r="L268" s="16" t="n">
        <v>0</v>
      </c>
      <c r="M268" s="16" t="n">
        <v>0</v>
      </c>
      <c r="N268" s="16" t="n">
        <v>0</v>
      </c>
      <c r="O268" s="16" t="n">
        <v>0</v>
      </c>
      <c r="P268" s="16" t="n">
        <v>0</v>
      </c>
      <c r="Q268" s="16" t="n">
        <v>0</v>
      </c>
      <c r="R268" s="16" t="n">
        <v>0</v>
      </c>
      <c r="S268" s="16" t="n">
        <v>0</v>
      </c>
      <c r="T268" s="16" t="n">
        <v>0</v>
      </c>
      <c r="U268" s="16" t="n">
        <v>0</v>
      </c>
      <c r="V268" s="16"/>
      <c r="W268" s="16"/>
      <c r="X268" s="16" t="n">
        <v>0</v>
      </c>
      <c r="Y268" s="16" t="n">
        <v>0</v>
      </c>
      <c r="Z268" s="16" t="n">
        <v>0</v>
      </c>
      <c r="AA268" s="16" t="n">
        <v>0</v>
      </c>
      <c r="AB268" s="16" t="n">
        <v>0</v>
      </c>
      <c r="AC268" s="16" t="n">
        <v>0</v>
      </c>
      <c r="AD268" s="16" t="n">
        <v>0</v>
      </c>
      <c r="AE268" s="16" t="n">
        <v>0</v>
      </c>
      <c r="AF268" s="16" t="n">
        <v>0</v>
      </c>
      <c r="AG268" s="16" t="n">
        <v>0</v>
      </c>
    </row>
    <row r="269" customFormat="false" ht="15.75" hidden="false" customHeight="false" outlineLevel="0" collapsed="false">
      <c r="A269" s="28" t="n">
        <v>37130</v>
      </c>
      <c r="B269" s="16" t="n">
        <v>0</v>
      </c>
      <c r="C269" s="16" t="n">
        <v>0</v>
      </c>
      <c r="D269" s="16" t="n">
        <v>0</v>
      </c>
      <c r="E269" s="16"/>
      <c r="F269" s="16"/>
      <c r="G269" s="16"/>
      <c r="H269" s="16" t="n">
        <v>0</v>
      </c>
      <c r="I269" s="16" t="n">
        <v>0</v>
      </c>
      <c r="J269" s="16"/>
      <c r="K269" s="16" t="n">
        <v>0</v>
      </c>
      <c r="L269" s="16" t="n">
        <v>0</v>
      </c>
      <c r="M269" s="16" t="n">
        <v>0</v>
      </c>
      <c r="N269" s="16" t="n">
        <v>0</v>
      </c>
      <c r="O269" s="16" t="n">
        <v>0</v>
      </c>
      <c r="P269" s="16" t="n">
        <v>0</v>
      </c>
      <c r="Q269" s="16" t="n">
        <v>0</v>
      </c>
      <c r="R269" s="16" t="n">
        <v>0</v>
      </c>
      <c r="S269" s="16" t="n">
        <v>0</v>
      </c>
      <c r="T269" s="16" t="n">
        <v>0</v>
      </c>
      <c r="U269" s="16" t="n">
        <v>0</v>
      </c>
      <c r="V269" s="16"/>
      <c r="W269" s="16"/>
      <c r="X269" s="16" t="n">
        <v>0</v>
      </c>
      <c r="Y269" s="16" t="n">
        <v>0</v>
      </c>
      <c r="Z269" s="16" t="n">
        <v>0</v>
      </c>
      <c r="AA269" s="16" t="n">
        <v>0</v>
      </c>
      <c r="AB269" s="16" t="n">
        <v>0</v>
      </c>
      <c r="AC269" s="16" t="n">
        <v>0</v>
      </c>
      <c r="AD269" s="16" t="n">
        <v>0</v>
      </c>
      <c r="AE269" s="16" t="n">
        <v>0</v>
      </c>
      <c r="AF269" s="16" t="n">
        <v>0</v>
      </c>
      <c r="AG269" s="16" t="n">
        <v>0</v>
      </c>
    </row>
    <row r="270" customFormat="false" ht="15.75" hidden="false" customHeight="false" outlineLevel="0" collapsed="false">
      <c r="A270" s="28" t="n">
        <v>37131</v>
      </c>
      <c r="B270" s="16" t="n">
        <v>0</v>
      </c>
      <c r="C270" s="16" t="n">
        <v>0</v>
      </c>
      <c r="D270" s="16" t="n">
        <v>0</v>
      </c>
      <c r="E270" s="16"/>
      <c r="F270" s="16"/>
      <c r="G270" s="16"/>
      <c r="H270" s="16" t="n">
        <v>0</v>
      </c>
      <c r="I270" s="16" t="n">
        <v>0</v>
      </c>
      <c r="J270" s="16"/>
      <c r="K270" s="16" t="n">
        <v>0</v>
      </c>
      <c r="L270" s="16" t="n">
        <v>0</v>
      </c>
      <c r="M270" s="16" t="n">
        <v>0</v>
      </c>
      <c r="N270" s="16" t="n">
        <v>0</v>
      </c>
      <c r="O270" s="16" t="n">
        <v>0</v>
      </c>
      <c r="P270" s="16" t="n">
        <v>0</v>
      </c>
      <c r="Q270" s="16" t="n">
        <v>0</v>
      </c>
      <c r="R270" s="16" t="n">
        <v>0</v>
      </c>
      <c r="S270" s="16" t="n">
        <v>0</v>
      </c>
      <c r="T270" s="16" t="n">
        <v>0</v>
      </c>
      <c r="U270" s="16" t="n">
        <v>0</v>
      </c>
      <c r="V270" s="16"/>
      <c r="W270" s="16"/>
      <c r="X270" s="16" t="n">
        <v>0</v>
      </c>
      <c r="Y270" s="16" t="n">
        <v>0</v>
      </c>
      <c r="Z270" s="16" t="n">
        <v>0</v>
      </c>
      <c r="AA270" s="16" t="n">
        <v>0</v>
      </c>
      <c r="AB270" s="16" t="n">
        <v>0</v>
      </c>
      <c r="AC270" s="16" t="n">
        <v>0</v>
      </c>
      <c r="AD270" s="16" t="n">
        <v>0</v>
      </c>
      <c r="AE270" s="16" t="n">
        <v>0</v>
      </c>
      <c r="AF270" s="16" t="n">
        <v>0</v>
      </c>
      <c r="AG270" s="16" t="n">
        <v>0</v>
      </c>
    </row>
    <row r="271" customFormat="false" ht="15.75" hidden="false" customHeight="false" outlineLevel="0" collapsed="false">
      <c r="A271" s="28" t="n">
        <v>37132</v>
      </c>
      <c r="B271" s="16" t="n">
        <v>0</v>
      </c>
      <c r="C271" s="16" t="n">
        <v>0</v>
      </c>
      <c r="D271" s="16" t="n">
        <v>0</v>
      </c>
      <c r="E271" s="16"/>
      <c r="F271" s="16"/>
      <c r="G271" s="16"/>
      <c r="H271" s="16" t="n">
        <v>0</v>
      </c>
      <c r="I271" s="16" t="n">
        <v>0</v>
      </c>
      <c r="J271" s="16"/>
      <c r="K271" s="16" t="n">
        <v>0</v>
      </c>
      <c r="L271" s="16" t="n">
        <v>0</v>
      </c>
      <c r="M271" s="16" t="n">
        <v>0</v>
      </c>
      <c r="N271" s="16" t="n">
        <v>0</v>
      </c>
      <c r="O271" s="16" t="n">
        <v>0</v>
      </c>
      <c r="P271" s="16" t="n">
        <v>0</v>
      </c>
      <c r="Q271" s="16" t="n">
        <v>0</v>
      </c>
      <c r="R271" s="16" t="n">
        <v>0</v>
      </c>
      <c r="S271" s="16" t="n">
        <v>0</v>
      </c>
      <c r="T271" s="16" t="n">
        <v>0</v>
      </c>
      <c r="U271" s="16" t="n">
        <v>0</v>
      </c>
      <c r="V271" s="16"/>
      <c r="W271" s="16"/>
      <c r="X271" s="16" t="n">
        <v>0</v>
      </c>
      <c r="Y271" s="16" t="n">
        <v>0</v>
      </c>
      <c r="Z271" s="16" t="n">
        <v>0</v>
      </c>
      <c r="AA271" s="16" t="n">
        <v>0</v>
      </c>
      <c r="AB271" s="16" t="n">
        <v>0</v>
      </c>
      <c r="AC271" s="16" t="n">
        <v>0</v>
      </c>
      <c r="AD271" s="16" t="n">
        <v>0</v>
      </c>
      <c r="AE271" s="16" t="n">
        <v>0</v>
      </c>
      <c r="AF271" s="16" t="n">
        <v>0</v>
      </c>
      <c r="AG271" s="16" t="n">
        <v>0</v>
      </c>
    </row>
    <row r="272" customFormat="false" ht="15.75" hidden="false" customHeight="false" outlineLevel="0" collapsed="false">
      <c r="A272" s="28" t="n">
        <v>37133</v>
      </c>
      <c r="B272" s="16" t="n">
        <v>0</v>
      </c>
      <c r="C272" s="16" t="n">
        <v>0</v>
      </c>
      <c r="D272" s="16" t="n">
        <v>0</v>
      </c>
      <c r="E272" s="16"/>
      <c r="F272" s="16"/>
      <c r="G272" s="16"/>
      <c r="H272" s="16" t="n">
        <v>0</v>
      </c>
      <c r="I272" s="16" t="n">
        <v>0</v>
      </c>
      <c r="J272" s="16"/>
      <c r="K272" s="16" t="n">
        <v>0</v>
      </c>
      <c r="L272" s="16" t="n">
        <v>0</v>
      </c>
      <c r="M272" s="16" t="n">
        <v>0</v>
      </c>
      <c r="N272" s="16" t="n">
        <v>0</v>
      </c>
      <c r="O272" s="16" t="n">
        <v>0</v>
      </c>
      <c r="P272" s="16" t="n">
        <v>0</v>
      </c>
      <c r="Q272" s="16" t="n">
        <v>0</v>
      </c>
      <c r="R272" s="16" t="n">
        <v>0</v>
      </c>
      <c r="S272" s="16" t="n">
        <v>0</v>
      </c>
      <c r="T272" s="16" t="n">
        <v>0</v>
      </c>
      <c r="U272" s="16" t="n">
        <v>0</v>
      </c>
      <c r="V272" s="16"/>
      <c r="W272" s="16"/>
      <c r="X272" s="16" t="n">
        <v>0</v>
      </c>
      <c r="Y272" s="16" t="n">
        <v>0</v>
      </c>
      <c r="Z272" s="16" t="n">
        <v>0</v>
      </c>
      <c r="AA272" s="16" t="n">
        <v>0</v>
      </c>
      <c r="AB272" s="16" t="n">
        <v>0</v>
      </c>
      <c r="AC272" s="16" t="n">
        <v>0</v>
      </c>
      <c r="AD272" s="16" t="n">
        <v>0</v>
      </c>
      <c r="AE272" s="16" t="n">
        <v>0</v>
      </c>
      <c r="AF272" s="16" t="n">
        <v>0</v>
      </c>
      <c r="AG272" s="16" t="n">
        <v>0</v>
      </c>
    </row>
    <row r="273" customFormat="false" ht="15.75" hidden="false" customHeight="false" outlineLevel="0" collapsed="false">
      <c r="A273" s="28" t="n">
        <v>37134</v>
      </c>
      <c r="B273" s="16" t="n">
        <v>0</v>
      </c>
      <c r="C273" s="16" t="n">
        <v>0</v>
      </c>
      <c r="D273" s="16" t="n">
        <v>0</v>
      </c>
      <c r="E273" s="16"/>
      <c r="F273" s="16"/>
      <c r="G273" s="16"/>
      <c r="H273" s="16" t="n">
        <v>0</v>
      </c>
      <c r="I273" s="16" t="n">
        <v>0</v>
      </c>
      <c r="J273" s="16"/>
      <c r="K273" s="16" t="n">
        <v>0</v>
      </c>
      <c r="L273" s="16" t="n">
        <v>0</v>
      </c>
      <c r="M273" s="16" t="n">
        <v>0</v>
      </c>
      <c r="N273" s="16" t="n">
        <v>0</v>
      </c>
      <c r="O273" s="16" t="n">
        <v>0</v>
      </c>
      <c r="P273" s="16" t="n">
        <v>0</v>
      </c>
      <c r="Q273" s="16" t="n">
        <v>0</v>
      </c>
      <c r="R273" s="16" t="n">
        <v>0</v>
      </c>
      <c r="S273" s="16" t="n">
        <v>0</v>
      </c>
      <c r="T273" s="16" t="n">
        <v>0</v>
      </c>
      <c r="U273" s="16" t="n">
        <v>0</v>
      </c>
      <c r="V273" s="16"/>
      <c r="W273" s="16"/>
      <c r="X273" s="16" t="n">
        <v>0</v>
      </c>
      <c r="Y273" s="16" t="n">
        <v>0</v>
      </c>
      <c r="Z273" s="16" t="n">
        <v>0</v>
      </c>
      <c r="AA273" s="16" t="n">
        <v>0</v>
      </c>
      <c r="AB273" s="16" t="n">
        <v>0</v>
      </c>
      <c r="AC273" s="16" t="n">
        <v>0</v>
      </c>
      <c r="AD273" s="16" t="n">
        <v>0</v>
      </c>
      <c r="AE273" s="16" t="n">
        <v>0</v>
      </c>
      <c r="AF273" s="16" t="n">
        <v>0</v>
      </c>
      <c r="AG273" s="16" t="n">
        <v>0</v>
      </c>
    </row>
    <row r="274" customFormat="false" ht="15.75" hidden="false" customHeight="false" outlineLevel="0" collapsed="false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customFormat="false" ht="15.75" hidden="false" customHeight="false" outlineLevel="0" collapsed="false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customFormat="false" ht="15.75" hidden="false" customHeight="false" outlineLevel="0" collapsed="false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customFormat="false" ht="15.75" hidden="false" customHeight="false" outlineLevel="0" collapsed="false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customFormat="false" ht="15.75" hidden="false" customHeight="false" outlineLevel="0" collapsed="false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customFormat="false" ht="15.75" hidden="false" customHeight="false" outlineLevel="0" collapsed="false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customFormat="false" ht="15.75" hidden="false" customHeight="false" outlineLevel="0" collapsed="false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customFormat="false" ht="15.75" hidden="false" customHeight="false" outlineLevel="0" collapsed="false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customFormat="false" ht="15.75" hidden="false" customHeight="false" outlineLevel="0" collapsed="false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customFormat="false" ht="15.75" hidden="false" customHeight="false" outlineLevel="0" collapsed="false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customFormat="false" ht="15.75" hidden="false" customHeight="false" outlineLevel="0" collapsed="false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customFormat="false" ht="15.75" hidden="false" customHeight="false" outlineLevel="0" collapsed="false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customFormat="false" ht="15.75" hidden="false" customHeight="false" outlineLevel="0" collapsed="false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customFormat="false" ht="15.75" hidden="false" customHeight="false" outlineLevel="0" collapsed="false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customFormat="false" ht="15.75" hidden="false" customHeight="false" outlineLevel="0" collapsed="false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customFormat="false" ht="15.75" hidden="false" customHeight="false" outlineLevel="0" collapsed="false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customFormat="false" ht="15.75" hidden="false" customHeight="false" outlineLevel="0" collapsed="false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customFormat="false" ht="15.75" hidden="false" customHeight="false" outlineLevel="0" collapsed="false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customFormat="false" ht="15.75" hidden="false" customHeight="false" outlineLevel="0" collapsed="false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customFormat="false" ht="15.75" hidden="false" customHeight="false" outlineLevel="0" collapsed="false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customFormat="false" ht="15.75" hidden="false" customHeight="false" outlineLevel="0" collapsed="false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customFormat="false" ht="15.75" hidden="false" customHeight="false" outlineLevel="0" collapsed="false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customFormat="false" ht="15.75" hidden="false" customHeight="false" outlineLevel="0" collapsed="false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customFormat="false" ht="15.75" hidden="false" customHeight="false" outlineLevel="0" collapsed="false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customFormat="false" ht="15.75" hidden="false" customHeight="false" outlineLevel="0" collapsed="false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customFormat="false" ht="15.75" hidden="false" customHeight="false" outlineLevel="0" collapsed="false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customFormat="false" ht="15.75" hidden="false" customHeight="false" outlineLevel="0" collapsed="false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76" customFormat="false" ht="15.75" hidden="false" customHeight="false" outlineLevel="0" collapsed="false">
      <c r="A376" s="28" t="s">
        <v>120</v>
      </c>
      <c r="B376" s="0" t="s">
        <v>120</v>
      </c>
      <c r="C376" s="0" t="s">
        <v>120</v>
      </c>
      <c r="D376" s="0" t="s">
        <v>120</v>
      </c>
      <c r="E376" s="0" t="s">
        <v>120</v>
      </c>
      <c r="F376" s="0" t="s">
        <v>120</v>
      </c>
      <c r="G376" s="0" t="s">
        <v>120</v>
      </c>
      <c r="H376" s="0" t="s">
        <v>120</v>
      </c>
      <c r="I376" s="0" t="s">
        <v>120</v>
      </c>
      <c r="J376" s="0" t="s">
        <v>120</v>
      </c>
      <c r="K376" s="0" t="s">
        <v>120</v>
      </c>
      <c r="L376" s="0" t="s">
        <v>120</v>
      </c>
      <c r="M376" s="0" t="s">
        <v>120</v>
      </c>
      <c r="N376" s="0" t="s">
        <v>120</v>
      </c>
      <c r="O376" s="0" t="s">
        <v>120</v>
      </c>
      <c r="P376" s="0" t="s">
        <v>120</v>
      </c>
      <c r="Q376" s="0" t="s">
        <v>120</v>
      </c>
      <c r="R376" s="0" t="s">
        <v>120</v>
      </c>
      <c r="S376" s="0" t="s">
        <v>120</v>
      </c>
      <c r="T376" s="0" t="s">
        <v>120</v>
      </c>
      <c r="U376" s="0" t="s">
        <v>120</v>
      </c>
      <c r="V376" s="0" t="s">
        <v>120</v>
      </c>
      <c r="W376" s="0" t="s">
        <v>120</v>
      </c>
      <c r="X376" s="0" t="s">
        <v>120</v>
      </c>
      <c r="Y376" s="0" t="s">
        <v>120</v>
      </c>
      <c r="Z376" s="0" t="s">
        <v>120</v>
      </c>
      <c r="AA376" s="0" t="s">
        <v>120</v>
      </c>
      <c r="AB376" s="0" t="s">
        <v>120</v>
      </c>
      <c r="AC376" s="0" t="s">
        <v>120</v>
      </c>
      <c r="AD376" s="0" t="s">
        <v>120</v>
      </c>
      <c r="AE376" s="0" t="s">
        <v>120</v>
      </c>
      <c r="AF376" s="0" t="s">
        <v>120</v>
      </c>
      <c r="AG376" s="0" t="s">
        <v>120</v>
      </c>
    </row>
    <row r="377" customFormat="false" ht="15.75" hidden="false" customHeight="false" outlineLevel="0" collapsed="false">
      <c r="A377" s="28" t="s">
        <v>6</v>
      </c>
      <c r="B377" s="59" t="n">
        <f aca="false">SUM(B6:B376)</f>
        <v>0</v>
      </c>
      <c r="C377" s="59" t="n">
        <f aca="false">SUM(C6:C376)</f>
        <v>172582.349999999</v>
      </c>
      <c r="D377" s="59" t="n">
        <f aca="false">SUM(D6:D376)</f>
        <v>0</v>
      </c>
      <c r="E377" s="59" t="n">
        <f aca="false">SUM(E6:E376)</f>
        <v>-372147.13</v>
      </c>
      <c r="F377" s="59" t="n">
        <f aca="false">SUM(F6:F376)</f>
        <v>-12565511</v>
      </c>
      <c r="G377" s="59" t="n">
        <f aca="false">SUM(G6:G376)</f>
        <v>0</v>
      </c>
      <c r="H377" s="59" t="n">
        <f aca="false">SUM(H6:H376)</f>
        <v>0</v>
      </c>
      <c r="I377" s="59" t="n">
        <f aca="false">SUM(I6:I376)</f>
        <v>0</v>
      </c>
      <c r="J377" s="59" t="n">
        <f aca="false">SUM(J6:J376)</f>
        <v>-125000</v>
      </c>
      <c r="K377" s="59" t="n">
        <f aca="false">SUM(K6:K376)</f>
        <v>-2.83122062683105E-007</v>
      </c>
      <c r="L377" s="59" t="n">
        <f aca="false">SUM(L6:L376)</f>
        <v>0</v>
      </c>
      <c r="M377" s="59" t="n">
        <f aca="false">SUM(M6:M376)</f>
        <v>-137317.57</v>
      </c>
      <c r="N377" s="59" t="n">
        <f aca="false">SUM(N6:N376)</f>
        <v>0</v>
      </c>
      <c r="O377" s="59" t="n">
        <f aca="false">SUM(O6:O376)</f>
        <v>-1100000</v>
      </c>
      <c r="P377" s="59" t="n">
        <f aca="false">SUM(P6:P376)</f>
        <v>0</v>
      </c>
      <c r="Q377" s="59" t="n">
        <f aca="false">SUM(Q6:Q376)</f>
        <v>0</v>
      </c>
      <c r="R377" s="59" t="n">
        <f aca="false">SUM(R6:R376)</f>
        <v>0</v>
      </c>
      <c r="S377" s="59" t="n">
        <f aca="false">SUM(S6:S376)</f>
        <v>-5644007</v>
      </c>
      <c r="T377" s="59" t="n">
        <f aca="false">SUM(T6:T376)</f>
        <v>4601530.15</v>
      </c>
      <c r="U377" s="59" t="n">
        <f aca="false">SUM(U6:U376)</f>
        <v>-2560525</v>
      </c>
      <c r="V377" s="59" t="n">
        <f aca="false">SUM(V6:V376)</f>
        <v>-2415598.88</v>
      </c>
      <c r="W377" s="59" t="n">
        <f aca="false">SUM(W6:W376)</f>
        <v>0</v>
      </c>
      <c r="X377" s="57" t="n">
        <f aca="false">SUM(X6:X376)</f>
        <v>0</v>
      </c>
      <c r="Y377" s="59" t="n">
        <f aca="false">SUM(Y6:Y376)</f>
        <v>0</v>
      </c>
      <c r="Z377" s="59" t="n">
        <f aca="false">SUM(Z6:Z376)</f>
        <v>0</v>
      </c>
      <c r="AA377" s="59" t="n">
        <f aca="false">SUM(AA6:AA376)</f>
        <v>679886.66</v>
      </c>
      <c r="AB377" s="59" t="n">
        <f aca="false">SUM(AB6:AB376)</f>
        <v>-679887.15</v>
      </c>
      <c r="AC377" s="59" t="n">
        <f aca="false">SUM(AC6:AC376)</f>
        <v>-14420978.76</v>
      </c>
      <c r="AD377" s="59" t="n">
        <f aca="false">SUM(AD6:AD376)</f>
        <v>-1050000</v>
      </c>
      <c r="AE377" s="59" t="n">
        <f aca="false">SUM(AE6:AE376)</f>
        <v>4170705.37</v>
      </c>
      <c r="AF377" s="59" t="n">
        <f aca="false">SUM(AF6:AF376)</f>
        <v>0</v>
      </c>
      <c r="AG377" s="59" t="n">
        <f aca="false">SUM(AG6:AG376)</f>
        <v>0</v>
      </c>
    </row>
    <row r="379" customFormat="false" ht="15.75" hidden="false" customHeight="false" outlineLevel="0" collapsed="false">
      <c r="A379" s="28" t="n">
        <f aca="false">+'Stock Prices'!A378</f>
        <v>37134</v>
      </c>
      <c r="B379" s="16" t="n">
        <f aca="false">+B381-B382-B383</f>
        <v>0</v>
      </c>
      <c r="C379" s="16" t="n">
        <f aca="false">+C381-C382-C383</f>
        <v>0</v>
      </c>
      <c r="D379" s="16" t="n">
        <f aca="false">+D381-D382-D383</f>
        <v>0</v>
      </c>
      <c r="E379" s="16"/>
      <c r="F379" s="16"/>
      <c r="G379" s="16"/>
      <c r="H379" s="16" t="n">
        <f aca="false">+H381-H382-H383</f>
        <v>0</v>
      </c>
      <c r="I379" s="16" t="n">
        <f aca="false">+I381-I382-I383</f>
        <v>0</v>
      </c>
      <c r="J379" s="16"/>
      <c r="K379" s="16" t="n">
        <f aca="false">+K381-K382-K383</f>
        <v>0</v>
      </c>
      <c r="L379" s="16" t="n">
        <f aca="false">+L381-L382-L383</f>
        <v>0</v>
      </c>
      <c r="M379" s="16" t="n">
        <f aca="false">+M381-M382-M383</f>
        <v>0</v>
      </c>
      <c r="N379" s="16" t="n">
        <f aca="false">+N381-N382-N383</f>
        <v>0</v>
      </c>
      <c r="O379" s="16" t="n">
        <f aca="false">+O381-O382-O383</f>
        <v>0</v>
      </c>
      <c r="P379" s="16" t="n">
        <f aca="false">+P381-P382-P383</f>
        <v>0</v>
      </c>
      <c r="Q379" s="16" t="n">
        <f aca="false">+Q381-Q382-Q383</f>
        <v>0</v>
      </c>
      <c r="R379" s="16" t="n">
        <f aca="false">+R381-R382-R383</f>
        <v>0</v>
      </c>
      <c r="S379" s="16" t="n">
        <f aca="false">+S381-S382-S383</f>
        <v>0</v>
      </c>
      <c r="T379" s="16" t="n">
        <f aca="false">+T381-T382-T383</f>
        <v>0</v>
      </c>
      <c r="U379" s="16" t="n">
        <f aca="false">+U381-U382-U383</f>
        <v>0</v>
      </c>
      <c r="V379" s="16"/>
      <c r="W379" s="16"/>
      <c r="X379" s="16" t="n">
        <f aca="false">+X381-X382-X383</f>
        <v>0</v>
      </c>
      <c r="Y379" s="16" t="n">
        <f aca="false">+Y381-Y382-Y383</f>
        <v>0</v>
      </c>
      <c r="Z379" s="16" t="n">
        <f aca="false">+Z381-Z382-Z383</f>
        <v>0</v>
      </c>
      <c r="AA379" s="16" t="n">
        <f aca="false">+AA381-AA382-AA383</f>
        <v>0</v>
      </c>
      <c r="AB379" s="16" t="n">
        <f aca="false">+AB381-AB382-AB383</f>
        <v>0</v>
      </c>
      <c r="AC379" s="16" t="n">
        <f aca="false">+AC381-AC382-AC383</f>
        <v>0</v>
      </c>
      <c r="AD379" s="16" t="n">
        <f aca="false">+AD381-AD382-AD383</f>
        <v>0</v>
      </c>
      <c r="AE379" s="16" t="n">
        <f aca="false">+AE381-AE382-AE383</f>
        <v>0</v>
      </c>
      <c r="AF379" s="16" t="n">
        <f aca="false">+AF381-AF382-AF383</f>
        <v>0</v>
      </c>
      <c r="AG379" s="16" t="n">
        <f aca="false">+AG381-AG382-AG383</f>
        <v>0</v>
      </c>
    </row>
    <row r="380" customFormat="false" ht="15.75" hidden="false" customHeight="false" outlineLevel="0" collapsed="false">
      <c r="A380" s="28" t="s">
        <v>121</v>
      </c>
      <c r="C380" s="101" t="n">
        <f aca="false">SUM(B379:AG379)</f>
        <v>0</v>
      </c>
    </row>
    <row r="381" customFormat="false" ht="15.75" hidden="false" customHeight="false" outlineLevel="0" collapsed="false">
      <c r="A381" s="28" t="n">
        <f aca="false">+'MPR Raptor'!$U$3</f>
        <v>37134</v>
      </c>
      <c r="B381" s="16" t="n">
        <f aca="false">INDEX(MPRR,MATCH("Amerada Hess Exposure Raptor I",'MPR Raptor'!$E$3:$E$140,),MATCH("Per Share",'MPR Raptor'!$E$3:$CM$3,))</f>
        <v>1250000</v>
      </c>
      <c r="C381" s="16" t="n">
        <f aca="false">INDEX(MPRR,MATCH("Ameritex Raptor I",'MPR Raptor'!$E$3:$E$140,),MATCH("Per Share",'MPR Raptor'!$E$3:$CM$3,))</f>
        <v>1381612.61</v>
      </c>
      <c r="D381" s="16" t="n">
        <f aca="false">INDEX(MPRR,MATCH("Basic Energy CFPC Raptor I",'MPR Raptor'!$E$3:$E$140,),MATCH("Per Share",'MPR Raptor'!$E$3:$CM$3,))</f>
        <v>770244.5</v>
      </c>
      <c r="E381" s="16"/>
      <c r="F381" s="16"/>
      <c r="G381" s="16"/>
      <c r="H381" s="16" t="n">
        <f aca="false">INDEX(MPRR,MATCH("City Forest IPC Raptor I",'MPR Raptor'!$E$3:$E$140,),MATCH("Per Share",'MPR Raptor'!$E$3:$CM$3,))</f>
        <v>0</v>
      </c>
      <c r="I381" s="16" t="n">
        <f aca="false">INDEX(MPRR,MATCH("Ecogas Loan Raptor I",'MPR Raptor'!$E$3:$E$140,),MATCH("Per Share",'MPR Raptor'!$E$3:$CM$3,))+0</f>
        <v>0</v>
      </c>
      <c r="J381" s="16"/>
      <c r="K381" s="16" t="n">
        <f aca="false">INDEX(MPRR,MATCH("Heartland Steel Common Raptor I",'MPR Raptor'!$E$3:$E$140,),MATCH("Per Share",'MPR Raptor'!$E$3:$CM$3,))*'Daily Position'!$H$43</f>
        <v>0</v>
      </c>
      <c r="L381" s="16" t="n">
        <f aca="false">INDEX(MPRR,MATCH("Heartland Steel Common Condor Raptor I",'MPR Raptor'!$E$3:$E$140,),MATCH("Per Share",'MPR Raptor'!$E$3:$CM$3,))</f>
        <v>0</v>
      </c>
      <c r="M381" s="16" t="n">
        <f aca="false">INDEX(MPRR,MATCH("Heartland Contingent Construction Loan Raptor I",'MPR Raptor'!$E$3:$E$140,),MATCH("Per Share",'MPR Raptor'!$E$3:$CM$3,))</f>
        <v>0</v>
      </c>
      <c r="N381" s="16" t="n">
        <f aca="false">INDEX(MPRR,MATCH("Heartland Steel Warrants Raptor I",'MPR Raptor'!$E$3:$E$140,),MATCH("Per Share",'MPR Raptor'!$E$3:$CM$3,))</f>
        <v>0</v>
      </c>
      <c r="O381" s="16" t="n">
        <f aca="false">INDEX(MPRR,MATCH("Hughes Rawls Loan Raptor I",'MPR Raptor'!$E$3:$E$140,),MATCH("Per Share",'MPR Raptor'!$E$3:$CM$3,))</f>
        <v>0</v>
      </c>
      <c r="P381" s="16" t="n">
        <f aca="false">INDEX(MPRR,MATCH("Hughes Rawls Note Raptor I",'MPR Raptor'!$E$3:$E$140,),MATCH("Per Share",'MPR Raptor'!$E$3:$CM$3,))</f>
        <v>0</v>
      </c>
      <c r="Q381" s="16" t="n">
        <f aca="false">INDEX(MPRR,MATCH("Hornbeck-Leevac Warrants Raptor I",'MPR Raptor'!$E$3:$E$140,),MATCH("Per Share",'MPR Raptor'!$E$3:$CM$3,))*Q385</f>
        <v>10125000</v>
      </c>
      <c r="R381" s="16" t="n">
        <f aca="false">INDEX(MPRR,MATCH("Industrial Holdings Raptor I",'MPR Raptor'!$E$3:$E$140,),MATCH("Per Share",'MPR Raptor'!$E$3:$CM$3,))</f>
        <v>7121810</v>
      </c>
      <c r="S381" s="16" t="n">
        <f aca="false">INDEX(MPRR,MATCH("Invasion Energy Raptor I",'MPR Raptor'!$E$3:$E$140,),MATCH("Per Share",'MPR Raptor'!$E$3:$CM$3,))</f>
        <v>0</v>
      </c>
      <c r="T381" s="16" t="n">
        <f aca="false">INDEX(MPRR,MATCH("Juniper Raptor I",'MPR Raptor'!$E$3:$E$140,),MATCH("Per Share",'MPR Raptor'!$E$3:$CM$3,))</f>
        <v>25489125.01</v>
      </c>
      <c r="U381" s="16" t="n">
        <f aca="false">INDEX(MPRR,MATCH("Juniper Exposure Raptor I",'MPR Raptor'!$E$3:$E$140,),MATCH("Per Share",'MPR Raptor'!$E$3:$CM$3,))</f>
        <v>0</v>
      </c>
      <c r="V381" s="16"/>
      <c r="W381" s="16"/>
      <c r="X381" s="16" t="n">
        <f aca="false">INDEX(MPRR,MATCH("LSI Warrants (AIM) Raptor I",'MPR Raptor'!$E$3:$E$140,),MATCH("Per Share",'MPR Raptor'!$E$3:$CM$3,))</f>
        <v>0</v>
      </c>
      <c r="Y381" s="16" t="n">
        <f aca="false">INDEX(MPRR,MATCH("Oconto Falls Common Raptor I",'MPR Raptor'!$E$3:$E$140,),MATCH("Per Share",'MPR Raptor'!$E$3:$CM$3,))</f>
        <v>1803840</v>
      </c>
      <c r="Z381" s="16" t="n">
        <f aca="false">INDEX(MPRR,MATCH("Oconto Falls IPC Raptor I",'MPR Raptor'!$E$3:$E$140,),MATCH("Per Share",'MPR Raptor'!$E$3:$CM$3,))</f>
        <v>2300803</v>
      </c>
      <c r="AA381" s="16" t="n">
        <f aca="false">INDEX(MPRR,MATCH("Texland Raptor I",'MPR Raptor'!$E$3:$E$140,),MATCH("Per Share",'MPR Raptor'!$E$3:$CM$3,))</f>
        <v>9651875</v>
      </c>
      <c r="AB381" s="16" t="n">
        <f aca="false">INDEX(MPRR,MATCH("Texland Exposure Raptor I",'MPR Raptor'!$E$3:$E$140,),MATCH("Per Share",'MPR Raptor'!$E$3:$CM$3,))</f>
        <v>1663862.85</v>
      </c>
      <c r="AC381" s="16" t="n">
        <f aca="false">INDEX(MPRR,MATCH("Vastar Raptor I",'MPR Raptor'!$E$3:$E$140,),MATCH("Per Share",'MPR Raptor'!$E$3:$CM$3,))</f>
        <v>1895268.24</v>
      </c>
      <c r="AD381" s="16" t="n">
        <f aca="false">INDEX(MPRR,MATCH("Vastar Exposure Raptor I",'MPR Raptor'!$E$3:$E$140,),MATCH("Per Share",'MPR Raptor'!$E$3:$CM$3,))</f>
        <v>0</v>
      </c>
      <c r="AE381" s="16" t="n">
        <f aca="false">INDEX(MPRR,MATCH("Venoco Convertible Raptor I",'MPR Raptor'!$E$3:$E$140,),MATCH("Per Share",'MPR Raptor'!$E$3:$CM$3,))*AE385</f>
        <v>49006745.47</v>
      </c>
      <c r="AF381" s="16" t="n">
        <f aca="false">INDEX(MPRR,MATCH("WB Oil &amp; Gas Raptor I",'MPR Raptor'!$E$3:$E$140,),MATCH("Per Share",'MPR Raptor'!$E$3:$CM$3,))*'Daily Position'!$H$64</f>
        <v>0</v>
      </c>
      <c r="AG381" s="16" t="n">
        <f aca="false">INDEX(MPRR,MATCH("Merlin Credit Derivative Raptor I",'MPR Raptor'!$E$3:$E$140,),MATCH("Per Share",'MPR Raptor'!$E$3:$CM$3,))</f>
        <v>0</v>
      </c>
    </row>
    <row r="382" customFormat="false" ht="15.75" hidden="false" customHeight="false" outlineLevel="0" collapsed="false">
      <c r="A382" s="28" t="n">
        <f aca="false">+A381-1</f>
        <v>37133</v>
      </c>
      <c r="B382" s="16" t="n">
        <f aca="false">INDEX(MPRR,MATCH("Amerada Hess Exposure Raptor I",'MPR Raptor'!$E$3:$E$140,),MATCH("Value",'MPR Raptor'!$E$3:$CM$3,))</f>
        <v>1250000</v>
      </c>
      <c r="C382" s="16" t="n">
        <f aca="false">INDEX(MPRR,MATCH("Ameritex Raptor I",'MPR Raptor'!$E$3:$E$140,),MATCH("Value",'MPR Raptor'!$E$3:$CM$3,))</f>
        <v>1381612.61</v>
      </c>
      <c r="D382" s="16" t="n">
        <f aca="false">INDEX(MPRR,MATCH("Basic Energy CFPC Raptor I",'MPR Raptor'!$E$3:$E$140,),MATCH("Value",'MPR Raptor'!$E$3:$CM$3,))</f>
        <v>770244.5</v>
      </c>
      <c r="E382" s="16"/>
      <c r="F382" s="16"/>
      <c r="G382" s="16"/>
      <c r="H382" s="16" t="n">
        <f aca="false">INDEX(MPRR,MATCH("City Forest IPC Raptor I",'MPR Raptor'!$E$3:$E$140,),MATCH("Value",'MPR Raptor'!$E$3:$CM$3,))</f>
        <v>0</v>
      </c>
      <c r="I382" s="16" t="n">
        <f aca="false">INDEX(MPRR,MATCH("Ecogas Loan Raptor I",'MPR Raptor'!$E$3:$E$140,),MATCH("Value",'MPR Raptor'!$E$3:$CM$3,))</f>
        <v>0</v>
      </c>
      <c r="J382" s="16"/>
      <c r="K382" s="16" t="n">
        <f aca="false">INDEX(MPRR,MATCH("Heartland Steel Common Raptor I",'MPR Raptor'!$E$3:$E$140,),MATCH("Value",'MPR Raptor'!$E$3:$CM$3,))</f>
        <v>0</v>
      </c>
      <c r="L382" s="16" t="n">
        <f aca="false">INDEX(MPRR,MATCH("Heartland Steel Common Condor Raptor I",'MPR Raptor'!$E$3:$E$140,),MATCH("Value",'MPR Raptor'!$E$3:$CM$3,))</f>
        <v>0</v>
      </c>
      <c r="M382" s="16" t="n">
        <f aca="false">INDEX(MPRR,MATCH("Heartland Contingent Construction Loan Raptor I",'MPR Raptor'!$E$3:$E$140,),MATCH("Value",'MPR Raptor'!$E$3:$CM$3,))</f>
        <v>0</v>
      </c>
      <c r="N382" s="16" t="n">
        <f aca="false">INDEX(MPRR,MATCH("Heartland Steel Warrants Raptor I",'MPR Raptor'!$E$3:$E$140,),MATCH("Value",'MPR Raptor'!$E$3:$CM$3,))</f>
        <v>0</v>
      </c>
      <c r="O382" s="16" t="n">
        <f aca="false">INDEX(MPRR,MATCH("Hughes Rawls Loan Raptor I",'MPR Raptor'!$E$3:$E$140,),MATCH("Value",'MPR Raptor'!$E$3:$CM$3,))</f>
        <v>0</v>
      </c>
      <c r="P382" s="16" t="n">
        <f aca="false">INDEX(MPRR,MATCH("Hughes Rawls Note Raptor I",'MPR Raptor'!$E$3:$E$140,),MATCH("Value",'MPR Raptor'!$E$3:$CM$3,))</f>
        <v>0</v>
      </c>
      <c r="Q382" s="16" t="n">
        <f aca="false">INDEX(MPRR,MATCH("Hornbeck-Leevac Warrants Raptor I",'MPR Raptor'!$E$3:$E$140,),MATCH("Value",'MPR Raptor'!$E$3:$CM$3,))</f>
        <v>10125000</v>
      </c>
      <c r="R382" s="16" t="n">
        <f aca="false">INDEX(MPRR,MATCH("Industrial Holdings Raptor I",'MPR Raptor'!$E$3:$E$140,),MATCH("Value",'MPR Raptor'!$E$3:$CM$3,))</f>
        <v>7121810</v>
      </c>
      <c r="S382" s="16" t="n">
        <f aca="false">INDEX(MPRR,MATCH("Invasion Energy Raptor I",'MPR Raptor'!$E$3:$E$140,),MATCH("Value",'MPR Raptor'!$E$3:$CM$3,))</f>
        <v>0</v>
      </c>
      <c r="T382" s="16" t="n">
        <f aca="false">INDEX(MPRR,MATCH("Juniper Raptor I",'MPR Raptor'!$E$3:$E$140,),MATCH("Value",'MPR Raptor'!$E$3:$CM$3,))</f>
        <v>25489125.01</v>
      </c>
      <c r="U382" s="16" t="n">
        <f aca="false">INDEX(MPRR,MATCH("Juniper Exposure Raptor I",'MPR Raptor'!$E$3:$E$140,),MATCH("Value",'MPR Raptor'!$E$3:$CM$3,))</f>
        <v>0</v>
      </c>
      <c r="V382" s="16"/>
      <c r="W382" s="16"/>
      <c r="X382" s="16" t="n">
        <f aca="false">INDEX(MPRR,MATCH("LSI Warrants (AIM) Raptor I",'MPR Raptor'!$E$3:$E$140,),MATCH("Value",'MPR Raptor'!$E$3:$CM$3,))</f>
        <v>0</v>
      </c>
      <c r="Y382" s="16" t="n">
        <f aca="false">INDEX(MPRR,MATCH("Oconto Falls Common Raptor I",'MPR Raptor'!$E$3:$E$140,),MATCH("Value",'MPR Raptor'!$E$3:$CM$3,))</f>
        <v>1803840</v>
      </c>
      <c r="Z382" s="16" t="n">
        <f aca="false">INDEX(MPRR,MATCH("Oconto Falls IPC Raptor I",'MPR Raptor'!$E$3:$E$140,),MATCH("Value",'MPR Raptor'!$E$3:$CM$3,))</f>
        <v>2300803</v>
      </c>
      <c r="AA382" s="16" t="n">
        <f aca="false">INDEX(MPRR,MATCH("Texland Raptor I",'MPR Raptor'!$E$3:$E$140,),MATCH("Value",'MPR Raptor'!$E$3:$CM$3,))</f>
        <v>9651875</v>
      </c>
      <c r="AB382" s="16" t="n">
        <f aca="false">INDEX(MPRR,MATCH("Texland Exposure Raptor I",'MPR Raptor'!$E$3:$E$140,),MATCH("Value",'MPR Raptor'!$E$3:$CM$3,))</f>
        <v>1663862.85</v>
      </c>
      <c r="AC382" s="16" t="n">
        <f aca="false">INDEX(MPRR,MATCH("Vastar Raptor I",'MPR Raptor'!$E$3:$E$140,),MATCH("Value",'MPR Raptor'!$E$3:$CM$3,))</f>
        <v>1895268.24</v>
      </c>
      <c r="AD382" s="16" t="n">
        <f aca="false">INDEX(MPRR,MATCH("Vastar Exposure Raptor I",'MPR Raptor'!$E$3:$E$140,),MATCH("Value",'MPR Raptor'!$E$3:$CM$3,))</f>
        <v>0</v>
      </c>
      <c r="AE382" s="16" t="n">
        <f aca="false">INDEX(MPRR,MATCH("Venoco Convertible Raptor I",'MPR Raptor'!$E$3:$E$140,),MATCH("Value",'MPR Raptor'!$E$3:$CM$3,))</f>
        <v>49006745.47</v>
      </c>
      <c r="AF382" s="16" t="n">
        <f aca="false">INDEX(MPRR,MATCH("WB Oil &amp; Gas Raptor I",'MPR Raptor'!$E$3:$E$140,),MATCH("Value",'MPR Raptor'!$E$3:$CM$3,))</f>
        <v>0</v>
      </c>
      <c r="AG382" s="16" t="n">
        <f aca="false">INDEX(MPRR,MATCH("Merlin Credit Derivative Raptor I",'MPR Raptor'!$E$3:$E$140,),MATCH("Value",'MPR Raptor'!$E$3:$CM$3,))</f>
        <v>0</v>
      </c>
    </row>
    <row r="383" customFormat="false" ht="15.75" hidden="false" customHeight="false" outlineLevel="0" collapsed="false">
      <c r="A383" s="28" t="n">
        <f aca="false">+A381</f>
        <v>37134</v>
      </c>
      <c r="B383" s="16" t="n">
        <f aca="false">INDEX(MPRR,MATCH("Amerada Hess Exposure Raptor I",'MPR Raptor'!$E$3:$E$140,),MATCH("Asset P&amp;L",'MPR Raptor'!$E$3:$CM$3,))</f>
        <v>0</v>
      </c>
      <c r="C383" s="16" t="n">
        <f aca="false">INDEX(MPRR,MATCH("Ameritex Raptor I",'MPR Raptor'!$E$3:$E$140,),MATCH("Asset P&amp;L",'MPR Raptor'!$E$3:$CM$3,))</f>
        <v>0</v>
      </c>
      <c r="D383" s="16" t="n">
        <f aca="false">INDEX(MPRR,MATCH("Basic Energy CFPC Raptor I",'MPR Raptor'!$E$3:$E$140,),MATCH("Asset P&amp;L",'MPR Raptor'!$E$3:$CM$3,))</f>
        <v>0</v>
      </c>
      <c r="E383" s="16"/>
      <c r="F383" s="16"/>
      <c r="G383" s="16"/>
      <c r="H383" s="16" t="n">
        <f aca="false">INDEX(MPRR,MATCH("City Forest IPC Raptor I",'MPR Raptor'!$E$3:$E$140,),MATCH("Asset P&amp;L",'MPR Raptor'!$E$3:$CM$3,))</f>
        <v>0</v>
      </c>
      <c r="I383" s="16" t="n">
        <f aca="false">INDEX(MPRR,MATCH("Ecogas Loan Raptor I",'MPR Raptor'!$E$3:$E$140,),MATCH("Asset P&amp;L",'MPR Raptor'!$E$3:$CM$3,))</f>
        <v>0</v>
      </c>
      <c r="J383" s="16"/>
      <c r="K383" s="16" t="n">
        <f aca="false">INDEX(MPRR,MATCH("Heartland Steel Common Raptor I",'MPR Raptor'!$E$3:$E$140,),MATCH("Asset P&amp;L",'MPR Raptor'!$E$3:$CM$3,))</f>
        <v>0</v>
      </c>
      <c r="L383" s="16" t="n">
        <f aca="false">INDEX(MPRR,MATCH("Heartland Steel Common Condor Raptor I",'MPR Raptor'!$E$3:$E$140,),MATCH("Asset P&amp;L",'MPR Raptor'!$E$3:$CM$3,))</f>
        <v>0</v>
      </c>
      <c r="M383" s="16" t="n">
        <f aca="false">INDEX(MPRR,MATCH("Heartland Contingent Construction Loan Raptor I",'MPR Raptor'!$E$3:$E$140,),MATCH("Asset P&amp;L",'MPR Raptor'!$E$3:$CM$3,))</f>
        <v>0</v>
      </c>
      <c r="N383" s="16" t="n">
        <f aca="false">INDEX(MPRR,MATCH("Heartland Steel Warrants Raptor I",'MPR Raptor'!$E$3:$E$140,),MATCH("Asset P&amp;L",'MPR Raptor'!$E$3:$CM$3,))</f>
        <v>0</v>
      </c>
      <c r="O383" s="16" t="n">
        <f aca="false">INDEX(MPRR,MATCH("Hughes Rawls Loan Raptor I",'MPR Raptor'!$E$3:$E$140,),MATCH("Asset P&amp;L",'MPR Raptor'!$E$3:$CM$3,))</f>
        <v>0</v>
      </c>
      <c r="P383" s="16" t="n">
        <f aca="false">INDEX(MPRR,MATCH("Hughes Rawls Note Raptor I",'MPR Raptor'!$E$3:$E$140,),MATCH("Asset P&amp;L",'MPR Raptor'!$E$3:$CM$3,))</f>
        <v>0</v>
      </c>
      <c r="Q383" s="16" t="n">
        <f aca="false">INDEX(MPRR,MATCH("Hornbeck-Leevac Warrants Raptor I",'MPR Raptor'!$E$3:$E$140,),MATCH("Asset P&amp;L",'MPR Raptor'!$E$3:$CM$3,))</f>
        <v>0</v>
      </c>
      <c r="R383" s="16" t="n">
        <f aca="false">INDEX(MPRR,MATCH("Industrial Holdings Raptor I",'MPR Raptor'!$E$3:$E$140,),MATCH("Asset P&amp;L",'MPR Raptor'!$E$3:$CM$3,))</f>
        <v>0</v>
      </c>
      <c r="S383" s="16" t="n">
        <f aca="false">INDEX(MPRR,MATCH("Invasion Energy Raptor I",'MPR Raptor'!$E$3:$E$140,),MATCH("Asset P&amp;L",'MPR Raptor'!$E$3:$CM$3,))</f>
        <v>0</v>
      </c>
      <c r="T383" s="16" t="n">
        <f aca="false">INDEX(MPRR,MATCH("Juniper Raptor I",'MPR Raptor'!$E$3:$E$140,),MATCH("Asset P&amp;L",'MPR Raptor'!$E$3:$CM$3,))</f>
        <v>0</v>
      </c>
      <c r="U383" s="16" t="n">
        <f aca="false">INDEX(MPRR,MATCH("Juniper Exposure Raptor I",'MPR Raptor'!$E$3:$E$140,),MATCH("Asset P&amp;L",'MPR Raptor'!$E$3:$CM$3,))</f>
        <v>0</v>
      </c>
      <c r="V383" s="16"/>
      <c r="W383" s="16"/>
      <c r="X383" s="16" t="n">
        <f aca="false">INDEX(MPRR,MATCH("LSI Warrants (AIM) Raptor I",'MPR Raptor'!$E$3:$E$140,),MATCH("Asset P&amp;L",'MPR Raptor'!$E$3:$CM$3,))</f>
        <v>0</v>
      </c>
      <c r="Y383" s="16" t="n">
        <f aca="false">INDEX(MPRR,MATCH("Oconto Falls Common Raptor I",'MPR Raptor'!$E$3:$E$140,),MATCH("Asset P&amp;L",'MPR Raptor'!$E$3:$CM$3,))</f>
        <v>0</v>
      </c>
      <c r="Z383" s="16" t="n">
        <f aca="false">INDEX(MPRR,MATCH("Oconto Falls IPC Raptor I",'MPR Raptor'!$E$3:$E$140,),MATCH("Asset P&amp;L",'MPR Raptor'!$E$3:$CM$3,))</f>
        <v>0</v>
      </c>
      <c r="AA383" s="16" t="n">
        <f aca="false">INDEX(MPRR,MATCH("Texland Raptor I",'MPR Raptor'!$E$3:$E$140,),MATCH("Asset P&amp;L",'MPR Raptor'!$E$3:$CM$3,))</f>
        <v>0</v>
      </c>
      <c r="AB383" s="16" t="n">
        <f aca="false">INDEX(MPRR,MATCH("Texland Exposure Raptor I",'MPR Raptor'!$E$3:$E$140,),MATCH("Asset P&amp;L",'MPR Raptor'!$E$3:$CM$3,))</f>
        <v>0</v>
      </c>
      <c r="AC383" s="16" t="n">
        <f aca="false">INDEX(MPRR,MATCH("Vastar Raptor I",'MPR Raptor'!$E$3:$E$140,),MATCH("Asset P&amp;L",'MPR Raptor'!$E$3:$CM$3,))</f>
        <v>0</v>
      </c>
      <c r="AD383" s="16" t="n">
        <f aca="false">INDEX(MPRR,MATCH("Vastar Exposure Raptor I",'MPR Raptor'!$E$3:$E$140,),MATCH("Asset P&amp;L",'MPR Raptor'!$E$3:$CM$3,))</f>
        <v>0</v>
      </c>
      <c r="AE383" s="16" t="n">
        <f aca="false">INDEX(MPRR,MATCH("Venoco Convertible Raptor I",'MPR Raptor'!$E$3:$E$140,),MATCH("Asset P&amp;L",'MPR Raptor'!$E$3:$CM$3,))</f>
        <v>0</v>
      </c>
      <c r="AF383" s="16" t="n">
        <f aca="false">INDEX(MPRR,MATCH("WB Oil &amp; Gas Raptor I",'MPR Raptor'!$E$3:$E$140,),MATCH("Asset P&amp;L",'MPR Raptor'!$E$3:$CM$3,))</f>
        <v>0</v>
      </c>
      <c r="AG383" s="16" t="n">
        <f aca="false">INDEX(MPRR,MATCH("Merlin Credit Derivative Raptor I",'MPR Raptor'!$E$3:$E$140,),MATCH("Asset P&amp;L",'MPR Raptor'!$E$3:$CM$3,))</f>
        <v>0</v>
      </c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26" t="n">
        <f aca="false">INDEX(MPRR,MATCH("Hornbeck-Leevac Warrants Raptor I",'MPR Raptor'!$E$3:$E$140,),MATCH("Shares/Units",'MPR Raptor'!$E$3:$CM$3,))</f>
        <v>11904760</v>
      </c>
      <c r="R385" s="0"/>
      <c r="T385" s="0"/>
      <c r="V385" s="0"/>
      <c r="X385" s="0"/>
      <c r="Z385" s="0"/>
      <c r="AE385" s="26" t="n">
        <f aca="false">INDEX(MPRR,MATCH("Venoco Convertible Raptor I",'MPR Raptor'!$E$3:$E$140,),MATCH("Shares/Units",'MPR Raptor'!$E$3:$CM$3,))</f>
        <v>7663</v>
      </c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  <row r="421" customFormat="false" ht="15.75" hidden="false" customHeight="false" outlineLevel="0" collapsed="false">
      <c r="B421" s="0"/>
      <c r="D421" s="0"/>
      <c r="F421" s="0"/>
      <c r="H421" s="0"/>
      <c r="J421" s="0"/>
      <c r="L421" s="0"/>
      <c r="N421" s="0"/>
      <c r="P421" s="0"/>
      <c r="Q421" s="0"/>
      <c r="R421" s="0"/>
      <c r="T421" s="0"/>
      <c r="V421" s="0"/>
      <c r="X421" s="0"/>
      <c r="Z421" s="0"/>
    </row>
    <row r="422" customFormat="false" ht="15.75" hidden="false" customHeight="false" outlineLevel="0" collapsed="false">
      <c r="B422" s="0"/>
      <c r="D422" s="0"/>
      <c r="F422" s="0"/>
      <c r="H422" s="0"/>
      <c r="J422" s="0"/>
      <c r="L422" s="0"/>
      <c r="N422" s="0"/>
      <c r="P422" s="0"/>
      <c r="Q422" s="0"/>
      <c r="R422" s="0"/>
      <c r="T422" s="0"/>
      <c r="V422" s="0"/>
      <c r="X422" s="0"/>
      <c r="Z42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H17" activeCellId="0" sqref="H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02" width="23.49"/>
    <col collapsed="false" customWidth="true" hidden="false" outlineLevel="0" max="2" min="2" style="102" width="12.12"/>
    <col collapsed="false" customWidth="true" hidden="false" outlineLevel="0" max="3" min="3" style="102" width="2.99"/>
    <col collapsed="false" customWidth="true" hidden="false" outlineLevel="0" max="4" min="4" style="102" width="15.62"/>
    <col collapsed="false" customWidth="true" hidden="false" outlineLevel="0" max="5" min="5" style="102" width="12.24"/>
    <col collapsed="false" customWidth="true" hidden="false" outlineLevel="0" max="6" min="6" style="103" width="1.74"/>
    <col collapsed="false" customWidth="true" hidden="false" outlineLevel="0" max="7" min="7" style="102" width="1.99"/>
    <col collapsed="false" customWidth="true" hidden="false" outlineLevel="0" max="8" min="8" style="102" width="41.87"/>
    <col collapsed="false" customWidth="true" hidden="false" outlineLevel="0" max="9" min="9" style="104" width="14.74"/>
    <col collapsed="false" customWidth="true" hidden="false" outlineLevel="0" max="10" min="10" style="102" width="1.74"/>
    <col collapsed="false" customWidth="true" hidden="false" outlineLevel="0" max="11" min="11" style="103" width="1.49"/>
    <col collapsed="false" customWidth="true" hidden="false" outlineLevel="0" max="12" min="12" style="102" width="24.24"/>
    <col collapsed="false" customWidth="true" hidden="false" outlineLevel="0" max="13" min="13" style="102" width="13.11"/>
    <col collapsed="false" customWidth="true" hidden="false" outlineLevel="0" max="14" min="14" style="102" width="3.49"/>
    <col collapsed="false" customWidth="true" hidden="false" outlineLevel="0" max="15" min="15" style="102" width="15.49"/>
    <col collapsed="false" customWidth="true" hidden="false" outlineLevel="0" max="16" min="16" style="102" width="13.11"/>
    <col collapsed="false" customWidth="true" hidden="false" outlineLevel="0" max="17" min="17" style="103" width="3.24"/>
    <col collapsed="false" customWidth="true" hidden="false" outlineLevel="0" max="18" min="18" style="102" width="12.37"/>
    <col collapsed="false" customWidth="true" hidden="false" outlineLevel="0" max="19" min="19" style="102" width="10.11"/>
    <col collapsed="false" customWidth="true" hidden="false" outlineLevel="0" max="20" min="20" style="102" width="10.74"/>
    <col collapsed="false" customWidth="true" hidden="false" outlineLevel="0" max="21" min="21" style="102" width="10.49"/>
    <col collapsed="false" customWidth="true" hidden="false" outlineLevel="0" max="22" min="22" style="102" width="11.12"/>
    <col collapsed="false" customWidth="true" hidden="false" outlineLevel="0" max="23" min="23" style="102" width="12.49"/>
    <col collapsed="false" customWidth="false" hidden="false" outlineLevel="0" max="257" min="24" style="102" width="8.99"/>
  </cols>
  <sheetData>
    <row r="1" customFormat="false" ht="15.75" hidden="false" customHeight="false" outlineLevel="0" collapsed="false">
      <c r="A1" s="105" t="s">
        <v>122</v>
      </c>
    </row>
    <row r="2" customFormat="false" ht="15.75" hidden="false" customHeight="false" outlineLevel="0" collapsed="false">
      <c r="A2" s="106" t="s">
        <v>123</v>
      </c>
      <c r="H2" s="107" t="n">
        <f aca="false">+Summary!C5</f>
        <v>37134</v>
      </c>
      <c r="I2" s="107"/>
      <c r="J2" s="108"/>
      <c r="L2" s="107" t="n">
        <f aca="false">H2</f>
        <v>37134</v>
      </c>
      <c r="M2" s="107"/>
      <c r="N2" s="107"/>
      <c r="O2" s="107"/>
      <c r="P2" s="107"/>
    </row>
    <row r="3" customFormat="false" ht="16.5" hidden="false" customHeight="false" outlineLevel="0" collapsed="false">
      <c r="A3" s="107" t="n">
        <v>36634</v>
      </c>
      <c r="B3" s="107"/>
      <c r="H3" s="109" t="s">
        <v>124</v>
      </c>
      <c r="I3" s="109"/>
      <c r="J3" s="110"/>
      <c r="L3" s="109" t="s">
        <v>124</v>
      </c>
      <c r="M3" s="109"/>
      <c r="N3" s="109"/>
      <c r="O3" s="109"/>
      <c r="P3" s="109"/>
    </row>
    <row r="4" customFormat="false" ht="15.75" hidden="false" customHeight="false" outlineLevel="0" collapsed="false">
      <c r="A4" s="111" t="s">
        <v>125</v>
      </c>
      <c r="B4" s="111"/>
      <c r="C4" s="111"/>
      <c r="D4" s="111"/>
      <c r="E4" s="111"/>
      <c r="F4" s="111"/>
      <c r="H4" s="112" t="s">
        <v>126</v>
      </c>
      <c r="I4" s="113"/>
      <c r="J4" s="103"/>
    </row>
    <row r="5" customFormat="false" ht="16.5" hidden="false" customHeight="false" outlineLevel="0" collapsed="false">
      <c r="A5" s="114" t="s">
        <v>127</v>
      </c>
      <c r="B5" s="114"/>
      <c r="D5" s="114" t="s">
        <v>128</v>
      </c>
      <c r="E5" s="114"/>
      <c r="H5" s="115" t="s">
        <v>129</v>
      </c>
      <c r="I5" s="25" t="n">
        <f aca="false">+'Stock Prices'!B378</f>
        <v>34.99</v>
      </c>
      <c r="J5" s="103"/>
      <c r="L5" s="111" t="s">
        <v>130</v>
      </c>
      <c r="M5" s="111"/>
      <c r="N5" s="111"/>
      <c r="O5" s="111"/>
      <c r="P5" s="111"/>
      <c r="Q5" s="110"/>
    </row>
    <row r="6" customFormat="false" ht="15.75" hidden="false" customHeight="false" outlineLevel="0" collapsed="false">
      <c r="A6" s="102" t="s">
        <v>131</v>
      </c>
      <c r="B6" s="102" t="n">
        <f aca="false">E6+E9+E10</f>
        <v>71001000</v>
      </c>
      <c r="D6" s="102" t="s">
        <v>132</v>
      </c>
      <c r="E6" s="102" t="n">
        <v>41000000</v>
      </c>
      <c r="F6" s="116" t="s">
        <v>133</v>
      </c>
      <c r="H6" s="115" t="s">
        <v>134</v>
      </c>
      <c r="I6" s="117" t="n">
        <f aca="false">+'Cash-Int-Trans'!E111</f>
        <v>0.0379</v>
      </c>
      <c r="J6" s="103"/>
      <c r="L6" s="118" t="s">
        <v>135</v>
      </c>
      <c r="M6" s="119" t="n">
        <f aca="false">H2</f>
        <v>37134</v>
      </c>
      <c r="N6" s="120"/>
      <c r="O6" s="120"/>
      <c r="P6" s="120"/>
      <c r="Q6" s="121"/>
    </row>
    <row r="7" customFormat="false" ht="16.5" hidden="false" customHeight="false" outlineLevel="0" collapsed="false">
      <c r="A7" s="102" t="s">
        <v>136</v>
      </c>
      <c r="B7" s="102" t="n">
        <v>50000000</v>
      </c>
      <c r="D7" s="102" t="s">
        <v>137</v>
      </c>
      <c r="E7" s="102" t="n">
        <f aca="false">B11-E6-E9-E10</f>
        <v>400000000</v>
      </c>
      <c r="H7" s="122" t="s">
        <v>138</v>
      </c>
      <c r="I7" s="122"/>
      <c r="J7" s="103"/>
      <c r="L7" s="114" t="s">
        <v>127</v>
      </c>
      <c r="M7" s="114"/>
      <c r="O7" s="114" t="s">
        <v>128</v>
      </c>
      <c r="P7" s="114"/>
    </row>
    <row r="8" customFormat="false" ht="15.75" hidden="false" customHeight="false" outlineLevel="0" collapsed="false">
      <c r="A8" s="102" t="s">
        <v>139</v>
      </c>
      <c r="B8" s="102" t="n">
        <f aca="false">B18</f>
        <v>350000000</v>
      </c>
      <c r="C8" s="123" t="s">
        <v>140</v>
      </c>
      <c r="H8" s="124" t="s">
        <v>141</v>
      </c>
      <c r="I8" s="125"/>
      <c r="J8" s="103"/>
      <c r="L8" s="102" t="s">
        <v>142</v>
      </c>
      <c r="M8" s="102" t="n">
        <f aca="false">+'Cash-Int-Trans'!B49</f>
        <v>43649820.812869</v>
      </c>
      <c r="O8" s="102" t="s">
        <v>143</v>
      </c>
      <c r="P8" s="102" t="n">
        <f aca="false">+E6-'Cash-Int-Trans'!B4+'Cash-Int-Trans'!B9</f>
        <v>0</v>
      </c>
      <c r="Q8" s="126" t="str">
        <f aca="false">IF(P8&lt;&gt;0,"Not OK Check Put Value Table","OK")</f>
        <v>OK</v>
      </c>
    </row>
    <row r="9" customFormat="false" ht="15.75" hidden="false" customHeight="false" outlineLevel="0" collapsed="false">
      <c r="D9" s="102" t="s">
        <v>144</v>
      </c>
      <c r="E9" s="104" t="n">
        <f aca="false">30000000</f>
        <v>30000000</v>
      </c>
      <c r="F9" s="127" t="s">
        <v>145</v>
      </c>
      <c r="H9" s="103"/>
      <c r="I9" s="128"/>
      <c r="J9" s="103"/>
      <c r="L9" s="102" t="s">
        <v>136</v>
      </c>
      <c r="M9" s="102" t="n">
        <f aca="false">+B7-Amort!B24</f>
        <v>50000000</v>
      </c>
      <c r="O9" s="102" t="s">
        <v>132</v>
      </c>
      <c r="P9" s="102" t="n">
        <f aca="false">+'Cash-Int-Trans'!B12-'Cash-Int-Trans'!B5-'Cash-Int-Trans'!B6</f>
        <v>0</v>
      </c>
    </row>
    <row r="10" customFormat="false" ht="15.75" hidden="false" customHeight="false" outlineLevel="0" collapsed="false">
      <c r="D10" s="102" t="s">
        <v>105</v>
      </c>
      <c r="E10" s="102" t="n">
        <v>1000</v>
      </c>
      <c r="H10" s="129" t="s">
        <v>146</v>
      </c>
      <c r="I10" s="129"/>
      <c r="J10" s="103"/>
      <c r="L10" s="102" t="s">
        <v>147</v>
      </c>
      <c r="M10" s="102" t="n">
        <f aca="false">+Amort!B28</f>
        <v>1468055.55555556</v>
      </c>
      <c r="N10" s="123"/>
      <c r="O10" s="102" t="s">
        <v>148</v>
      </c>
      <c r="P10" s="102" t="n">
        <f aca="false">IF(I21&gt;0,0,-I21)</f>
        <v>409960543.64</v>
      </c>
    </row>
    <row r="11" customFormat="false" ht="16.5" hidden="false" customHeight="false" outlineLevel="0" collapsed="false">
      <c r="A11" s="130" t="s">
        <v>6</v>
      </c>
      <c r="B11" s="131" t="n">
        <f aca="false">SUM(B6:B10)</f>
        <v>471001000</v>
      </c>
      <c r="C11" s="132" t="s">
        <v>149</v>
      </c>
      <c r="D11" s="130" t="s">
        <v>6</v>
      </c>
      <c r="E11" s="131" t="n">
        <f aca="false">SUM(E6:E10)</f>
        <v>471001000</v>
      </c>
      <c r="F11" s="126"/>
      <c r="H11" s="133" t="s">
        <v>150</v>
      </c>
      <c r="I11" s="134" t="n">
        <f aca="false">H2</f>
        <v>37134</v>
      </c>
      <c r="J11" s="103"/>
      <c r="L11" s="102" t="s">
        <v>139</v>
      </c>
      <c r="M11" s="102" t="n">
        <f aca="false">B8+I15+I20</f>
        <v>215665395.358853</v>
      </c>
      <c r="O11" s="102" t="s">
        <v>151</v>
      </c>
      <c r="P11" s="102" t="n">
        <f aca="false">IF(I19&lt;0,-I19,0)</f>
        <v>0</v>
      </c>
      <c r="R11" s="26"/>
    </row>
    <row r="12" customFormat="false" ht="16.5" hidden="false" customHeight="false" outlineLevel="0" collapsed="false">
      <c r="H12" s="103" t="s">
        <v>152</v>
      </c>
      <c r="I12" s="128" t="n">
        <f aca="false">+'Cash-Int-Trans'!B7</f>
        <v>73100462</v>
      </c>
      <c r="J12" s="135" t="s">
        <v>153</v>
      </c>
      <c r="O12" s="102" t="s">
        <v>137</v>
      </c>
      <c r="P12" s="102" t="n">
        <f aca="false">E7-I16+'Cash-Int-Trans'!B10+'Cash-Int-Trans'!B13-I22-I37</f>
        <v>536575615.080478</v>
      </c>
    </row>
    <row r="13" customFormat="false" ht="15.75" hidden="false" customHeight="false" outlineLevel="0" collapsed="false">
      <c r="A13" s="136" t="s">
        <v>154</v>
      </c>
      <c r="D13" s="137" t="s">
        <v>155</v>
      </c>
      <c r="E13" s="137" t="s">
        <v>35</v>
      </c>
      <c r="F13" s="138"/>
      <c r="H13" s="103" t="s">
        <v>156</v>
      </c>
      <c r="I13" s="128" t="n">
        <f aca="false">+'Cash-Int-Trans'!B52</f>
        <v>4255765.2573134</v>
      </c>
      <c r="J13" s="135"/>
      <c r="L13" s="102" t="s">
        <v>157</v>
      </c>
      <c r="M13" s="102" t="n">
        <f aca="false">IF(I19&gt;0,I19,0)</f>
        <v>350408939.3</v>
      </c>
      <c r="O13" s="102" t="s">
        <v>144</v>
      </c>
      <c r="P13" s="102" t="n">
        <f aca="false">IF(+I24+I38+'Cash-Int-Trans'!D30-'Cash-Int-Trans'!D29&gt;'Cash-Int-Trans'!D30,'Cash-Int-Trans'!D30,IF(+I24+I38+'Cash-Int-Trans'!D30&lt;0,0,+I24+I38+'Cash-Int-Trans'!D30-'Cash-Int-Trans'!D29))</f>
        <v>0</v>
      </c>
      <c r="Q13" s="139" t="s">
        <v>158</v>
      </c>
    </row>
    <row r="14" customFormat="false" ht="15.75" hidden="false" customHeight="false" outlineLevel="0" collapsed="false">
      <c r="A14" s="102" t="s">
        <v>159</v>
      </c>
      <c r="B14" s="102" t="n">
        <f aca="false">D14*E14</f>
        <v>263611837.5</v>
      </c>
      <c r="D14" s="84" t="n">
        <f aca="false">3224799+514376</f>
        <v>3739175</v>
      </c>
      <c r="E14" s="140" t="n">
        <v>70.5</v>
      </c>
      <c r="H14" s="103" t="s">
        <v>160</v>
      </c>
      <c r="I14" s="128" t="n">
        <f aca="false">+Amort!B29</f>
        <v>4861111.11111111</v>
      </c>
      <c r="J14" s="103"/>
      <c r="L14" s="102" t="s">
        <v>161</v>
      </c>
      <c r="M14" s="102" t="n">
        <f aca="false">IF(I21&gt;0,I21,0)</f>
        <v>0</v>
      </c>
      <c r="O14" s="102" t="s">
        <v>105</v>
      </c>
      <c r="P14" s="102" t="n">
        <f aca="false">M15-SUM(P8:P13)</f>
        <v>-285343947.6932</v>
      </c>
    </row>
    <row r="15" customFormat="false" ht="16.5" hidden="false" customHeight="false" outlineLevel="0" collapsed="false">
      <c r="A15" s="102" t="s">
        <v>162</v>
      </c>
      <c r="B15" s="141" t="n">
        <f aca="false">D15*E15</f>
        <v>273311227.5</v>
      </c>
      <c r="D15" s="142" t="n">
        <v>3876755</v>
      </c>
      <c r="E15" s="140" t="n">
        <v>70.5</v>
      </c>
      <c r="H15" s="103" t="s">
        <v>163</v>
      </c>
      <c r="I15" s="128" t="n">
        <f aca="false">-B17*A35/A38</f>
        <v>89266029.1308501</v>
      </c>
      <c r="J15" s="143" t="s">
        <v>164</v>
      </c>
      <c r="L15" s="130" t="s">
        <v>6</v>
      </c>
      <c r="M15" s="131" t="n">
        <f aca="false">SUM(M8:M14)</f>
        <v>661192211.027277</v>
      </c>
      <c r="N15" s="132"/>
      <c r="O15" s="130" t="s">
        <v>6</v>
      </c>
      <c r="P15" s="131" t="n">
        <f aca="false">SUM(P8:P14)</f>
        <v>661192211.027277</v>
      </c>
      <c r="Q15" s="144" t="s">
        <v>165</v>
      </c>
    </row>
    <row r="16" customFormat="false" ht="16.5" hidden="false" customHeight="false" outlineLevel="0" collapsed="false">
      <c r="A16" s="102" t="s">
        <v>166</v>
      </c>
      <c r="B16" s="102" t="n">
        <f aca="false">SUM(B14:B15)</f>
        <v>536923065</v>
      </c>
      <c r="D16" s="102" t="n">
        <f aca="false">+D14+D15</f>
        <v>7615930</v>
      </c>
      <c r="H16" s="103" t="s">
        <v>167</v>
      </c>
      <c r="I16" s="145" t="n">
        <f aca="false">-'Cash-Int-Trans'!B117</f>
        <v>-41743773.3174116</v>
      </c>
      <c r="J16" s="103"/>
      <c r="P16" s="102" t="n">
        <f aca="false">M15-P15</f>
        <v>0</v>
      </c>
      <c r="Q16" s="126" t="str">
        <f aca="false">IF(ROUND(P16,0)=0,"","8/31/00 Balance Sheet does not Balance!")</f>
        <v/>
      </c>
    </row>
    <row r="17" customFormat="false" ht="15.75" hidden="false" customHeight="false" outlineLevel="0" collapsed="false">
      <c r="A17" s="102" t="s">
        <v>168</v>
      </c>
      <c r="B17" s="102" t="n">
        <f aca="false">-B16+350000000</f>
        <v>-186923065</v>
      </c>
      <c r="C17" s="146" t="s">
        <v>169</v>
      </c>
      <c r="D17" s="147" t="n">
        <f aca="false">1-B18/B16</f>
        <v>0.348137521341163</v>
      </c>
      <c r="H17" s="148"/>
      <c r="I17" s="102" t="n">
        <f aca="false">SUM(I12:I16)</f>
        <v>129739594.181863</v>
      </c>
    </row>
    <row r="18" customFormat="false" ht="16.5" hidden="false" customHeight="false" outlineLevel="0" collapsed="false">
      <c r="A18" s="102" t="s">
        <v>170</v>
      </c>
      <c r="B18" s="131" t="n">
        <f aca="false">B16+B17</f>
        <v>350000000</v>
      </c>
      <c r="C18" s="123" t="s">
        <v>140</v>
      </c>
      <c r="H18" s="148"/>
      <c r="L18" s="149" t="s">
        <v>171</v>
      </c>
      <c r="M18" s="129"/>
      <c r="N18" s="129"/>
      <c r="O18" s="129"/>
      <c r="P18" s="129"/>
    </row>
    <row r="19" customFormat="false" ht="16.5" hidden="false" customHeight="false" outlineLevel="0" collapsed="false">
      <c r="H19" s="102" t="s">
        <v>172</v>
      </c>
      <c r="I19" s="102" t="n">
        <f aca="false">IF(I5&lt;81,IF(I5&lt;20,23228587*I5,(81-I5)*(D14+D15)),IF(I5&gt;116,(116-I5)*(+D14+D15),0))</f>
        <v>350408939.3</v>
      </c>
      <c r="J19" s="103"/>
      <c r="L19" s="150" t="s">
        <v>173</v>
      </c>
      <c r="M19" s="102" t="n">
        <f aca="false">+E9+I35</f>
        <v>36000000</v>
      </c>
      <c r="N19" s="102" t="s">
        <v>174</v>
      </c>
      <c r="P19" s="102" t="n">
        <f aca="false">+M19/0.0302</f>
        <v>1192052980.13245</v>
      </c>
      <c r="T19" s="151"/>
    </row>
    <row r="20" customFormat="false" ht="16.5" hidden="false" customHeight="false" outlineLevel="0" collapsed="false">
      <c r="A20" s="152" t="s">
        <v>175</v>
      </c>
      <c r="B20" s="152"/>
      <c r="C20" s="152"/>
      <c r="D20" s="152"/>
      <c r="E20" s="152"/>
      <c r="H20" s="102" t="s">
        <v>176</v>
      </c>
      <c r="I20" s="104" t="n">
        <f aca="false">-Shares!D30</f>
        <v>-223600633.771997</v>
      </c>
      <c r="M20" s="153"/>
      <c r="N20" s="154" t="s">
        <v>177</v>
      </c>
      <c r="O20" s="153"/>
      <c r="P20" s="141" t="n">
        <f aca="false">-B11-I35</f>
        <v>-477001000</v>
      </c>
    </row>
    <row r="21" customFormat="false" ht="15.75" hidden="false" customHeight="false" outlineLevel="0" collapsed="false">
      <c r="A21" s="155" t="s">
        <v>178</v>
      </c>
      <c r="B21" s="155"/>
      <c r="E21" s="102" t="n">
        <f aca="false">B11</f>
        <v>471001000</v>
      </c>
      <c r="F21" s="156" t="s">
        <v>149</v>
      </c>
      <c r="H21" s="102" t="s">
        <v>179</v>
      </c>
      <c r="I21" s="102" t="n">
        <f aca="false">+'Daily Position'!P78</f>
        <v>-409960543.64</v>
      </c>
      <c r="K21" s="102"/>
      <c r="M21" s="153"/>
      <c r="N21" s="154" t="s">
        <v>180</v>
      </c>
      <c r="O21" s="153"/>
      <c r="P21" s="103" t="n">
        <f aca="false">+P19+P20</f>
        <v>715051980.13245</v>
      </c>
    </row>
    <row r="22" customFormat="false" ht="15.75" hidden="false" customHeight="false" outlineLevel="0" collapsed="false">
      <c r="A22" s="102" t="s">
        <v>181</v>
      </c>
      <c r="B22" s="102" t="s">
        <v>155</v>
      </c>
      <c r="D22" s="102" t="n">
        <v>7171418</v>
      </c>
      <c r="H22" s="102" t="s">
        <v>182</v>
      </c>
      <c r="I22" s="141" t="n">
        <f aca="false">+'Daily Position'!Q78</f>
        <v>-126932303.763066</v>
      </c>
      <c r="J22" s="103"/>
      <c r="K22" s="102"/>
      <c r="N22" s="102" t="s">
        <v>183</v>
      </c>
      <c r="P22" s="102" t="n">
        <f aca="false">-'Daily Position'!I84</f>
        <v>-549554983.842834</v>
      </c>
    </row>
    <row r="23" customFormat="false" ht="15.75" hidden="false" customHeight="false" outlineLevel="0" collapsed="false">
      <c r="A23" s="102" t="s">
        <v>184</v>
      </c>
      <c r="B23" s="102" t="s">
        <v>185</v>
      </c>
      <c r="D23" s="140" t="n">
        <v>57.5</v>
      </c>
      <c r="E23" s="141" t="n">
        <f aca="false">D22*D23</f>
        <v>412356535</v>
      </c>
      <c r="H23" s="0"/>
      <c r="I23" s="157" t="n">
        <f aca="false">SUM(I19:I22)</f>
        <v>-410084541.875063</v>
      </c>
      <c r="J23" s="103"/>
      <c r="N23" s="102" t="s">
        <v>97</v>
      </c>
      <c r="P23" s="158" t="n">
        <f aca="false">+'Daily Position'!Q80</f>
        <v>-127896192.896566</v>
      </c>
    </row>
    <row r="24" customFormat="false" ht="16.5" hidden="false" customHeight="false" outlineLevel="0" collapsed="false">
      <c r="A24" s="102" t="s">
        <v>186</v>
      </c>
      <c r="E24" s="102" t="n">
        <f aca="false">SUM(E21:E23)</f>
        <v>883357535</v>
      </c>
      <c r="H24" s="159" t="s">
        <v>187</v>
      </c>
      <c r="I24" s="160" t="n">
        <f aca="false">I23+I17</f>
        <v>-280344947.6932</v>
      </c>
      <c r="J24" s="161" t="s">
        <v>188</v>
      </c>
      <c r="P24" s="103"/>
    </row>
    <row r="25" customFormat="false" ht="16.5" hidden="false" customHeight="false" outlineLevel="0" collapsed="false">
      <c r="A25" s="102" t="s">
        <v>189</v>
      </c>
      <c r="E25" s="141" t="n">
        <f aca="false">E6</f>
        <v>41000000</v>
      </c>
      <c r="F25" s="116" t="s">
        <v>133</v>
      </c>
      <c r="H25" s="103"/>
      <c r="I25" s="128"/>
      <c r="J25" s="103"/>
      <c r="N25" s="102" t="s">
        <v>190</v>
      </c>
      <c r="P25" s="102" t="n">
        <f aca="false">+P21+P22+P23</f>
        <v>37600803.3930501</v>
      </c>
    </row>
    <row r="26" customFormat="false" ht="15.75" hidden="false" customHeight="false" outlineLevel="0" collapsed="false">
      <c r="E26" s="102" t="n">
        <f aca="false">E24-E25</f>
        <v>842357535</v>
      </c>
      <c r="H26" s="129" t="s">
        <v>191</v>
      </c>
      <c r="I26" s="129"/>
      <c r="J26" s="103"/>
      <c r="K26" s="102"/>
      <c r="L26" s="103"/>
      <c r="M26" s="103"/>
      <c r="N26" s="103"/>
      <c r="O26" s="103"/>
      <c r="P26" s="103"/>
    </row>
    <row r="27" customFormat="false" ht="15.75" hidden="false" customHeight="false" outlineLevel="0" collapsed="false">
      <c r="A27" s="102" t="s">
        <v>192</v>
      </c>
      <c r="E27" s="162" t="n">
        <v>0.0302</v>
      </c>
      <c r="H27" s="103" t="s">
        <v>193</v>
      </c>
      <c r="I27" s="128"/>
      <c r="J27" s="103"/>
    </row>
    <row r="28" customFormat="false" ht="15.75" hidden="false" customHeight="false" outlineLevel="0" collapsed="false">
      <c r="A28" s="102" t="s">
        <v>194</v>
      </c>
      <c r="E28" s="102" t="n">
        <f aca="false">E26*E27</f>
        <v>25439197.557</v>
      </c>
      <c r="H28" s="103" t="s">
        <v>195</v>
      </c>
      <c r="I28" s="128" t="n">
        <f aca="false">E9</f>
        <v>30000000</v>
      </c>
      <c r="J28" s="127" t="s">
        <v>145</v>
      </c>
    </row>
    <row r="29" customFormat="false" ht="15.75" hidden="false" customHeight="false" outlineLevel="0" collapsed="false">
      <c r="A29" s="102" t="s">
        <v>196</v>
      </c>
      <c r="E29" s="102" t="n">
        <f aca="false">E9</f>
        <v>30000000</v>
      </c>
      <c r="F29" s="127" t="s">
        <v>145</v>
      </c>
      <c r="H29" s="103" t="s">
        <v>197</v>
      </c>
      <c r="I29" s="145" t="n">
        <f aca="false">-B17</f>
        <v>186923065</v>
      </c>
      <c r="J29" s="163" t="s">
        <v>169</v>
      </c>
      <c r="L29" s="164" t="s">
        <v>198</v>
      </c>
      <c r="M29" s="164"/>
    </row>
    <row r="30" customFormat="false" ht="15.75" hidden="false" customHeight="false" outlineLevel="0" collapsed="false">
      <c r="A30" s="165" t="s">
        <v>199</v>
      </c>
      <c r="B30" s="157"/>
      <c r="C30" s="157"/>
      <c r="D30" s="157"/>
      <c r="E30" s="166" t="str">
        <f aca="false">IF(E29&gt;=E28,"Test Passed","Test Failed")</f>
        <v>Test Passed</v>
      </c>
      <c r="H30" s="103" t="s">
        <v>200</v>
      </c>
      <c r="I30" s="128" t="n">
        <f aca="false">SUM(I28:I29)</f>
        <v>216923065</v>
      </c>
      <c r="J30" s="103"/>
      <c r="L30" s="102" t="s">
        <v>201</v>
      </c>
    </row>
    <row r="31" customFormat="false" ht="15.75" hidden="false" customHeight="false" outlineLevel="0" collapsed="false">
      <c r="H31" s="103"/>
      <c r="I31" s="128"/>
      <c r="J31" s="103"/>
      <c r="L31" s="102" t="s">
        <v>202</v>
      </c>
      <c r="M31" s="102" t="n">
        <f aca="false">E9+'Cash-Int-Trans'!B17</f>
        <v>36000000</v>
      </c>
    </row>
    <row r="32" customFormat="false" ht="16.5" hidden="false" customHeight="false" outlineLevel="0" collapsed="false">
      <c r="A32" s="167" t="s">
        <v>203</v>
      </c>
      <c r="B32" s="168"/>
      <c r="H32" s="103" t="s">
        <v>204</v>
      </c>
      <c r="I32" s="128" t="n">
        <f aca="false">I24</f>
        <v>-280344947.6932</v>
      </c>
      <c r="J32" s="161" t="s">
        <v>188</v>
      </c>
      <c r="L32" s="102" t="s">
        <v>205</v>
      </c>
      <c r="M32" s="141" t="n">
        <f aca="false">E10</f>
        <v>1000</v>
      </c>
    </row>
    <row r="33" customFormat="false" ht="15.75" hidden="false" customHeight="false" outlineLevel="0" collapsed="false">
      <c r="A33" s="169" t="n">
        <v>36634</v>
      </c>
      <c r="B33" s="103" t="s">
        <v>206</v>
      </c>
      <c r="C33" s="0"/>
      <c r="D33" s="169" t="n">
        <v>37681</v>
      </c>
      <c r="E33" s="0"/>
      <c r="H33" s="103" t="s">
        <v>207</v>
      </c>
      <c r="I33" s="128" t="n">
        <f aca="false">(D14+D15-Shares!B30)*(I5-E14)</f>
        <v>-132778104.25</v>
      </c>
      <c r="J33" s="161"/>
      <c r="M33" s="102" t="n">
        <f aca="false">SUM(M31:M32)</f>
        <v>36001000</v>
      </c>
    </row>
    <row r="34" customFormat="false" ht="15.75" hidden="false" customHeight="false" outlineLevel="0" collapsed="false">
      <c r="A34" s="170" t="n">
        <f aca="false">+Summary!C5</f>
        <v>37134</v>
      </c>
      <c r="B34" s="103" t="s">
        <v>208</v>
      </c>
      <c r="C34" s="0"/>
      <c r="D34" s="0"/>
      <c r="E34" s="0"/>
      <c r="H34" s="103" t="s">
        <v>209</v>
      </c>
      <c r="I34" s="104" t="n">
        <f aca="false">+Shares!C39*Financials!I5</f>
        <v>0</v>
      </c>
      <c r="L34" s="102" t="s">
        <v>210</v>
      </c>
      <c r="M34" s="102" t="n">
        <f aca="false">I24</f>
        <v>-280344947.6932</v>
      </c>
    </row>
    <row r="35" customFormat="false" ht="16.5" hidden="false" customHeight="false" outlineLevel="0" collapsed="false">
      <c r="A35" s="171" t="n">
        <f aca="false">MIN(A37:A38)</f>
        <v>500</v>
      </c>
      <c r="B35" s="103" t="s">
        <v>211</v>
      </c>
      <c r="C35" s="0"/>
      <c r="D35" s="0"/>
      <c r="E35" s="0"/>
      <c r="H35" s="102" t="s">
        <v>212</v>
      </c>
      <c r="I35" s="104" t="n">
        <f aca="false">+'Cash-Int-Trans'!B17</f>
        <v>6000000</v>
      </c>
      <c r="L35" s="102" t="s">
        <v>213</v>
      </c>
      <c r="M35" s="141" t="n">
        <f aca="false">I38</f>
        <v>-41000000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103" t="s">
        <v>214</v>
      </c>
      <c r="I36" s="128" t="n">
        <f aca="false">-I29-Shares!D24-Shares!D26</f>
        <v>-138976622.858853</v>
      </c>
      <c r="J36" s="143" t="s">
        <v>164</v>
      </c>
      <c r="L36" s="102" t="s">
        <v>215</v>
      </c>
      <c r="M36" s="102" t="n">
        <f aca="false">SUM(M33:M35)</f>
        <v>-285343947.6932</v>
      </c>
    </row>
    <row r="37" customFormat="false" ht="16.5" hidden="false" customHeight="true" outlineLevel="0" collapsed="false">
      <c r="A37" s="26" t="n">
        <f aca="false">+A34-A33</f>
        <v>500</v>
      </c>
      <c r="B37" s="0"/>
      <c r="C37" s="0"/>
      <c r="D37" s="0"/>
      <c r="E37" s="0"/>
      <c r="H37" s="103" t="s">
        <v>216</v>
      </c>
      <c r="I37" s="104" t="n">
        <f aca="false">-'Cash-Int-Trans'!B167</f>
        <v>-0</v>
      </c>
      <c r="J37" s="172"/>
      <c r="K37" s="102"/>
      <c r="L37" s="102" t="s">
        <v>217</v>
      </c>
      <c r="M37" s="102" t="n">
        <f aca="false">P13</f>
        <v>0</v>
      </c>
    </row>
    <row r="38" customFormat="false" ht="15.75" hidden="false" customHeight="true" outlineLevel="0" collapsed="false">
      <c r="A38" s="26" t="n">
        <f aca="false">+D33-A33</f>
        <v>1047</v>
      </c>
      <c r="B38" s="0"/>
      <c r="C38" s="0"/>
      <c r="D38" s="0"/>
      <c r="E38" s="0"/>
      <c r="H38" s="103" t="s">
        <v>218</v>
      </c>
      <c r="I38" s="128" t="n">
        <f aca="false">+'Cash-Int-Trans'!B16</f>
        <v>-41000000</v>
      </c>
      <c r="J38" s="103"/>
      <c r="K38" s="102"/>
      <c r="L38" s="102" t="s">
        <v>219</v>
      </c>
      <c r="M38" s="141" t="n">
        <f aca="false">P14</f>
        <v>-285343947.6932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159" t="s">
        <v>220</v>
      </c>
      <c r="I39" s="173" t="n">
        <f aca="false">SUM(I30:I38)</f>
        <v>-370176609.802053</v>
      </c>
      <c r="K39" s="102"/>
      <c r="M39" s="102" t="n">
        <f aca="false">M36-M37-M38</f>
        <v>0</v>
      </c>
      <c r="N39" s="17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102" t="s">
        <v>221</v>
      </c>
      <c r="L40" s="102" t="s">
        <v>222</v>
      </c>
      <c r="M40" s="102" t="n">
        <f aca="false">ROUND(M36-SUM(M37:M38),0)</f>
        <v>0</v>
      </c>
      <c r="N40" s="17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102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102"/>
      <c r="L43" s="149" t="s">
        <v>171</v>
      </c>
      <c r="M43" s="129"/>
      <c r="N43" s="129"/>
      <c r="O43" s="129"/>
      <c r="P43" s="129"/>
      <c r="Q43" s="128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102"/>
      <c r="H44" s="176"/>
      <c r="L44" s="150" t="s">
        <v>178</v>
      </c>
      <c r="M44" s="150"/>
      <c r="P44" s="102" t="n">
        <f aca="false">M15</f>
        <v>661192211.027277</v>
      </c>
      <c r="Q44" s="144" t="s">
        <v>165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102"/>
      <c r="I45" s="102"/>
      <c r="L45" s="102" t="s">
        <v>223</v>
      </c>
      <c r="M45" s="153" t="n">
        <f aca="false">+'Daily Position'!I65</f>
        <v>63109023.64</v>
      </c>
      <c r="N45" s="153"/>
      <c r="O45" s="153" t="n">
        <f aca="false">-P9</f>
        <v>-0</v>
      </c>
      <c r="P45" s="102" t="n">
        <f aca="false">+M45+O45</f>
        <v>63109023.64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102"/>
      <c r="I46" s="102"/>
      <c r="L46" s="102" t="s">
        <v>224</v>
      </c>
      <c r="M46" s="153" t="n">
        <f aca="false">+'Daily Position'!I78-M45</f>
        <v>670572652.43</v>
      </c>
      <c r="N46" s="153"/>
      <c r="O46" s="153" t="n">
        <f aca="false">-P10</f>
        <v>-409960543.64</v>
      </c>
      <c r="P46" s="141" t="n">
        <f aca="false">+M46+O46</f>
        <v>260612108.79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102"/>
      <c r="I47" s="102"/>
      <c r="L47" s="102" t="s">
        <v>225</v>
      </c>
      <c r="P47" s="102" t="n">
        <f aca="false">+P44+P45+P46</f>
        <v>984913343.457278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102"/>
      <c r="I48" s="102"/>
      <c r="L48" s="102" t="s">
        <v>192</v>
      </c>
      <c r="P48" s="162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102"/>
      <c r="I49" s="102"/>
      <c r="L49" s="102" t="s">
        <v>194</v>
      </c>
      <c r="P49" s="102" t="n">
        <f aca="false">P47*P48</f>
        <v>29744382.9724098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102"/>
      <c r="I50" s="102"/>
      <c r="L50" s="102" t="s">
        <v>196</v>
      </c>
      <c r="P50" s="102" t="n">
        <f aca="false">P13</f>
        <v>0</v>
      </c>
      <c r="Q50" s="139" t="s">
        <v>158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102"/>
      <c r="I51" s="102"/>
      <c r="L51" s="165" t="s">
        <v>199</v>
      </c>
      <c r="M51" s="157"/>
      <c r="N51" s="157"/>
      <c r="O51" s="157"/>
      <c r="P51" s="166" t="str">
        <f aca="false">IF(P50&gt;=P49,"Test Passed","Test Failed")</f>
        <v>Test Failed</v>
      </c>
      <c r="Q51" s="139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102"/>
      <c r="I52" s="102"/>
      <c r="L52" s="103" t="s">
        <v>226</v>
      </c>
      <c r="M52" s="103"/>
      <c r="N52" s="103"/>
      <c r="O52" s="103"/>
      <c r="P52" s="103" t="n">
        <f aca="false">P50-P49</f>
        <v>-29744382.9724098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102"/>
      <c r="I53" s="102"/>
      <c r="L53" s="159" t="s">
        <v>227</v>
      </c>
      <c r="M53" s="159"/>
      <c r="N53" s="159"/>
      <c r="O53" s="159"/>
      <c r="P53" s="159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102"/>
      <c r="I54" s="102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102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A3:B3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B4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02" width="30.62"/>
    <col collapsed="false" customWidth="true" hidden="false" outlineLevel="0" max="2" min="2" style="104" width="16.74"/>
    <col collapsed="false" customWidth="true" hidden="false" outlineLevel="0" max="4" min="4" style="102" width="30.62"/>
    <col collapsed="false" customWidth="true" hidden="false" outlineLevel="0" max="5" min="5" style="104" width="16.74"/>
    <col collapsed="false" customWidth="true" hidden="false" outlineLevel="0" max="7" min="7" style="102" width="30.62"/>
    <col collapsed="false" customWidth="true" hidden="false" outlineLevel="0" max="8" min="8" style="104" width="16.74"/>
  </cols>
  <sheetData>
    <row r="1" customFormat="false" ht="15.75" hidden="false" customHeight="false" outlineLevel="0" collapsed="false">
      <c r="A1" s="103"/>
      <c r="B1" s="128"/>
      <c r="D1" s="103"/>
      <c r="E1" s="128"/>
      <c r="G1" s="103"/>
      <c r="H1" s="128"/>
    </row>
    <row r="2" customFormat="false" ht="15.75" hidden="false" customHeight="false" outlineLevel="0" collapsed="false">
      <c r="A2" s="129" t="s">
        <v>146</v>
      </c>
      <c r="B2" s="129"/>
      <c r="D2" s="129" t="s">
        <v>146</v>
      </c>
      <c r="E2" s="129"/>
      <c r="G2" s="129" t="s">
        <v>146</v>
      </c>
      <c r="H2" s="177" t="n">
        <f aca="false">+B3</f>
        <v>37072</v>
      </c>
    </row>
    <row r="3" customFormat="false" ht="15.75" hidden="false" customHeight="false" outlineLevel="0" collapsed="false">
      <c r="A3" s="118" t="s">
        <v>228</v>
      </c>
      <c r="B3" s="177" t="n">
        <v>37072</v>
      </c>
      <c r="D3" s="118" t="s">
        <v>228</v>
      </c>
      <c r="E3" s="177" t="n">
        <f aca="false">+Financials!I11</f>
        <v>37134</v>
      </c>
      <c r="G3" s="118" t="s">
        <v>229</v>
      </c>
      <c r="H3" s="177" t="n">
        <f aca="false">+E3</f>
        <v>37134</v>
      </c>
    </row>
    <row r="4" customFormat="false" ht="15.75" hidden="false" customHeight="false" outlineLevel="0" collapsed="false">
      <c r="A4" s="103" t="s">
        <v>152</v>
      </c>
      <c r="B4" s="128" t="n">
        <v>73100462</v>
      </c>
      <c r="D4" s="103" t="s">
        <v>152</v>
      </c>
      <c r="E4" s="128" t="n">
        <f aca="false">+Financials!I12</f>
        <v>73100462</v>
      </c>
      <c r="G4" s="103" t="s">
        <v>152</v>
      </c>
      <c r="H4" s="128" t="n">
        <f aca="false">+E4-B4</f>
        <v>0</v>
      </c>
    </row>
    <row r="5" customFormat="false" ht="15.75" hidden="false" customHeight="false" outlineLevel="0" collapsed="false">
      <c r="A5" s="103" t="s">
        <v>156</v>
      </c>
      <c r="B5" s="128" t="n">
        <v>3936105.52593833</v>
      </c>
      <c r="D5" s="103" t="s">
        <v>156</v>
      </c>
      <c r="E5" s="128" t="n">
        <f aca="false">+Financials!I13</f>
        <v>4255765.2573134</v>
      </c>
      <c r="G5" s="103" t="s">
        <v>156</v>
      </c>
      <c r="H5" s="128" t="n">
        <f aca="false">+E5-B5</f>
        <v>319659.731375068</v>
      </c>
    </row>
    <row r="6" customFormat="false" ht="15.75" hidden="false" customHeight="false" outlineLevel="0" collapsed="false">
      <c r="A6" s="103" t="s">
        <v>160</v>
      </c>
      <c r="B6" s="128" t="n">
        <v>4258333.33333333</v>
      </c>
      <c r="D6" s="103" t="s">
        <v>160</v>
      </c>
      <c r="E6" s="128" t="n">
        <f aca="false">+Financials!I14</f>
        <v>4861111.11111111</v>
      </c>
      <c r="G6" s="103" t="s">
        <v>160</v>
      </c>
      <c r="H6" s="128" t="n">
        <f aca="false">+E6-B6</f>
        <v>602777.777777778</v>
      </c>
    </row>
    <row r="7" customFormat="false" ht="15.75" hidden="false" customHeight="false" outlineLevel="0" collapsed="false">
      <c r="A7" s="103" t="s">
        <v>163</v>
      </c>
      <c r="B7" s="128" t="n">
        <v>78197041.5186247</v>
      </c>
      <c r="D7" s="103" t="s">
        <v>163</v>
      </c>
      <c r="E7" s="128" t="n">
        <f aca="false">+Financials!I15</f>
        <v>89266029.1308501</v>
      </c>
      <c r="G7" s="103" t="s">
        <v>163</v>
      </c>
      <c r="H7" s="128" t="n">
        <f aca="false">+E7-B7</f>
        <v>11068987.6122254</v>
      </c>
    </row>
    <row r="8" customFormat="false" ht="15.75" hidden="false" customHeight="false" outlineLevel="0" collapsed="false">
      <c r="A8" s="103" t="s">
        <v>230</v>
      </c>
      <c r="B8" s="104" t="n">
        <v>0</v>
      </c>
      <c r="D8" s="103" t="s">
        <v>230</v>
      </c>
      <c r="E8" s="104" t="n">
        <v>0</v>
      </c>
      <c r="G8" s="103" t="s">
        <v>230</v>
      </c>
      <c r="H8" s="128" t="n">
        <f aca="false">+E8-B8</f>
        <v>0</v>
      </c>
    </row>
    <row r="9" customFormat="false" ht="15.75" hidden="false" customHeight="false" outlineLevel="0" collapsed="false">
      <c r="A9" s="103" t="s">
        <v>167</v>
      </c>
      <c r="B9" s="145" t="n">
        <v>-35484147.5801854</v>
      </c>
      <c r="D9" s="103" t="s">
        <v>167</v>
      </c>
      <c r="E9" s="145" t="n">
        <f aca="false">+Financials!I16</f>
        <v>-41743773.3174116</v>
      </c>
      <c r="G9" s="103" t="s">
        <v>167</v>
      </c>
      <c r="H9" s="145" t="n">
        <f aca="false">+E9-B9</f>
        <v>-6259625.73722611</v>
      </c>
    </row>
    <row r="10" customFormat="false" ht="15.75" hidden="false" customHeight="false" outlineLevel="0" collapsed="false">
      <c r="B10" s="102" t="n">
        <v>124007794.797711</v>
      </c>
      <c r="E10" s="102" t="n">
        <f aca="false">SUM(E4:E9)</f>
        <v>129739594.181863</v>
      </c>
      <c r="H10" s="102" t="n">
        <f aca="false">SUM(H4:H9)</f>
        <v>5731799.38415213</v>
      </c>
    </row>
    <row r="11" customFormat="false" ht="15.75" hidden="false" customHeight="false" outlineLevel="0" collapsed="false">
      <c r="B11" s="102"/>
      <c r="E11" s="102"/>
      <c r="H11" s="102"/>
    </row>
    <row r="12" customFormat="false" ht="15.75" hidden="false" customHeight="false" outlineLevel="0" collapsed="false">
      <c r="A12" s="102" t="s">
        <v>172</v>
      </c>
      <c r="B12" s="102" t="n">
        <v>242948167</v>
      </c>
      <c r="D12" s="102" t="s">
        <v>172</v>
      </c>
      <c r="E12" s="128" t="n">
        <f aca="false">+Financials!I19</f>
        <v>350408939.3</v>
      </c>
      <c r="G12" s="102" t="s">
        <v>172</v>
      </c>
      <c r="H12" s="128" t="n">
        <f aca="false">+E12-B12</f>
        <v>107460772.3</v>
      </c>
    </row>
    <row r="13" customFormat="false" ht="15.75" hidden="false" customHeight="false" outlineLevel="0" collapsed="false">
      <c r="A13" s="102" t="s">
        <v>231</v>
      </c>
      <c r="B13" s="104" t="n">
        <v>0</v>
      </c>
      <c r="D13" s="102" t="s">
        <v>231</v>
      </c>
      <c r="E13" s="128" t="n">
        <v>0</v>
      </c>
      <c r="G13" s="102" t="s">
        <v>231</v>
      </c>
      <c r="H13" s="128" t="n">
        <f aca="false">+E13-B13</f>
        <v>0</v>
      </c>
    </row>
    <row r="14" customFormat="false" ht="15.75" hidden="false" customHeight="false" outlineLevel="0" collapsed="false">
      <c r="A14" s="102" t="s">
        <v>176</v>
      </c>
      <c r="B14" s="104" t="n">
        <v>-217966160.625496</v>
      </c>
      <c r="D14" s="102" t="s">
        <v>176</v>
      </c>
      <c r="E14" s="128" t="n">
        <f aca="false">+Financials!I20</f>
        <v>-223600633.771997</v>
      </c>
      <c r="G14" s="102" t="s">
        <v>176</v>
      </c>
      <c r="H14" s="128" t="n">
        <f aca="false">+E14-B14</f>
        <v>-5634473.14650118</v>
      </c>
    </row>
    <row r="15" customFormat="false" ht="15.75" hidden="false" customHeight="false" outlineLevel="0" collapsed="false">
      <c r="A15" s="102" t="s">
        <v>232</v>
      </c>
      <c r="B15" s="102" t="n">
        <v>0</v>
      </c>
      <c r="C15" s="102"/>
      <c r="D15" s="102" t="s">
        <v>232</v>
      </c>
      <c r="E15" s="128" t="n">
        <v>0</v>
      </c>
      <c r="F15" s="102"/>
      <c r="G15" s="102" t="s">
        <v>232</v>
      </c>
      <c r="H15" s="128" t="n">
        <f aca="false">+E15-B15</f>
        <v>0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</row>
    <row r="16" customFormat="false" ht="15.75" hidden="false" customHeight="false" outlineLevel="0" collapsed="false">
      <c r="A16" s="102" t="s">
        <v>179</v>
      </c>
      <c r="B16" s="102" t="n">
        <v>-383495854.87</v>
      </c>
      <c r="D16" s="102" t="s">
        <v>179</v>
      </c>
      <c r="E16" s="128" t="n">
        <f aca="false">+Financials!I21</f>
        <v>-409960543.64</v>
      </c>
      <c r="G16" s="102" t="s">
        <v>179</v>
      </c>
      <c r="H16" s="128" t="n">
        <f aca="false">+E16-B16</f>
        <v>-26464688.77</v>
      </c>
    </row>
    <row r="17" customFormat="false" ht="15.75" hidden="false" customHeight="false" outlineLevel="0" collapsed="false">
      <c r="A17" s="102" t="s">
        <v>182</v>
      </c>
      <c r="B17" s="141" t="n">
        <v>-125572303.763066</v>
      </c>
      <c r="D17" s="102" t="s">
        <v>182</v>
      </c>
      <c r="E17" s="145" t="n">
        <f aca="false">+Financials!I22</f>
        <v>-126932303.763066</v>
      </c>
      <c r="G17" s="102" t="s">
        <v>182</v>
      </c>
      <c r="H17" s="145" t="n">
        <f aca="false">+E17-B17</f>
        <v>-1360000</v>
      </c>
    </row>
    <row r="18" customFormat="false" ht="15.75" hidden="false" customHeight="false" outlineLevel="0" collapsed="false">
      <c r="A18" s="0"/>
      <c r="B18" s="157" t="n">
        <v>-484086152.258562</v>
      </c>
      <c r="D18" s="0"/>
      <c r="E18" s="157" t="n">
        <f aca="false">SUM(E12:E17)</f>
        <v>-410084541.875063</v>
      </c>
      <c r="G18" s="0"/>
      <c r="H18" s="157" t="n">
        <f aca="false">SUM(H12:H17)</f>
        <v>74001610.3834989</v>
      </c>
    </row>
    <row r="19" customFormat="false" ht="15.75" hidden="false" customHeight="false" outlineLevel="0" collapsed="false">
      <c r="A19" s="178"/>
      <c r="B19" s="179"/>
      <c r="D19" s="178"/>
      <c r="E19" s="179"/>
      <c r="G19" s="178"/>
      <c r="H19" s="179"/>
    </row>
    <row r="20" customFormat="false" ht="16.5" hidden="false" customHeight="false" outlineLevel="0" collapsed="false">
      <c r="A20" s="159" t="s">
        <v>187</v>
      </c>
      <c r="B20" s="160" t="n">
        <v>-360078357.460851</v>
      </c>
      <c r="D20" s="159" t="s">
        <v>187</v>
      </c>
      <c r="E20" s="160" t="n">
        <f aca="false">E18+E10</f>
        <v>-280344947.6932</v>
      </c>
      <c r="G20" s="159" t="s">
        <v>187</v>
      </c>
      <c r="H20" s="160" t="n">
        <f aca="false">H18+H10</f>
        <v>79733409.767651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111" t="s">
        <v>130</v>
      </c>
      <c r="B23" s="111"/>
      <c r="D23" s="111" t="s">
        <v>130</v>
      </c>
      <c r="E23" s="111"/>
      <c r="G23" s="111" t="s">
        <v>130</v>
      </c>
      <c r="H23" s="119" t="n">
        <f aca="false">+B24</f>
        <v>37072</v>
      </c>
    </row>
    <row r="24" customFormat="false" ht="15.75" hidden="false" customHeight="false" outlineLevel="0" collapsed="false">
      <c r="A24" s="118" t="s">
        <v>135</v>
      </c>
      <c r="B24" s="119" t="n">
        <v>37072</v>
      </c>
      <c r="D24" s="118" t="s">
        <v>135</v>
      </c>
      <c r="E24" s="119" t="n">
        <f aca="false">+Financials!M6</f>
        <v>37134</v>
      </c>
      <c r="G24" s="118" t="s">
        <v>233</v>
      </c>
      <c r="H24" s="119" t="n">
        <f aca="false">+E24</f>
        <v>37134</v>
      </c>
    </row>
    <row r="25" customFormat="false" ht="16.5" hidden="false" customHeight="false" outlineLevel="0" collapsed="false">
      <c r="A25" s="114" t="s">
        <v>127</v>
      </c>
      <c r="B25" s="114"/>
      <c r="C25" s="102"/>
      <c r="D25" s="114" t="s">
        <v>127</v>
      </c>
      <c r="E25" s="114"/>
      <c r="G25" s="114" t="s">
        <v>127</v>
      </c>
      <c r="H25" s="114"/>
    </row>
    <row r="26" customFormat="false" ht="15.75" hidden="false" customHeight="false" outlineLevel="0" collapsed="false">
      <c r="A26" s="102" t="s">
        <v>142</v>
      </c>
      <c r="B26" s="102" t="n">
        <v>43330161.0814939</v>
      </c>
      <c r="C26" s="102"/>
      <c r="D26" s="102" t="s">
        <v>142</v>
      </c>
      <c r="E26" s="102" t="n">
        <f aca="false">+Financials!M8</f>
        <v>43649820.812869</v>
      </c>
      <c r="G26" s="102" t="s">
        <v>142</v>
      </c>
      <c r="H26" s="102" t="n">
        <f aca="false">+E26-B26</f>
        <v>319659.731375083</v>
      </c>
    </row>
    <row r="27" customFormat="false" ht="15.75" hidden="false" customHeight="false" outlineLevel="0" collapsed="false">
      <c r="A27" s="102" t="s">
        <v>136</v>
      </c>
      <c r="B27" s="102" t="n">
        <v>50000000</v>
      </c>
      <c r="C27" s="102"/>
      <c r="D27" s="102" t="s">
        <v>136</v>
      </c>
      <c r="E27" s="102" t="n">
        <f aca="false">+Financials!M9</f>
        <v>50000000</v>
      </c>
      <c r="G27" s="102" t="s">
        <v>136</v>
      </c>
      <c r="H27" s="102" t="n">
        <f aca="false">+E27-B27</f>
        <v>0</v>
      </c>
    </row>
    <row r="28" customFormat="false" ht="15.75" hidden="false" customHeight="false" outlineLevel="0" collapsed="false">
      <c r="A28" s="102" t="s">
        <v>147</v>
      </c>
      <c r="B28" s="102" t="n">
        <v>865277.777777778</v>
      </c>
      <c r="C28" s="102"/>
      <c r="D28" s="102" t="s">
        <v>147</v>
      </c>
      <c r="E28" s="102" t="n">
        <f aca="false">+Financials!M10</f>
        <v>1468055.55555556</v>
      </c>
      <c r="G28" s="102" t="s">
        <v>147</v>
      </c>
      <c r="H28" s="102" t="n">
        <f aca="false">+E28-B28</f>
        <v>602777.777777778</v>
      </c>
    </row>
    <row r="29" customFormat="false" ht="15.75" hidden="false" customHeight="false" outlineLevel="0" collapsed="false">
      <c r="A29" s="102" t="s">
        <v>139</v>
      </c>
      <c r="B29" s="102" t="n">
        <v>210230880.893128</v>
      </c>
      <c r="C29" s="123"/>
      <c r="D29" s="102" t="s">
        <v>139</v>
      </c>
      <c r="E29" s="102" t="n">
        <f aca="false">+Financials!M11</f>
        <v>215665395.358853</v>
      </c>
      <c r="G29" s="102" t="s">
        <v>139</v>
      </c>
      <c r="H29" s="102" t="n">
        <f aca="false">+E29-B29</f>
        <v>5434514.46572423</v>
      </c>
    </row>
    <row r="30" customFormat="false" ht="15.75" hidden="false" customHeight="false" outlineLevel="0" collapsed="false">
      <c r="A30" s="102" t="s">
        <v>234</v>
      </c>
      <c r="B30" s="104" t="n">
        <v>0</v>
      </c>
      <c r="D30" s="102" t="s">
        <v>234</v>
      </c>
      <c r="E30" s="102" t="n">
        <v>0</v>
      </c>
      <c r="G30" s="102" t="s">
        <v>234</v>
      </c>
      <c r="H30" s="102" t="n">
        <f aca="false">+E30-B30</f>
        <v>0</v>
      </c>
    </row>
    <row r="31" customFormat="false" ht="15.75" hidden="false" customHeight="false" outlineLevel="0" collapsed="false">
      <c r="A31" s="102" t="s">
        <v>235</v>
      </c>
      <c r="B31" s="102" t="n">
        <v>0</v>
      </c>
      <c r="C31" s="102"/>
      <c r="D31" s="102" t="s">
        <v>235</v>
      </c>
      <c r="E31" s="102" t="n">
        <v>0</v>
      </c>
      <c r="G31" s="102" t="s">
        <v>235</v>
      </c>
      <c r="H31" s="102" t="n">
        <f aca="false">+E31-B31</f>
        <v>0</v>
      </c>
    </row>
    <row r="32" customFormat="false" ht="15.75" hidden="false" customHeight="false" outlineLevel="0" collapsed="false">
      <c r="A32" s="102" t="s">
        <v>157</v>
      </c>
      <c r="B32" s="102" t="n">
        <v>242948167</v>
      </c>
      <c r="C32" s="102"/>
      <c r="D32" s="102" t="s">
        <v>157</v>
      </c>
      <c r="E32" s="102" t="n">
        <f aca="false">+Financials!M13</f>
        <v>350408939.3</v>
      </c>
      <c r="G32" s="102" t="s">
        <v>157</v>
      </c>
      <c r="H32" s="102" t="n">
        <f aca="false">+E32-B32</f>
        <v>107460772.3</v>
      </c>
    </row>
    <row r="33" customFormat="false" ht="15.75" hidden="false" customHeight="false" outlineLevel="0" collapsed="false">
      <c r="A33" s="102" t="s">
        <v>161</v>
      </c>
      <c r="B33" s="102" t="n">
        <v>0</v>
      </c>
      <c r="C33" s="102"/>
      <c r="D33" s="102" t="s">
        <v>161</v>
      </c>
      <c r="E33" s="102" t="n">
        <f aca="false">+Financials!M14</f>
        <v>0</v>
      </c>
      <c r="G33" s="102" t="s">
        <v>161</v>
      </c>
      <c r="H33" s="102" t="n">
        <f aca="false">+E33-B33</f>
        <v>0</v>
      </c>
    </row>
    <row r="34" customFormat="false" ht="16.5" hidden="false" customHeight="false" outlineLevel="0" collapsed="false">
      <c r="A34" s="130" t="s">
        <v>6</v>
      </c>
      <c r="B34" s="131" t="n">
        <v>547374486.7524</v>
      </c>
      <c r="C34" s="132"/>
      <c r="D34" s="130" t="s">
        <v>6</v>
      </c>
      <c r="E34" s="131" t="n">
        <f aca="false">SUM(E26:E33)</f>
        <v>661192211.027277</v>
      </c>
      <c r="G34" s="130" t="s">
        <v>6</v>
      </c>
      <c r="H34" s="131" t="n">
        <f aca="false">SUM(H26:H33)</f>
        <v>113817724.274877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114" t="s">
        <v>128</v>
      </c>
      <c r="B36" s="114"/>
      <c r="D36" s="114" t="s">
        <v>128</v>
      </c>
      <c r="E36" s="114"/>
      <c r="G36" s="114" t="s">
        <v>128</v>
      </c>
      <c r="H36" s="114"/>
    </row>
    <row r="37" customFormat="false" ht="15.75" hidden="false" customHeight="false" outlineLevel="0" collapsed="false">
      <c r="A37" s="102" t="s">
        <v>143</v>
      </c>
      <c r="B37" s="102" t="n">
        <v>0</v>
      </c>
      <c r="D37" s="102" t="s">
        <v>143</v>
      </c>
      <c r="E37" s="102" t="n">
        <f aca="false">+Financials!P8</f>
        <v>0</v>
      </c>
      <c r="G37" s="102" t="s">
        <v>143</v>
      </c>
      <c r="H37" s="102" t="n">
        <f aca="false">+E37-B37</f>
        <v>0</v>
      </c>
    </row>
    <row r="38" customFormat="false" ht="15.75" hidden="false" customHeight="false" outlineLevel="0" collapsed="false">
      <c r="A38" s="102" t="s">
        <v>132</v>
      </c>
      <c r="B38" s="102" t="n">
        <v>0</v>
      </c>
      <c r="D38" s="102" t="s">
        <v>132</v>
      </c>
      <c r="E38" s="102" t="n">
        <f aca="false">+Financials!P9</f>
        <v>0</v>
      </c>
      <c r="G38" s="102" t="s">
        <v>132</v>
      </c>
      <c r="H38" s="102" t="n">
        <f aca="false">+E38-B38</f>
        <v>0</v>
      </c>
    </row>
    <row r="39" customFormat="false" ht="15.75" hidden="false" customHeight="false" outlineLevel="0" collapsed="false">
      <c r="A39" s="102" t="s">
        <v>148</v>
      </c>
      <c r="B39" s="102" t="n">
        <v>383495854.87</v>
      </c>
      <c r="D39" s="102" t="s">
        <v>148</v>
      </c>
      <c r="E39" s="102" t="n">
        <f aca="false">+Financials!P10</f>
        <v>409960543.64</v>
      </c>
      <c r="G39" s="102" t="s">
        <v>148</v>
      </c>
      <c r="H39" s="102" t="n">
        <f aca="false">+E39-B39</f>
        <v>26464688.77</v>
      </c>
    </row>
    <row r="40" customFormat="false" ht="15.75" hidden="false" customHeight="false" outlineLevel="0" collapsed="false">
      <c r="A40" s="102" t="s">
        <v>151</v>
      </c>
      <c r="B40" s="102" t="n">
        <v>0</v>
      </c>
      <c r="D40" s="102" t="s">
        <v>151</v>
      </c>
      <c r="E40" s="102" t="n">
        <f aca="false">+Financials!P11</f>
        <v>0</v>
      </c>
      <c r="G40" s="102" t="s">
        <v>151</v>
      </c>
      <c r="H40" s="102" t="n">
        <f aca="false">+E40-B40</f>
        <v>0</v>
      </c>
    </row>
    <row r="41" customFormat="false" ht="15.75" hidden="false" customHeight="false" outlineLevel="0" collapsed="false">
      <c r="A41" s="102" t="s">
        <v>137</v>
      </c>
      <c r="B41" s="102" t="n">
        <v>528955989.343251</v>
      </c>
      <c r="D41" s="102" t="s">
        <v>137</v>
      </c>
      <c r="E41" s="102" t="n">
        <f aca="false">+Financials!P12</f>
        <v>536575615.080478</v>
      </c>
      <c r="G41" s="102" t="s">
        <v>137</v>
      </c>
      <c r="H41" s="102" t="n">
        <f aca="false">+E41-B41</f>
        <v>7619625.73722613</v>
      </c>
    </row>
    <row r="42" customFormat="false" ht="15.75" hidden="false" customHeight="false" outlineLevel="0" collapsed="false">
      <c r="A42" s="102" t="s">
        <v>144</v>
      </c>
      <c r="B42" s="102" t="n">
        <v>0</v>
      </c>
      <c r="D42" s="102" t="s">
        <v>144</v>
      </c>
      <c r="E42" s="102" t="n">
        <f aca="false">+Financials!P13</f>
        <v>0</v>
      </c>
      <c r="G42" s="102" t="s">
        <v>144</v>
      </c>
      <c r="H42" s="102" t="n">
        <f aca="false">+E42-B42</f>
        <v>0</v>
      </c>
    </row>
    <row r="43" customFormat="false" ht="15.75" hidden="false" customHeight="false" outlineLevel="0" collapsed="false">
      <c r="A43" s="102" t="s">
        <v>105</v>
      </c>
      <c r="B43" s="102" t="n">
        <v>-365077357.460851</v>
      </c>
      <c r="D43" s="102" t="s">
        <v>105</v>
      </c>
      <c r="E43" s="102" t="n">
        <f aca="false">+Financials!P14</f>
        <v>-285343947.6932</v>
      </c>
      <c r="G43" s="102" t="s">
        <v>105</v>
      </c>
      <c r="H43" s="102" t="n">
        <f aca="false">+E43-B43</f>
        <v>79733409.7676511</v>
      </c>
    </row>
    <row r="44" customFormat="false" ht="16.5" hidden="false" customHeight="false" outlineLevel="0" collapsed="false">
      <c r="A44" s="130" t="s">
        <v>6</v>
      </c>
      <c r="B44" s="131" t="n">
        <v>547374486.7524</v>
      </c>
      <c r="D44" s="130" t="s">
        <v>6</v>
      </c>
      <c r="E44" s="131" t="n">
        <f aca="false">SUM(E37:E43)</f>
        <v>661192211.027277</v>
      </c>
      <c r="G44" s="130" t="s">
        <v>6</v>
      </c>
      <c r="H44" s="131" t="n">
        <f aca="false">SUM(H37:H43)</f>
        <v>113817724.274877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4"/>
  <sheetViews>
    <sheetView showFormulas="false" showGridLines="fals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B110" activeCellId="0" sqref="B1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21.37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80" t="s">
        <v>236</v>
      </c>
      <c r="B1" s="180"/>
    </row>
    <row r="3" customFormat="false" ht="15.75" hidden="false" customHeight="false" outlineLevel="0" collapsed="false">
      <c r="A3" s="103" t="s">
        <v>237</v>
      </c>
      <c r="B3" s="104"/>
      <c r="C3" s="102"/>
    </row>
    <row r="4" customFormat="false" ht="15.75" hidden="false" customHeight="false" outlineLevel="0" collapsed="false">
      <c r="A4" s="176" t="s">
        <v>238</v>
      </c>
      <c r="B4" s="128" t="n">
        <f aca="false">IF(Summary!C5&lt;'Cash-Int-Trans'!D4,0,37034148)</f>
        <v>37034148</v>
      </c>
      <c r="C4" s="102"/>
      <c r="D4" s="64" t="n">
        <v>36741</v>
      </c>
    </row>
    <row r="5" customFormat="false" ht="15.75" hidden="false" customHeight="false" outlineLevel="0" collapsed="false">
      <c r="A5" s="176" t="s">
        <v>239</v>
      </c>
      <c r="B5" s="128" t="n">
        <f aca="false">IF(Summary!C5&lt;'Cash-Int-Trans'!D5,0,36066314-30637565.04)</f>
        <v>5428748.96</v>
      </c>
      <c r="C5" s="102"/>
      <c r="D5" s="64" t="n">
        <v>36910</v>
      </c>
    </row>
    <row r="6" customFormat="false" ht="15.75" hidden="false" customHeight="false" outlineLevel="0" collapsed="false">
      <c r="A6" s="176" t="s">
        <v>239</v>
      </c>
      <c r="B6" s="128" t="n">
        <f aca="false">IF(Summary!C5&lt;'Cash-Int-Trans'!D6,0,36066314-B5)</f>
        <v>30637565.04</v>
      </c>
      <c r="C6" s="102"/>
      <c r="D6" s="64" t="n">
        <v>37071</v>
      </c>
    </row>
    <row r="7" customFormat="false" ht="16.5" hidden="false" customHeight="false" outlineLevel="0" collapsed="false">
      <c r="A7" s="102" t="s">
        <v>240</v>
      </c>
      <c r="B7" s="181" t="n">
        <f aca="false">SUM(B3:B6)</f>
        <v>73100462</v>
      </c>
      <c r="C7" s="135" t="s">
        <v>153</v>
      </c>
    </row>
    <row r="8" customFormat="false" ht="16.5" hidden="false" customHeight="false" outlineLevel="0" collapsed="false">
      <c r="A8" s="102"/>
      <c r="B8" s="104"/>
      <c r="C8" s="102"/>
    </row>
    <row r="9" customFormat="false" ht="15.75" hidden="false" customHeight="false" outlineLevel="0" collapsed="false">
      <c r="A9" s="102" t="s">
        <v>241</v>
      </c>
      <c r="B9" s="104" t="n">
        <f aca="false">IF(Summary!C5&lt;'Cash-Int-Trans'!D9,0,-Financials!E6+B4)</f>
        <v>-3965852</v>
      </c>
      <c r="C9" s="102"/>
      <c r="D9" s="64" t="n">
        <v>36741</v>
      </c>
    </row>
    <row r="10" customFormat="false" ht="15.75" hidden="false" customHeight="false" outlineLevel="0" collapsed="false">
      <c r="A10" s="102" t="s">
        <v>242</v>
      </c>
      <c r="B10" s="104" t="n">
        <f aca="false">-B9</f>
        <v>3965852</v>
      </c>
      <c r="C10" s="102"/>
      <c r="D10" s="64" t="n">
        <f aca="false">+D9</f>
        <v>36741</v>
      </c>
    </row>
    <row r="11" customFormat="false" ht="15.75" hidden="false" customHeight="false" outlineLevel="0" collapsed="false">
      <c r="A11" s="102"/>
      <c r="B11" s="102"/>
      <c r="C11" s="102"/>
    </row>
    <row r="12" customFormat="false" ht="15.75" hidden="false" customHeight="false" outlineLevel="0" collapsed="false">
      <c r="A12" s="102" t="s">
        <v>243</v>
      </c>
      <c r="B12" s="104" t="n">
        <f aca="false">IF(Summary!C5&lt;'Cash-Int-Trans'!D12,0,36066314)</f>
        <v>36066314</v>
      </c>
      <c r="C12" s="102"/>
      <c r="D12" s="64" t="n">
        <v>36741</v>
      </c>
    </row>
    <row r="13" customFormat="false" ht="15.75" hidden="false" customHeight="false" outlineLevel="0" collapsed="false">
      <c r="A13" s="102" t="s">
        <v>244</v>
      </c>
      <c r="B13" s="104" t="n">
        <f aca="false">-B12</f>
        <v>-36066314</v>
      </c>
      <c r="C13" s="102"/>
      <c r="D13" s="64" t="n">
        <f aca="false">+D12</f>
        <v>36741</v>
      </c>
    </row>
    <row r="14" customFormat="false" ht="15.75" hidden="false" customHeight="false" outlineLevel="0" collapsed="false">
      <c r="A14" s="102"/>
      <c r="B14" s="102"/>
      <c r="C14" s="102"/>
    </row>
    <row r="15" customFormat="false" ht="15.75" hidden="false" customHeight="false" outlineLevel="0" collapsed="false">
      <c r="A15" s="102" t="s">
        <v>245</v>
      </c>
      <c r="B15" s="104"/>
      <c r="C15" s="102"/>
    </row>
    <row r="16" customFormat="false" ht="15.75" hidden="false" customHeight="false" outlineLevel="0" collapsed="false">
      <c r="A16" s="102" t="s">
        <v>246</v>
      </c>
      <c r="B16" s="104" t="n">
        <f aca="false">IF(Summary!C5&lt;'Cash-Int-Trans'!D16,0,-41000000)</f>
        <v>-41000000</v>
      </c>
      <c r="C16" s="102"/>
      <c r="D16" s="64" t="n">
        <v>36741</v>
      </c>
    </row>
    <row r="17" customFormat="false" ht="15.75" hidden="false" customHeight="false" outlineLevel="0" collapsed="false">
      <c r="A17" s="102" t="s">
        <v>247</v>
      </c>
      <c r="B17" s="104" t="n">
        <f aca="false">IF(Summary!$C$5&lt;'Cash-Int-Trans'!D17,0,6000000)</f>
        <v>6000000</v>
      </c>
      <c r="C17" s="102"/>
      <c r="D17" s="64" t="n">
        <v>36741</v>
      </c>
    </row>
    <row r="18" customFormat="false" ht="15.75" hidden="false" customHeight="false" outlineLevel="0" collapsed="false">
      <c r="A18" s="102"/>
      <c r="B18" s="104"/>
      <c r="C18" s="102"/>
      <c r="D18" s="64"/>
    </row>
    <row r="19" customFormat="false" ht="15.75" hidden="false" customHeight="false" outlineLevel="0" collapsed="false">
      <c r="A19" s="102" t="s">
        <v>248</v>
      </c>
      <c r="B19" s="104" t="n">
        <f aca="false">IF(Summary!$C$5&lt;'Cash-Int-Trans'!D19,0,-Amort!D11)</f>
        <v>-1623611.11111111</v>
      </c>
      <c r="C19" s="102"/>
      <c r="D19" s="64" t="n">
        <f aca="false">+Amort!A11</f>
        <v>36801</v>
      </c>
    </row>
    <row r="20" customFormat="false" ht="15.75" hidden="false" customHeight="false" outlineLevel="0" collapsed="false">
      <c r="A20" s="102" t="s">
        <v>249</v>
      </c>
      <c r="B20" s="104" t="n">
        <f aca="false">-B19</f>
        <v>1623611.11111111</v>
      </c>
      <c r="C20" s="102"/>
      <c r="D20" s="64" t="n">
        <f aca="false">+D19</f>
        <v>36801</v>
      </c>
    </row>
    <row r="21" customFormat="false" ht="15.75" hidden="false" customHeight="false" outlineLevel="0" collapsed="false">
      <c r="A21" s="102"/>
      <c r="B21" s="104"/>
      <c r="C21" s="102"/>
    </row>
    <row r="22" customFormat="false" ht="15.75" hidden="false" customHeight="false" outlineLevel="0" collapsed="false">
      <c r="A22" s="102" t="s">
        <v>248</v>
      </c>
      <c r="B22" s="104" t="n">
        <f aca="false">IF(Summary!$C$5&lt;'Cash-Int-Trans'!D22,0,-Amort!D12)</f>
        <v>-1769444.44444444</v>
      </c>
      <c r="C22" s="102"/>
      <c r="D22" s="64" t="n">
        <f aca="false">+Amort!A12</f>
        <v>36983</v>
      </c>
    </row>
    <row r="23" customFormat="false" ht="15.75" hidden="false" customHeight="false" outlineLevel="0" collapsed="false">
      <c r="A23" s="102" t="s">
        <v>249</v>
      </c>
      <c r="B23" s="104" t="n">
        <f aca="false">-B22</f>
        <v>1769444.44444444</v>
      </c>
      <c r="C23" s="102"/>
      <c r="D23" s="64" t="n">
        <f aca="false">+D22</f>
        <v>36983</v>
      </c>
    </row>
    <row r="24" customFormat="false" ht="16.5" hidden="false" customHeight="false" outlineLevel="0" collapsed="false">
      <c r="A24" s="180" t="s">
        <v>250</v>
      </c>
      <c r="B24" s="180"/>
      <c r="C24" s="182"/>
      <c r="D24" s="182"/>
      <c r="E24" s="182"/>
      <c r="F24" s="182"/>
      <c r="G24" s="7"/>
    </row>
    <row r="26" customFormat="false" ht="15.75" hidden="false" customHeight="false" outlineLevel="0" collapsed="false">
      <c r="A26" s="0" t="s">
        <v>39</v>
      </c>
      <c r="B26" s="64" t="n">
        <f aca="false">+Summary!C5</f>
        <v>37134</v>
      </c>
    </row>
    <row r="27" customFormat="false" ht="15.75" hidden="false" customHeight="false" outlineLevel="0" collapsed="false">
      <c r="A27" s="0" t="s">
        <v>251</v>
      </c>
      <c r="B27" s="64" t="n">
        <v>36634</v>
      </c>
      <c r="D27" s="16" t="n">
        <f aca="false">IF(B26&gt;(B27-1),30000000,0)</f>
        <v>30000000</v>
      </c>
    </row>
    <row r="28" customFormat="false" ht="15.75" hidden="false" customHeight="false" outlineLevel="0" collapsed="false">
      <c r="A28" s="0" t="s">
        <v>252</v>
      </c>
      <c r="B28" s="64" t="n">
        <v>36741</v>
      </c>
      <c r="D28" s="16" t="n">
        <f aca="false">IF(B26&gt;(B28-1),6000000,0)</f>
        <v>6000000</v>
      </c>
    </row>
    <row r="29" customFormat="false" ht="18" hidden="false" customHeight="false" outlineLevel="0" collapsed="false">
      <c r="A29" s="0" t="s">
        <v>253</v>
      </c>
      <c r="B29" s="64" t="n">
        <f aca="false">+Summary!C5</f>
        <v>37134</v>
      </c>
      <c r="D29" s="183" t="n">
        <f aca="false">IF(B29&gt;B28,+(+B29-B28)/365*0.12*D28,0)</f>
        <v>775232.876712329</v>
      </c>
    </row>
    <row r="30" customFormat="false" ht="15.75" hidden="false" customHeight="false" outlineLevel="0" collapsed="false">
      <c r="A30" s="0" t="s">
        <v>254</v>
      </c>
      <c r="D30" s="59" t="n">
        <f aca="false">SUM(D27:D29)</f>
        <v>36775232.8767123</v>
      </c>
    </row>
    <row r="31" customFormat="false" ht="15.75" hidden="false" customHeight="false" outlineLevel="0" collapsed="false">
      <c r="A31" s="102"/>
      <c r="B31" s="104"/>
      <c r="C31" s="102"/>
    </row>
    <row r="32" customFormat="false" ht="16.5" hidden="false" customHeight="false" outlineLevel="0" collapsed="false">
      <c r="A32" s="180" t="s">
        <v>255</v>
      </c>
      <c r="B32" s="180"/>
    </row>
    <row r="34" customFormat="false" ht="15.75" hidden="false" customHeight="false" outlineLevel="0" collapsed="false">
      <c r="A34" s="0" t="s">
        <v>256</v>
      </c>
      <c r="B34" s="102" t="n">
        <f aca="false">+Financials!B6</f>
        <v>71001000</v>
      </c>
      <c r="D34" s="64" t="n">
        <v>36634</v>
      </c>
    </row>
    <row r="36" customFormat="false" ht="15.75" hidden="false" customHeight="false" outlineLevel="0" collapsed="false">
      <c r="A36" s="0" t="s">
        <v>257</v>
      </c>
      <c r="B36" s="102" t="n">
        <f aca="false">+Financials!I24</f>
        <v>-280344947.6932</v>
      </c>
    </row>
    <row r="37" customFormat="false" ht="15.75" hidden="false" customHeight="false" outlineLevel="0" collapsed="false">
      <c r="A37" s="0" t="s">
        <v>258</v>
      </c>
      <c r="B37" s="102" t="n">
        <f aca="false">-Financials!I15</f>
        <v>-89266029.1308501</v>
      </c>
    </row>
    <row r="38" customFormat="false" ht="15.75" hidden="false" customHeight="false" outlineLevel="0" collapsed="false">
      <c r="A38" s="102" t="str">
        <f aca="false">+Financials!H21</f>
        <v>Unrealized Gains / (Losses)</v>
      </c>
      <c r="B38" s="102" t="n">
        <f aca="false">-Financials!I21-Financials!I19-Financials!I20</f>
        <v>283152238.111997</v>
      </c>
    </row>
    <row r="40" customFormat="false" ht="15.75" hidden="false" customHeight="false" outlineLevel="0" collapsed="false">
      <c r="A40" s="0" t="s">
        <v>259</v>
      </c>
    </row>
    <row r="41" customFormat="false" ht="15.75" hidden="false" customHeight="false" outlineLevel="0" collapsed="false">
      <c r="A41" s="0" t="s">
        <v>260</v>
      </c>
      <c r="B41" s="102" t="n">
        <f aca="false">+Financials!B7-Financials!M9</f>
        <v>0</v>
      </c>
    </row>
    <row r="42" customFormat="false" ht="15.75" hidden="false" customHeight="false" outlineLevel="0" collapsed="false">
      <c r="A42" s="0" t="s">
        <v>147</v>
      </c>
      <c r="B42" s="102" t="n">
        <f aca="false">0-Financials!M10</f>
        <v>-1468055.55555556</v>
      </c>
    </row>
    <row r="43" customFormat="false" ht="15.75" hidden="false" customHeight="false" outlineLevel="0" collapsed="false">
      <c r="A43" s="0" t="s">
        <v>261</v>
      </c>
      <c r="B43" s="102" t="n">
        <f aca="false">-Financials!E7+Financials!P12</f>
        <v>136575615.080478</v>
      </c>
    </row>
    <row r="44" customFormat="false" ht="15.75" hidden="false" customHeight="false" outlineLevel="0" collapsed="false">
      <c r="A44" s="0" t="s">
        <v>262</v>
      </c>
      <c r="B44" s="102" t="n">
        <f aca="false">-Financials!E6+Financials!P8+Financials!P9</f>
        <v>-41000000</v>
      </c>
      <c r="E44" s="102"/>
    </row>
    <row r="46" customFormat="false" ht="15.75" hidden="false" customHeight="false" outlineLevel="0" collapsed="false">
      <c r="A46" s="0" t="s">
        <v>245</v>
      </c>
      <c r="B46" s="102" t="n">
        <f aca="false">+B16</f>
        <v>-41000000</v>
      </c>
    </row>
    <row r="47" customFormat="false" ht="15.75" hidden="false" customHeight="false" outlineLevel="0" collapsed="false">
      <c r="A47" s="0" t="s">
        <v>263</v>
      </c>
      <c r="B47" s="102" t="n">
        <f aca="false">+B17</f>
        <v>6000000</v>
      </c>
    </row>
    <row r="49" customFormat="false" ht="16.5" hidden="false" customHeight="false" outlineLevel="0" collapsed="false">
      <c r="A49" s="0" t="s">
        <v>264</v>
      </c>
      <c r="B49" s="131" t="n">
        <f aca="false">SUM(B34:B48)</f>
        <v>43649820.812869</v>
      </c>
      <c r="D49" s="102" t="n">
        <f aca="false">+B34+B16+B17+B52+B20+B23</f>
        <v>43649820.812869</v>
      </c>
      <c r="E49" s="102" t="n">
        <f aca="false">+B49-D49</f>
        <v>0</v>
      </c>
    </row>
    <row r="50" customFormat="false" ht="16.5" hidden="false" customHeight="false" outlineLevel="0" collapsed="false"/>
    <row r="51" customFormat="false" ht="16.5" hidden="false" customHeight="false" outlineLevel="0" collapsed="false">
      <c r="A51" s="180" t="s">
        <v>265</v>
      </c>
      <c r="B51" s="180"/>
      <c r="C51" s="182"/>
      <c r="D51" s="182"/>
      <c r="E51" s="182"/>
      <c r="F51" s="182"/>
    </row>
    <row r="52" customFormat="false" ht="15.75" hidden="false" customHeight="false" outlineLevel="0" collapsed="false">
      <c r="A52" s="184" t="s">
        <v>156</v>
      </c>
      <c r="B52" s="185" t="n">
        <f aca="false">+B57+B62+B67+B72+B77+B82+B92+B97+B102+B107+B112</f>
        <v>4255765.2573134</v>
      </c>
    </row>
    <row r="53" customFormat="false" ht="15.75" hidden="false" customHeight="false" outlineLevel="0" collapsed="false">
      <c r="A53" s="186"/>
    </row>
    <row r="54" customFormat="false" ht="15.75" hidden="false" customHeight="false" outlineLevel="0" collapsed="false">
      <c r="A54" s="0" t="s">
        <v>31</v>
      </c>
      <c r="B54" s="64" t="n">
        <v>36634</v>
      </c>
      <c r="D54" s="0" t="s">
        <v>266</v>
      </c>
      <c r="E54" s="64" t="n">
        <v>36725</v>
      </c>
    </row>
    <row r="55" customFormat="false" ht="15.75" hidden="false" customHeight="false" outlineLevel="0" collapsed="false">
      <c r="A55" s="0" t="s">
        <v>256</v>
      </c>
      <c r="B55" s="102" t="n">
        <v>71001000</v>
      </c>
      <c r="D55" s="0" t="s">
        <v>267</v>
      </c>
      <c r="E55" s="26" t="n">
        <f aca="false">+B56-B54</f>
        <v>91</v>
      </c>
    </row>
    <row r="56" customFormat="false" ht="15.75" hidden="false" customHeight="false" outlineLevel="0" collapsed="false">
      <c r="A56" s="0" t="s">
        <v>31</v>
      </c>
      <c r="B56" s="64" t="n">
        <f aca="false">IF(Summary!$C$5&lt;'Cash-Int-Trans'!B54,+'Cash-Int-Trans'!B54,IF(Summary!$C$5&gt;'Cash-Int-Trans'!E54,'Cash-Int-Trans'!E54,Summary!$C$5))</f>
        <v>36725</v>
      </c>
      <c r="D56" s="0" t="s">
        <v>268</v>
      </c>
      <c r="E56" s="187" t="n">
        <v>0.0628125</v>
      </c>
    </row>
    <row r="57" customFormat="false" ht="15.75" hidden="false" customHeight="false" outlineLevel="0" collapsed="false">
      <c r="A57" s="0" t="s">
        <v>269</v>
      </c>
      <c r="B57" s="188" t="n">
        <f aca="false">+B55*(E56+0.0045)/360*E55</f>
        <v>1208089.4109375</v>
      </c>
    </row>
    <row r="59" customFormat="false" ht="15.75" hidden="false" customHeight="false" outlineLevel="0" collapsed="false">
      <c r="A59" s="0" t="s">
        <v>31</v>
      </c>
      <c r="B59" s="64" t="n">
        <f aca="false">+B56</f>
        <v>36725</v>
      </c>
      <c r="D59" s="0" t="s">
        <v>266</v>
      </c>
      <c r="E59" s="64" t="n">
        <v>36742</v>
      </c>
    </row>
    <row r="60" customFormat="false" ht="15.75" hidden="false" customHeight="false" outlineLevel="0" collapsed="false">
      <c r="A60" s="0" t="s">
        <v>256</v>
      </c>
      <c r="B60" s="102" t="n">
        <f aca="false">+B55+B57</f>
        <v>72209089.4109375</v>
      </c>
      <c r="D60" s="0" t="s">
        <v>267</v>
      </c>
      <c r="E60" s="26" t="n">
        <f aca="false">+B61-B59</f>
        <v>17</v>
      </c>
    </row>
    <row r="61" customFormat="false" ht="15.75" hidden="false" customHeight="false" outlineLevel="0" collapsed="false">
      <c r="A61" s="0" t="s">
        <v>31</v>
      </c>
      <c r="B61" s="64" t="n">
        <f aca="false">IF(Summary!$C$5&lt;'Cash-Int-Trans'!B59,+'Cash-Int-Trans'!B59,IF(Summary!$C$5&gt;'Cash-Int-Trans'!E59,'Cash-Int-Trans'!E59,Summary!$C$5))</f>
        <v>36742</v>
      </c>
      <c r="D61" s="0" t="s">
        <v>268</v>
      </c>
      <c r="E61" s="187" t="n">
        <v>0.066275</v>
      </c>
    </row>
    <row r="62" customFormat="false" ht="15.75" hidden="false" customHeight="false" outlineLevel="0" collapsed="false">
      <c r="A62" s="0" t="s">
        <v>269</v>
      </c>
      <c r="B62" s="188" t="n">
        <f aca="false">+B60*(E61+0.0045)/360*E60</f>
        <v>241333.808755569</v>
      </c>
    </row>
    <row r="64" customFormat="false" ht="15.75" hidden="false" customHeight="false" outlineLevel="0" collapsed="false">
      <c r="A64" s="0" t="s">
        <v>31</v>
      </c>
      <c r="B64" s="64" t="n">
        <f aca="false">+B61</f>
        <v>36742</v>
      </c>
      <c r="D64" s="0" t="s">
        <v>266</v>
      </c>
      <c r="E64" s="64" t="n">
        <v>36746</v>
      </c>
    </row>
    <row r="65" customFormat="false" ht="15.75" hidden="false" customHeight="false" outlineLevel="0" collapsed="false">
      <c r="A65" s="0" t="s">
        <v>256</v>
      </c>
      <c r="B65" s="102" t="n">
        <f aca="false">+B60+B16+B62</f>
        <v>31450423.2196931</v>
      </c>
      <c r="D65" s="0" t="s">
        <v>267</v>
      </c>
      <c r="E65" s="26" t="n">
        <f aca="false">+B66-B64</f>
        <v>4</v>
      </c>
    </row>
    <row r="66" customFormat="false" ht="15.75" hidden="false" customHeight="false" outlineLevel="0" collapsed="false">
      <c r="A66" s="0" t="s">
        <v>31</v>
      </c>
      <c r="B66" s="64" t="n">
        <f aca="false">IF(Summary!$C$5&lt;'Cash-Int-Trans'!B64,+'Cash-Int-Trans'!B64,IF(Summary!$C$5&gt;'Cash-Int-Trans'!E64,'Cash-Int-Trans'!E64,Summary!$C$5))</f>
        <v>36746</v>
      </c>
      <c r="D66" s="0" t="s">
        <v>268</v>
      </c>
      <c r="E66" s="187" t="n">
        <v>0.0662</v>
      </c>
    </row>
    <row r="67" customFormat="false" ht="15.75" hidden="false" customHeight="false" outlineLevel="0" collapsed="false">
      <c r="A67" s="0" t="s">
        <v>269</v>
      </c>
      <c r="B67" s="188" t="n">
        <f aca="false">+B65*(E66+0.0045)/360*E65</f>
        <v>24706.0546848033</v>
      </c>
    </row>
    <row r="68" customFormat="false" ht="15.75" hidden="false" customHeight="false" outlineLevel="0" collapsed="false">
      <c r="B68" s="188"/>
    </row>
    <row r="69" customFormat="false" ht="15.75" hidden="false" customHeight="false" outlineLevel="0" collapsed="false">
      <c r="A69" s="0" t="s">
        <v>31</v>
      </c>
      <c r="B69" s="64" t="n">
        <f aca="false">+B66</f>
        <v>36746</v>
      </c>
      <c r="D69" s="0" t="s">
        <v>266</v>
      </c>
      <c r="E69" s="64" t="n">
        <v>36773</v>
      </c>
    </row>
    <row r="70" customFormat="false" ht="15.75" hidden="false" customHeight="false" outlineLevel="0" collapsed="false">
      <c r="A70" s="0" t="s">
        <v>256</v>
      </c>
      <c r="B70" s="102" t="n">
        <f aca="false">+B65+B67-B16</f>
        <v>72475129.2743779</v>
      </c>
      <c r="D70" s="0" t="s">
        <v>267</v>
      </c>
      <c r="E70" s="26" t="n">
        <f aca="false">+B71-B69</f>
        <v>27</v>
      </c>
    </row>
    <row r="71" customFormat="false" ht="15.75" hidden="false" customHeight="false" outlineLevel="0" collapsed="false">
      <c r="A71" s="0" t="s">
        <v>31</v>
      </c>
      <c r="B71" s="64" t="n">
        <f aca="false">IF(Summary!$C$5&lt;'Cash-Int-Trans'!B69,+'Cash-Int-Trans'!B69,IF(Summary!$C$5&gt;'Cash-Int-Trans'!E69,'Cash-Int-Trans'!E69,Summary!$C$5))</f>
        <v>36773</v>
      </c>
      <c r="D71" s="0" t="s">
        <v>268</v>
      </c>
      <c r="E71" s="187" t="n">
        <v>0.0662</v>
      </c>
    </row>
    <row r="72" customFormat="false" ht="15.75" hidden="false" customHeight="false" outlineLevel="0" collapsed="false">
      <c r="A72" s="0" t="s">
        <v>269</v>
      </c>
      <c r="B72" s="188" t="n">
        <f aca="false">+B70*(E71+0.0045)/360*E70</f>
        <v>384299.372977389</v>
      </c>
    </row>
    <row r="73" customFormat="false" ht="15.75" hidden="false" customHeight="false" outlineLevel="0" collapsed="false">
      <c r="B73" s="188"/>
    </row>
    <row r="74" customFormat="false" ht="15.75" hidden="false" customHeight="false" outlineLevel="0" collapsed="false">
      <c r="A74" s="0" t="s">
        <v>31</v>
      </c>
      <c r="B74" s="64" t="n">
        <f aca="false">+B71</f>
        <v>36773</v>
      </c>
      <c r="D74" s="0" t="s">
        <v>266</v>
      </c>
      <c r="E74" s="64" t="n">
        <v>36776</v>
      </c>
    </row>
    <row r="75" customFormat="false" ht="15.75" hidden="false" customHeight="false" outlineLevel="0" collapsed="false">
      <c r="A75" s="0" t="s">
        <v>256</v>
      </c>
      <c r="B75" s="102" t="n">
        <f aca="false">+B70+B72</f>
        <v>72859428.6473553</v>
      </c>
      <c r="D75" s="0" t="s">
        <v>267</v>
      </c>
      <c r="E75" s="26" t="n">
        <f aca="false">+B76-B74</f>
        <v>3</v>
      </c>
    </row>
    <row r="76" customFormat="false" ht="15.75" hidden="false" customHeight="false" outlineLevel="0" collapsed="false">
      <c r="A76" s="0" t="s">
        <v>31</v>
      </c>
      <c r="B76" s="64" t="n">
        <f aca="false">IF(Summary!$C$5&lt;'Cash-Int-Trans'!B74,+'Cash-Int-Trans'!B74,IF(Summary!$C$5&gt;'Cash-Int-Trans'!E74,'Cash-Int-Trans'!E74,Summary!$C$5))</f>
        <v>36776</v>
      </c>
      <c r="D76" s="0" t="s">
        <v>268</v>
      </c>
      <c r="E76" s="187" t="n">
        <v>0.0663</v>
      </c>
    </row>
    <row r="77" customFormat="false" ht="15.75" hidden="false" customHeight="false" outlineLevel="0" collapsed="false">
      <c r="A77" s="0" t="s">
        <v>269</v>
      </c>
      <c r="B77" s="188" t="n">
        <f aca="false">+B75*(E76+0.0045)/360*E75</f>
        <v>42987.0629019396</v>
      </c>
    </row>
    <row r="78" customFormat="false" ht="15.75" hidden="false" customHeight="false" outlineLevel="0" collapsed="false">
      <c r="B78" s="188"/>
    </row>
    <row r="79" customFormat="false" ht="15.75" hidden="false" customHeight="false" outlineLevel="0" collapsed="false">
      <c r="A79" s="0" t="s">
        <v>31</v>
      </c>
      <c r="B79" s="64" t="n">
        <f aca="false">+B76</f>
        <v>36776</v>
      </c>
      <c r="D79" s="0" t="s">
        <v>266</v>
      </c>
      <c r="E79" s="64" t="n">
        <v>36788</v>
      </c>
    </row>
    <row r="80" customFormat="false" ht="15.75" hidden="false" customHeight="false" outlineLevel="0" collapsed="false">
      <c r="A80" s="0" t="s">
        <v>256</v>
      </c>
      <c r="B80" s="102" t="n">
        <f aca="false">+B75+B77+B16</f>
        <v>31902415.7102572</v>
      </c>
      <c r="D80" s="0" t="s">
        <v>267</v>
      </c>
      <c r="E80" s="26" t="n">
        <f aca="false">+B81-B79</f>
        <v>12</v>
      </c>
    </row>
    <row r="81" customFormat="false" ht="15.75" hidden="false" customHeight="false" outlineLevel="0" collapsed="false">
      <c r="A81" s="0" t="s">
        <v>31</v>
      </c>
      <c r="B81" s="64" t="n">
        <f aca="false">IF(Summary!$C$5&lt;'Cash-Int-Trans'!B79,+'Cash-Int-Trans'!B79,IF(Summary!$C$5&gt;'Cash-Int-Trans'!E79,'Cash-Int-Trans'!E79,Summary!$C$5))</f>
        <v>36788</v>
      </c>
      <c r="D81" s="0" t="s">
        <v>268</v>
      </c>
      <c r="E81" s="187" t="n">
        <v>0.0665313</v>
      </c>
    </row>
    <row r="82" customFormat="false" ht="15.75" hidden="false" customHeight="false" outlineLevel="0" collapsed="false">
      <c r="A82" s="0" t="s">
        <v>269</v>
      </c>
      <c r="B82" s="188" t="n">
        <f aca="false">+B80*(E81+0.0045)/360*E80</f>
        <v>75535.6687013331</v>
      </c>
    </row>
    <row r="83" customFormat="false" ht="15.75" hidden="false" customHeight="false" outlineLevel="0" collapsed="false">
      <c r="B83" s="188"/>
    </row>
    <row r="84" customFormat="false" ht="15.75" hidden="false" customHeight="false" outlineLevel="0" collapsed="false">
      <c r="A84" s="0" t="s">
        <v>31</v>
      </c>
      <c r="B84" s="64" t="n">
        <f aca="false">+B81</f>
        <v>36788</v>
      </c>
      <c r="D84" s="0" t="s">
        <v>266</v>
      </c>
      <c r="E84" s="64" t="n">
        <v>36801</v>
      </c>
    </row>
    <row r="85" customFormat="false" ht="15.75" hidden="false" customHeight="false" outlineLevel="0" collapsed="false">
      <c r="A85" s="0" t="s">
        <v>256</v>
      </c>
      <c r="B85" s="102" t="n">
        <f aca="false">+B80+B17</f>
        <v>37902415.7102572</v>
      </c>
      <c r="D85" s="0" t="s">
        <v>267</v>
      </c>
      <c r="E85" s="26" t="n">
        <f aca="false">+B86-B84</f>
        <v>13</v>
      </c>
    </row>
    <row r="86" customFormat="false" ht="15.75" hidden="false" customHeight="false" outlineLevel="0" collapsed="false">
      <c r="A86" s="0" t="s">
        <v>31</v>
      </c>
      <c r="B86" s="64" t="n">
        <f aca="false">IF(Summary!$C$5&lt;'Cash-Int-Trans'!B84,+'Cash-Int-Trans'!B84,IF(Summary!$C$5&gt;'Cash-Int-Trans'!E84,'Cash-Int-Trans'!E84,Summary!$C$5))</f>
        <v>36801</v>
      </c>
      <c r="D86" s="0" t="s">
        <v>268</v>
      </c>
      <c r="E86" s="187" t="n">
        <v>0.0665313</v>
      </c>
    </row>
    <row r="87" customFormat="false" ht="15.75" hidden="false" customHeight="false" outlineLevel="0" collapsed="false">
      <c r="A87" s="0" t="s">
        <v>269</v>
      </c>
      <c r="B87" s="188" t="n">
        <f aca="false">+B85*(E86+0.0045)/360*E85</f>
        <v>97220.4227597776</v>
      </c>
    </row>
    <row r="88" customFormat="false" ht="15.75" hidden="false" customHeight="false" outlineLevel="0" collapsed="false">
      <c r="B88" s="188"/>
    </row>
    <row r="89" customFormat="false" ht="15.75" hidden="false" customHeight="false" outlineLevel="0" collapsed="false">
      <c r="A89" s="0" t="s">
        <v>31</v>
      </c>
      <c r="B89" s="64" t="n">
        <f aca="false">+B86</f>
        <v>36801</v>
      </c>
      <c r="D89" s="0" t="s">
        <v>266</v>
      </c>
      <c r="E89" s="64" t="n">
        <v>36867</v>
      </c>
    </row>
    <row r="90" customFormat="false" ht="15.75" hidden="false" customHeight="false" outlineLevel="0" collapsed="false">
      <c r="A90" s="0" t="s">
        <v>256</v>
      </c>
      <c r="B90" s="102" t="n">
        <f aca="false">+B85+B20</f>
        <v>39526026.8213683</v>
      </c>
      <c r="D90" s="0" t="s">
        <v>267</v>
      </c>
      <c r="E90" s="26" t="n">
        <f aca="false">+B91-B89</f>
        <v>66</v>
      </c>
    </row>
    <row r="91" customFormat="false" ht="15.75" hidden="false" customHeight="false" outlineLevel="0" collapsed="false">
      <c r="A91" s="0" t="s">
        <v>31</v>
      </c>
      <c r="B91" s="64" t="n">
        <f aca="false">IF(Summary!$C$5&lt;'Cash-Int-Trans'!B89,+'Cash-Int-Trans'!B89,IF(Summary!$C$5&gt;'Cash-Int-Trans'!E89,'Cash-Int-Trans'!E89,Summary!$C$5))</f>
        <v>36867</v>
      </c>
      <c r="D91" s="0" t="s">
        <v>268</v>
      </c>
      <c r="E91" s="187" t="n">
        <v>0.0665313</v>
      </c>
    </row>
    <row r="92" customFormat="false" ht="15.75" hidden="false" customHeight="false" outlineLevel="0" collapsed="false">
      <c r="A92" s="0" t="s">
        <v>269</v>
      </c>
      <c r="B92" s="188" t="n">
        <f aca="false">+B90*(E91+0.0045)/360*E90</f>
        <v>514723.929308721</v>
      </c>
    </row>
    <row r="93" customFormat="false" ht="15.75" hidden="false" customHeight="false" outlineLevel="0" collapsed="false">
      <c r="B93" s="188"/>
    </row>
    <row r="94" customFormat="false" ht="15.75" hidden="false" customHeight="false" outlineLevel="0" collapsed="false">
      <c r="A94" s="0" t="s">
        <v>31</v>
      </c>
      <c r="B94" s="64" t="n">
        <f aca="false">+B91</f>
        <v>36867</v>
      </c>
      <c r="D94" s="0" t="s">
        <v>266</v>
      </c>
      <c r="E94" s="64" t="n">
        <v>36957</v>
      </c>
    </row>
    <row r="95" customFormat="false" ht="15.75" hidden="false" customHeight="false" outlineLevel="0" collapsed="false">
      <c r="A95" s="0" t="s">
        <v>256</v>
      </c>
      <c r="B95" s="102" t="n">
        <f aca="false">+B90+B92+B87+B82</f>
        <v>40213506.8421382</v>
      </c>
      <c r="D95" s="0" t="s">
        <v>267</v>
      </c>
      <c r="E95" s="26" t="n">
        <f aca="false">+B96-B94</f>
        <v>90</v>
      </c>
    </row>
    <row r="96" customFormat="false" ht="15.75" hidden="false" customHeight="false" outlineLevel="0" collapsed="false">
      <c r="A96" s="0" t="s">
        <v>31</v>
      </c>
      <c r="B96" s="64" t="n">
        <f aca="false">IF(Summary!$C$5&lt;'Cash-Int-Trans'!B94,+'Cash-Int-Trans'!B94,IF(Summary!$C$5&gt;'Cash-Int-Trans'!E94,'Cash-Int-Trans'!E94,Summary!$C$5))</f>
        <v>36957</v>
      </c>
      <c r="D96" s="0" t="s">
        <v>268</v>
      </c>
      <c r="E96" s="187" t="n">
        <v>0.066775</v>
      </c>
    </row>
    <row r="97" customFormat="false" ht="15.75" hidden="false" customHeight="false" outlineLevel="0" collapsed="false">
      <c r="A97" s="0" t="s">
        <v>269</v>
      </c>
      <c r="B97" s="188" t="n">
        <f aca="false">+B95*(E96+0.0045)/360*E95</f>
        <v>716554.42504335</v>
      </c>
    </row>
    <row r="98" customFormat="false" ht="15.75" hidden="false" customHeight="false" outlineLevel="0" collapsed="false">
      <c r="B98" s="188"/>
    </row>
    <row r="99" customFormat="false" ht="15.75" hidden="false" customHeight="false" outlineLevel="0" collapsed="false">
      <c r="A99" s="0" t="s">
        <v>31</v>
      </c>
      <c r="B99" s="64" t="n">
        <f aca="false">+B96</f>
        <v>36957</v>
      </c>
      <c r="D99" s="0" t="s">
        <v>266</v>
      </c>
      <c r="E99" s="64" t="n">
        <v>36983</v>
      </c>
    </row>
    <row r="100" customFormat="false" ht="15.75" hidden="false" customHeight="false" outlineLevel="0" collapsed="false">
      <c r="A100" s="0" t="s">
        <v>256</v>
      </c>
      <c r="B100" s="102" t="n">
        <f aca="false">+B95+B97</f>
        <v>40930061.2671815</v>
      </c>
      <c r="D100" s="0" t="s">
        <v>267</v>
      </c>
      <c r="E100" s="26" t="n">
        <f aca="false">+B101-B99</f>
        <v>26</v>
      </c>
    </row>
    <row r="101" customFormat="false" ht="15.75" hidden="false" customHeight="false" outlineLevel="0" collapsed="false">
      <c r="A101" s="0" t="s">
        <v>31</v>
      </c>
      <c r="B101" s="64" t="n">
        <f aca="false">IF(Summary!$C$5&lt;'Cash-Int-Trans'!B99,+'Cash-Int-Trans'!B99,IF(Summary!$C$5&gt;'Cash-Int-Trans'!E99,'Cash-Int-Trans'!E99,Summary!$C$5))</f>
        <v>36983</v>
      </c>
      <c r="D101" s="0" t="s">
        <v>268</v>
      </c>
      <c r="E101" s="187" t="n">
        <v>0.0508</v>
      </c>
    </row>
    <row r="102" customFormat="false" ht="15.75" hidden="false" customHeight="false" outlineLevel="0" collapsed="false">
      <c r="A102" s="0" t="s">
        <v>269</v>
      </c>
      <c r="B102" s="188" t="n">
        <f aca="false">+B100*(E101+0.0045)/360*E100</f>
        <v>163470.116916538</v>
      </c>
    </row>
    <row r="103" customFormat="false" ht="15.75" hidden="false" customHeight="false" outlineLevel="0" collapsed="false">
      <c r="B103" s="188"/>
    </row>
    <row r="104" customFormat="false" ht="15.75" hidden="false" customHeight="false" outlineLevel="0" collapsed="false">
      <c r="A104" s="0" t="s">
        <v>31</v>
      </c>
      <c r="B104" s="64" t="n">
        <f aca="false">+B101</f>
        <v>36983</v>
      </c>
      <c r="D104" s="0" t="s">
        <v>266</v>
      </c>
      <c r="E104" s="64" t="n">
        <v>37074</v>
      </c>
    </row>
    <row r="105" customFormat="false" ht="15.75" hidden="false" customHeight="false" outlineLevel="0" collapsed="false">
      <c r="A105" s="0" t="s">
        <v>256</v>
      </c>
      <c r="B105" s="102" t="n">
        <f aca="false">+B100+B102+B23</f>
        <v>42862975.8285425</v>
      </c>
      <c r="D105" s="0" t="s">
        <v>267</v>
      </c>
      <c r="E105" s="26" t="n">
        <f aca="false">+B106-B104</f>
        <v>91</v>
      </c>
    </row>
    <row r="106" customFormat="false" ht="15.75" hidden="false" customHeight="false" outlineLevel="0" collapsed="false">
      <c r="A106" s="0" t="s">
        <v>31</v>
      </c>
      <c r="B106" s="64" t="n">
        <f aca="false">IF(Summary!$C$5&lt;'Cash-Int-Trans'!B104,+'Cash-Int-Trans'!B104,IF(Summary!$C$5&gt;'Cash-Int-Trans'!E104,'Cash-Int-Trans'!E104,Summary!$C$5))</f>
        <v>37074</v>
      </c>
      <c r="D106" s="0" t="s">
        <v>268</v>
      </c>
      <c r="E106" s="187" t="n">
        <v>0.0487625</v>
      </c>
    </row>
    <row r="107" customFormat="false" ht="15.75" hidden="false" customHeight="false" outlineLevel="0" collapsed="false">
      <c r="A107" s="0" t="s">
        <v>269</v>
      </c>
      <c r="B107" s="188" t="n">
        <f aca="false">+B105*(E106+0.0045)/360*E105</f>
        <v>577088.94932268</v>
      </c>
      <c r="D107" s="188"/>
    </row>
    <row r="108" customFormat="false" ht="15.75" hidden="false" customHeight="false" outlineLevel="0" collapsed="false">
      <c r="B108" s="188"/>
    </row>
    <row r="109" customFormat="false" ht="15.75" hidden="false" customHeight="false" outlineLevel="0" collapsed="false">
      <c r="A109" s="0" t="s">
        <v>31</v>
      </c>
      <c r="B109" s="64" t="n">
        <f aca="false">+B106</f>
        <v>37074</v>
      </c>
      <c r="D109" s="0" t="s">
        <v>266</v>
      </c>
      <c r="E109" s="64" t="n">
        <v>38460</v>
      </c>
    </row>
    <row r="110" customFormat="false" ht="15.75" hidden="false" customHeight="false" outlineLevel="0" collapsed="false">
      <c r="A110" s="0" t="s">
        <v>256</v>
      </c>
      <c r="B110" s="102" t="n">
        <f aca="false">+B105+B107</f>
        <v>43440064.7778652</v>
      </c>
      <c r="D110" s="0" t="s">
        <v>267</v>
      </c>
      <c r="E110" s="26" t="n">
        <f aca="false">+B111-B109</f>
        <v>60</v>
      </c>
    </row>
    <row r="111" customFormat="false" ht="15.75" hidden="false" customHeight="false" outlineLevel="0" collapsed="false">
      <c r="A111" s="0" t="s">
        <v>31</v>
      </c>
      <c r="B111" s="64" t="n">
        <f aca="false">IF(Summary!$C$5&lt;'Cash-Int-Trans'!B109,+'Cash-Int-Trans'!B109,IF(Summary!$C$5&gt;'Cash-Int-Trans'!E109,'Cash-Int-Trans'!E109,Summary!$C$5))</f>
        <v>37134</v>
      </c>
      <c r="D111" s="0" t="s">
        <v>268</v>
      </c>
      <c r="E111" s="187" t="n">
        <v>0.0379</v>
      </c>
    </row>
    <row r="112" customFormat="false" ht="15.75" hidden="false" customHeight="false" outlineLevel="0" collapsed="false">
      <c r="A112" s="0" t="s">
        <v>269</v>
      </c>
      <c r="B112" s="188" t="n">
        <f aca="false">+B110*(E111+0.0045)/360*E110</f>
        <v>306976.457763581</v>
      </c>
    </row>
    <row r="113" customFormat="false" ht="15.75" hidden="false" customHeight="false" outlineLevel="0" collapsed="false">
      <c r="B113" s="188"/>
    </row>
    <row r="116" customFormat="false" ht="16.5" hidden="false" customHeight="false" outlineLevel="0" collapsed="false">
      <c r="A116" s="180" t="s">
        <v>270</v>
      </c>
      <c r="B116" s="180"/>
      <c r="C116" s="180"/>
      <c r="D116" s="180"/>
      <c r="E116" s="180"/>
      <c r="F116" s="180"/>
    </row>
    <row r="117" customFormat="false" ht="15.75" hidden="false" customHeight="false" outlineLevel="0" collapsed="false">
      <c r="A117" s="184" t="s">
        <v>167</v>
      </c>
      <c r="B117" s="185" t="n">
        <f aca="false">+B119+E124+E128+E132+E136+E140+E144+E148+E152+E156+E160+E164+E168+E172+E176+E180+E184+E188+E192+E196+E200+E204+E208+E212+E216+E220+E224+E228+E232+E236+E240+E244</f>
        <v>41743773.3174116</v>
      </c>
    </row>
    <row r="118" customFormat="false" ht="15.75" hidden="false" customHeight="false" outlineLevel="0" collapsed="false">
      <c r="A118" s="186"/>
      <c r="D118" s="189" t="s">
        <v>42</v>
      </c>
    </row>
    <row r="119" customFormat="false" ht="15.75" hidden="false" customHeight="false" outlineLevel="0" collapsed="false">
      <c r="A119" s="0" t="s">
        <v>271</v>
      </c>
      <c r="B119" s="26" t="n">
        <f aca="false">+Amort!B61</f>
        <v>40221290.0550014</v>
      </c>
      <c r="D119" s="58" t="n">
        <f aca="false">+B117-B119-Amort!E65-Amort!E67-Amort!E80-Amort!E102</f>
        <v>-2.20024958252907E-008</v>
      </c>
      <c r="E119" s="190"/>
      <c r="F119" s="190"/>
    </row>
    <row r="120" customFormat="false" ht="15.75" hidden="false" customHeight="false" outlineLevel="0" collapsed="false">
      <c r="B120" s="26"/>
      <c r="E120" s="190"/>
      <c r="F120" s="191"/>
    </row>
    <row r="121" customFormat="false" ht="15.75" hidden="false" customHeight="false" outlineLevel="0" collapsed="false">
      <c r="A121" s="0" t="s">
        <v>272</v>
      </c>
      <c r="B121" s="102"/>
      <c r="E121" s="192"/>
      <c r="F121" s="193"/>
    </row>
    <row r="122" customFormat="false" ht="15.75" hidden="false" customHeight="false" outlineLevel="0" collapsed="false">
      <c r="A122" s="0" t="s">
        <v>273</v>
      </c>
      <c r="B122" s="64" t="n">
        <v>36741</v>
      </c>
      <c r="D122" s="0" t="s">
        <v>31</v>
      </c>
      <c r="E122" s="64" t="n">
        <f aca="false">IF(Summary!C5&gt;Amort!A43,Amort!A43,Summary!C5)</f>
        <v>36801</v>
      </c>
      <c r="F122" s="193"/>
    </row>
    <row r="123" customFormat="false" ht="15.75" hidden="false" customHeight="false" outlineLevel="0" collapsed="false">
      <c r="A123" s="0" t="s">
        <v>274</v>
      </c>
      <c r="B123" s="26" t="n">
        <f aca="false">+B10</f>
        <v>3965852</v>
      </c>
      <c r="D123" s="0" t="s">
        <v>267</v>
      </c>
      <c r="E123" s="26" t="n">
        <f aca="false">IF(E122&gt;B122,+E122-B122,0)</f>
        <v>60</v>
      </c>
      <c r="F123" s="193"/>
    </row>
    <row r="124" customFormat="false" ht="15.75" hidden="false" customHeight="false" outlineLevel="0" collapsed="false">
      <c r="A124" s="102" t="str">
        <f aca="false">+A9</f>
        <v>Cash Settlement on Put</v>
      </c>
      <c r="B124" s="64" t="n">
        <v>36741</v>
      </c>
      <c r="D124" s="0" t="s">
        <v>275</v>
      </c>
      <c r="E124" s="188" t="n">
        <f aca="false">+B123*0.07/360*E123</f>
        <v>46268.2733333333</v>
      </c>
    </row>
    <row r="125" customFormat="false" ht="15.75" hidden="false" customHeight="false" outlineLevel="0" collapsed="false">
      <c r="A125" s="102"/>
      <c r="E125" s="188"/>
    </row>
    <row r="126" customFormat="false" ht="15.75" hidden="false" customHeight="false" outlineLevel="0" collapsed="false">
      <c r="A126" s="0" t="s">
        <v>273</v>
      </c>
      <c r="B126" s="64" t="n">
        <f aca="false">+D13</f>
        <v>36741</v>
      </c>
      <c r="D126" s="0" t="s">
        <v>31</v>
      </c>
      <c r="E126" s="64" t="n">
        <f aca="false">IF(Summary!C5&gt;Amort!A43,Amort!A43,Summary!C5)</f>
        <v>36801</v>
      </c>
    </row>
    <row r="127" customFormat="false" ht="15.75" hidden="false" customHeight="false" outlineLevel="0" collapsed="false">
      <c r="A127" s="0" t="s">
        <v>274</v>
      </c>
      <c r="B127" s="26" t="n">
        <f aca="false">+B13</f>
        <v>-36066314</v>
      </c>
      <c r="D127" s="0" t="s">
        <v>267</v>
      </c>
      <c r="E127" s="26" t="n">
        <f aca="false">IF(E126&gt;B126,+E126-B126,0)</f>
        <v>60</v>
      </c>
    </row>
    <row r="128" customFormat="false" ht="15.75" hidden="false" customHeight="false" outlineLevel="0" collapsed="false">
      <c r="A128" s="102" t="str">
        <f aca="false">+A12</f>
        <v>Merlin Credit Derivative Put Premium</v>
      </c>
      <c r="B128" s="64" t="n">
        <f aca="false">+B126</f>
        <v>36741</v>
      </c>
      <c r="D128" s="0" t="s">
        <v>275</v>
      </c>
      <c r="E128" s="188" t="n">
        <f aca="false">+B127*0.07/360*E127</f>
        <v>-420773.663333333</v>
      </c>
    </row>
    <row r="129" customFormat="false" ht="15.75" hidden="false" customHeight="false" outlineLevel="0" collapsed="false">
      <c r="A129" s="102"/>
      <c r="E129" s="188"/>
    </row>
    <row r="130" customFormat="false" ht="15.75" hidden="false" customHeight="false" outlineLevel="0" collapsed="false">
      <c r="A130" s="0" t="s">
        <v>273</v>
      </c>
      <c r="B130" s="64" t="n">
        <f aca="false">+B132</f>
        <v>36831</v>
      </c>
      <c r="D130" s="0" t="s">
        <v>31</v>
      </c>
      <c r="E130" s="64" t="n">
        <f aca="false">IF(Summary!$C$5&gt;Amort!$A$44,Amort!$A$44,Summary!$C$5)</f>
        <v>36983</v>
      </c>
    </row>
    <row r="131" customFormat="false" ht="15.75" hidden="false" customHeight="false" outlineLevel="0" collapsed="false">
      <c r="A131" s="0" t="s">
        <v>274</v>
      </c>
      <c r="B131" s="26" t="n">
        <f aca="false">-'Daily Position'!Q38</f>
        <v>-65511</v>
      </c>
      <c r="D131" s="0" t="s">
        <v>267</v>
      </c>
      <c r="E131" s="26" t="n">
        <f aca="false">IF(E130&gt;B130,+E130-B130,0)</f>
        <v>152</v>
      </c>
    </row>
    <row r="132" customFormat="false" ht="15.75" hidden="false" customHeight="false" outlineLevel="0" collapsed="false">
      <c r="A132" s="0" t="s">
        <v>276</v>
      </c>
      <c r="B132" s="64" t="n">
        <f aca="false">+'Daily Position'!J38</f>
        <v>36831</v>
      </c>
      <c r="D132" s="0" t="s">
        <v>275</v>
      </c>
      <c r="E132" s="188" t="n">
        <f aca="false">+B131*0.07/360*E131</f>
        <v>-1936.214</v>
      </c>
    </row>
    <row r="133" customFormat="false" ht="15.75" hidden="false" customHeight="false" outlineLevel="0" collapsed="false">
      <c r="A133" s="102"/>
      <c r="E133" s="188"/>
    </row>
    <row r="134" customFormat="false" ht="15.75" hidden="false" customHeight="false" outlineLevel="0" collapsed="false">
      <c r="A134" s="0" t="s">
        <v>273</v>
      </c>
      <c r="B134" s="64" t="n">
        <v>36844</v>
      </c>
      <c r="D134" s="0" t="s">
        <v>31</v>
      </c>
      <c r="E134" s="64" t="n">
        <f aca="false">IF(Summary!$C$5&gt;Amort!$A$44,Amort!$A$44,Summary!$C$5)</f>
        <v>36983</v>
      </c>
    </row>
    <row r="135" customFormat="false" ht="15.75" hidden="false" customHeight="false" outlineLevel="0" collapsed="false">
      <c r="A135" s="0" t="s">
        <v>274</v>
      </c>
      <c r="B135" s="26" t="n">
        <f aca="false">-(+'Daily Position'!Q28+'Daily Position'!Q70)</f>
        <v>-299117.9935</v>
      </c>
      <c r="D135" s="0" t="s">
        <v>267</v>
      </c>
      <c r="E135" s="26" t="n">
        <f aca="false">IF(E134&gt;B134,+E134-B134,0)</f>
        <v>139</v>
      </c>
    </row>
    <row r="136" customFormat="false" ht="15.75" hidden="false" customHeight="false" outlineLevel="0" collapsed="false">
      <c r="A136" s="0" t="s">
        <v>277</v>
      </c>
      <c r="B136" s="64" t="n">
        <f aca="false">+'Daily Position'!J28</f>
        <v>36839</v>
      </c>
      <c r="D136" s="0" t="s">
        <v>275</v>
      </c>
      <c r="E136" s="188" t="n">
        <f aca="false">+B135*0.07/360*E135</f>
        <v>-8084.49465765277</v>
      </c>
    </row>
    <row r="137" customFormat="false" ht="15.75" hidden="false" customHeight="false" outlineLevel="0" collapsed="false">
      <c r="B137" s="64"/>
      <c r="E137" s="188"/>
    </row>
    <row r="138" customFormat="false" ht="15.75" hidden="false" customHeight="false" outlineLevel="0" collapsed="false">
      <c r="A138" s="0" t="s">
        <v>273</v>
      </c>
      <c r="B138" s="64" t="n">
        <v>36873</v>
      </c>
      <c r="D138" s="0" t="s">
        <v>31</v>
      </c>
      <c r="E138" s="64" t="n">
        <f aca="false">IF(Summary!$C$5&gt;Amort!$A$44,Amort!$A$44,Summary!$C$5)</f>
        <v>36983</v>
      </c>
    </row>
    <row r="139" customFormat="false" ht="15.75" hidden="false" customHeight="false" outlineLevel="0" collapsed="false">
      <c r="A139" s="0" t="s">
        <v>274</v>
      </c>
      <c r="B139" s="26" t="n">
        <f aca="false">-(+'Daily Position'!Q31+'Daily Position'!Q73)</f>
        <v>1166000.12555</v>
      </c>
      <c r="D139" s="0" t="s">
        <v>267</v>
      </c>
      <c r="E139" s="26" t="n">
        <f aca="false">IF(E138&gt;B138,+E138-B138,0)</f>
        <v>110</v>
      </c>
    </row>
    <row r="140" customFormat="false" ht="15.75" hidden="false" customHeight="false" outlineLevel="0" collapsed="false">
      <c r="A140" s="0" t="s">
        <v>278</v>
      </c>
      <c r="B140" s="64" t="n">
        <f aca="false">+'Daily Position'!J31</f>
        <v>36868</v>
      </c>
      <c r="D140" s="0" t="s">
        <v>275</v>
      </c>
      <c r="E140" s="188" t="n">
        <f aca="false">+B139*0.07/360*E139</f>
        <v>24939.4471298195</v>
      </c>
    </row>
    <row r="142" customFormat="false" ht="15.75" hidden="false" customHeight="false" outlineLevel="0" collapsed="false">
      <c r="A142" s="0" t="s">
        <v>273</v>
      </c>
      <c r="B142" s="64" t="n">
        <v>36879</v>
      </c>
      <c r="D142" s="0" t="s">
        <v>31</v>
      </c>
      <c r="E142" s="64" t="n">
        <f aca="false">IF(Summary!$C$5&gt;Amort!$A$44,Amort!$A$44,Summary!$C$5)</f>
        <v>36983</v>
      </c>
    </row>
    <row r="143" customFormat="false" ht="15.75" hidden="false" customHeight="false" outlineLevel="0" collapsed="false">
      <c r="A143" s="0" t="s">
        <v>274</v>
      </c>
      <c r="B143" s="26" t="n">
        <f aca="false">-(+'Daily Position'!Q30+'Daily Position'!Q72)</f>
        <v>-599260.14</v>
      </c>
      <c r="D143" s="0" t="s">
        <v>267</v>
      </c>
      <c r="E143" s="26" t="n">
        <f aca="false">IF(E142&gt;B142,+E142-B142,0)</f>
        <v>104</v>
      </c>
    </row>
    <row r="144" customFormat="false" ht="15.75" hidden="false" customHeight="false" outlineLevel="0" collapsed="false">
      <c r="A144" s="0" t="s">
        <v>279</v>
      </c>
      <c r="B144" s="64" t="n">
        <v>36874</v>
      </c>
      <c r="D144" s="0" t="s">
        <v>275</v>
      </c>
      <c r="E144" s="188" t="n">
        <f aca="false">+B143*0.07/360*E143</f>
        <v>-12118.37172</v>
      </c>
    </row>
    <row r="145" customFormat="false" ht="15.75" hidden="false" customHeight="false" outlineLevel="0" collapsed="false">
      <c r="B145" s="26"/>
    </row>
    <row r="146" customFormat="false" ht="15.75" hidden="false" customHeight="false" outlineLevel="0" collapsed="false">
      <c r="A146" s="0" t="s">
        <v>273</v>
      </c>
      <c r="B146" s="64" t="n">
        <v>36893</v>
      </c>
      <c r="D146" s="0" t="s">
        <v>31</v>
      </c>
      <c r="E146" s="64" t="n">
        <f aca="false">IF(Summary!$C$5&gt;Amort!$A$44,Amort!$A$44,Summary!$C$5)</f>
        <v>36983</v>
      </c>
    </row>
    <row r="147" customFormat="false" ht="15.75" hidden="false" customHeight="false" outlineLevel="0" collapsed="false">
      <c r="A147" s="0" t="s">
        <v>274</v>
      </c>
      <c r="B147" s="26" t="n">
        <f aca="false">-'Daily Position'!Q37-'Daily Position'!Q54</f>
        <v>2417178.99</v>
      </c>
      <c r="D147" s="0" t="s">
        <v>267</v>
      </c>
      <c r="E147" s="26" t="n">
        <f aca="false">IF(E146&gt;B146,+E146-B146,0)</f>
        <v>90</v>
      </c>
    </row>
    <row r="148" customFormat="false" ht="15.75" hidden="false" customHeight="false" outlineLevel="0" collapsed="false">
      <c r="A148" s="0" t="s">
        <v>280</v>
      </c>
      <c r="B148" s="64" t="n">
        <v>36888</v>
      </c>
      <c r="D148" s="0" t="s">
        <v>275</v>
      </c>
      <c r="E148" s="188" t="n">
        <f aca="false">+B147*0.07/360*E147</f>
        <v>42300.632325</v>
      </c>
    </row>
    <row r="150" customFormat="false" ht="15.75" hidden="false" customHeight="false" outlineLevel="0" collapsed="false">
      <c r="A150" s="0" t="s">
        <v>273</v>
      </c>
      <c r="B150" s="64" t="n">
        <v>36894</v>
      </c>
      <c r="D150" s="0" t="s">
        <v>31</v>
      </c>
      <c r="E150" s="64" t="n">
        <f aca="false">IF(Summary!$C$5&gt;Amort!$A$44,Amort!$A$44,Summary!$C$5)</f>
        <v>36983</v>
      </c>
    </row>
    <row r="151" customFormat="false" ht="15.75" hidden="false" customHeight="false" outlineLevel="0" collapsed="false">
      <c r="A151" s="0" t="s">
        <v>274</v>
      </c>
      <c r="B151" s="26" t="n">
        <f aca="false">-'Daily Position'!Q42</f>
        <v>887500</v>
      </c>
      <c r="D151" s="0" t="s">
        <v>267</v>
      </c>
      <c r="E151" s="26" t="n">
        <f aca="false">IF(E150&gt;B150,+E150-B150,0)</f>
        <v>89</v>
      </c>
    </row>
    <row r="152" customFormat="false" ht="15.75" hidden="false" customHeight="false" outlineLevel="0" collapsed="false">
      <c r="A152" s="0" t="s">
        <v>281</v>
      </c>
      <c r="B152" s="64" t="n">
        <v>36889</v>
      </c>
      <c r="D152" s="0" t="s">
        <v>275</v>
      </c>
      <c r="E152" s="188" t="n">
        <f aca="false">+B151*0.07/360*E151</f>
        <v>15358.6805555556</v>
      </c>
    </row>
    <row r="154" customFormat="false" ht="15.75" hidden="false" customHeight="false" outlineLevel="0" collapsed="false">
      <c r="A154" s="0" t="s">
        <v>273</v>
      </c>
      <c r="B154" s="64" t="n">
        <v>36907</v>
      </c>
      <c r="D154" s="0" t="s">
        <v>31</v>
      </c>
      <c r="E154" s="64" t="n">
        <f aca="false">IF(Summary!$C$5&gt;Amort!$A$44,Amort!$A$44,Summary!$C$5)</f>
        <v>36983</v>
      </c>
    </row>
    <row r="155" customFormat="false" ht="15.75" hidden="false" customHeight="false" outlineLevel="0" collapsed="false">
      <c r="A155" s="0" t="s">
        <v>274</v>
      </c>
      <c r="B155" s="26" t="n">
        <f aca="false">-'Daily Position'!Q13</f>
        <v>132061.02</v>
      </c>
      <c r="D155" s="0" t="s">
        <v>267</v>
      </c>
      <c r="E155" s="26" t="n">
        <f aca="false">IF(E154&gt;B154,+E154-B154,0)</f>
        <v>76</v>
      </c>
    </row>
    <row r="156" customFormat="false" ht="15.75" hidden="false" customHeight="false" outlineLevel="0" collapsed="false">
      <c r="A156" s="0" t="s">
        <v>282</v>
      </c>
      <c r="B156" s="64" t="n">
        <v>36902</v>
      </c>
      <c r="D156" s="0" t="s">
        <v>275</v>
      </c>
      <c r="E156" s="188" t="n">
        <f aca="false">+B155*0.07/360*E155</f>
        <v>1951.56840666667</v>
      </c>
    </row>
    <row r="158" customFormat="false" ht="15.75" hidden="false" customHeight="false" outlineLevel="0" collapsed="false">
      <c r="A158" s="0" t="s">
        <v>273</v>
      </c>
      <c r="B158" s="64" t="n">
        <v>36910</v>
      </c>
      <c r="D158" s="0" t="s">
        <v>31</v>
      </c>
      <c r="E158" s="64" t="n">
        <f aca="false">IF(Summary!$C$5&gt;Amort!$A$44,Amort!$A$44,Summary!$C$5)</f>
        <v>36983</v>
      </c>
    </row>
    <row r="159" customFormat="false" ht="15.75" hidden="false" customHeight="false" outlineLevel="0" collapsed="false">
      <c r="A159" s="0" t="s">
        <v>274</v>
      </c>
      <c r="B159" s="26" t="n">
        <f aca="false">-'Daily Position'!Q6</f>
        <v>7079860.94</v>
      </c>
      <c r="D159" s="0" t="s">
        <v>267</v>
      </c>
      <c r="E159" s="26" t="n">
        <f aca="false">IF(E158&gt;B158,+E158-B158,0)</f>
        <v>73</v>
      </c>
    </row>
    <row r="160" customFormat="false" ht="15.75" hidden="false" customHeight="false" outlineLevel="0" collapsed="false">
      <c r="A160" s="0" t="s">
        <v>283</v>
      </c>
      <c r="B160" s="64" t="n">
        <v>36907</v>
      </c>
      <c r="D160" s="0" t="s">
        <v>275</v>
      </c>
      <c r="E160" s="188" t="n">
        <f aca="false">+B159*0.07/360*E159</f>
        <v>100494.692787222</v>
      </c>
    </row>
    <row r="162" customFormat="false" ht="15.75" hidden="false" customHeight="false" outlineLevel="0" collapsed="false">
      <c r="A162" s="0" t="s">
        <v>273</v>
      </c>
      <c r="B162" s="64" t="n">
        <v>36910</v>
      </c>
      <c r="D162" s="0" t="s">
        <v>31</v>
      </c>
      <c r="E162" s="64" t="n">
        <f aca="false">IF(Summary!$C$5&gt;Amort!$A$44,Amort!$A$44,Summary!$C$5)</f>
        <v>36983</v>
      </c>
    </row>
    <row r="163" customFormat="false" ht="15.75" hidden="false" customHeight="false" outlineLevel="0" collapsed="false">
      <c r="A163" s="0" t="s">
        <v>274</v>
      </c>
      <c r="B163" s="26" t="n">
        <f aca="false">-'Daily Position'!Q65</f>
        <v>63109023.64</v>
      </c>
      <c r="D163" s="0" t="s">
        <v>267</v>
      </c>
      <c r="E163" s="26" t="n">
        <f aca="false">IF(E162&gt;B162,+E162-B162,0)</f>
        <v>73</v>
      </c>
    </row>
    <row r="164" customFormat="false" ht="15.75" hidden="false" customHeight="false" outlineLevel="0" collapsed="false">
      <c r="A164" s="0" t="s">
        <v>284</v>
      </c>
      <c r="B164" s="64" t="n">
        <f aca="false">+B162</f>
        <v>36910</v>
      </c>
      <c r="D164" s="0" t="s">
        <v>275</v>
      </c>
      <c r="E164" s="188" t="n">
        <f aca="false">+B163*0.07/360*E163</f>
        <v>895797.530001111</v>
      </c>
    </row>
    <row r="166" customFormat="false" ht="15.75" hidden="false" customHeight="false" outlineLevel="0" collapsed="false">
      <c r="A166" s="0" t="s">
        <v>273</v>
      </c>
      <c r="B166" s="64" t="n">
        <f aca="false">+[1]Table!$I$2</f>
        <v>36976</v>
      </c>
      <c r="D166" s="0" t="s">
        <v>31</v>
      </c>
      <c r="E166" s="64" t="n">
        <f aca="false">IF(Summary!$C$5&gt;Amort!$A$44,Amort!$A$44,Summary!$C$5)</f>
        <v>36983</v>
      </c>
    </row>
    <row r="167" customFormat="false" ht="15.75" hidden="false" customHeight="false" outlineLevel="0" collapsed="false">
      <c r="A167" s="0" t="s">
        <v>274</v>
      </c>
      <c r="B167" s="26" t="n">
        <f aca="false">IF([1]Table!$C$3=1,[1]Table!$H$3,0)+Shares!D39</f>
        <v>0</v>
      </c>
      <c r="D167" s="0" t="s">
        <v>267</v>
      </c>
      <c r="E167" s="26" t="n">
        <f aca="false">IF(E166&gt;B166,+E166-B166,0)</f>
        <v>7</v>
      </c>
    </row>
    <row r="168" customFormat="false" ht="15.75" hidden="false" customHeight="false" outlineLevel="0" collapsed="false">
      <c r="A168" s="0" t="s">
        <v>285</v>
      </c>
      <c r="B168" s="64" t="n">
        <f aca="false">+B166</f>
        <v>36976</v>
      </c>
      <c r="D168" s="0" t="s">
        <v>275</v>
      </c>
      <c r="E168" s="188" t="n">
        <f aca="false">+B167*0.07/360*E167</f>
        <v>0</v>
      </c>
    </row>
    <row r="170" customFormat="false" ht="15.75" hidden="false" customHeight="false" outlineLevel="0" collapsed="false">
      <c r="A170" s="0" t="s">
        <v>273</v>
      </c>
      <c r="B170" s="64" t="n">
        <v>36984</v>
      </c>
      <c r="D170" s="0" t="s">
        <v>31</v>
      </c>
      <c r="E170" s="64" t="n">
        <f aca="false">IF(Summary!$C$5&gt;Amort!$A$45,Amort!$A$45,Summary!$C$5)</f>
        <v>37134</v>
      </c>
    </row>
    <row r="171" customFormat="false" ht="15.75" hidden="false" customHeight="false" outlineLevel="0" collapsed="false">
      <c r="A171" s="0" t="s">
        <v>274</v>
      </c>
      <c r="B171" s="26" t="n">
        <f aca="false">-'Daily Position'!Q29-'Daily Position'!Q51-'Daily Position'!Q71</f>
        <v>98071.411016</v>
      </c>
      <c r="D171" s="0" t="s">
        <v>267</v>
      </c>
      <c r="E171" s="26" t="n">
        <f aca="false">IF(E170&gt;B170,+E170-B170,0)</f>
        <v>150</v>
      </c>
    </row>
    <row r="172" customFormat="false" ht="15.75" hidden="false" customHeight="false" outlineLevel="0" collapsed="false">
      <c r="A172" s="0" t="s">
        <v>286</v>
      </c>
      <c r="B172" s="64" t="n">
        <f aca="false">+'Daily Position'!J29</f>
        <v>36980</v>
      </c>
      <c r="D172" s="0" t="s">
        <v>275</v>
      </c>
      <c r="E172" s="188" t="n">
        <f aca="false">+B171*0.07/360*E171</f>
        <v>2860.41615463333</v>
      </c>
    </row>
    <row r="174" customFormat="false" ht="15.75" hidden="false" customHeight="false" outlineLevel="0" collapsed="false">
      <c r="A174" s="0" t="s">
        <v>273</v>
      </c>
      <c r="B174" s="64" t="n">
        <v>37006</v>
      </c>
      <c r="D174" s="0" t="s">
        <v>31</v>
      </c>
      <c r="E174" s="64" t="n">
        <f aca="false">IF(Summary!$C$5&gt;Amort!$A$45,Amort!$A$45,Summary!$C$5)</f>
        <v>37134</v>
      </c>
    </row>
    <row r="175" customFormat="false" ht="15.75" hidden="false" customHeight="false" outlineLevel="0" collapsed="false">
      <c r="A175" s="0" t="s">
        <v>274</v>
      </c>
      <c r="B175" s="26" t="n">
        <f aca="false">-'Daily Position'!Q7</f>
        <v>5168955.03</v>
      </c>
      <c r="D175" s="0" t="s">
        <v>267</v>
      </c>
      <c r="E175" s="26" t="n">
        <f aca="false">IF(E174&gt;B174,+E174-B174,0)</f>
        <v>128</v>
      </c>
    </row>
    <row r="176" customFormat="false" ht="15.75" hidden="false" customHeight="false" outlineLevel="0" collapsed="false">
      <c r="A176" s="0" t="s">
        <v>283</v>
      </c>
      <c r="B176" s="64" t="n">
        <f aca="false">+'Daily Position'!J7</f>
        <v>37001</v>
      </c>
      <c r="D176" s="0" t="s">
        <v>275</v>
      </c>
      <c r="E176" s="188" t="n">
        <f aca="false">+B175*0.07/360*E175</f>
        <v>128649.547413333</v>
      </c>
    </row>
    <row r="178" customFormat="false" ht="15.75" hidden="false" customHeight="false" outlineLevel="0" collapsed="false">
      <c r="A178" s="0" t="s">
        <v>273</v>
      </c>
      <c r="B178" s="64" t="n">
        <v>37007</v>
      </c>
      <c r="D178" s="0" t="s">
        <v>31</v>
      </c>
      <c r="E178" s="64" t="n">
        <f aca="false">IF(Summary!$C$5&gt;Amort!$A$45,Amort!$A$45,Summary!$C$5)</f>
        <v>37134</v>
      </c>
    </row>
    <row r="179" customFormat="false" ht="15.75" hidden="false" customHeight="false" outlineLevel="0" collapsed="false">
      <c r="A179" s="0" t="s">
        <v>274</v>
      </c>
      <c r="B179" s="26" t="n">
        <f aca="false">-'Daily Position'!Q8</f>
        <v>3238750.02</v>
      </c>
      <c r="D179" s="0" t="s">
        <v>267</v>
      </c>
      <c r="E179" s="26" t="n">
        <f aca="false">IF(E178&gt;B178,+E178-B178,0)</f>
        <v>127</v>
      </c>
    </row>
    <row r="180" customFormat="false" ht="15.75" hidden="false" customHeight="false" outlineLevel="0" collapsed="false">
      <c r="A180" s="0" t="str">
        <f aca="false">+A176</f>
        <v>Active Power Termination</v>
      </c>
      <c r="B180" s="64" t="n">
        <f aca="false">+'Daily Position'!J8</f>
        <v>37004</v>
      </c>
      <c r="D180" s="0" t="s">
        <v>275</v>
      </c>
      <c r="E180" s="188" t="n">
        <f aca="false">+B179*0.07/360*E179</f>
        <v>79979.1324383333</v>
      </c>
    </row>
    <row r="182" customFormat="false" ht="15.75" hidden="false" customHeight="false" outlineLevel="0" collapsed="false">
      <c r="A182" s="0" t="s">
        <v>273</v>
      </c>
      <c r="B182" s="64" t="n">
        <v>37008</v>
      </c>
      <c r="D182" s="0" t="s">
        <v>31</v>
      </c>
      <c r="E182" s="64" t="n">
        <f aca="false">IF(Summary!$C$5&gt;Amort!$A$45,Amort!$A$45,Summary!$C$5)</f>
        <v>37134</v>
      </c>
    </row>
    <row r="183" customFormat="false" ht="15.75" hidden="false" customHeight="false" outlineLevel="0" collapsed="false">
      <c r="A183" s="0" t="s">
        <v>274</v>
      </c>
      <c r="B183" s="26" t="n">
        <f aca="false">-'Daily Position'!Q9</f>
        <v>1140849.51</v>
      </c>
      <c r="D183" s="0" t="s">
        <v>267</v>
      </c>
      <c r="E183" s="26" t="n">
        <f aca="false">IF(E182&gt;B182,+E182-B182,0)</f>
        <v>126</v>
      </c>
    </row>
    <row r="184" customFormat="false" ht="15.75" hidden="false" customHeight="false" outlineLevel="0" collapsed="false">
      <c r="A184" s="0" t="str">
        <f aca="false">+A180</f>
        <v>Active Power Termination</v>
      </c>
      <c r="B184" s="64" t="n">
        <f aca="false">+'Daily Position'!J9</f>
        <v>37005</v>
      </c>
      <c r="D184" s="0" t="s">
        <v>275</v>
      </c>
      <c r="E184" s="188" t="n">
        <f aca="false">+B183*0.07/360*E183</f>
        <v>27950.812995</v>
      </c>
    </row>
    <row r="186" customFormat="false" ht="15.75" hidden="false" customHeight="false" outlineLevel="0" collapsed="false">
      <c r="A186" s="0" t="s">
        <v>273</v>
      </c>
      <c r="B186" s="64" t="n">
        <v>37014</v>
      </c>
      <c r="D186" s="0" t="s">
        <v>31</v>
      </c>
      <c r="E186" s="64" t="n">
        <f aca="false">IF(Summary!$C$5&gt;Amort!$A$45,Amort!$A$45,Summary!$C$5)</f>
        <v>37134</v>
      </c>
    </row>
    <row r="187" customFormat="false" ht="15.75" hidden="false" customHeight="false" outlineLevel="0" collapsed="false">
      <c r="A187" s="0" t="s">
        <v>274</v>
      </c>
      <c r="B187" s="26" t="n">
        <f aca="false">-'Daily Position'!Q17</f>
        <v>1306.1</v>
      </c>
      <c r="D187" s="0" t="s">
        <v>267</v>
      </c>
      <c r="E187" s="26" t="n">
        <f aca="false">IF(E186&gt;B186,+E186-B186,0)</f>
        <v>120</v>
      </c>
    </row>
    <row r="188" customFormat="false" ht="15.75" hidden="false" customHeight="false" outlineLevel="0" collapsed="false">
      <c r="A188" s="0" t="str">
        <f aca="false">+'Daily Position'!A16</f>
        <v>Paradigm</v>
      </c>
      <c r="B188" s="64" t="n">
        <f aca="false">+'Daily Position'!J17</f>
        <v>37011</v>
      </c>
      <c r="D188" s="0" t="s">
        <v>275</v>
      </c>
      <c r="E188" s="188" t="n">
        <f aca="false">+B187*0.07/360*E187</f>
        <v>30.4756666666667</v>
      </c>
    </row>
    <row r="190" customFormat="false" ht="15.75" hidden="false" customHeight="false" outlineLevel="0" collapsed="false">
      <c r="A190" s="0" t="s">
        <v>273</v>
      </c>
      <c r="B190" s="64" t="n">
        <v>37015</v>
      </c>
      <c r="D190" s="0" t="s">
        <v>31</v>
      </c>
      <c r="E190" s="64" t="n">
        <f aca="false">IF(Summary!$C$5&gt;Amort!$A$45,Amort!$A$45,Summary!$C$5)</f>
        <v>37134</v>
      </c>
    </row>
    <row r="191" customFormat="false" ht="15.75" hidden="false" customHeight="false" outlineLevel="0" collapsed="false">
      <c r="A191" s="0" t="s">
        <v>274</v>
      </c>
      <c r="B191" s="26" t="n">
        <f aca="false">-'Daily Position'!Q18</f>
        <v>1441.36</v>
      </c>
      <c r="D191" s="0" t="s">
        <v>267</v>
      </c>
      <c r="E191" s="26" t="n">
        <f aca="false">IF(E190&gt;B190,+E190-B190,0)</f>
        <v>119</v>
      </c>
    </row>
    <row r="192" customFormat="false" ht="15.75" hidden="false" customHeight="false" outlineLevel="0" collapsed="false">
      <c r="A192" s="0" t="str">
        <f aca="false">+A188</f>
        <v>Paradigm</v>
      </c>
      <c r="B192" s="64" t="n">
        <f aca="false">+'Daily Position'!J18</f>
        <v>37012</v>
      </c>
      <c r="D192" s="0" t="s">
        <v>275</v>
      </c>
      <c r="E192" s="188" t="n">
        <f aca="false">+B191*0.07/360*E191</f>
        <v>33.3514688888889</v>
      </c>
    </row>
    <row r="194" customFormat="false" ht="15.75" hidden="false" customHeight="false" outlineLevel="0" collapsed="false">
      <c r="A194" s="0" t="s">
        <v>273</v>
      </c>
      <c r="B194" s="64" t="n">
        <v>37018</v>
      </c>
      <c r="D194" s="0" t="s">
        <v>31</v>
      </c>
      <c r="E194" s="64" t="n">
        <f aca="false">IF(Summary!$C$5&gt;Amort!$A$45,Amort!$A$45,Summary!$C$5)</f>
        <v>37134</v>
      </c>
    </row>
    <row r="195" customFormat="false" ht="15.75" hidden="false" customHeight="false" outlineLevel="0" collapsed="false">
      <c r="A195" s="0" t="s">
        <v>274</v>
      </c>
      <c r="B195" s="26" t="n">
        <f aca="false">-'Daily Position'!Q19</f>
        <v>475.19</v>
      </c>
      <c r="D195" s="0" t="s">
        <v>267</v>
      </c>
      <c r="E195" s="26" t="n">
        <f aca="false">IF(E194&gt;B194,+E194-B194,0)</f>
        <v>116</v>
      </c>
    </row>
    <row r="196" customFormat="false" ht="15.75" hidden="false" customHeight="false" outlineLevel="0" collapsed="false">
      <c r="A196" s="0" t="str">
        <f aca="false">+A192</f>
        <v>Paradigm</v>
      </c>
      <c r="B196" s="64" t="n">
        <f aca="false">+'Daily Position'!J19</f>
        <v>37013</v>
      </c>
      <c r="D196" s="0" t="s">
        <v>275</v>
      </c>
      <c r="E196" s="188" t="n">
        <f aca="false">+B195*0.07/360*E195</f>
        <v>10.7181744444444</v>
      </c>
    </row>
    <row r="198" customFormat="false" ht="15.75" hidden="false" customHeight="false" outlineLevel="0" collapsed="false">
      <c r="A198" s="0" t="s">
        <v>273</v>
      </c>
      <c r="B198" s="64" t="n">
        <v>37021</v>
      </c>
      <c r="D198" s="0" t="s">
        <v>31</v>
      </c>
      <c r="E198" s="64" t="n">
        <f aca="false">IF(Summary!$C$5&gt;Amort!$A$45,Amort!$A$45,Summary!$C$5)</f>
        <v>37134</v>
      </c>
    </row>
    <row r="199" customFormat="false" ht="15.75" hidden="false" customHeight="false" outlineLevel="0" collapsed="false">
      <c r="A199" s="0" t="s">
        <v>274</v>
      </c>
      <c r="B199" s="26" t="n">
        <f aca="false">-'Daily Position'!Q10-'Daily Position'!Q20</f>
        <v>2836219.65</v>
      </c>
      <c r="D199" s="0" t="s">
        <v>267</v>
      </c>
      <c r="E199" s="26" t="n">
        <f aca="false">IF(E198&gt;B198,+E198-B198,0)</f>
        <v>113</v>
      </c>
    </row>
    <row r="200" customFormat="false" ht="15.75" hidden="false" customHeight="false" outlineLevel="0" collapsed="false">
      <c r="A200" s="0" t="s">
        <v>287</v>
      </c>
      <c r="B200" s="64" t="n">
        <f aca="false">+'Daily Position'!J10</f>
        <v>37018</v>
      </c>
      <c r="D200" s="0" t="s">
        <v>275</v>
      </c>
      <c r="E200" s="188" t="n">
        <f aca="false">+B199*0.07/360*E199</f>
        <v>62318.0484208333</v>
      </c>
    </row>
    <row r="202" customFormat="false" ht="15.75" hidden="false" customHeight="false" outlineLevel="0" collapsed="false">
      <c r="A202" s="0" t="s">
        <v>273</v>
      </c>
      <c r="B202" s="64" t="n">
        <v>37022</v>
      </c>
      <c r="D202" s="0" t="s">
        <v>31</v>
      </c>
      <c r="E202" s="64" t="n">
        <f aca="false">IF(Summary!$C$5&gt;Amort!$A$45,Amort!$A$45,Summary!$C$5)</f>
        <v>37134</v>
      </c>
    </row>
    <row r="203" customFormat="false" ht="15.75" hidden="false" customHeight="false" outlineLevel="0" collapsed="false">
      <c r="A203" s="0" t="s">
        <v>274</v>
      </c>
      <c r="B203" s="26" t="n">
        <f aca="false">-'Daily Position'!Q11-'Daily Position'!Q21</f>
        <v>4333790.07</v>
      </c>
      <c r="D203" s="0" t="s">
        <v>267</v>
      </c>
      <c r="E203" s="26" t="n">
        <f aca="false">IF(E202&gt;B202,+E202-B202,0)</f>
        <v>112</v>
      </c>
    </row>
    <row r="204" customFormat="false" ht="15.75" hidden="false" customHeight="false" outlineLevel="0" collapsed="false">
      <c r="A204" s="0" t="s">
        <v>287</v>
      </c>
      <c r="B204" s="64" t="n">
        <f aca="false">+'Daily Position'!J11</f>
        <v>37019</v>
      </c>
      <c r="D204" s="0" t="s">
        <v>275</v>
      </c>
      <c r="E204" s="188" t="n">
        <f aca="false">+B203*0.07/360*E203</f>
        <v>94380.31708</v>
      </c>
    </row>
    <row r="206" customFormat="false" ht="15.75" hidden="false" customHeight="false" outlineLevel="0" collapsed="false">
      <c r="A206" s="0" t="s">
        <v>273</v>
      </c>
      <c r="B206" s="64" t="n">
        <v>37025</v>
      </c>
      <c r="D206" s="0" t="s">
        <v>31</v>
      </c>
      <c r="E206" s="64" t="n">
        <f aca="false">IF(Summary!$C$5&gt;Amort!$A$45,Amort!$A$45,Summary!$C$5)</f>
        <v>37134</v>
      </c>
    </row>
    <row r="207" customFormat="false" ht="15.75" hidden="false" customHeight="false" outlineLevel="0" collapsed="false">
      <c r="A207" s="0" t="s">
        <v>274</v>
      </c>
      <c r="B207" s="26" t="n">
        <f aca="false">-'Daily Position'!Q12</f>
        <v>4111671.57</v>
      </c>
      <c r="D207" s="0" t="s">
        <v>267</v>
      </c>
      <c r="E207" s="26" t="n">
        <f aca="false">IF(E206&gt;B206,+E206-B206,0)</f>
        <v>109</v>
      </c>
    </row>
    <row r="208" customFormat="false" ht="15.75" hidden="false" customHeight="false" outlineLevel="0" collapsed="false">
      <c r="A208" s="0" t="s">
        <v>288</v>
      </c>
      <c r="B208" s="64" t="n">
        <f aca="false">+'Daily Position'!J12</f>
        <v>37020</v>
      </c>
      <c r="D208" s="0" t="s">
        <v>275</v>
      </c>
      <c r="E208" s="188" t="n">
        <f aca="false">+B207*0.07/360*E207</f>
        <v>87144.5946641667</v>
      </c>
    </row>
    <row r="210" customFormat="false" ht="15.75" hidden="false" customHeight="false" outlineLevel="0" collapsed="false">
      <c r="A210" s="0" t="s">
        <v>273</v>
      </c>
      <c r="B210" s="64" t="n">
        <v>37027</v>
      </c>
      <c r="D210" s="0" t="s">
        <v>31</v>
      </c>
      <c r="E210" s="64" t="n">
        <f aca="false">IF(Summary!$C$5&gt;Amort!$A$45,Amort!$A$45,Summary!$C$5)</f>
        <v>37134</v>
      </c>
    </row>
    <row r="211" customFormat="false" ht="15.75" hidden="false" customHeight="false" outlineLevel="0" collapsed="false">
      <c r="A211" s="0" t="s">
        <v>274</v>
      </c>
      <c r="B211" s="26" t="n">
        <f aca="false">-'Daily Position'!Q22</f>
        <v>487.5</v>
      </c>
      <c r="D211" s="0" t="s">
        <v>267</v>
      </c>
      <c r="E211" s="26" t="n">
        <f aca="false">IF(E210&gt;B210,+E210-B210,0)</f>
        <v>107</v>
      </c>
    </row>
    <row r="212" customFormat="false" ht="15.75" hidden="false" customHeight="false" outlineLevel="0" collapsed="false">
      <c r="A212" s="0" t="str">
        <f aca="false">+'Daily Position'!A22</f>
        <v>Paradigm</v>
      </c>
      <c r="B212" s="64" t="n">
        <f aca="false">+'Daily Position'!J22</f>
        <v>37022</v>
      </c>
      <c r="D212" s="0" t="s">
        <v>275</v>
      </c>
      <c r="E212" s="188" t="n">
        <f aca="false">+B211*0.07/360*E211</f>
        <v>10.1427083333333</v>
      </c>
    </row>
    <row r="214" customFormat="false" ht="15.75" hidden="false" customHeight="false" outlineLevel="0" collapsed="false">
      <c r="A214" s="0" t="s">
        <v>273</v>
      </c>
      <c r="B214" s="64" t="n">
        <v>37033</v>
      </c>
      <c r="D214" s="0" t="s">
        <v>31</v>
      </c>
      <c r="E214" s="64" t="n">
        <f aca="false">IF(Summary!$C$5&gt;Amort!$A$45,Amort!$A$45,Summary!$C$5)</f>
        <v>37134</v>
      </c>
    </row>
    <row r="215" customFormat="false" ht="15.75" hidden="false" customHeight="false" outlineLevel="0" collapsed="false">
      <c r="A215" s="0" t="s">
        <v>274</v>
      </c>
      <c r="B215" s="26" t="n">
        <f aca="false">-'Daily Position'!Q23</f>
        <v>254.03</v>
      </c>
      <c r="D215" s="0" t="s">
        <v>267</v>
      </c>
      <c r="E215" s="26" t="n">
        <f aca="false">IF(E214&gt;B214,+E214-B214,0)</f>
        <v>101</v>
      </c>
    </row>
    <row r="216" customFormat="false" ht="15.75" hidden="false" customHeight="false" outlineLevel="0" collapsed="false">
      <c r="A216" s="0" t="str">
        <f aca="false">+'Daily Position'!A23</f>
        <v>Paradigm</v>
      </c>
      <c r="B216" s="64" t="n">
        <f aca="false">+'Daily Position'!J23</f>
        <v>37028</v>
      </c>
      <c r="D216" s="0" t="s">
        <v>275</v>
      </c>
      <c r="E216" s="188" t="n">
        <f aca="false">+B215*0.07/360*E215</f>
        <v>4.98886694444445</v>
      </c>
    </row>
    <row r="218" customFormat="false" ht="15.75" hidden="false" customHeight="false" outlineLevel="0" collapsed="false">
      <c r="A218" s="0" t="s">
        <v>273</v>
      </c>
      <c r="B218" s="64" t="n">
        <v>37034</v>
      </c>
      <c r="D218" s="0" t="s">
        <v>31</v>
      </c>
      <c r="E218" s="64" t="n">
        <f aca="false">IF(Summary!$C$5&gt;Amort!$A$45,Amort!$A$45,Summary!$C$5)</f>
        <v>37134</v>
      </c>
    </row>
    <row r="219" customFormat="false" ht="15.75" hidden="false" customHeight="false" outlineLevel="0" collapsed="false">
      <c r="A219" s="0" t="s">
        <v>274</v>
      </c>
      <c r="B219" s="26" t="n">
        <f aca="false">-'Daily Position'!Q24</f>
        <v>3191.18</v>
      </c>
      <c r="D219" s="0" t="s">
        <v>267</v>
      </c>
      <c r="E219" s="26" t="n">
        <f aca="false">IF(E218&gt;B218,+E218-B218,0)</f>
        <v>100</v>
      </c>
    </row>
    <row r="220" customFormat="false" ht="15.75" hidden="false" customHeight="false" outlineLevel="0" collapsed="false">
      <c r="A220" s="0" t="str">
        <f aca="false">+'Daily Position'!A24</f>
        <v>Paradigm</v>
      </c>
      <c r="B220" s="64" t="n">
        <f aca="false">+'Daily Position'!J24</f>
        <v>37029</v>
      </c>
      <c r="D220" s="0" t="s">
        <v>275</v>
      </c>
      <c r="E220" s="188" t="n">
        <f aca="false">+B219*0.07/360*E219</f>
        <v>62.0507222222222</v>
      </c>
    </row>
    <row r="222" customFormat="false" ht="15.75" hidden="false" customHeight="false" outlineLevel="0" collapsed="false">
      <c r="A222" s="0" t="s">
        <v>273</v>
      </c>
      <c r="B222" s="64" t="n">
        <v>37035</v>
      </c>
      <c r="D222" s="0" t="s">
        <v>31</v>
      </c>
      <c r="E222" s="64" t="n">
        <f aca="false">IF(Summary!$C$5&gt;Amort!$A$45,Amort!$A$45,Summary!$C$5)</f>
        <v>37134</v>
      </c>
    </row>
    <row r="223" customFormat="false" ht="15.75" hidden="false" customHeight="false" outlineLevel="0" collapsed="false">
      <c r="A223" s="0" t="s">
        <v>274</v>
      </c>
      <c r="B223" s="26" t="n">
        <f aca="false">-'Daily Position'!Q25</f>
        <v>1757.87</v>
      </c>
      <c r="D223" s="0" t="s">
        <v>267</v>
      </c>
      <c r="E223" s="26" t="n">
        <f aca="false">IF(E222&gt;B222,+E222-B222,0)</f>
        <v>99</v>
      </c>
    </row>
    <row r="224" customFormat="false" ht="15.75" hidden="false" customHeight="false" outlineLevel="0" collapsed="false">
      <c r="A224" s="0" t="str">
        <f aca="false">+'Daily Position'!A25</f>
        <v>Paradigm</v>
      </c>
      <c r="B224" s="64" t="n">
        <f aca="false">+'Daily Position'!J25</f>
        <v>37032</v>
      </c>
      <c r="D224" s="0" t="s">
        <v>275</v>
      </c>
      <c r="E224" s="188" t="n">
        <f aca="false">+B223*0.07/360*E223</f>
        <v>33.8389975</v>
      </c>
    </row>
    <row r="226" customFormat="false" ht="15.75" hidden="false" customHeight="false" outlineLevel="0" collapsed="false">
      <c r="A226" s="0" t="s">
        <v>273</v>
      </c>
      <c r="B226" s="64" t="n">
        <v>37036</v>
      </c>
      <c r="D226" s="0" t="s">
        <v>31</v>
      </c>
      <c r="E226" s="64" t="n">
        <f aca="false">IF(Summary!$C$5&gt;Amort!$A$45,Amort!$A$45,Summary!$C$5)</f>
        <v>37134</v>
      </c>
    </row>
    <row r="227" customFormat="false" ht="15.75" hidden="false" customHeight="false" outlineLevel="0" collapsed="false">
      <c r="A227" s="0" t="s">
        <v>274</v>
      </c>
      <c r="B227" s="26" t="n">
        <f aca="false">-'Daily Position'!Q26</f>
        <v>5990.3</v>
      </c>
      <c r="D227" s="0" t="s">
        <v>267</v>
      </c>
      <c r="E227" s="26" t="n">
        <f aca="false">IF(E226&gt;B226,+E226-B226,0)</f>
        <v>98</v>
      </c>
    </row>
    <row r="228" customFormat="false" ht="15.75" hidden="false" customHeight="false" outlineLevel="0" collapsed="false">
      <c r="A228" s="0" t="str">
        <f aca="false">+'Daily Position'!A26</f>
        <v>Paradigm</v>
      </c>
      <c r="B228" s="64" t="n">
        <f aca="false">+'Daily Position'!J26</f>
        <v>37033</v>
      </c>
      <c r="D228" s="0" t="s">
        <v>275</v>
      </c>
      <c r="E228" s="188" t="n">
        <f aca="false">+B227*0.07/360*E227</f>
        <v>114.148494444444</v>
      </c>
    </row>
    <row r="230" customFormat="false" ht="15.75" hidden="false" customHeight="false" outlineLevel="0" collapsed="false">
      <c r="A230" s="0" t="s">
        <v>273</v>
      </c>
      <c r="B230" s="64" t="n">
        <v>37040</v>
      </c>
      <c r="D230" s="0" t="s">
        <v>31</v>
      </c>
      <c r="E230" s="64" t="n">
        <f aca="false">IF(Summary!$C$5&gt;Amort!$A$45,Amort!$A$45,Summary!$C$5)</f>
        <v>37134</v>
      </c>
    </row>
    <row r="231" customFormat="false" ht="15.75" hidden="false" customHeight="false" outlineLevel="0" collapsed="false">
      <c r="A231" s="0" t="s">
        <v>274</v>
      </c>
      <c r="B231" s="26" t="n">
        <f aca="false">-'Daily Position'!Q27</f>
        <v>471.82</v>
      </c>
      <c r="D231" s="0" t="s">
        <v>267</v>
      </c>
      <c r="E231" s="26" t="n">
        <f aca="false">IF(E230&gt;B230,+E230-B230,0)</f>
        <v>94</v>
      </c>
    </row>
    <row r="232" customFormat="false" ht="15.75" hidden="false" customHeight="false" outlineLevel="0" collapsed="false">
      <c r="A232" s="0" t="str">
        <f aca="false">+'Daily Position'!A27</f>
        <v>Paradigm</v>
      </c>
      <c r="B232" s="64" t="n">
        <f aca="false">+'Daily Position'!J27</f>
        <v>37034</v>
      </c>
      <c r="D232" s="0" t="s">
        <v>275</v>
      </c>
      <c r="E232" s="188" t="n">
        <f aca="false">+B231*0.07/360*E231</f>
        <v>8.62382111111111</v>
      </c>
    </row>
    <row r="234" customFormat="false" ht="15.75" hidden="false" customHeight="false" outlineLevel="0" collapsed="false">
      <c r="A234" s="0" t="s">
        <v>273</v>
      </c>
      <c r="B234" s="64" t="n">
        <v>37074</v>
      </c>
      <c r="D234" s="0" t="s">
        <v>31</v>
      </c>
      <c r="E234" s="64" t="n">
        <f aca="false">IF(Summary!$C$5&gt;Amort!$A$45,Amort!$A$45,Summary!$C$5)</f>
        <v>37134</v>
      </c>
    </row>
    <row r="235" customFormat="false" ht="15.75" hidden="false" customHeight="false" outlineLevel="0" collapsed="false">
      <c r="A235" s="0" t="s">
        <v>274</v>
      </c>
      <c r="B235" s="26" t="n">
        <f aca="false">-'Daily Position'!Q4-'Daily Position'!Q14-'Daily Position'!Q69</f>
        <v>163319.21</v>
      </c>
      <c r="D235" s="0" t="s">
        <v>267</v>
      </c>
      <c r="E235" s="26" t="n">
        <f aca="false">IF(E234&gt;B234,+E234-B234,0)</f>
        <v>60</v>
      </c>
    </row>
    <row r="236" customFormat="false" ht="15.75" hidden="false" customHeight="false" outlineLevel="0" collapsed="false">
      <c r="A236" s="0" t="s">
        <v>289</v>
      </c>
      <c r="B236" s="64" t="n">
        <v>37069</v>
      </c>
      <c r="D236" s="0" t="s">
        <v>275</v>
      </c>
      <c r="E236" s="188" t="n">
        <f aca="false">+B235*0.07/360*E235</f>
        <v>1905.39078333333</v>
      </c>
    </row>
    <row r="238" customFormat="false" ht="15.75" hidden="false" customHeight="false" outlineLevel="0" collapsed="false">
      <c r="A238" s="0" t="s">
        <v>273</v>
      </c>
      <c r="B238" s="64" t="n">
        <v>37077</v>
      </c>
      <c r="D238" s="0" t="s">
        <v>31</v>
      </c>
      <c r="E238" s="64" t="n">
        <f aca="false">IF(Summary!$C$5&gt;Amort!$A$45,Amort!$A$45,Summary!$C$5)</f>
        <v>37134</v>
      </c>
    </row>
    <row r="239" customFormat="false" ht="15.75" hidden="false" customHeight="false" outlineLevel="0" collapsed="false">
      <c r="A239" s="0" t="s">
        <v>274</v>
      </c>
      <c r="B239" s="26" t="n">
        <f aca="false">-'Daily Position'!Q66</f>
        <v>30637566.36</v>
      </c>
      <c r="D239" s="0" t="s">
        <v>267</v>
      </c>
      <c r="E239" s="26" t="n">
        <f aca="false">IF(E238&gt;B238,+E238-B238,0)</f>
        <v>57</v>
      </c>
    </row>
    <row r="240" customFormat="false" ht="15.75" hidden="false" customHeight="false" outlineLevel="0" collapsed="false">
      <c r="A240" s="0" t="str">
        <f aca="false">+'Daily Position'!A66</f>
        <v>Merlin Credit Derivative</v>
      </c>
      <c r="B240" s="64" t="n">
        <v>37071</v>
      </c>
      <c r="D240" s="0" t="s">
        <v>275</v>
      </c>
      <c r="E240" s="188" t="n">
        <f aca="false">+B239*0.07/360*E239</f>
        <v>339566.36049</v>
      </c>
    </row>
    <row r="242" customFormat="false" ht="15.75" hidden="false" customHeight="false" outlineLevel="0" collapsed="false">
      <c r="A242" s="0" t="s">
        <v>273</v>
      </c>
      <c r="B242" s="64" t="n">
        <v>37084</v>
      </c>
      <c r="D242" s="0" t="s">
        <v>31</v>
      </c>
      <c r="E242" s="64" t="n">
        <f aca="false">IF(Summary!$C$5&gt;Amort!$A$45,Amort!$A$45,Summary!$C$5)</f>
        <v>37134</v>
      </c>
    </row>
    <row r="243" customFormat="false" ht="15.75" hidden="false" customHeight="false" outlineLevel="0" collapsed="false">
      <c r="A243" s="0" t="s">
        <v>274</v>
      </c>
      <c r="B243" s="26" t="n">
        <f aca="false">-'Daily Position'!Q64</f>
        <v>1360000</v>
      </c>
      <c r="D243" s="0" t="s">
        <v>267</v>
      </c>
      <c r="E243" s="26" t="n">
        <f aca="false">IF(E242&gt;B242,+E242-B242,0)</f>
        <v>50</v>
      </c>
    </row>
    <row r="244" customFormat="false" ht="15.75" hidden="false" customHeight="false" outlineLevel="0" collapsed="false">
      <c r="A244" s="0" t="str">
        <f aca="false">+'Daily Position'!A64</f>
        <v>WB Oil &amp; Gas</v>
      </c>
      <c r="B244" s="64" t="n">
        <v>37078</v>
      </c>
      <c r="D244" s="0" t="s">
        <v>275</v>
      </c>
      <c r="E244" s="188" t="n">
        <f aca="false">+B243*0.07/360*E243</f>
        <v>13222.2222222222</v>
      </c>
    </row>
  </sheetData>
  <mergeCells count="6">
    <mergeCell ref="A1:B1"/>
    <mergeCell ref="A24:B24"/>
    <mergeCell ref="A32:B32"/>
    <mergeCell ref="A51:B51"/>
    <mergeCell ref="A116:F116"/>
    <mergeCell ref="E119:F11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1" man="true" max="16383" min="0"/>
    <brk id="115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102" activeCellId="0" sqref="E10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02" width="17.12"/>
    <col collapsed="false" customWidth="true" hidden="false" outlineLevel="0" max="3" min="2" style="102" width="12.24"/>
    <col collapsed="false" customWidth="true" hidden="false" outlineLevel="0" max="4" min="4" style="102" width="12.49"/>
    <col collapsed="false" customWidth="true" hidden="false" outlineLevel="0" max="5" min="5" style="102" width="14.37"/>
    <col collapsed="false" customWidth="true" hidden="false" outlineLevel="0" max="6" min="6" style="102" width="11.62"/>
    <col collapsed="false" customWidth="true" hidden="false" outlineLevel="0" max="7" min="7" style="102" width="12.24"/>
    <col collapsed="false" customWidth="true" hidden="false" outlineLevel="0" max="8" min="8" style="102" width="11.62"/>
    <col collapsed="false" customWidth="true" hidden="false" outlineLevel="0" max="9" min="9" style="102" width="9.49"/>
    <col collapsed="false" customWidth="false" hidden="false" outlineLevel="0" max="257" min="10" style="102" width="8.99"/>
  </cols>
  <sheetData>
    <row r="1" customFormat="false" ht="15.75" hidden="false" customHeight="false" outlineLevel="0" collapsed="false">
      <c r="A1" s="105" t="s">
        <v>290</v>
      </c>
      <c r="B1" s="105"/>
      <c r="G1" s="176"/>
      <c r="H1" s="176"/>
    </row>
    <row r="2" customFormat="false" ht="15.75" hidden="false" customHeight="false" outlineLevel="0" collapsed="false">
      <c r="B2" s="194" t="s">
        <v>291</v>
      </c>
    </row>
    <row r="3" customFormat="false" ht="15.75" hidden="false" customHeight="false" outlineLevel="0" collapsed="false">
      <c r="A3" s="102" t="s">
        <v>292</v>
      </c>
      <c r="B3" s="195" t="n">
        <v>50000000</v>
      </c>
    </row>
    <row r="4" customFormat="false" ht="15.75" hidden="false" customHeight="false" outlineLevel="0" collapsed="false">
      <c r="A4" s="102" t="s">
        <v>293</v>
      </c>
      <c r="B4" s="196" t="n">
        <v>0.07</v>
      </c>
    </row>
    <row r="5" customFormat="false" ht="15.75" hidden="false" customHeight="false" outlineLevel="0" collapsed="false">
      <c r="A5" s="102" t="s">
        <v>294</v>
      </c>
      <c r="B5" s="197" t="n">
        <f aca="false">5*12</f>
        <v>60</v>
      </c>
    </row>
    <row r="6" customFormat="false" ht="15.75" hidden="false" customHeight="false" outlineLevel="0" collapsed="false">
      <c r="A6" s="102" t="s">
        <v>295</v>
      </c>
      <c r="B6" s="198" t="n">
        <v>2</v>
      </c>
    </row>
    <row r="7" customFormat="false" ht="15.75" hidden="false" customHeight="false" outlineLevel="0" collapsed="false">
      <c r="A7" s="102" t="s">
        <v>296</v>
      </c>
      <c r="B7" s="102" t="n">
        <v>0</v>
      </c>
    </row>
    <row r="9" customFormat="false" ht="25.5" hidden="false" customHeight="false" outlineLevel="0" collapsed="false">
      <c r="A9" s="199"/>
      <c r="B9" s="200" t="s">
        <v>297</v>
      </c>
      <c r="C9" s="201" t="s">
        <v>256</v>
      </c>
      <c r="D9" s="201" t="s">
        <v>296</v>
      </c>
      <c r="E9" s="201" t="s">
        <v>292</v>
      </c>
      <c r="F9" s="201" t="s">
        <v>269</v>
      </c>
      <c r="G9" s="201" t="s">
        <v>264</v>
      </c>
      <c r="H9" s="201" t="s">
        <v>298</v>
      </c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  <c r="IW9" s="199"/>
    </row>
    <row r="10" customFormat="false" ht="15.75" hidden="false" customHeight="false" outlineLevel="0" collapsed="false">
      <c r="A10" s="64" t="n">
        <v>36634</v>
      </c>
      <c r="B10" s="202" t="n">
        <v>0</v>
      </c>
      <c r="C10" s="102" t="n">
        <f aca="false">B3</f>
        <v>50000000</v>
      </c>
      <c r="D10" s="102" t="n">
        <v>0</v>
      </c>
      <c r="E10" s="102" t="n">
        <f aca="false">D10-F10</f>
        <v>0</v>
      </c>
      <c r="F10" s="102" t="n">
        <v>0</v>
      </c>
      <c r="G10" s="102" t="n">
        <f aca="false">C10-E10</f>
        <v>50000000</v>
      </c>
      <c r="H10" s="102" t="n">
        <f aca="false">+F10</f>
        <v>0</v>
      </c>
      <c r="I10" s="64" t="n">
        <f aca="false">+A10</f>
        <v>36634</v>
      </c>
    </row>
    <row r="11" customFormat="false" ht="15.75" hidden="false" customHeight="false" outlineLevel="0" collapsed="false">
      <c r="A11" s="64" t="n">
        <v>36801</v>
      </c>
      <c r="B11" s="202" t="n">
        <f aca="false">+B10+1</f>
        <v>1</v>
      </c>
      <c r="C11" s="102" t="n">
        <f aca="false">G10</f>
        <v>50000000</v>
      </c>
      <c r="D11" s="102" t="n">
        <f aca="false">+F11</f>
        <v>1623611.11111111</v>
      </c>
      <c r="E11" s="102" t="n">
        <f aca="false">D11-F11</f>
        <v>0</v>
      </c>
      <c r="F11" s="102" t="n">
        <f aca="false">C11*$B$4/360*(A11-A10)</f>
        <v>1623611.11111111</v>
      </c>
      <c r="G11" s="102" t="n">
        <f aca="false">C11-E11</f>
        <v>50000000</v>
      </c>
      <c r="H11" s="102" t="n">
        <f aca="false">+H10+F11</f>
        <v>1623611.11111111</v>
      </c>
      <c r="I11" s="64" t="n">
        <f aca="false">+A11</f>
        <v>36801</v>
      </c>
    </row>
    <row r="12" customFormat="false" ht="15.75" hidden="false" customHeight="false" outlineLevel="0" collapsed="false">
      <c r="A12" s="64" t="n">
        <v>36983</v>
      </c>
      <c r="B12" s="202" t="n">
        <f aca="false">+B11+1</f>
        <v>2</v>
      </c>
      <c r="C12" s="102" t="n">
        <f aca="false">G11</f>
        <v>50000000</v>
      </c>
      <c r="D12" s="102" t="n">
        <f aca="false">+F12</f>
        <v>1769444.44444444</v>
      </c>
      <c r="E12" s="102" t="n">
        <f aca="false">D12-F12</f>
        <v>0</v>
      </c>
      <c r="F12" s="102" t="n">
        <f aca="false">C12*$B$4/360*(A12-A11)</f>
        <v>1769444.44444444</v>
      </c>
      <c r="G12" s="102" t="n">
        <f aca="false">C12-E12</f>
        <v>50000000</v>
      </c>
      <c r="H12" s="102" t="n">
        <f aca="false">+H11+F12</f>
        <v>3393055.55555556</v>
      </c>
      <c r="I12" s="64" t="n">
        <f aca="false">+A12</f>
        <v>36983</v>
      </c>
    </row>
    <row r="13" customFormat="false" ht="15.75" hidden="false" customHeight="false" outlineLevel="0" collapsed="false">
      <c r="A13" s="64" t="n">
        <v>37165</v>
      </c>
      <c r="B13" s="202" t="n">
        <f aca="false">+B12+1</f>
        <v>3</v>
      </c>
      <c r="C13" s="102" t="n">
        <f aca="false">G12</f>
        <v>50000000</v>
      </c>
      <c r="D13" s="102" t="n">
        <f aca="false">+F13</f>
        <v>1769444.44444444</v>
      </c>
      <c r="E13" s="102" t="n">
        <f aca="false">D13-F13</f>
        <v>0</v>
      </c>
      <c r="F13" s="102" t="n">
        <f aca="false">C13*$B$4/360*(A13-A12)</f>
        <v>1769444.44444444</v>
      </c>
      <c r="G13" s="102" t="n">
        <f aca="false">C13-E13</f>
        <v>50000000</v>
      </c>
      <c r="H13" s="102" t="n">
        <f aca="false">+H12+F13</f>
        <v>5162500</v>
      </c>
      <c r="I13" s="64" t="n">
        <f aca="false">+A13</f>
        <v>37165</v>
      </c>
    </row>
    <row r="14" customFormat="false" ht="15.75" hidden="false" customHeight="false" outlineLevel="0" collapsed="false">
      <c r="A14" s="64" t="n">
        <v>37347</v>
      </c>
      <c r="B14" s="202" t="n">
        <f aca="false">+B13+1</f>
        <v>4</v>
      </c>
      <c r="C14" s="102" t="n">
        <f aca="false">G13</f>
        <v>50000000</v>
      </c>
      <c r="D14" s="102" t="n">
        <f aca="false">+F14</f>
        <v>1769444.44444444</v>
      </c>
      <c r="E14" s="102" t="n">
        <f aca="false">D14-F14</f>
        <v>0</v>
      </c>
      <c r="F14" s="102" t="n">
        <f aca="false">C14*$B$4/360*(A14-A13)</f>
        <v>1769444.44444444</v>
      </c>
      <c r="G14" s="102" t="n">
        <f aca="false">C14-E14</f>
        <v>50000000</v>
      </c>
      <c r="H14" s="102" t="n">
        <f aca="false">+H13+F14</f>
        <v>6931944.44444444</v>
      </c>
      <c r="I14" s="64" t="n">
        <f aca="false">+A14</f>
        <v>37347</v>
      </c>
    </row>
    <row r="15" customFormat="false" ht="15.75" hidden="false" customHeight="false" outlineLevel="0" collapsed="false">
      <c r="A15" s="64" t="n">
        <v>37530</v>
      </c>
      <c r="B15" s="202" t="n">
        <f aca="false">+B14+1</f>
        <v>5</v>
      </c>
      <c r="C15" s="102" t="n">
        <f aca="false">G14</f>
        <v>50000000</v>
      </c>
      <c r="D15" s="102" t="n">
        <f aca="false">+F15</f>
        <v>1779166.66666667</v>
      </c>
      <c r="E15" s="102" t="n">
        <f aca="false">D15-F15</f>
        <v>0</v>
      </c>
      <c r="F15" s="102" t="n">
        <f aca="false">C15*$B$4/360*(A15-A14)</f>
        <v>1779166.66666667</v>
      </c>
      <c r="G15" s="102" t="n">
        <f aca="false">C15-E15</f>
        <v>50000000</v>
      </c>
      <c r="H15" s="102" t="n">
        <f aca="false">+H14+F15</f>
        <v>8711111.11111111</v>
      </c>
      <c r="I15" s="64" t="n">
        <f aca="false">+A15</f>
        <v>37530</v>
      </c>
    </row>
    <row r="16" customFormat="false" ht="15.75" hidden="false" customHeight="false" outlineLevel="0" collapsed="false">
      <c r="A16" s="64" t="n">
        <v>37712</v>
      </c>
      <c r="B16" s="202" t="n">
        <f aca="false">+B15+1</f>
        <v>6</v>
      </c>
      <c r="C16" s="102" t="n">
        <f aca="false">G15</f>
        <v>50000000</v>
      </c>
      <c r="D16" s="102" t="n">
        <f aca="false">+F16</f>
        <v>1769444.44444444</v>
      </c>
      <c r="E16" s="102" t="n">
        <f aca="false">D16-F16</f>
        <v>0</v>
      </c>
      <c r="F16" s="102" t="n">
        <f aca="false">C16*$B$4/360*(A16-A15)</f>
        <v>1769444.44444444</v>
      </c>
      <c r="G16" s="102" t="n">
        <f aca="false">C16-E16</f>
        <v>50000000</v>
      </c>
      <c r="H16" s="102" t="n">
        <f aca="false">+H15+F16</f>
        <v>10480555.5555556</v>
      </c>
      <c r="I16" s="64" t="n">
        <f aca="false">+A16</f>
        <v>37712</v>
      </c>
    </row>
    <row r="17" customFormat="false" ht="15.75" hidden="false" customHeight="false" outlineLevel="0" collapsed="false">
      <c r="A17" s="64" t="n">
        <v>37895</v>
      </c>
      <c r="B17" s="202" t="n">
        <f aca="false">+B16+1</f>
        <v>7</v>
      </c>
      <c r="C17" s="102" t="n">
        <f aca="false">G16</f>
        <v>50000000</v>
      </c>
      <c r="D17" s="102" t="n">
        <f aca="false">+F17</f>
        <v>1779166.66666667</v>
      </c>
      <c r="E17" s="102" t="n">
        <f aca="false">D17-F17</f>
        <v>0</v>
      </c>
      <c r="F17" s="102" t="n">
        <f aca="false">C17*$B$4/360*(A17-A16)</f>
        <v>1779166.66666667</v>
      </c>
      <c r="G17" s="102" t="n">
        <f aca="false">C17-E17</f>
        <v>50000000</v>
      </c>
      <c r="H17" s="102" t="n">
        <f aca="false">+H16+F17</f>
        <v>12259722.2222222</v>
      </c>
      <c r="I17" s="64" t="n">
        <f aca="false">+A17</f>
        <v>37895</v>
      </c>
    </row>
    <row r="18" customFormat="false" ht="15.75" hidden="false" customHeight="false" outlineLevel="0" collapsed="false">
      <c r="A18" s="64" t="n">
        <v>38078</v>
      </c>
      <c r="B18" s="202" t="n">
        <f aca="false">+B17+1</f>
        <v>8</v>
      </c>
      <c r="C18" s="102" t="n">
        <f aca="false">G17</f>
        <v>50000000</v>
      </c>
      <c r="D18" s="102" t="n">
        <f aca="false">+F18</f>
        <v>1779166.66666667</v>
      </c>
      <c r="E18" s="102" t="n">
        <f aca="false">D18-F18</f>
        <v>0</v>
      </c>
      <c r="F18" s="102" t="n">
        <f aca="false">C18*$B$4/360*(A18-A17)</f>
        <v>1779166.66666667</v>
      </c>
      <c r="G18" s="102" t="n">
        <f aca="false">C18-E18</f>
        <v>50000000</v>
      </c>
      <c r="H18" s="102" t="n">
        <f aca="false">+H17+F18</f>
        <v>14038888.8888889</v>
      </c>
      <c r="I18" s="64" t="n">
        <f aca="false">+A18</f>
        <v>38078</v>
      </c>
    </row>
    <row r="19" customFormat="false" ht="15.75" hidden="false" customHeight="false" outlineLevel="0" collapsed="false">
      <c r="A19" s="64" t="n">
        <v>38261</v>
      </c>
      <c r="B19" s="202" t="n">
        <f aca="false">+B18+1</f>
        <v>9</v>
      </c>
      <c r="C19" s="102" t="n">
        <f aca="false">G18</f>
        <v>50000000</v>
      </c>
      <c r="D19" s="102" t="n">
        <f aca="false">+F19</f>
        <v>1779166.66666667</v>
      </c>
      <c r="E19" s="102" t="n">
        <f aca="false">D19-F19</f>
        <v>0</v>
      </c>
      <c r="F19" s="102" t="n">
        <f aca="false">C19*$B$4/360*(A19-A18)</f>
        <v>1779166.66666667</v>
      </c>
      <c r="G19" s="102" t="n">
        <f aca="false">C19-E19</f>
        <v>50000000</v>
      </c>
      <c r="H19" s="102" t="n">
        <f aca="false">+H18+F19</f>
        <v>15818055.5555556</v>
      </c>
      <c r="I19" s="64" t="n">
        <f aca="false">+A19</f>
        <v>38261</v>
      </c>
    </row>
    <row r="20" customFormat="false" ht="15.75" hidden="false" customHeight="false" outlineLevel="0" collapsed="false">
      <c r="A20" s="64" t="n">
        <v>38443</v>
      </c>
      <c r="B20" s="202" t="n">
        <f aca="false">+B19+1</f>
        <v>10</v>
      </c>
      <c r="C20" s="102" t="n">
        <f aca="false">G19</f>
        <v>50000000</v>
      </c>
      <c r="D20" s="102" t="n">
        <f aca="false">+F20</f>
        <v>1769444.44444444</v>
      </c>
      <c r="E20" s="102" t="n">
        <f aca="false">D20-F20</f>
        <v>0</v>
      </c>
      <c r="F20" s="102" t="n">
        <f aca="false">C20*$B$4/360*(A20-A19)</f>
        <v>1769444.44444444</v>
      </c>
      <c r="G20" s="102" t="n">
        <f aca="false">C20-E20</f>
        <v>50000000</v>
      </c>
      <c r="H20" s="102" t="n">
        <f aca="false">+H19+F20</f>
        <v>17587500</v>
      </c>
      <c r="I20" s="64" t="n">
        <f aca="false">+A20</f>
        <v>38443</v>
      </c>
    </row>
    <row r="21" customFormat="false" ht="16.5" hidden="false" customHeight="false" outlineLevel="0" collapsed="false">
      <c r="A21" s="64"/>
      <c r="B21" s="64"/>
      <c r="D21" s="131" t="n">
        <f aca="false">SUM(D11:D20)</f>
        <v>17587500</v>
      </c>
      <c r="E21" s="131" t="n">
        <f aca="false">SUM(E11:E20)</f>
        <v>0</v>
      </c>
      <c r="F21" s="131" t="n">
        <f aca="false">SUM(F11:F20)</f>
        <v>17587500</v>
      </c>
    </row>
    <row r="22" customFormat="false" ht="16.5" hidden="false" customHeight="false" outlineLevel="0" collapsed="false">
      <c r="A22" s="203"/>
      <c r="B22" s="203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  <c r="IW22" s="154"/>
    </row>
    <row r="23" customFormat="false" ht="15.75" hidden="false" customHeight="false" outlineLevel="0" collapsed="false">
      <c r="A23" s="204" t="n">
        <f aca="false">+Summary!C5</f>
        <v>37134</v>
      </c>
      <c r="B23" s="204"/>
      <c r="C23" s="154"/>
      <c r="D23" s="154"/>
      <c r="E23" s="154" t="s">
        <v>297</v>
      </c>
      <c r="F23" s="154" t="n">
        <f aca="false">VLOOKUP(+A23,Amort,2)</f>
        <v>2</v>
      </c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</row>
    <row r="24" customFormat="false" ht="15.75" hidden="false" customHeight="false" outlineLevel="0" collapsed="false">
      <c r="A24" s="154" t="s">
        <v>299</v>
      </c>
      <c r="B24" s="154" t="n">
        <v>0</v>
      </c>
      <c r="C24" s="154"/>
      <c r="D24" s="154"/>
      <c r="E24" s="154" t="s">
        <v>31</v>
      </c>
      <c r="F24" s="203" t="n">
        <f aca="false">VLOOKUP(+A23,Amort,1)</f>
        <v>36983</v>
      </c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  <c r="IW24" s="154"/>
    </row>
    <row r="25" customFormat="false" ht="15.75" hidden="false" customHeight="false" outlineLevel="0" collapsed="false">
      <c r="A25" s="154" t="s">
        <v>300</v>
      </c>
      <c r="B25" s="61" t="n">
        <f aca="false">VLOOKUP(+A23,Note,8)</f>
        <v>3393055.55555556</v>
      </c>
      <c r="C25" s="154"/>
      <c r="D25" s="154"/>
      <c r="E25" s="154" t="s">
        <v>301</v>
      </c>
      <c r="F25" s="154" t="n">
        <f aca="false">VLOOKUP(+F23+1,NotePeriod,5)</f>
        <v>1769444.44444444</v>
      </c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  <c r="IW25" s="154"/>
    </row>
    <row r="26" customFormat="false" ht="15.75" hidden="false" customHeight="false" outlineLevel="0" collapsed="false">
      <c r="A26" s="203" t="s">
        <v>302</v>
      </c>
      <c r="B26" s="154" t="n">
        <f aca="false">+B24+B25</f>
        <v>3393055.55555556</v>
      </c>
      <c r="C26" s="154"/>
      <c r="D26" s="154"/>
      <c r="E26" s="154" t="s">
        <v>303</v>
      </c>
      <c r="F26" s="203" t="n">
        <f aca="false">VLOOKUP(+F23+1,NotePeriod,8)</f>
        <v>37165</v>
      </c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  <c r="IW26" s="154"/>
    </row>
    <row r="27" customFormat="false" ht="15.75" hidden="false" customHeight="false" outlineLevel="0" collapsed="false">
      <c r="A27" s="203" t="s">
        <v>304</v>
      </c>
      <c r="B27" s="154" t="n">
        <f aca="false">A23-F24</f>
        <v>151</v>
      </c>
      <c r="C27" s="154"/>
      <c r="D27" s="154"/>
      <c r="E27" s="203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  <c r="IW27" s="154"/>
    </row>
    <row r="28" customFormat="false" ht="15.75" hidden="false" customHeight="false" outlineLevel="0" collapsed="false">
      <c r="A28" s="203" t="s">
        <v>305</v>
      </c>
      <c r="B28" s="154" t="n">
        <f aca="false">F25*B27/(F26-F24)</f>
        <v>1468055.55555556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  <c r="IW28" s="154"/>
    </row>
    <row r="29" customFormat="false" ht="15.75" hidden="false" customHeight="false" outlineLevel="0" collapsed="false">
      <c r="A29" s="203" t="s">
        <v>306</v>
      </c>
      <c r="B29" s="154" t="n">
        <f aca="false">+B25+B28</f>
        <v>4861111.11111111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5.75" hidden="false" customHeight="false" outlineLevel="0" collapsed="false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  <c r="IW30" s="154"/>
    </row>
    <row r="31" customFormat="false" ht="15.75" hidden="false" customHeight="false" outlineLevel="0" collapsed="false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  <c r="IW31" s="154"/>
    </row>
    <row r="32" customFormat="false" ht="15.75" hidden="false" customHeight="false" outlineLevel="0" collapsed="false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  <c r="IW32" s="154"/>
    </row>
    <row r="33" customFormat="false" ht="15.75" hidden="false" customHeight="false" outlineLevel="0" collapsed="false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  <c r="IW33" s="154"/>
    </row>
    <row r="34" customFormat="false" ht="15.75" hidden="false" customHeight="false" outlineLevel="0" collapsed="false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  <c r="IW34" s="154"/>
    </row>
    <row r="35" customFormat="false" ht="15.75" hidden="false" customHeight="false" outlineLevel="0" collapsed="false">
      <c r="A35" s="105" t="s">
        <v>307</v>
      </c>
      <c r="B35" s="105"/>
      <c r="G35" s="176"/>
      <c r="H35" s="96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  <c r="IW35" s="154"/>
    </row>
    <row r="36" customFormat="false" ht="15.75" hidden="false" customHeight="false" outlineLevel="0" collapsed="false">
      <c r="B36" s="194" t="s">
        <v>291</v>
      </c>
      <c r="H36" s="96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  <c r="GN36" s="154"/>
      <c r="GO36" s="154"/>
      <c r="GP36" s="154"/>
      <c r="GQ36" s="154"/>
      <c r="GR36" s="154"/>
      <c r="GS36" s="154"/>
      <c r="GT36" s="154"/>
      <c r="GU36" s="154"/>
      <c r="GV36" s="154"/>
      <c r="GW36" s="154"/>
      <c r="GX36" s="154"/>
      <c r="GY36" s="154"/>
      <c r="GZ36" s="154"/>
      <c r="HA36" s="154"/>
      <c r="HB36" s="154"/>
      <c r="HC36" s="154"/>
      <c r="HD36" s="154"/>
      <c r="HE36" s="154"/>
      <c r="HF36" s="154"/>
      <c r="HG36" s="154"/>
      <c r="HH36" s="154"/>
      <c r="HI36" s="154"/>
      <c r="HJ36" s="154"/>
      <c r="HK36" s="154"/>
      <c r="HL36" s="154"/>
      <c r="HM36" s="154"/>
      <c r="HN36" s="154"/>
      <c r="HO36" s="154"/>
      <c r="HP36" s="154"/>
      <c r="HQ36" s="154"/>
      <c r="HR36" s="154"/>
      <c r="HS36" s="154"/>
      <c r="HT36" s="154"/>
      <c r="HU36" s="154"/>
      <c r="HV36" s="154"/>
      <c r="HW36" s="154"/>
      <c r="HX36" s="154"/>
      <c r="HY36" s="154"/>
      <c r="HZ36" s="154"/>
      <c r="IA36" s="154"/>
      <c r="IB36" s="154"/>
      <c r="IC36" s="154"/>
      <c r="ID36" s="154"/>
      <c r="IE36" s="154"/>
      <c r="IF36" s="154"/>
      <c r="IG36" s="154"/>
      <c r="IH36" s="154"/>
      <c r="II36" s="154"/>
      <c r="IJ36" s="154"/>
      <c r="IK36" s="154"/>
      <c r="IL36" s="154"/>
      <c r="IM36" s="154"/>
      <c r="IN36" s="154"/>
      <c r="IO36" s="154"/>
      <c r="IP36" s="154"/>
      <c r="IQ36" s="154"/>
      <c r="IR36" s="154"/>
      <c r="IS36" s="154"/>
      <c r="IT36" s="154"/>
      <c r="IU36" s="154"/>
      <c r="IV36" s="154"/>
      <c r="IW36" s="154"/>
    </row>
    <row r="37" customFormat="false" ht="15.75" hidden="false" customHeight="false" outlineLevel="0" collapsed="false">
      <c r="A37" s="102" t="s">
        <v>292</v>
      </c>
      <c r="B37" s="195" t="n">
        <v>400000000</v>
      </c>
      <c r="H37" s="96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/>
      <c r="EW37" s="154"/>
      <c r="EX37" s="154"/>
      <c r="EY37" s="154"/>
      <c r="EZ37" s="154"/>
      <c r="FA37" s="154"/>
      <c r="FB37" s="154"/>
      <c r="FC37" s="154"/>
      <c r="FD37" s="154"/>
      <c r="FE37" s="154"/>
      <c r="FF37" s="154"/>
      <c r="FG37" s="154"/>
      <c r="FH37" s="154"/>
      <c r="FI37" s="154"/>
      <c r="FJ37" s="154"/>
      <c r="FK37" s="154"/>
      <c r="FL37" s="154"/>
      <c r="FM37" s="154"/>
      <c r="FN37" s="154"/>
      <c r="FO37" s="154"/>
      <c r="FP37" s="154"/>
      <c r="FQ37" s="154"/>
      <c r="FR37" s="154"/>
      <c r="FS37" s="154"/>
      <c r="FT37" s="154"/>
      <c r="FU37" s="154"/>
      <c r="FV37" s="154"/>
      <c r="FW37" s="154"/>
      <c r="FX37" s="154"/>
      <c r="FY37" s="154"/>
      <c r="FZ37" s="154"/>
      <c r="GA37" s="154"/>
      <c r="GB37" s="154"/>
      <c r="GC37" s="154"/>
      <c r="GD37" s="154"/>
      <c r="GE37" s="154"/>
      <c r="GF37" s="154"/>
      <c r="GG37" s="154"/>
      <c r="GH37" s="154"/>
      <c r="GI37" s="154"/>
      <c r="GJ37" s="154"/>
      <c r="GK37" s="154"/>
      <c r="GL37" s="154"/>
      <c r="GM37" s="154"/>
      <c r="GN37" s="154"/>
      <c r="GO37" s="154"/>
      <c r="GP37" s="154"/>
      <c r="GQ37" s="154"/>
      <c r="GR37" s="154"/>
      <c r="GS37" s="154"/>
      <c r="GT37" s="154"/>
      <c r="GU37" s="154"/>
      <c r="GV37" s="154"/>
      <c r="GW37" s="154"/>
      <c r="GX37" s="154"/>
      <c r="GY37" s="154"/>
      <c r="GZ37" s="154"/>
      <c r="HA37" s="154"/>
      <c r="HB37" s="154"/>
      <c r="HC37" s="154"/>
      <c r="HD37" s="154"/>
      <c r="HE37" s="154"/>
      <c r="HF37" s="154"/>
      <c r="HG37" s="154"/>
      <c r="HH37" s="154"/>
      <c r="HI37" s="154"/>
      <c r="HJ37" s="154"/>
      <c r="HK37" s="154"/>
      <c r="HL37" s="154"/>
      <c r="HM37" s="154"/>
      <c r="HN37" s="154"/>
      <c r="HO37" s="154"/>
      <c r="HP37" s="154"/>
      <c r="HQ37" s="154"/>
      <c r="HR37" s="154"/>
      <c r="HS37" s="154"/>
      <c r="HT37" s="154"/>
      <c r="HU37" s="154"/>
      <c r="HV37" s="154"/>
      <c r="HW37" s="154"/>
      <c r="HX37" s="154"/>
      <c r="HY37" s="154"/>
      <c r="HZ37" s="154"/>
      <c r="IA37" s="154"/>
      <c r="IB37" s="154"/>
      <c r="IC37" s="154"/>
      <c r="ID37" s="154"/>
      <c r="IE37" s="154"/>
      <c r="IF37" s="154"/>
      <c r="IG37" s="154"/>
      <c r="IH37" s="154"/>
      <c r="II37" s="154"/>
      <c r="IJ37" s="154"/>
      <c r="IK37" s="154"/>
      <c r="IL37" s="154"/>
      <c r="IM37" s="154"/>
      <c r="IN37" s="154"/>
      <c r="IO37" s="154"/>
      <c r="IP37" s="154"/>
      <c r="IQ37" s="154"/>
      <c r="IR37" s="154"/>
      <c r="IS37" s="154"/>
      <c r="IT37" s="154"/>
      <c r="IU37" s="154"/>
      <c r="IV37" s="154"/>
      <c r="IW37" s="154"/>
    </row>
    <row r="38" customFormat="false" ht="15.75" hidden="false" customHeight="false" outlineLevel="0" collapsed="false">
      <c r="A38" s="102" t="s">
        <v>293</v>
      </c>
      <c r="B38" s="196" t="n">
        <v>0.07</v>
      </c>
      <c r="H38" s="96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/>
      <c r="EX38" s="154"/>
      <c r="EY38" s="154"/>
      <c r="EZ38" s="154"/>
      <c r="FA38" s="154"/>
      <c r="FB38" s="154"/>
      <c r="FC38" s="154"/>
      <c r="FD38" s="154"/>
      <c r="FE38" s="154"/>
      <c r="FF38" s="154"/>
      <c r="FG38" s="154"/>
      <c r="FH38" s="154"/>
      <c r="FI38" s="154"/>
      <c r="FJ38" s="154"/>
      <c r="FK38" s="154"/>
      <c r="FL38" s="154"/>
      <c r="FM38" s="154"/>
      <c r="FN38" s="154"/>
      <c r="FO38" s="154"/>
      <c r="FP38" s="154"/>
      <c r="FQ38" s="154"/>
      <c r="FR38" s="154"/>
      <c r="FS38" s="154"/>
      <c r="FT38" s="154"/>
      <c r="FU38" s="154"/>
      <c r="FV38" s="154"/>
      <c r="FW38" s="154"/>
      <c r="FX38" s="154"/>
      <c r="FY38" s="154"/>
      <c r="FZ38" s="154"/>
      <c r="GA38" s="154"/>
      <c r="GB38" s="154"/>
      <c r="GC38" s="154"/>
      <c r="GD38" s="154"/>
      <c r="GE38" s="154"/>
      <c r="GF38" s="154"/>
      <c r="GG38" s="154"/>
      <c r="GH38" s="154"/>
      <c r="GI38" s="154"/>
      <c r="GJ38" s="154"/>
      <c r="GK38" s="154"/>
      <c r="GL38" s="154"/>
      <c r="GM38" s="154"/>
      <c r="GN38" s="154"/>
      <c r="GO38" s="154"/>
      <c r="GP38" s="154"/>
      <c r="GQ38" s="154"/>
      <c r="GR38" s="154"/>
      <c r="GS38" s="154"/>
      <c r="GT38" s="154"/>
      <c r="GU38" s="154"/>
      <c r="GV38" s="154"/>
      <c r="GW38" s="154"/>
      <c r="GX38" s="154"/>
      <c r="GY38" s="154"/>
      <c r="GZ38" s="154"/>
      <c r="HA38" s="154"/>
      <c r="HB38" s="154"/>
      <c r="HC38" s="154"/>
      <c r="HD38" s="154"/>
      <c r="HE38" s="154"/>
      <c r="HF38" s="154"/>
      <c r="HG38" s="154"/>
      <c r="HH38" s="154"/>
      <c r="HI38" s="154"/>
      <c r="HJ38" s="154"/>
      <c r="HK38" s="154"/>
      <c r="HL38" s="154"/>
      <c r="HM38" s="154"/>
      <c r="HN38" s="154"/>
      <c r="HO38" s="154"/>
      <c r="HP38" s="154"/>
      <c r="HQ38" s="154"/>
      <c r="HR38" s="154"/>
      <c r="HS38" s="154"/>
      <c r="HT38" s="154"/>
      <c r="HU38" s="154"/>
      <c r="HV38" s="154"/>
      <c r="HW38" s="154"/>
      <c r="HX38" s="154"/>
      <c r="HY38" s="154"/>
      <c r="HZ38" s="154"/>
      <c r="IA38" s="154"/>
      <c r="IB38" s="154"/>
      <c r="IC38" s="154"/>
      <c r="ID38" s="154"/>
      <c r="IE38" s="154"/>
      <c r="IF38" s="154"/>
      <c r="IG38" s="154"/>
      <c r="IH38" s="154"/>
      <c r="II38" s="154"/>
      <c r="IJ38" s="154"/>
      <c r="IK38" s="154"/>
      <c r="IL38" s="154"/>
      <c r="IM38" s="154"/>
      <c r="IN38" s="154"/>
      <c r="IO38" s="154"/>
      <c r="IP38" s="154"/>
      <c r="IQ38" s="154"/>
      <c r="IR38" s="154"/>
      <c r="IS38" s="154"/>
      <c r="IT38" s="154"/>
      <c r="IU38" s="154"/>
      <c r="IV38" s="154"/>
      <c r="IW38" s="154"/>
    </row>
    <row r="39" customFormat="false" ht="15.75" hidden="false" customHeight="false" outlineLevel="0" collapsed="false">
      <c r="A39" s="102" t="s">
        <v>295</v>
      </c>
      <c r="B39" s="198" t="n">
        <v>2</v>
      </c>
      <c r="H39" s="96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  <c r="IW39" s="154"/>
    </row>
    <row r="40" customFormat="false" ht="15.75" hidden="false" customHeight="false" outlineLevel="0" collapsed="false">
      <c r="H40" s="96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  <c r="GN40" s="154"/>
      <c r="GO40" s="154"/>
      <c r="GP40" s="154"/>
      <c r="GQ40" s="154"/>
      <c r="GR40" s="154"/>
      <c r="GS40" s="154"/>
      <c r="GT40" s="154"/>
      <c r="GU40" s="154"/>
      <c r="GV40" s="154"/>
      <c r="GW40" s="154"/>
      <c r="GX40" s="154"/>
      <c r="GY40" s="154"/>
      <c r="GZ40" s="154"/>
      <c r="HA40" s="154"/>
      <c r="HB40" s="154"/>
      <c r="HC40" s="154"/>
      <c r="HD40" s="154"/>
      <c r="HE40" s="154"/>
      <c r="HF40" s="154"/>
      <c r="HG40" s="154"/>
      <c r="HH40" s="154"/>
      <c r="HI40" s="154"/>
      <c r="HJ40" s="154"/>
      <c r="HK40" s="154"/>
      <c r="HL40" s="154"/>
      <c r="HM40" s="154"/>
      <c r="HN40" s="154"/>
      <c r="HO40" s="154"/>
      <c r="HP40" s="154"/>
      <c r="HQ40" s="154"/>
      <c r="HR40" s="154"/>
      <c r="HS40" s="154"/>
      <c r="HT40" s="154"/>
      <c r="HU40" s="154"/>
      <c r="HV40" s="154"/>
      <c r="HW40" s="154"/>
      <c r="HX40" s="154"/>
      <c r="HY40" s="154"/>
      <c r="HZ40" s="154"/>
      <c r="IA40" s="154"/>
      <c r="IB40" s="154"/>
      <c r="IC40" s="154"/>
      <c r="ID40" s="154"/>
      <c r="IE40" s="154"/>
      <c r="IF40" s="154"/>
      <c r="IG40" s="154"/>
      <c r="IH40" s="154"/>
      <c r="II40" s="154"/>
      <c r="IJ40" s="154"/>
      <c r="IK40" s="154"/>
      <c r="IL40" s="154"/>
      <c r="IM40" s="154"/>
      <c r="IN40" s="154"/>
      <c r="IO40" s="154"/>
      <c r="IP40" s="154"/>
      <c r="IQ40" s="154"/>
      <c r="IR40" s="154"/>
      <c r="IS40" s="154"/>
      <c r="IT40" s="154"/>
      <c r="IU40" s="154"/>
      <c r="IV40" s="154"/>
      <c r="IW40" s="154"/>
    </row>
    <row r="41" customFormat="false" ht="26.25" hidden="false" customHeight="false" outlineLevel="0" collapsed="false">
      <c r="A41" s="199"/>
      <c r="B41" s="200" t="s">
        <v>297</v>
      </c>
      <c r="C41" s="201" t="s">
        <v>256</v>
      </c>
      <c r="D41" s="201" t="s">
        <v>308</v>
      </c>
      <c r="E41" s="201" t="s">
        <v>292</v>
      </c>
      <c r="F41" s="201" t="s">
        <v>269</v>
      </c>
      <c r="G41" s="201" t="s">
        <v>264</v>
      </c>
      <c r="H41" s="201" t="s">
        <v>298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  <c r="GN41" s="154"/>
      <c r="GO41" s="154"/>
      <c r="GP41" s="154"/>
      <c r="GQ41" s="154"/>
      <c r="GR41" s="154"/>
      <c r="GS41" s="154"/>
      <c r="GT41" s="154"/>
      <c r="GU41" s="154"/>
      <c r="GV41" s="154"/>
      <c r="GW41" s="154"/>
      <c r="GX41" s="154"/>
      <c r="GY41" s="154"/>
      <c r="GZ41" s="154"/>
      <c r="HA41" s="154"/>
      <c r="HB41" s="154"/>
      <c r="HC41" s="154"/>
      <c r="HD41" s="154"/>
      <c r="HE41" s="154"/>
      <c r="HF41" s="154"/>
      <c r="HG41" s="154"/>
      <c r="HH41" s="154"/>
      <c r="HI41" s="154"/>
      <c r="HJ41" s="154"/>
      <c r="HK41" s="154"/>
      <c r="HL41" s="154"/>
      <c r="HM41" s="154"/>
      <c r="HN41" s="154"/>
      <c r="HO41" s="154"/>
      <c r="HP41" s="154"/>
      <c r="HQ41" s="154"/>
      <c r="HR41" s="154"/>
      <c r="HS41" s="154"/>
      <c r="HT41" s="154"/>
      <c r="HU41" s="154"/>
      <c r="HV41" s="154"/>
      <c r="HW41" s="154"/>
      <c r="HX41" s="154"/>
      <c r="HY41" s="154"/>
      <c r="HZ41" s="154"/>
      <c r="IA41" s="154"/>
      <c r="IB41" s="154"/>
      <c r="IC41" s="154"/>
      <c r="ID41" s="154"/>
      <c r="IE41" s="154"/>
      <c r="IF41" s="154"/>
      <c r="IG41" s="154"/>
      <c r="IH41" s="154"/>
      <c r="II41" s="154"/>
      <c r="IJ41" s="154"/>
      <c r="IK41" s="154"/>
      <c r="IL41" s="154"/>
      <c r="IM41" s="154"/>
      <c r="IN41" s="154"/>
      <c r="IO41" s="154"/>
      <c r="IP41" s="154"/>
      <c r="IQ41" s="154"/>
      <c r="IR41" s="154"/>
      <c r="IS41" s="154"/>
      <c r="IT41" s="154"/>
      <c r="IU41" s="154"/>
      <c r="IV41" s="154"/>
      <c r="IW41" s="154"/>
    </row>
    <row r="42" customFormat="false" ht="15.75" hidden="false" customHeight="false" outlineLevel="0" collapsed="false">
      <c r="A42" s="64" t="n">
        <v>36634</v>
      </c>
      <c r="B42" s="202" t="n">
        <v>0</v>
      </c>
      <c r="C42" s="102" t="n">
        <f aca="false">B37</f>
        <v>400000000</v>
      </c>
      <c r="D42" s="102" t="n">
        <v>0</v>
      </c>
      <c r="E42" s="102" t="n">
        <v>0</v>
      </c>
      <c r="F42" s="102" t="n">
        <v>0</v>
      </c>
      <c r="G42" s="102" t="n">
        <f aca="false">+C42+D42+E42+F42</f>
        <v>400000000</v>
      </c>
      <c r="H42" s="102" t="n">
        <f aca="false">+F42</f>
        <v>0</v>
      </c>
      <c r="I42" s="64" t="n">
        <f aca="false">+A42</f>
        <v>36634</v>
      </c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  <c r="FK42" s="154"/>
      <c r="FL42" s="154"/>
      <c r="FM42" s="154"/>
      <c r="FN42" s="154"/>
      <c r="FO42" s="154"/>
      <c r="FP42" s="154"/>
      <c r="FQ42" s="154"/>
      <c r="FR42" s="154"/>
      <c r="FS42" s="154"/>
      <c r="FT42" s="154"/>
      <c r="FU42" s="154"/>
      <c r="FV42" s="154"/>
      <c r="FW42" s="154"/>
      <c r="FX42" s="154"/>
      <c r="FY42" s="154"/>
      <c r="FZ42" s="154"/>
      <c r="GA42" s="154"/>
      <c r="GB42" s="154"/>
      <c r="GC42" s="154"/>
      <c r="GD42" s="154"/>
      <c r="GE42" s="154"/>
      <c r="GF42" s="154"/>
      <c r="GG42" s="154"/>
      <c r="GH42" s="154"/>
      <c r="GI42" s="154"/>
      <c r="GJ42" s="154"/>
      <c r="GK42" s="154"/>
      <c r="GL42" s="154"/>
      <c r="GM42" s="154"/>
      <c r="GN42" s="154"/>
      <c r="GO42" s="154"/>
      <c r="GP42" s="154"/>
      <c r="GQ42" s="154"/>
      <c r="GR42" s="154"/>
      <c r="GS42" s="154"/>
      <c r="GT42" s="154"/>
      <c r="GU42" s="154"/>
      <c r="GV42" s="154"/>
      <c r="GW42" s="154"/>
      <c r="GX42" s="154"/>
      <c r="GY42" s="154"/>
      <c r="GZ42" s="154"/>
      <c r="HA42" s="154"/>
      <c r="HB42" s="154"/>
      <c r="HC42" s="154"/>
      <c r="HD42" s="154"/>
      <c r="HE42" s="154"/>
      <c r="HF42" s="154"/>
      <c r="HG42" s="154"/>
      <c r="HH42" s="154"/>
      <c r="HI42" s="154"/>
      <c r="HJ42" s="154"/>
      <c r="HK42" s="154"/>
      <c r="HL42" s="154"/>
      <c r="HM42" s="154"/>
      <c r="HN42" s="154"/>
      <c r="HO42" s="154"/>
      <c r="HP42" s="154"/>
      <c r="HQ42" s="154"/>
      <c r="HR42" s="154"/>
      <c r="HS42" s="154"/>
      <c r="HT42" s="154"/>
      <c r="HU42" s="154"/>
      <c r="HV42" s="154"/>
      <c r="HW42" s="154"/>
      <c r="HX42" s="154"/>
      <c r="HY42" s="154"/>
      <c r="HZ42" s="154"/>
      <c r="IA42" s="154"/>
      <c r="IB42" s="154"/>
      <c r="IC42" s="154"/>
      <c r="ID42" s="154"/>
      <c r="IE42" s="154"/>
      <c r="IF42" s="154"/>
      <c r="IG42" s="154"/>
      <c r="IH42" s="154"/>
      <c r="II42" s="154"/>
      <c r="IJ42" s="154"/>
      <c r="IK42" s="154"/>
      <c r="IL42" s="154"/>
      <c r="IM42" s="154"/>
      <c r="IN42" s="154"/>
      <c r="IO42" s="154"/>
      <c r="IP42" s="154"/>
      <c r="IQ42" s="154"/>
      <c r="IR42" s="154"/>
      <c r="IS42" s="154"/>
      <c r="IT42" s="154"/>
      <c r="IU42" s="154"/>
      <c r="IV42" s="154"/>
      <c r="IW42" s="154"/>
    </row>
    <row r="43" customFormat="false" ht="15.75" hidden="false" customHeight="false" outlineLevel="0" collapsed="false">
      <c r="A43" s="64" t="n">
        <v>36801</v>
      </c>
      <c r="B43" s="202" t="n">
        <f aca="false">+B42+1</f>
        <v>1</v>
      </c>
      <c r="C43" s="102" t="n">
        <f aca="false">G42</f>
        <v>400000000</v>
      </c>
      <c r="D43" s="102" t="n">
        <f aca="false">+E68</f>
        <v>-32474967.39</v>
      </c>
      <c r="E43" s="102" t="n">
        <v>0</v>
      </c>
      <c r="F43" s="102" t="n">
        <f aca="false">C43*$B$38/360*(A43-A42)</f>
        <v>12988888.8888889</v>
      </c>
      <c r="G43" s="102" t="n">
        <f aca="false">+C43+D43+E43+F43</f>
        <v>380513921.498889</v>
      </c>
      <c r="H43" s="102" t="n">
        <f aca="false">+H42+F43</f>
        <v>12988888.8888889</v>
      </c>
      <c r="I43" s="64" t="n">
        <f aca="false">+A43</f>
        <v>36801</v>
      </c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  <c r="FK43" s="154"/>
      <c r="FL43" s="154"/>
      <c r="FM43" s="154"/>
      <c r="FN43" s="154"/>
      <c r="FO43" s="154"/>
      <c r="FP43" s="154"/>
      <c r="FQ43" s="154"/>
      <c r="FR43" s="154"/>
      <c r="FS43" s="154"/>
      <c r="FT43" s="154"/>
      <c r="FU43" s="154"/>
      <c r="FV43" s="154"/>
      <c r="FW43" s="154"/>
      <c r="FX43" s="154"/>
      <c r="FY43" s="154"/>
      <c r="FZ43" s="154"/>
      <c r="GA43" s="154"/>
      <c r="GB43" s="154"/>
      <c r="GC43" s="154"/>
      <c r="GD43" s="154"/>
      <c r="GE43" s="154"/>
      <c r="GF43" s="154"/>
      <c r="GG43" s="154"/>
      <c r="GH43" s="154"/>
      <c r="GI43" s="154"/>
      <c r="GJ43" s="154"/>
      <c r="GK43" s="154"/>
      <c r="GL43" s="154"/>
      <c r="GM43" s="154"/>
      <c r="GN43" s="154"/>
      <c r="GO43" s="154"/>
      <c r="GP43" s="154"/>
      <c r="GQ43" s="154"/>
      <c r="GR43" s="154"/>
      <c r="GS43" s="154"/>
      <c r="GT43" s="154"/>
      <c r="GU43" s="154"/>
      <c r="GV43" s="154"/>
      <c r="GW43" s="154"/>
      <c r="GX43" s="154"/>
      <c r="GY43" s="154"/>
      <c r="GZ43" s="154"/>
      <c r="HA43" s="154"/>
      <c r="HB43" s="154"/>
      <c r="HC43" s="154"/>
      <c r="HD43" s="154"/>
      <c r="HE43" s="154"/>
      <c r="HF43" s="154"/>
      <c r="HG43" s="154"/>
      <c r="HH43" s="154"/>
      <c r="HI43" s="154"/>
      <c r="HJ43" s="154"/>
      <c r="HK43" s="154"/>
      <c r="HL43" s="154"/>
      <c r="HM43" s="154"/>
      <c r="HN43" s="154"/>
      <c r="HO43" s="154"/>
      <c r="HP43" s="154"/>
      <c r="HQ43" s="154"/>
      <c r="HR43" s="154"/>
      <c r="HS43" s="154"/>
      <c r="HT43" s="154"/>
      <c r="HU43" s="154"/>
      <c r="HV43" s="154"/>
      <c r="HW43" s="154"/>
      <c r="HX43" s="154"/>
      <c r="HY43" s="154"/>
      <c r="HZ43" s="154"/>
      <c r="IA43" s="154"/>
      <c r="IB43" s="154"/>
      <c r="IC43" s="154"/>
      <c r="ID43" s="154"/>
      <c r="IE43" s="154"/>
      <c r="IF43" s="154"/>
      <c r="IG43" s="154"/>
      <c r="IH43" s="154"/>
      <c r="II43" s="154"/>
      <c r="IJ43" s="154"/>
      <c r="IK43" s="154"/>
      <c r="IL43" s="154"/>
      <c r="IM43" s="154"/>
      <c r="IN43" s="154"/>
      <c r="IO43" s="154"/>
      <c r="IP43" s="154"/>
      <c r="IQ43" s="154"/>
      <c r="IR43" s="154"/>
      <c r="IS43" s="154"/>
      <c r="IT43" s="154"/>
      <c r="IU43" s="154"/>
      <c r="IV43" s="154"/>
      <c r="IW43" s="154"/>
    </row>
    <row r="44" customFormat="false" ht="15.75" hidden="false" customHeight="false" outlineLevel="0" collapsed="false">
      <c r="A44" s="64" t="n">
        <v>36983</v>
      </c>
      <c r="B44" s="202" t="n">
        <f aca="false">+B43+1</f>
        <v>2</v>
      </c>
      <c r="C44" s="102" t="n">
        <f aca="false">G43</f>
        <v>380513921.498889</v>
      </c>
      <c r="D44" s="102" t="n">
        <f aca="false">+E81</f>
        <v>74886439.0528777</v>
      </c>
      <c r="E44" s="102" t="n">
        <v>0</v>
      </c>
      <c r="F44" s="102" t="n">
        <f aca="false">C44*$B$38/360*(A44-A43)</f>
        <v>13465964.8885996</v>
      </c>
      <c r="G44" s="102" t="n">
        <f aca="false">+C44+D44+E44+F44</f>
        <v>468866325.440366</v>
      </c>
      <c r="H44" s="102" t="n">
        <f aca="false">+H43+F44</f>
        <v>26454853.7774885</v>
      </c>
      <c r="I44" s="64" t="n">
        <f aca="false">+A44</f>
        <v>36983</v>
      </c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  <c r="FK44" s="154"/>
      <c r="FL44" s="154"/>
      <c r="FM44" s="154"/>
      <c r="FN44" s="154"/>
      <c r="FO44" s="154"/>
      <c r="FP44" s="154"/>
      <c r="FQ44" s="154"/>
      <c r="FR44" s="154"/>
      <c r="FS44" s="154"/>
      <c r="FT44" s="154"/>
      <c r="FU44" s="154"/>
      <c r="FV44" s="154"/>
      <c r="FW44" s="154"/>
      <c r="FX44" s="154"/>
      <c r="FY44" s="154"/>
      <c r="FZ44" s="154"/>
      <c r="GA44" s="154"/>
      <c r="GB44" s="154"/>
      <c r="GC44" s="154"/>
      <c r="GD44" s="154"/>
      <c r="GE44" s="154"/>
      <c r="GF44" s="154"/>
      <c r="GG44" s="154"/>
      <c r="GH44" s="154"/>
      <c r="GI44" s="154"/>
      <c r="GJ44" s="154"/>
      <c r="GK44" s="154"/>
      <c r="GL44" s="154"/>
      <c r="GM44" s="154"/>
      <c r="GN44" s="154"/>
      <c r="GO44" s="154"/>
      <c r="GP44" s="154"/>
      <c r="GQ44" s="154"/>
      <c r="GR44" s="154"/>
      <c r="GS44" s="154"/>
      <c r="GT44" s="154"/>
      <c r="GU44" s="154"/>
      <c r="GV44" s="154"/>
      <c r="GW44" s="154"/>
      <c r="GX44" s="154"/>
      <c r="GY44" s="154"/>
      <c r="GZ44" s="154"/>
      <c r="HA44" s="154"/>
      <c r="HB44" s="154"/>
      <c r="HC44" s="154"/>
      <c r="HD44" s="154"/>
      <c r="HE44" s="154"/>
      <c r="HF44" s="154"/>
      <c r="HG44" s="154"/>
      <c r="HH44" s="154"/>
      <c r="HI44" s="154"/>
      <c r="HJ44" s="154"/>
      <c r="HK44" s="154"/>
      <c r="HL44" s="154"/>
      <c r="HM44" s="154"/>
      <c r="HN44" s="154"/>
      <c r="HO44" s="154"/>
      <c r="HP44" s="154"/>
      <c r="HQ44" s="154"/>
      <c r="HR44" s="154"/>
      <c r="HS44" s="154"/>
      <c r="HT44" s="154"/>
      <c r="HU44" s="154"/>
      <c r="HV44" s="154"/>
      <c r="HW44" s="154"/>
      <c r="HX44" s="154"/>
      <c r="HY44" s="154"/>
      <c r="HZ44" s="154"/>
      <c r="IA44" s="154"/>
      <c r="IB44" s="154"/>
      <c r="IC44" s="154"/>
      <c r="ID44" s="154"/>
      <c r="IE44" s="154"/>
      <c r="IF44" s="154"/>
      <c r="IG44" s="154"/>
      <c r="IH44" s="154"/>
      <c r="II44" s="154"/>
      <c r="IJ44" s="154"/>
      <c r="IK44" s="154"/>
      <c r="IL44" s="154"/>
      <c r="IM44" s="154"/>
      <c r="IN44" s="154"/>
      <c r="IO44" s="154"/>
      <c r="IP44" s="154"/>
      <c r="IQ44" s="154"/>
      <c r="IR44" s="154"/>
      <c r="IS44" s="154"/>
      <c r="IT44" s="154"/>
      <c r="IU44" s="154"/>
      <c r="IV44" s="154"/>
      <c r="IW44" s="154"/>
    </row>
    <row r="45" customFormat="false" ht="15.75" hidden="false" customHeight="false" outlineLevel="0" collapsed="false">
      <c r="A45" s="64" t="n">
        <v>37165</v>
      </c>
      <c r="B45" s="202" t="n">
        <f aca="false">+B44+1</f>
        <v>3</v>
      </c>
      <c r="C45" s="102" t="n">
        <f aca="false">G44</f>
        <v>468866325.440366</v>
      </c>
      <c r="D45" s="102" t="n">
        <f aca="false">+E103</f>
        <v>53942853.3625984</v>
      </c>
      <c r="E45" s="102" t="n">
        <v>0</v>
      </c>
      <c r="F45" s="102" t="n">
        <f aca="false">C45*$B$38/360*(A45-A44)</f>
        <v>16592658.2947507</v>
      </c>
      <c r="G45" s="102" t="n">
        <f aca="false">+C45+D45+E45+F45</f>
        <v>539401837.097715</v>
      </c>
      <c r="H45" s="102" t="n">
        <f aca="false">+H44+F45</f>
        <v>43047512.0722392</v>
      </c>
      <c r="I45" s="64" t="n">
        <f aca="false">+A45</f>
        <v>37165</v>
      </c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/>
      <c r="EW45" s="154"/>
      <c r="EX45" s="154"/>
      <c r="EY45" s="154"/>
      <c r="EZ45" s="154"/>
      <c r="FA45" s="154"/>
      <c r="FB45" s="154"/>
      <c r="FC45" s="154"/>
      <c r="FD45" s="154"/>
      <c r="FE45" s="154"/>
      <c r="FF45" s="154"/>
      <c r="FG45" s="154"/>
      <c r="FH45" s="154"/>
      <c r="FI45" s="154"/>
      <c r="FJ45" s="154"/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J45" s="154"/>
      <c r="GK45" s="154"/>
      <c r="GL45" s="154"/>
      <c r="GM45" s="154"/>
      <c r="GN45" s="154"/>
      <c r="GO45" s="154"/>
      <c r="GP45" s="154"/>
      <c r="GQ45" s="154"/>
      <c r="GR45" s="154"/>
      <c r="GS45" s="154"/>
      <c r="GT45" s="154"/>
      <c r="GU45" s="154"/>
      <c r="GV45" s="154"/>
      <c r="GW45" s="154"/>
      <c r="GX45" s="154"/>
      <c r="GY45" s="154"/>
      <c r="GZ45" s="154"/>
      <c r="HA45" s="154"/>
      <c r="HB45" s="154"/>
      <c r="HC45" s="154"/>
      <c r="HD45" s="154"/>
      <c r="HE45" s="154"/>
      <c r="HF45" s="154"/>
      <c r="HG45" s="154"/>
      <c r="HH45" s="154"/>
      <c r="HI45" s="154"/>
      <c r="HJ45" s="154"/>
      <c r="HK45" s="154"/>
      <c r="HL45" s="154"/>
      <c r="HM45" s="154"/>
      <c r="HN45" s="154"/>
      <c r="HO45" s="154"/>
      <c r="HP45" s="154"/>
      <c r="HQ45" s="154"/>
      <c r="HR45" s="154"/>
      <c r="HS45" s="154"/>
      <c r="HT45" s="154"/>
      <c r="HU45" s="154"/>
      <c r="HV45" s="154"/>
      <c r="HW45" s="154"/>
      <c r="HX45" s="154"/>
      <c r="HY45" s="154"/>
      <c r="HZ45" s="154"/>
      <c r="IA45" s="154"/>
      <c r="IB45" s="154"/>
      <c r="IC45" s="154"/>
      <c r="ID45" s="154"/>
      <c r="IE45" s="154"/>
      <c r="IF45" s="154"/>
      <c r="IG45" s="154"/>
      <c r="IH45" s="154"/>
      <c r="II45" s="154"/>
      <c r="IJ45" s="154"/>
      <c r="IK45" s="154"/>
      <c r="IL45" s="154"/>
      <c r="IM45" s="154"/>
      <c r="IN45" s="154"/>
      <c r="IO45" s="154"/>
      <c r="IP45" s="154"/>
      <c r="IQ45" s="154"/>
      <c r="IR45" s="154"/>
      <c r="IS45" s="154"/>
      <c r="IT45" s="154"/>
      <c r="IU45" s="154"/>
      <c r="IV45" s="154"/>
      <c r="IW45" s="154"/>
    </row>
    <row r="46" customFormat="false" ht="15.75" hidden="false" customHeight="false" outlineLevel="0" collapsed="false">
      <c r="A46" s="64" t="n">
        <v>37347</v>
      </c>
      <c r="B46" s="202" t="n">
        <f aca="false">+B45+1</f>
        <v>4</v>
      </c>
      <c r="C46" s="102" t="n">
        <f aca="false">G45</f>
        <v>539401837.097715</v>
      </c>
      <c r="D46" s="102" t="n">
        <v>0</v>
      </c>
      <c r="E46" s="102" t="n">
        <v>0</v>
      </c>
      <c r="F46" s="102" t="n">
        <f aca="false">C46*$B$38/360*(A46-A45)</f>
        <v>19088831.6795136</v>
      </c>
      <c r="G46" s="102" t="n">
        <f aca="false">+C46+D46+E46+F46</f>
        <v>558490668.777229</v>
      </c>
      <c r="H46" s="102" t="n">
        <f aca="false">+H45+F46</f>
        <v>62136343.7517528</v>
      </c>
      <c r="I46" s="64" t="n">
        <f aca="false">+A46</f>
        <v>37347</v>
      </c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/>
      <c r="EW46" s="154"/>
      <c r="EX46" s="154"/>
      <c r="EY46" s="154"/>
      <c r="EZ46" s="154"/>
      <c r="FA46" s="154"/>
      <c r="FB46" s="154"/>
      <c r="FC46" s="154"/>
      <c r="FD46" s="154"/>
      <c r="FE46" s="154"/>
      <c r="FF46" s="154"/>
      <c r="FG46" s="154"/>
      <c r="FH46" s="154"/>
      <c r="FI46" s="154"/>
      <c r="FJ46" s="154"/>
      <c r="FK46" s="154"/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154"/>
      <c r="GK46" s="154"/>
      <c r="GL46" s="154"/>
      <c r="GM46" s="154"/>
      <c r="GN46" s="154"/>
      <c r="GO46" s="154"/>
      <c r="GP46" s="154"/>
      <c r="GQ46" s="154"/>
      <c r="GR46" s="154"/>
      <c r="GS46" s="154"/>
      <c r="GT46" s="154"/>
      <c r="GU46" s="154"/>
      <c r="GV46" s="154"/>
      <c r="GW46" s="154"/>
      <c r="GX46" s="154"/>
      <c r="GY46" s="154"/>
      <c r="GZ46" s="154"/>
      <c r="HA46" s="154"/>
      <c r="HB46" s="154"/>
      <c r="HC46" s="154"/>
      <c r="HD46" s="154"/>
      <c r="HE46" s="154"/>
      <c r="HF46" s="154"/>
      <c r="HG46" s="154"/>
      <c r="HH46" s="154"/>
      <c r="HI46" s="154"/>
      <c r="HJ46" s="154"/>
      <c r="HK46" s="154"/>
      <c r="HL46" s="154"/>
      <c r="HM46" s="154"/>
      <c r="HN46" s="154"/>
      <c r="HO46" s="154"/>
      <c r="HP46" s="154"/>
      <c r="HQ46" s="154"/>
      <c r="HR46" s="154"/>
      <c r="HS46" s="154"/>
      <c r="HT46" s="154"/>
      <c r="HU46" s="154"/>
      <c r="HV46" s="154"/>
      <c r="HW46" s="154"/>
      <c r="HX46" s="154"/>
      <c r="HY46" s="154"/>
      <c r="HZ46" s="154"/>
      <c r="IA46" s="154"/>
      <c r="IB46" s="154"/>
      <c r="IC46" s="154"/>
      <c r="ID46" s="154"/>
      <c r="IE46" s="154"/>
      <c r="IF46" s="154"/>
      <c r="IG46" s="154"/>
      <c r="IH46" s="154"/>
      <c r="II46" s="154"/>
      <c r="IJ46" s="154"/>
      <c r="IK46" s="154"/>
      <c r="IL46" s="154"/>
      <c r="IM46" s="154"/>
      <c r="IN46" s="154"/>
      <c r="IO46" s="154"/>
      <c r="IP46" s="154"/>
      <c r="IQ46" s="154"/>
      <c r="IR46" s="154"/>
      <c r="IS46" s="154"/>
      <c r="IT46" s="154"/>
      <c r="IU46" s="154"/>
      <c r="IV46" s="154"/>
      <c r="IW46" s="154"/>
    </row>
    <row r="47" customFormat="false" ht="15.75" hidden="false" customHeight="false" outlineLevel="0" collapsed="false">
      <c r="A47" s="64" t="n">
        <v>37530</v>
      </c>
      <c r="B47" s="202" t="n">
        <f aca="false">+B46+1</f>
        <v>5</v>
      </c>
      <c r="C47" s="102" t="n">
        <f aca="false">G46</f>
        <v>558490668.777229</v>
      </c>
      <c r="D47" s="102" t="n">
        <v>0</v>
      </c>
      <c r="E47" s="102" t="n">
        <v>0</v>
      </c>
      <c r="F47" s="102" t="n">
        <f aca="false">C47*$B$38/360*(A47-A46)</f>
        <v>19872959.6306564</v>
      </c>
      <c r="G47" s="102" t="n">
        <f aca="false">+C47+D47+E47+F47</f>
        <v>578363628.407885</v>
      </c>
      <c r="H47" s="102" t="n">
        <f aca="false">+H46+F47</f>
        <v>82009303.3824092</v>
      </c>
      <c r="I47" s="64" t="n">
        <f aca="false">+A47</f>
        <v>37530</v>
      </c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4"/>
      <c r="IW47" s="154"/>
    </row>
    <row r="48" customFormat="false" ht="15.75" hidden="false" customHeight="false" outlineLevel="0" collapsed="false">
      <c r="A48" s="64" t="n">
        <v>37712</v>
      </c>
      <c r="B48" s="202" t="n">
        <f aca="false">+B47+1</f>
        <v>6</v>
      </c>
      <c r="C48" s="102" t="n">
        <f aca="false">G47</f>
        <v>578363628.407885</v>
      </c>
      <c r="D48" s="102" t="n">
        <v>0</v>
      </c>
      <c r="E48" s="102" t="n">
        <v>0</v>
      </c>
      <c r="F48" s="102" t="n">
        <f aca="false">C48*$B$38/360*(A48-A47)</f>
        <v>20467646.1831013</v>
      </c>
      <c r="G48" s="102" t="n">
        <f aca="false">+C48+D48+E48+F48</f>
        <v>598831274.590987</v>
      </c>
      <c r="H48" s="102" t="n">
        <f aca="false">+H47+F48</f>
        <v>102476949.565511</v>
      </c>
      <c r="I48" s="64" t="n">
        <f aca="false">+A48</f>
        <v>37712</v>
      </c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4"/>
      <c r="FG48" s="154"/>
      <c r="FH48" s="154"/>
      <c r="FI48" s="154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4"/>
      <c r="FU48" s="154"/>
      <c r="FV48" s="154"/>
      <c r="FW48" s="154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4"/>
      <c r="GI48" s="154"/>
      <c r="GJ48" s="154"/>
      <c r="GK48" s="154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4"/>
      <c r="GW48" s="154"/>
      <c r="GX48" s="154"/>
      <c r="GY48" s="154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4"/>
      <c r="HK48" s="154"/>
      <c r="HL48" s="154"/>
      <c r="HM48" s="154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4"/>
      <c r="HY48" s="154"/>
      <c r="HZ48" s="154"/>
      <c r="IA48" s="154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4"/>
      <c r="IM48" s="154"/>
      <c r="IN48" s="154"/>
      <c r="IO48" s="154"/>
      <c r="IP48" s="154"/>
      <c r="IQ48" s="154"/>
      <c r="IR48" s="154"/>
      <c r="IS48" s="154"/>
      <c r="IT48" s="154"/>
      <c r="IU48" s="154"/>
      <c r="IV48" s="154"/>
      <c r="IW48" s="154"/>
    </row>
    <row r="49" customFormat="false" ht="15.75" hidden="false" customHeight="false" outlineLevel="0" collapsed="false">
      <c r="A49" s="64" t="n">
        <v>37895</v>
      </c>
      <c r="B49" s="202" t="n">
        <f aca="false">+B48+1</f>
        <v>7</v>
      </c>
      <c r="C49" s="102" t="n">
        <f aca="false">G48</f>
        <v>598831274.590987</v>
      </c>
      <c r="D49" s="102" t="n">
        <v>0</v>
      </c>
      <c r="E49" s="102" t="n">
        <v>0</v>
      </c>
      <c r="F49" s="102" t="n">
        <f aca="false">C49*$B$38/360*(A49-A48)</f>
        <v>21308412.8541959</v>
      </c>
      <c r="G49" s="102" t="n">
        <f aca="false">+C49+D49+E49+F49</f>
        <v>620139687.445183</v>
      </c>
      <c r="H49" s="102" t="n">
        <f aca="false">+H48+F49</f>
        <v>123785362.419706</v>
      </c>
      <c r="I49" s="64" t="n">
        <f aca="false">+A49</f>
        <v>37895</v>
      </c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</row>
    <row r="50" customFormat="false" ht="15.75" hidden="false" customHeight="false" outlineLevel="0" collapsed="false">
      <c r="A50" s="64" t="n">
        <v>38078</v>
      </c>
      <c r="B50" s="202" t="n">
        <f aca="false">+B49+1</f>
        <v>8</v>
      </c>
      <c r="C50" s="102" t="n">
        <f aca="false">G49</f>
        <v>620139687.445183</v>
      </c>
      <c r="D50" s="102" t="n">
        <v>0</v>
      </c>
      <c r="E50" s="102" t="n">
        <v>0</v>
      </c>
      <c r="F50" s="102" t="n">
        <f aca="false">C50*$B$38/360*(A50-A49)</f>
        <v>22066637.2115911</v>
      </c>
      <c r="G50" s="102" t="n">
        <f aca="false">+C50+D50+E50+F50</f>
        <v>642206324.656774</v>
      </c>
      <c r="H50" s="102" t="n">
        <f aca="false">+H49+F50</f>
        <v>145851999.631298</v>
      </c>
      <c r="I50" s="64" t="n">
        <f aca="false">+A50</f>
        <v>38078</v>
      </c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E50" s="154"/>
      <c r="FF50" s="154"/>
      <c r="FG50" s="154"/>
      <c r="FH50" s="154"/>
      <c r="FI50" s="154"/>
      <c r="FJ50" s="154"/>
      <c r="FK50" s="154"/>
      <c r="FL50" s="154"/>
      <c r="FM50" s="154"/>
      <c r="FN50" s="154"/>
      <c r="FO50" s="154"/>
      <c r="FP50" s="154"/>
      <c r="FQ50" s="154"/>
      <c r="FR50" s="154"/>
      <c r="FS50" s="154"/>
      <c r="FT50" s="154"/>
      <c r="FU50" s="154"/>
      <c r="FV50" s="154"/>
      <c r="FW50" s="154"/>
      <c r="FX50" s="154"/>
      <c r="FY50" s="154"/>
      <c r="FZ50" s="154"/>
      <c r="GA50" s="154"/>
      <c r="GB50" s="154"/>
      <c r="GC50" s="154"/>
      <c r="GD50" s="154"/>
      <c r="GE50" s="154"/>
      <c r="GF50" s="154"/>
      <c r="GG50" s="154"/>
      <c r="GH50" s="154"/>
      <c r="GI50" s="154"/>
      <c r="GJ50" s="154"/>
      <c r="GK50" s="154"/>
      <c r="GL50" s="154"/>
      <c r="GM50" s="154"/>
      <c r="GN50" s="154"/>
      <c r="GO50" s="154"/>
      <c r="GP50" s="154"/>
      <c r="GQ50" s="154"/>
      <c r="GR50" s="154"/>
      <c r="GS50" s="154"/>
      <c r="GT50" s="154"/>
      <c r="GU50" s="154"/>
      <c r="GV50" s="154"/>
      <c r="GW50" s="154"/>
      <c r="GX50" s="154"/>
      <c r="GY50" s="154"/>
      <c r="GZ50" s="154"/>
      <c r="HA50" s="154"/>
      <c r="HB50" s="154"/>
      <c r="HC50" s="154"/>
      <c r="HD50" s="154"/>
      <c r="HE50" s="154"/>
      <c r="HF50" s="154"/>
      <c r="HG50" s="154"/>
      <c r="HH50" s="154"/>
      <c r="HI50" s="154"/>
      <c r="HJ50" s="154"/>
      <c r="HK50" s="154"/>
      <c r="HL50" s="154"/>
      <c r="HM50" s="154"/>
      <c r="HN50" s="154"/>
      <c r="HO50" s="154"/>
      <c r="HP50" s="154"/>
      <c r="HQ50" s="154"/>
      <c r="HR50" s="154"/>
      <c r="HS50" s="154"/>
      <c r="HT50" s="154"/>
      <c r="HU50" s="154"/>
      <c r="HV50" s="154"/>
      <c r="HW50" s="154"/>
      <c r="HX50" s="154"/>
      <c r="HY50" s="154"/>
      <c r="HZ50" s="154"/>
      <c r="IA50" s="154"/>
      <c r="IB50" s="154"/>
      <c r="IC50" s="154"/>
      <c r="ID50" s="154"/>
      <c r="IE50" s="154"/>
      <c r="IF50" s="154"/>
      <c r="IG50" s="154"/>
      <c r="IH50" s="154"/>
      <c r="II50" s="154"/>
      <c r="IJ50" s="154"/>
      <c r="IK50" s="154"/>
      <c r="IL50" s="154"/>
      <c r="IM50" s="154"/>
      <c r="IN50" s="154"/>
      <c r="IO50" s="154"/>
      <c r="IP50" s="154"/>
      <c r="IQ50" s="154"/>
      <c r="IR50" s="154"/>
      <c r="IS50" s="154"/>
      <c r="IT50" s="154"/>
      <c r="IU50" s="154"/>
      <c r="IV50" s="154"/>
      <c r="IW50" s="154"/>
    </row>
    <row r="51" customFormat="false" ht="15.75" hidden="false" customHeight="false" outlineLevel="0" collapsed="false">
      <c r="A51" s="64" t="n">
        <v>38261</v>
      </c>
      <c r="B51" s="202" t="n">
        <f aca="false">+B50+1</f>
        <v>9</v>
      </c>
      <c r="C51" s="102" t="n">
        <f aca="false">G50</f>
        <v>642206324.656774</v>
      </c>
      <c r="D51" s="102" t="n">
        <v>0</v>
      </c>
      <c r="E51" s="102" t="n">
        <v>0</v>
      </c>
      <c r="F51" s="102" t="n">
        <f aca="false">C51*$B$38/360*(A51-A50)</f>
        <v>22851841.7190369</v>
      </c>
      <c r="G51" s="102" t="n">
        <f aca="false">+C51+D51+E51+F51</f>
        <v>665058166.375811</v>
      </c>
      <c r="H51" s="102" t="n">
        <f aca="false">+H50+F51</f>
        <v>168703841.350334</v>
      </c>
      <c r="I51" s="64" t="n">
        <f aca="false">+A51</f>
        <v>38261</v>
      </c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/>
      <c r="EZ51" s="154"/>
      <c r="FA51" s="154"/>
      <c r="FB51" s="154"/>
      <c r="FC51" s="154"/>
      <c r="FD51" s="154"/>
      <c r="FE51" s="154"/>
      <c r="FF51" s="154"/>
      <c r="FG51" s="154"/>
      <c r="FH51" s="154"/>
      <c r="FI51" s="154"/>
      <c r="FJ51" s="154"/>
      <c r="FK51" s="154"/>
      <c r="FL51" s="154"/>
      <c r="FM51" s="154"/>
      <c r="FN51" s="154"/>
      <c r="FO51" s="154"/>
      <c r="FP51" s="154"/>
      <c r="FQ51" s="154"/>
      <c r="FR51" s="154"/>
      <c r="FS51" s="154"/>
      <c r="FT51" s="154"/>
      <c r="FU51" s="154"/>
      <c r="FV51" s="154"/>
      <c r="FW51" s="154"/>
      <c r="FX51" s="154"/>
      <c r="FY51" s="154"/>
      <c r="FZ51" s="154"/>
      <c r="GA51" s="154"/>
      <c r="GB51" s="154"/>
      <c r="GC51" s="154"/>
      <c r="GD51" s="154"/>
      <c r="GE51" s="154"/>
      <c r="GF51" s="154"/>
      <c r="GG51" s="154"/>
      <c r="GH51" s="154"/>
      <c r="GI51" s="154"/>
      <c r="GJ51" s="154"/>
      <c r="GK51" s="154"/>
      <c r="GL51" s="154"/>
      <c r="GM51" s="154"/>
      <c r="GN51" s="154"/>
      <c r="GO51" s="154"/>
      <c r="GP51" s="154"/>
      <c r="GQ51" s="154"/>
      <c r="GR51" s="154"/>
      <c r="GS51" s="154"/>
      <c r="GT51" s="154"/>
      <c r="GU51" s="154"/>
      <c r="GV51" s="154"/>
      <c r="GW51" s="154"/>
      <c r="GX51" s="154"/>
      <c r="GY51" s="154"/>
      <c r="GZ51" s="154"/>
      <c r="HA51" s="154"/>
      <c r="HB51" s="154"/>
      <c r="HC51" s="154"/>
      <c r="HD51" s="154"/>
      <c r="HE51" s="154"/>
      <c r="HF51" s="154"/>
      <c r="HG51" s="154"/>
      <c r="HH51" s="154"/>
      <c r="HI51" s="154"/>
      <c r="HJ51" s="154"/>
      <c r="HK51" s="154"/>
      <c r="HL51" s="154"/>
      <c r="HM51" s="154"/>
      <c r="HN51" s="154"/>
      <c r="HO51" s="154"/>
      <c r="HP51" s="154"/>
      <c r="HQ51" s="154"/>
      <c r="HR51" s="154"/>
      <c r="HS51" s="154"/>
      <c r="HT51" s="154"/>
      <c r="HU51" s="154"/>
      <c r="HV51" s="154"/>
      <c r="HW51" s="154"/>
      <c r="HX51" s="154"/>
      <c r="HY51" s="154"/>
      <c r="HZ51" s="154"/>
      <c r="IA51" s="154"/>
      <c r="IB51" s="154"/>
      <c r="IC51" s="154"/>
      <c r="ID51" s="154"/>
      <c r="IE51" s="154"/>
      <c r="IF51" s="154"/>
      <c r="IG51" s="154"/>
      <c r="IH51" s="154"/>
      <c r="II51" s="154"/>
      <c r="IJ51" s="154"/>
      <c r="IK51" s="154"/>
      <c r="IL51" s="154"/>
      <c r="IM51" s="154"/>
      <c r="IN51" s="154"/>
      <c r="IO51" s="154"/>
      <c r="IP51" s="154"/>
      <c r="IQ51" s="154"/>
      <c r="IR51" s="154"/>
      <c r="IS51" s="154"/>
      <c r="IT51" s="154"/>
      <c r="IU51" s="154"/>
      <c r="IV51" s="154"/>
      <c r="IW51" s="154"/>
    </row>
    <row r="52" customFormat="false" ht="15.75" hidden="false" customHeight="false" outlineLevel="0" collapsed="false">
      <c r="A52" s="64" t="n">
        <v>38443</v>
      </c>
      <c r="B52" s="202" t="n">
        <f aca="false">+B51+1</f>
        <v>10</v>
      </c>
      <c r="C52" s="102" t="n">
        <f aca="false">G51</f>
        <v>665058166.375811</v>
      </c>
      <c r="D52" s="102" t="n">
        <v>0</v>
      </c>
      <c r="E52" s="102" t="n">
        <v>0</v>
      </c>
      <c r="F52" s="102" t="n">
        <f aca="false">C52*$B$38/360*(A52-A51)</f>
        <v>23535669.5545217</v>
      </c>
      <c r="G52" s="102" t="n">
        <f aca="false">+C52+D52+E52+F52</f>
        <v>688593835.930332</v>
      </c>
      <c r="H52" s="102" t="n">
        <f aca="false">+H51+F52</f>
        <v>192239510.904856</v>
      </c>
      <c r="I52" s="64" t="n">
        <f aca="false">+A52</f>
        <v>38443</v>
      </c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/>
      <c r="EW52" s="154"/>
      <c r="EX52" s="154"/>
      <c r="EY52" s="154"/>
      <c r="EZ52" s="154"/>
      <c r="FA52" s="154"/>
      <c r="FB52" s="154"/>
      <c r="FC52" s="154"/>
      <c r="FD52" s="154"/>
      <c r="FE52" s="154"/>
      <c r="FF52" s="154"/>
      <c r="FG52" s="154"/>
      <c r="FH52" s="154"/>
      <c r="FI52" s="154"/>
      <c r="FJ52" s="154"/>
      <c r="FK52" s="154"/>
      <c r="FL52" s="154"/>
      <c r="FM52" s="154"/>
      <c r="FN52" s="154"/>
      <c r="FO52" s="154"/>
      <c r="FP52" s="154"/>
      <c r="FQ52" s="154"/>
      <c r="FR52" s="154"/>
      <c r="FS52" s="154"/>
      <c r="FT52" s="154"/>
      <c r="FU52" s="154"/>
      <c r="FV52" s="154"/>
      <c r="FW52" s="154"/>
      <c r="FX52" s="154"/>
      <c r="FY52" s="154"/>
      <c r="FZ52" s="154"/>
      <c r="GA52" s="154"/>
      <c r="GB52" s="154"/>
      <c r="GC52" s="154"/>
      <c r="GD52" s="154"/>
      <c r="GE52" s="154"/>
      <c r="GF52" s="154"/>
      <c r="GG52" s="154"/>
      <c r="GH52" s="154"/>
      <c r="GI52" s="154"/>
      <c r="GJ52" s="154"/>
      <c r="GK52" s="154"/>
      <c r="GL52" s="154"/>
      <c r="GM52" s="154"/>
      <c r="GN52" s="154"/>
      <c r="GO52" s="154"/>
      <c r="GP52" s="154"/>
      <c r="GQ52" s="154"/>
      <c r="GR52" s="154"/>
      <c r="GS52" s="154"/>
      <c r="GT52" s="154"/>
      <c r="GU52" s="154"/>
      <c r="GV52" s="154"/>
      <c r="GW52" s="154"/>
      <c r="GX52" s="154"/>
      <c r="GY52" s="154"/>
      <c r="GZ52" s="154"/>
      <c r="HA52" s="154"/>
      <c r="HB52" s="154"/>
      <c r="HC52" s="154"/>
      <c r="HD52" s="154"/>
      <c r="HE52" s="154"/>
      <c r="HF52" s="154"/>
      <c r="HG52" s="154"/>
      <c r="HH52" s="154"/>
      <c r="HI52" s="154"/>
      <c r="HJ52" s="154"/>
      <c r="HK52" s="154"/>
      <c r="HL52" s="154"/>
      <c r="HM52" s="154"/>
      <c r="HN52" s="154"/>
      <c r="HO52" s="154"/>
      <c r="HP52" s="154"/>
      <c r="HQ52" s="154"/>
      <c r="HR52" s="154"/>
      <c r="HS52" s="154"/>
      <c r="HT52" s="154"/>
      <c r="HU52" s="154"/>
      <c r="HV52" s="154"/>
      <c r="HW52" s="154"/>
      <c r="HX52" s="154"/>
      <c r="HY52" s="154"/>
      <c r="HZ52" s="154"/>
      <c r="IA52" s="154"/>
      <c r="IB52" s="154"/>
      <c r="IC52" s="154"/>
      <c r="ID52" s="154"/>
      <c r="IE52" s="154"/>
      <c r="IF52" s="154"/>
      <c r="IG52" s="154"/>
      <c r="IH52" s="154"/>
      <c r="II52" s="154"/>
      <c r="IJ52" s="154"/>
      <c r="IK52" s="154"/>
      <c r="IL52" s="154"/>
      <c r="IM52" s="154"/>
      <c r="IN52" s="154"/>
      <c r="IO52" s="154"/>
      <c r="IP52" s="154"/>
      <c r="IQ52" s="154"/>
      <c r="IR52" s="154"/>
      <c r="IS52" s="154"/>
      <c r="IT52" s="154"/>
      <c r="IU52" s="154"/>
      <c r="IV52" s="154"/>
      <c r="IW52" s="154"/>
    </row>
    <row r="53" customFormat="false" ht="16.5" hidden="false" customHeight="false" outlineLevel="0" collapsed="false">
      <c r="A53" s="64"/>
      <c r="B53" s="64"/>
      <c r="D53" s="131" t="n">
        <f aca="false">SUM(D43:D52)</f>
        <v>96354325.0254761</v>
      </c>
      <c r="E53" s="131" t="n">
        <f aca="false">SUM(E43:E52)</f>
        <v>0</v>
      </c>
      <c r="F53" s="131" t="n">
        <f aca="false">SUM(F43:F52)</f>
        <v>192239510.904856</v>
      </c>
      <c r="H53" s="103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4"/>
      <c r="BZ53" s="154"/>
      <c r="CA53" s="154"/>
      <c r="CB53" s="154"/>
      <c r="CC53" s="154"/>
      <c r="CD53" s="154"/>
      <c r="CE53" s="154"/>
      <c r="CF53" s="154"/>
      <c r="CG53" s="154"/>
      <c r="CH53" s="154"/>
      <c r="CI53" s="154"/>
      <c r="CJ53" s="154"/>
      <c r="CK53" s="154"/>
      <c r="CL53" s="154"/>
      <c r="CM53" s="154"/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/>
      <c r="EW53" s="154"/>
      <c r="EX53" s="154"/>
      <c r="EY53" s="154"/>
      <c r="EZ53" s="154"/>
      <c r="FA53" s="154"/>
      <c r="FB53" s="154"/>
      <c r="FC53" s="154"/>
      <c r="FD53" s="154"/>
      <c r="FE53" s="154"/>
      <c r="FF53" s="154"/>
      <c r="FG53" s="154"/>
      <c r="FH53" s="154"/>
      <c r="FI53" s="154"/>
      <c r="FJ53" s="154"/>
      <c r="FK53" s="154"/>
      <c r="FL53" s="154"/>
      <c r="FM53" s="154"/>
      <c r="FN53" s="154"/>
      <c r="FO53" s="154"/>
      <c r="FP53" s="154"/>
      <c r="FQ53" s="154"/>
      <c r="FR53" s="154"/>
      <c r="FS53" s="154"/>
      <c r="FT53" s="154"/>
      <c r="FU53" s="154"/>
      <c r="FV53" s="154"/>
      <c r="FW53" s="154"/>
      <c r="FX53" s="154"/>
      <c r="FY53" s="154"/>
      <c r="FZ53" s="154"/>
      <c r="GA53" s="154"/>
      <c r="GB53" s="154"/>
      <c r="GC53" s="154"/>
      <c r="GD53" s="154"/>
      <c r="GE53" s="154"/>
      <c r="GF53" s="154"/>
      <c r="GG53" s="154"/>
      <c r="GH53" s="154"/>
      <c r="GI53" s="154"/>
      <c r="GJ53" s="154"/>
      <c r="GK53" s="154"/>
      <c r="GL53" s="154"/>
      <c r="GM53" s="154"/>
      <c r="GN53" s="154"/>
      <c r="GO53" s="154"/>
      <c r="GP53" s="154"/>
      <c r="GQ53" s="154"/>
      <c r="GR53" s="154"/>
      <c r="GS53" s="154"/>
      <c r="GT53" s="154"/>
      <c r="GU53" s="154"/>
      <c r="GV53" s="154"/>
      <c r="GW53" s="154"/>
      <c r="GX53" s="154"/>
      <c r="GY53" s="154"/>
      <c r="GZ53" s="154"/>
      <c r="HA53" s="154"/>
      <c r="HB53" s="154"/>
      <c r="HC53" s="154"/>
      <c r="HD53" s="154"/>
      <c r="HE53" s="154"/>
      <c r="HF53" s="154"/>
      <c r="HG53" s="154"/>
      <c r="HH53" s="154"/>
      <c r="HI53" s="154"/>
      <c r="HJ53" s="154"/>
      <c r="HK53" s="154"/>
      <c r="HL53" s="154"/>
      <c r="HM53" s="154"/>
      <c r="HN53" s="154"/>
      <c r="HO53" s="154"/>
      <c r="HP53" s="154"/>
      <c r="HQ53" s="154"/>
      <c r="HR53" s="154"/>
      <c r="HS53" s="154"/>
      <c r="HT53" s="154"/>
      <c r="HU53" s="154"/>
      <c r="HV53" s="154"/>
      <c r="HW53" s="154"/>
      <c r="HX53" s="154"/>
      <c r="HY53" s="154"/>
      <c r="HZ53" s="154"/>
      <c r="IA53" s="154"/>
      <c r="IB53" s="154"/>
      <c r="IC53" s="154"/>
      <c r="ID53" s="154"/>
      <c r="IE53" s="154"/>
      <c r="IF53" s="154"/>
      <c r="IG53" s="154"/>
      <c r="IH53" s="154"/>
      <c r="II53" s="154"/>
      <c r="IJ53" s="154"/>
      <c r="IK53" s="154"/>
      <c r="IL53" s="154"/>
      <c r="IM53" s="154"/>
      <c r="IN53" s="154"/>
      <c r="IO53" s="154"/>
      <c r="IP53" s="154"/>
      <c r="IQ53" s="154"/>
      <c r="IR53" s="154"/>
      <c r="IS53" s="154"/>
      <c r="IT53" s="154"/>
      <c r="IU53" s="154"/>
      <c r="IV53" s="154"/>
      <c r="IW53" s="154"/>
    </row>
    <row r="54" customFormat="false" ht="16.5" hidden="false" customHeight="false" outlineLevel="0" collapsed="false">
      <c r="A54" s="203"/>
      <c r="B54" s="203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/>
      <c r="EP54" s="154"/>
      <c r="EQ54" s="154"/>
      <c r="ER54" s="154"/>
      <c r="ES54" s="154"/>
      <c r="ET54" s="154"/>
      <c r="EU54" s="154"/>
      <c r="EV54" s="154"/>
      <c r="EW54" s="154"/>
      <c r="EX54" s="154"/>
      <c r="EY54" s="154"/>
      <c r="EZ54" s="154"/>
      <c r="FA54" s="154"/>
      <c r="FB54" s="154"/>
      <c r="FC54" s="154"/>
      <c r="FD54" s="154"/>
      <c r="FE54" s="154"/>
      <c r="FF54" s="154"/>
      <c r="FG54" s="154"/>
      <c r="FH54" s="154"/>
      <c r="FI54" s="154"/>
      <c r="FJ54" s="154"/>
      <c r="FK54" s="154"/>
      <c r="FL54" s="154"/>
      <c r="FM54" s="154"/>
      <c r="FN54" s="154"/>
      <c r="FO54" s="154"/>
      <c r="FP54" s="154"/>
      <c r="FQ54" s="154"/>
      <c r="FR54" s="154"/>
      <c r="FS54" s="154"/>
      <c r="FT54" s="154"/>
      <c r="FU54" s="154"/>
      <c r="FV54" s="154"/>
      <c r="FW54" s="154"/>
      <c r="FX54" s="154"/>
      <c r="FY54" s="154"/>
      <c r="FZ54" s="154"/>
      <c r="GA54" s="154"/>
      <c r="GB54" s="154"/>
      <c r="GC54" s="154"/>
      <c r="GD54" s="154"/>
      <c r="GE54" s="154"/>
      <c r="GF54" s="154"/>
      <c r="GG54" s="154"/>
      <c r="GH54" s="154"/>
      <c r="GI54" s="154"/>
      <c r="GJ54" s="154"/>
      <c r="GK54" s="154"/>
      <c r="GL54" s="154"/>
      <c r="GM54" s="154"/>
      <c r="GN54" s="154"/>
      <c r="GO54" s="154"/>
      <c r="GP54" s="154"/>
      <c r="GQ54" s="154"/>
      <c r="GR54" s="154"/>
      <c r="GS54" s="154"/>
      <c r="GT54" s="154"/>
      <c r="GU54" s="154"/>
      <c r="GV54" s="154"/>
      <c r="GW54" s="154"/>
      <c r="GX54" s="154"/>
      <c r="GY54" s="154"/>
      <c r="GZ54" s="154"/>
      <c r="HA54" s="154"/>
      <c r="HB54" s="154"/>
      <c r="HC54" s="154"/>
      <c r="HD54" s="154"/>
      <c r="HE54" s="154"/>
      <c r="HF54" s="154"/>
      <c r="HG54" s="154"/>
      <c r="HH54" s="154"/>
      <c r="HI54" s="154"/>
      <c r="HJ54" s="154"/>
      <c r="HK54" s="154"/>
      <c r="HL54" s="154"/>
      <c r="HM54" s="154"/>
      <c r="HN54" s="154"/>
      <c r="HO54" s="154"/>
      <c r="HP54" s="154"/>
      <c r="HQ54" s="154"/>
      <c r="HR54" s="154"/>
      <c r="HS54" s="154"/>
      <c r="HT54" s="154"/>
      <c r="HU54" s="154"/>
      <c r="HV54" s="154"/>
      <c r="HW54" s="154"/>
      <c r="HX54" s="154"/>
      <c r="HY54" s="154"/>
      <c r="HZ54" s="154"/>
      <c r="IA54" s="154"/>
      <c r="IB54" s="154"/>
      <c r="IC54" s="154"/>
      <c r="ID54" s="154"/>
      <c r="IE54" s="154"/>
      <c r="IF54" s="154"/>
      <c r="IG54" s="154"/>
      <c r="IH54" s="154"/>
      <c r="II54" s="154"/>
      <c r="IJ54" s="154"/>
      <c r="IK54" s="154"/>
      <c r="IL54" s="154"/>
      <c r="IM54" s="154"/>
      <c r="IN54" s="154"/>
      <c r="IO54" s="154"/>
      <c r="IP54" s="154"/>
      <c r="IQ54" s="154"/>
      <c r="IR54" s="154"/>
      <c r="IS54" s="154"/>
      <c r="IT54" s="154"/>
      <c r="IU54" s="154"/>
      <c r="IV54" s="154"/>
      <c r="IW54" s="154"/>
    </row>
    <row r="55" customFormat="false" ht="15.75" hidden="false" customHeight="false" outlineLevel="0" collapsed="false">
      <c r="A55" s="204" t="n">
        <f aca="false">+Summary!C5</f>
        <v>37134</v>
      </c>
      <c r="B55" s="204"/>
      <c r="C55" s="154"/>
      <c r="D55" s="154"/>
      <c r="E55" s="154" t="s">
        <v>297</v>
      </c>
      <c r="F55" s="154" t="n">
        <f aca="false">VLOOKUP(+A55,Note,2)</f>
        <v>2</v>
      </c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4"/>
      <c r="ES55" s="154"/>
      <c r="ET55" s="154"/>
      <c r="EU55" s="154"/>
      <c r="EV55" s="154"/>
      <c r="EW55" s="154"/>
      <c r="EX55" s="154"/>
      <c r="EY55" s="154"/>
      <c r="EZ55" s="154"/>
      <c r="FA55" s="154"/>
      <c r="FB55" s="154"/>
      <c r="FC55" s="154"/>
      <c r="FD55" s="154"/>
      <c r="FE55" s="154"/>
      <c r="FF55" s="154"/>
      <c r="FG55" s="154"/>
      <c r="FH55" s="154"/>
      <c r="FI55" s="154"/>
      <c r="FJ55" s="154"/>
      <c r="FK55" s="154"/>
      <c r="FL55" s="154"/>
      <c r="FM55" s="154"/>
      <c r="FN55" s="154"/>
      <c r="FO55" s="154"/>
      <c r="FP55" s="154"/>
      <c r="FQ55" s="154"/>
      <c r="FR55" s="154"/>
      <c r="FS55" s="154"/>
      <c r="FT55" s="154"/>
      <c r="FU55" s="154"/>
      <c r="FV55" s="154"/>
      <c r="FW55" s="154"/>
      <c r="FX55" s="154"/>
      <c r="FY55" s="154"/>
      <c r="FZ55" s="154"/>
      <c r="GA55" s="154"/>
      <c r="GB55" s="154"/>
      <c r="GC55" s="154"/>
      <c r="GD55" s="154"/>
      <c r="GE55" s="154"/>
      <c r="GF55" s="154"/>
      <c r="GG55" s="154"/>
      <c r="GH55" s="154"/>
      <c r="GI55" s="154"/>
      <c r="GJ55" s="154"/>
      <c r="GK55" s="154"/>
      <c r="GL55" s="154"/>
      <c r="GM55" s="154"/>
      <c r="GN55" s="154"/>
      <c r="GO55" s="154"/>
      <c r="GP55" s="154"/>
      <c r="GQ55" s="154"/>
      <c r="GR55" s="154"/>
      <c r="GS55" s="154"/>
      <c r="GT55" s="154"/>
      <c r="GU55" s="154"/>
      <c r="GV55" s="154"/>
      <c r="GW55" s="154"/>
      <c r="GX55" s="154"/>
      <c r="GY55" s="154"/>
      <c r="GZ55" s="154"/>
      <c r="HA55" s="154"/>
      <c r="HB55" s="154"/>
      <c r="HC55" s="154"/>
      <c r="HD55" s="154"/>
      <c r="HE55" s="154"/>
      <c r="HF55" s="154"/>
      <c r="HG55" s="154"/>
      <c r="HH55" s="154"/>
      <c r="HI55" s="154"/>
      <c r="HJ55" s="154"/>
      <c r="HK55" s="154"/>
      <c r="HL55" s="154"/>
      <c r="HM55" s="154"/>
      <c r="HN55" s="154"/>
      <c r="HO55" s="154"/>
      <c r="HP55" s="154"/>
      <c r="HQ55" s="154"/>
      <c r="HR55" s="154"/>
      <c r="HS55" s="154"/>
      <c r="HT55" s="154"/>
      <c r="HU55" s="154"/>
      <c r="HV55" s="154"/>
      <c r="HW55" s="154"/>
      <c r="HX55" s="154"/>
      <c r="HY55" s="154"/>
      <c r="HZ55" s="154"/>
      <c r="IA55" s="154"/>
      <c r="IB55" s="154"/>
      <c r="IC55" s="154"/>
      <c r="ID55" s="154"/>
      <c r="IE55" s="154"/>
      <c r="IF55" s="154"/>
      <c r="IG55" s="154"/>
      <c r="IH55" s="154"/>
      <c r="II55" s="154"/>
      <c r="IJ55" s="154"/>
      <c r="IK55" s="154"/>
      <c r="IL55" s="154"/>
      <c r="IM55" s="154"/>
      <c r="IN55" s="154"/>
      <c r="IO55" s="154"/>
      <c r="IP55" s="154"/>
      <c r="IQ55" s="154"/>
      <c r="IR55" s="154"/>
      <c r="IS55" s="154"/>
      <c r="IT55" s="154"/>
      <c r="IU55" s="154"/>
      <c r="IV55" s="154"/>
      <c r="IW55" s="154"/>
    </row>
    <row r="56" customFormat="false" ht="15.75" hidden="false" customHeight="false" outlineLevel="0" collapsed="false">
      <c r="A56" s="154"/>
      <c r="B56" s="154"/>
      <c r="C56" s="154"/>
      <c r="D56" s="154"/>
      <c r="E56" s="154" t="s">
        <v>31</v>
      </c>
      <c r="F56" s="203" t="n">
        <f aca="false">VLOOKUP(+A55,Note,1)</f>
        <v>36983</v>
      </c>
      <c r="G56" s="154"/>
    </row>
    <row r="57" customFormat="false" ht="15.75" hidden="false" customHeight="false" outlineLevel="0" collapsed="false">
      <c r="A57" s="154" t="s">
        <v>309</v>
      </c>
      <c r="B57" s="61" t="n">
        <f aca="false">VLOOKUP(+A55,Loan,8)</f>
        <v>26454853.7774885</v>
      </c>
      <c r="C57" s="154"/>
      <c r="D57" s="154"/>
      <c r="E57" s="154" t="s">
        <v>301</v>
      </c>
      <c r="F57" s="154" t="n">
        <f aca="false">VLOOKUP(+F55+1,LoanPeriod,5)</f>
        <v>16592658.2947507</v>
      </c>
      <c r="G57" s="154"/>
    </row>
    <row r="58" customFormat="false" ht="15.75" hidden="false" customHeight="false" outlineLevel="0" collapsed="false">
      <c r="A58" s="203" t="s">
        <v>6</v>
      </c>
      <c r="B58" s="154" t="n">
        <f aca="false">+B56+B57</f>
        <v>26454853.7774885</v>
      </c>
      <c r="C58" s="154"/>
      <c r="D58" s="154"/>
      <c r="E58" s="154" t="s">
        <v>303</v>
      </c>
      <c r="F58" s="203" t="n">
        <f aca="false">VLOOKUP(+F55+1,NotePeriod,8)</f>
        <v>37165</v>
      </c>
      <c r="G58" s="154"/>
    </row>
    <row r="59" customFormat="false" ht="15.75" hidden="false" customHeight="false" outlineLevel="0" collapsed="false">
      <c r="A59" s="203" t="s">
        <v>304</v>
      </c>
      <c r="B59" s="154" t="n">
        <f aca="false">A55-F56</f>
        <v>151</v>
      </c>
      <c r="C59" s="154"/>
      <c r="D59" s="154"/>
      <c r="E59" s="203"/>
      <c r="F59" s="154"/>
      <c r="G59" s="154"/>
    </row>
    <row r="60" customFormat="false" ht="15.75" hidden="false" customHeight="false" outlineLevel="0" collapsed="false">
      <c r="A60" s="203" t="s">
        <v>310</v>
      </c>
      <c r="B60" s="154" t="n">
        <f aca="false">F57*B59/(F58-F56)</f>
        <v>13766436.277513</v>
      </c>
      <c r="C60" s="154"/>
      <c r="D60" s="154"/>
      <c r="E60" s="154"/>
      <c r="F60" s="154"/>
      <c r="G60" s="154"/>
    </row>
    <row r="61" customFormat="false" ht="15.75" hidden="false" customHeight="false" outlineLevel="0" collapsed="false">
      <c r="A61" s="203" t="s">
        <v>167</v>
      </c>
      <c r="B61" s="154" t="n">
        <f aca="false">+B57+B60</f>
        <v>40221290.0550014</v>
      </c>
      <c r="C61" s="154"/>
      <c r="D61" s="154"/>
      <c r="E61" s="154"/>
      <c r="F61" s="154"/>
      <c r="G61" s="154"/>
    </row>
    <row r="63" customFormat="false" ht="15.75" hidden="false" customHeight="false" outlineLevel="0" collapsed="false">
      <c r="A63" s="102" t="s">
        <v>311</v>
      </c>
    </row>
    <row r="64" customFormat="false" ht="15.75" hidden="false" customHeight="false" outlineLevel="0" collapsed="false">
      <c r="A64" s="64" t="n">
        <f aca="false">+'Cash-Int-Trans'!B124</f>
        <v>36741</v>
      </c>
      <c r="B64" s="102" t="s">
        <v>312</v>
      </c>
      <c r="E64" s="58" t="n">
        <f aca="false">+'Cash-Int-Trans'!B123</f>
        <v>3965852</v>
      </c>
    </row>
    <row r="65" customFormat="false" ht="15.75" hidden="false" customHeight="false" outlineLevel="0" collapsed="false">
      <c r="A65" s="64" t="n">
        <f aca="false">+A64</f>
        <v>36741</v>
      </c>
      <c r="B65" s="102" t="s">
        <v>313</v>
      </c>
      <c r="C65" s="64"/>
      <c r="D65" s="64" t="n">
        <f aca="false">+'Cash-Int-Trans'!E122</f>
        <v>36801</v>
      </c>
      <c r="E65" s="205" t="n">
        <f aca="false">+'Cash-Int-Trans'!E124</f>
        <v>46268.2733333333</v>
      </c>
    </row>
    <row r="66" customFormat="false" ht="15.75" hidden="false" customHeight="false" outlineLevel="0" collapsed="false">
      <c r="A66" s="64" t="n">
        <f aca="false">+'Cash-Int-Trans'!B128</f>
        <v>36741</v>
      </c>
      <c r="B66" s="102" t="s">
        <v>314</v>
      </c>
      <c r="E66" s="205" t="n">
        <f aca="false">+'Cash-Int-Trans'!B127</f>
        <v>-36066314</v>
      </c>
    </row>
    <row r="67" customFormat="false" ht="15.75" hidden="false" customHeight="false" outlineLevel="0" collapsed="false">
      <c r="A67" s="64" t="n">
        <f aca="false">+A66</f>
        <v>36741</v>
      </c>
      <c r="B67" s="102" t="s">
        <v>313</v>
      </c>
      <c r="C67" s="64"/>
      <c r="D67" s="64" t="n">
        <f aca="false">+'Cash-Int-Trans'!E122</f>
        <v>36801</v>
      </c>
      <c r="E67" s="206" t="n">
        <f aca="false">+'Cash-Int-Trans'!E128</f>
        <v>-420773.663333333</v>
      </c>
    </row>
    <row r="68" customFormat="false" ht="15.75" hidden="false" customHeight="false" outlineLevel="0" collapsed="false">
      <c r="E68" s="58" t="n">
        <f aca="false">SUM(E64:E67)</f>
        <v>-32474967.39</v>
      </c>
    </row>
    <row r="69" customFormat="false" ht="15.75" hidden="false" customHeight="false" outlineLevel="0" collapsed="false">
      <c r="E69" s="58"/>
    </row>
    <row r="70" customFormat="false" ht="15.75" hidden="false" customHeight="false" outlineLevel="0" collapsed="false">
      <c r="A70" s="64" t="n">
        <f aca="false">+'Cash-Int-Trans'!B132</f>
        <v>36831</v>
      </c>
      <c r="B70" s="102" t="str">
        <f aca="false">+'Cash-Int-Trans'!A132</f>
        <v>Brigham Debt</v>
      </c>
      <c r="D70" s="64"/>
      <c r="E70" s="58" t="n">
        <f aca="false">+'Cash-Int-Trans'!B131</f>
        <v>-65511</v>
      </c>
    </row>
    <row r="71" customFormat="false" ht="15.75" hidden="false" customHeight="false" outlineLevel="0" collapsed="false">
      <c r="A71" s="64" t="n">
        <f aca="false">+'Cash-Int-Trans'!B136</f>
        <v>36839</v>
      </c>
      <c r="B71" s="102" t="str">
        <f aca="false">+'Cash-Int-Trans'!A136</f>
        <v>Place Termination</v>
      </c>
      <c r="D71" s="64"/>
      <c r="E71" s="58" t="n">
        <f aca="false">+'Cash-Int-Trans'!B135</f>
        <v>-299117.9935</v>
      </c>
    </row>
    <row r="72" customFormat="false" ht="15.75" hidden="false" customHeight="false" outlineLevel="0" collapsed="false">
      <c r="A72" s="64" t="n">
        <f aca="false">+'Cash-Int-Trans'!B140</f>
        <v>36868</v>
      </c>
      <c r="B72" s="102" t="str">
        <f aca="false">+'Cash-Int-Trans'!A140</f>
        <v>Quicksilver Termination</v>
      </c>
      <c r="D72" s="64"/>
      <c r="E72" s="58" t="n">
        <f aca="false">+'Cash-Int-Trans'!B139</f>
        <v>1166000.12555</v>
      </c>
    </row>
    <row r="73" customFormat="false" ht="15.75" hidden="false" customHeight="false" outlineLevel="0" collapsed="false">
      <c r="A73" s="64" t="n">
        <f aca="false">+'Cash-Int-Trans'!B144</f>
        <v>36874</v>
      </c>
      <c r="B73" s="102" t="str">
        <f aca="false">+'Cash-Int-Trans'!A144</f>
        <v>DEVX Pref Termination</v>
      </c>
      <c r="D73" s="64"/>
      <c r="E73" s="58" t="n">
        <f aca="false">+'Cash-Int-Trans'!B143</f>
        <v>-599260.14</v>
      </c>
    </row>
    <row r="74" customFormat="false" ht="15.75" hidden="false" customHeight="false" outlineLevel="0" collapsed="false">
      <c r="A74" s="64" t="n">
        <f aca="false">+'Cash-Int-Trans'!B148</f>
        <v>36888</v>
      </c>
      <c r="B74" s="102" t="str">
        <f aca="false">+'Cash-Int-Trans'!A148</f>
        <v>Black Bay and Keathley Termination</v>
      </c>
      <c r="D74" s="64"/>
      <c r="E74" s="58" t="n">
        <f aca="false">+'Cash-Int-Trans'!B147</f>
        <v>2417178.99</v>
      </c>
    </row>
    <row r="75" customFormat="false" ht="15.75" hidden="false" customHeight="false" outlineLevel="0" collapsed="false">
      <c r="A75" s="64" t="n">
        <f aca="false">+'Cash-Int-Trans'!B152</f>
        <v>36889</v>
      </c>
      <c r="B75" s="102" t="str">
        <f aca="false">+'Cash-Int-Trans'!A152</f>
        <v>Geo. Pursuit Termination</v>
      </c>
      <c r="D75" s="64"/>
      <c r="E75" s="58" t="n">
        <f aca="false">+'Cash-Int-Trans'!B151</f>
        <v>887500</v>
      </c>
    </row>
    <row r="76" customFormat="false" ht="15.75" hidden="false" customHeight="false" outlineLevel="0" collapsed="false">
      <c r="A76" s="64" t="n">
        <f aca="false">+'Cash-Int-Trans'!B156</f>
        <v>36902</v>
      </c>
      <c r="B76" s="102" t="str">
        <f aca="false">+'Cash-Int-Trans'!A156</f>
        <v>Avici Termination</v>
      </c>
      <c r="D76" s="64"/>
      <c r="E76" s="58" t="n">
        <f aca="false">+'Cash-Int-Trans'!B155</f>
        <v>132061.02</v>
      </c>
    </row>
    <row r="77" customFormat="false" ht="15.75" hidden="false" customHeight="false" outlineLevel="0" collapsed="false">
      <c r="A77" s="64" t="n">
        <f aca="false">+'Cash-Int-Trans'!B160</f>
        <v>36907</v>
      </c>
      <c r="B77" s="102" t="str">
        <f aca="false">+'Cash-Int-Trans'!A160</f>
        <v>Active Power Termination</v>
      </c>
      <c r="D77" s="64"/>
      <c r="E77" s="58" t="n">
        <f aca="false">+'Cash-Int-Trans'!B159</f>
        <v>7079860.94</v>
      </c>
    </row>
    <row r="78" customFormat="false" ht="15.75" hidden="false" customHeight="false" outlineLevel="0" collapsed="false">
      <c r="A78" s="64" t="n">
        <f aca="false">+'Cash-Int-Trans'!B164</f>
        <v>36910</v>
      </c>
      <c r="B78" s="102" t="str">
        <f aca="false">+'Cash-Int-Trans'!A164</f>
        <v>Merlin</v>
      </c>
      <c r="D78" s="64"/>
      <c r="E78" s="58" t="n">
        <f aca="false">+'Cash-Int-Trans'!B163</f>
        <v>63109023.64</v>
      </c>
    </row>
    <row r="79" customFormat="false" ht="15.75" hidden="false" customHeight="false" outlineLevel="0" collapsed="false">
      <c r="A79" s="64" t="n">
        <f aca="false">+'Cash-Int-Trans'!B168</f>
        <v>36976</v>
      </c>
      <c r="B79" s="102" t="str">
        <f aca="false">+'Cash-Int-Trans'!A168</f>
        <v>ENE Shares</v>
      </c>
      <c r="D79" s="64"/>
      <c r="E79" s="58" t="n">
        <f aca="false">+'Cash-Int-Trans'!B167</f>
        <v>0</v>
      </c>
    </row>
    <row r="80" customFormat="false" ht="15.75" hidden="false" customHeight="false" outlineLevel="0" collapsed="false">
      <c r="A80" s="64"/>
      <c r="B80" s="102" t="s">
        <v>275</v>
      </c>
      <c r="D80" s="64"/>
      <c r="E80" s="207" t="n">
        <f aca="false">+'Cash-Int-Trans'!E132+'Cash-Int-Trans'!E136+'Cash-Int-Trans'!E140+'Cash-Int-Trans'!E144+'Cash-Int-Trans'!E148+'Cash-Int-Trans'!E152+'Cash-Int-Trans'!E156+'Cash-Int-Trans'!E160+'Cash-Int-Trans'!E164+'Cash-Int-Trans'!E168</f>
        <v>1058703.47082772</v>
      </c>
    </row>
    <row r="81" customFormat="false" ht="15.75" hidden="false" customHeight="false" outlineLevel="0" collapsed="false">
      <c r="A81" s="64"/>
      <c r="D81" s="64"/>
      <c r="E81" s="58" t="n">
        <f aca="false">SUM(E70:E80)</f>
        <v>74886439.0528777</v>
      </c>
    </row>
    <row r="82" customFormat="false" ht="15.75" hidden="false" customHeight="false" outlineLevel="0" collapsed="false">
      <c r="E82" s="58"/>
    </row>
    <row r="83" customFormat="false" ht="15.75" hidden="false" customHeight="false" outlineLevel="0" collapsed="false">
      <c r="A83" s="64" t="n">
        <f aca="false">+'Cash-Int-Trans'!B172</f>
        <v>36980</v>
      </c>
      <c r="B83" s="102" t="str">
        <f aca="false">+'Cash-Int-Trans'!A172</f>
        <v>Devx and Invasion</v>
      </c>
      <c r="D83" s="64"/>
      <c r="E83" s="58" t="n">
        <f aca="false">+'Cash-Int-Trans'!B171</f>
        <v>98071.411016</v>
      </c>
    </row>
    <row r="84" customFormat="false" ht="15.75" hidden="false" customHeight="false" outlineLevel="0" collapsed="false">
      <c r="A84" s="64" t="n">
        <f aca="false">+'Cash-Int-Trans'!B176</f>
        <v>37001</v>
      </c>
      <c r="B84" s="102" t="str">
        <f aca="false">+'Cash-Int-Trans'!A176</f>
        <v>Active Power Termination</v>
      </c>
      <c r="D84" s="64"/>
      <c r="E84" s="58" t="n">
        <f aca="false">+'Cash-Int-Trans'!B175</f>
        <v>5168955.03</v>
      </c>
    </row>
    <row r="85" customFormat="false" ht="15.75" hidden="false" customHeight="false" outlineLevel="0" collapsed="false">
      <c r="A85" s="64" t="n">
        <f aca="false">+'Cash-Int-Trans'!B180</f>
        <v>37004</v>
      </c>
      <c r="B85" s="102" t="str">
        <f aca="false">+'Cash-Int-Trans'!A180</f>
        <v>Active Power Termination</v>
      </c>
      <c r="D85" s="64"/>
      <c r="E85" s="58" t="n">
        <f aca="false">+'Cash-Int-Trans'!B179</f>
        <v>3238750.02</v>
      </c>
    </row>
    <row r="86" customFormat="false" ht="15.75" hidden="false" customHeight="false" outlineLevel="0" collapsed="false">
      <c r="A86" s="64" t="n">
        <f aca="false">+'Cash-Int-Trans'!B184</f>
        <v>37005</v>
      </c>
      <c r="B86" s="102" t="str">
        <f aca="false">+'Cash-Int-Trans'!A184</f>
        <v>Active Power Termination</v>
      </c>
      <c r="D86" s="64"/>
      <c r="E86" s="58" t="n">
        <f aca="false">+'Cash-Int-Trans'!B183</f>
        <v>1140849.51</v>
      </c>
    </row>
    <row r="87" customFormat="false" ht="15.75" hidden="false" customHeight="false" outlineLevel="0" collapsed="false">
      <c r="A87" s="64" t="n">
        <f aca="false">+'Cash-Int-Trans'!B188</f>
        <v>37011</v>
      </c>
      <c r="B87" s="102" t="str">
        <f aca="false">+'Cash-Int-Trans'!A188</f>
        <v>Paradigm</v>
      </c>
      <c r="D87" s="64"/>
      <c r="E87" s="58" t="n">
        <f aca="false">+'Cash-Int-Trans'!B187</f>
        <v>1306.1</v>
      </c>
    </row>
    <row r="88" customFormat="false" ht="15.75" hidden="false" customHeight="false" outlineLevel="0" collapsed="false">
      <c r="A88" s="64" t="n">
        <f aca="false">+'Cash-Int-Trans'!B192</f>
        <v>37012</v>
      </c>
      <c r="B88" s="102" t="str">
        <f aca="false">+'Cash-Int-Trans'!A192</f>
        <v>Paradigm</v>
      </c>
      <c r="D88" s="64"/>
      <c r="E88" s="58" t="n">
        <f aca="false">+'Cash-Int-Trans'!B191</f>
        <v>1441.36</v>
      </c>
    </row>
    <row r="89" customFormat="false" ht="15.75" hidden="false" customHeight="false" outlineLevel="0" collapsed="false">
      <c r="A89" s="64" t="n">
        <f aca="false">+'Cash-Int-Trans'!B196</f>
        <v>37013</v>
      </c>
      <c r="B89" s="102" t="str">
        <f aca="false">+'Cash-Int-Trans'!A196</f>
        <v>Paradigm</v>
      </c>
      <c r="D89" s="64"/>
      <c r="E89" s="58" t="n">
        <f aca="false">+'Cash-Int-Trans'!B195</f>
        <v>475.19</v>
      </c>
    </row>
    <row r="90" customFormat="false" ht="15.75" hidden="false" customHeight="false" outlineLevel="0" collapsed="false">
      <c r="A90" s="64" t="n">
        <f aca="false">+'Cash-Int-Trans'!B200</f>
        <v>37018</v>
      </c>
      <c r="B90" s="102" t="str">
        <f aca="false">+'Cash-Int-Trans'!A200</f>
        <v>Paradigm and Active</v>
      </c>
      <c r="D90" s="64"/>
      <c r="E90" s="58" t="n">
        <f aca="false">+'Cash-Int-Trans'!B199</f>
        <v>2836219.65</v>
      </c>
    </row>
    <row r="91" customFormat="false" ht="15.75" hidden="false" customHeight="false" outlineLevel="0" collapsed="false">
      <c r="A91" s="64" t="n">
        <f aca="false">+'Cash-Int-Trans'!B204</f>
        <v>37019</v>
      </c>
      <c r="B91" s="102" t="str">
        <f aca="false">+'Cash-Int-Trans'!A204</f>
        <v>Paradigm and Active</v>
      </c>
      <c r="D91" s="64"/>
      <c r="E91" s="58" t="n">
        <f aca="false">+'Cash-Int-Trans'!B203</f>
        <v>4333790.07</v>
      </c>
    </row>
    <row r="92" customFormat="false" ht="15.75" hidden="false" customHeight="false" outlineLevel="0" collapsed="false">
      <c r="A92" s="64" t="n">
        <f aca="false">+'Cash-Int-Trans'!B208</f>
        <v>37020</v>
      </c>
      <c r="B92" s="102" t="str">
        <f aca="false">+'Cash-Int-Trans'!A208</f>
        <v>Active</v>
      </c>
      <c r="D92" s="64"/>
      <c r="E92" s="58" t="n">
        <f aca="false">+'Cash-Int-Trans'!B207</f>
        <v>4111671.57</v>
      </c>
    </row>
    <row r="93" customFormat="false" ht="15.75" hidden="false" customHeight="false" outlineLevel="0" collapsed="false">
      <c r="A93" s="64" t="n">
        <f aca="false">+'Cash-Int-Trans'!B212</f>
        <v>37022</v>
      </c>
      <c r="B93" s="102" t="str">
        <f aca="false">+'Cash-Int-Trans'!A212</f>
        <v>Paradigm</v>
      </c>
      <c r="D93" s="64"/>
      <c r="E93" s="58" t="n">
        <f aca="false">+'Cash-Int-Trans'!B211</f>
        <v>487.5</v>
      </c>
    </row>
    <row r="94" customFormat="false" ht="15.75" hidden="false" customHeight="false" outlineLevel="0" collapsed="false">
      <c r="A94" s="64" t="n">
        <f aca="false">+'Cash-Int-Trans'!B216</f>
        <v>37028</v>
      </c>
      <c r="B94" s="102" t="str">
        <f aca="false">+'Cash-Int-Trans'!A216</f>
        <v>Paradigm</v>
      </c>
      <c r="D94" s="64"/>
      <c r="E94" s="58" t="n">
        <f aca="false">+'Cash-Int-Trans'!B215</f>
        <v>254.03</v>
      </c>
    </row>
    <row r="95" customFormat="false" ht="15.75" hidden="false" customHeight="false" outlineLevel="0" collapsed="false">
      <c r="A95" s="64" t="n">
        <f aca="false">+'Cash-Int-Trans'!B220</f>
        <v>37029</v>
      </c>
      <c r="B95" s="102" t="str">
        <f aca="false">+'Cash-Int-Trans'!A220</f>
        <v>Paradigm</v>
      </c>
      <c r="D95" s="64"/>
      <c r="E95" s="58" t="n">
        <f aca="false">+'Cash-Int-Trans'!B219</f>
        <v>3191.18</v>
      </c>
    </row>
    <row r="96" customFormat="false" ht="15.75" hidden="false" customHeight="false" outlineLevel="0" collapsed="false">
      <c r="A96" s="64" t="n">
        <f aca="false">+'Cash-Int-Trans'!B224</f>
        <v>37032</v>
      </c>
      <c r="B96" s="102" t="str">
        <f aca="false">+'Cash-Int-Trans'!A224</f>
        <v>Paradigm</v>
      </c>
      <c r="D96" s="64"/>
      <c r="E96" s="58" t="n">
        <f aca="false">+'Cash-Int-Trans'!B223</f>
        <v>1757.87</v>
      </c>
    </row>
    <row r="97" customFormat="false" ht="15.75" hidden="false" customHeight="false" outlineLevel="0" collapsed="false">
      <c r="A97" s="64" t="n">
        <f aca="false">+'Cash-Int-Trans'!B228</f>
        <v>37033</v>
      </c>
      <c r="B97" s="102" t="str">
        <f aca="false">+'Cash-Int-Trans'!A228</f>
        <v>Paradigm</v>
      </c>
      <c r="D97" s="64"/>
      <c r="E97" s="58" t="n">
        <f aca="false">+'Cash-Int-Trans'!B227</f>
        <v>5990.3</v>
      </c>
    </row>
    <row r="98" customFormat="false" ht="15.75" hidden="false" customHeight="false" outlineLevel="0" collapsed="false">
      <c r="A98" s="64" t="n">
        <f aca="false">+'Cash-Int-Trans'!B232</f>
        <v>37034</v>
      </c>
      <c r="B98" s="102" t="str">
        <f aca="false">+'Cash-Int-Trans'!A232</f>
        <v>Paradigm</v>
      </c>
      <c r="D98" s="64"/>
      <c r="E98" s="58" t="n">
        <f aca="false">+'Cash-Int-Trans'!B231</f>
        <v>471.82</v>
      </c>
    </row>
    <row r="99" customFormat="false" ht="15.75" hidden="false" customHeight="false" outlineLevel="0" collapsed="false">
      <c r="A99" s="64" t="n">
        <f aca="false">+'Cash-Int-Trans'!B236</f>
        <v>37069</v>
      </c>
      <c r="B99" s="102" t="str">
        <f aca="false">+'Cash-Int-Trans'!A236</f>
        <v>3 Tec and Carrizo</v>
      </c>
      <c r="D99" s="64"/>
      <c r="E99" s="58" t="n">
        <f aca="false">+'Cash-Int-Trans'!B235</f>
        <v>163319.21</v>
      </c>
    </row>
    <row r="100" customFormat="false" ht="15.75" hidden="false" customHeight="false" outlineLevel="0" collapsed="false">
      <c r="A100" s="64" t="n">
        <f aca="false">+'Cash-Int-Trans'!B240</f>
        <v>37071</v>
      </c>
      <c r="B100" s="102" t="str">
        <f aca="false">+'Cash-Int-Trans'!A240</f>
        <v>Merlin Credit Derivative</v>
      </c>
      <c r="D100" s="64"/>
      <c r="E100" s="58" t="n">
        <f aca="false">+'Cash-Int-Trans'!B239</f>
        <v>30637566.36</v>
      </c>
    </row>
    <row r="101" customFormat="false" ht="15.75" hidden="false" customHeight="false" outlineLevel="0" collapsed="false">
      <c r="A101" s="64" t="n">
        <f aca="false">+'Cash-Int-Trans'!B244</f>
        <v>37078</v>
      </c>
      <c r="B101" s="102" t="str">
        <f aca="false">+'Cash-Int-Trans'!A244</f>
        <v>WB Oil &amp; Gas</v>
      </c>
      <c r="D101" s="64"/>
      <c r="E101" s="58" t="n">
        <f aca="false">+'Cash-Int-Trans'!B243</f>
        <v>1360000</v>
      </c>
    </row>
    <row r="102" customFormat="false" ht="15.75" hidden="false" customHeight="false" outlineLevel="0" collapsed="false">
      <c r="A102" s="64"/>
      <c r="B102" s="102" t="s">
        <v>275</v>
      </c>
      <c r="D102" s="64"/>
      <c r="E102" s="207" t="n">
        <f aca="false">+'Cash-Int-Trans'!E172+'Cash-Int-Trans'!E176+'Cash-Int-Trans'!E180+'Cash-Int-Trans'!E184+'Cash-Int-Trans'!E188+'Cash-Int-Trans'!E192+'Cash-Int-Trans'!E196+'Cash-Int-Trans'!E200+'Cash-Int-Trans'!E204+'Cash-Int-Trans'!E208+'Cash-Int-Trans'!E212+'Cash-Int-Trans'!E216+'Cash-Int-Trans'!E220+'Cash-Int-Trans'!E224+'Cash-Int-Trans'!E228+'Cash-Int-Trans'!E232+'Cash-Int-Trans'!E236+'Cash-Int-Trans'!E240+'Cash-Int-Trans'!E244</f>
        <v>838285.181582411</v>
      </c>
    </row>
    <row r="103" customFormat="false" ht="15.75" hidden="false" customHeight="false" outlineLevel="0" collapsed="false">
      <c r="A103" s="64"/>
      <c r="D103" s="64"/>
      <c r="E103" s="58" t="n">
        <f aca="false">SUM(E83:E102)</f>
        <v>53942853.3625984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2001-07-24T16:23:45Z</cp:lastPrinted>
  <dcterms:modified xsi:type="dcterms:W3CDTF">2001-09-04T20:55:52Z</dcterms:modified>
  <cp:revision>0</cp:revision>
  <dc:subject/>
  <dc:title>FXHistory</dc:title>
</cp:coreProperties>
</file>