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 Sheet" sheetId="1" state="visible" r:id="rId3"/>
    <sheet name="Model" sheetId="2" state="visible" r:id="rId4"/>
    <sheet name="Summary" sheetId="3" state="visible" r:id="rId5"/>
  </sheets>
  <definedNames>
    <definedName function="false" hidden="false" localSheetId="1" name="_xlnm.Print_Area" vbProcedure="false">Model!$A$2:$Y$71</definedName>
    <definedName function="false" hidden="false" localSheetId="2" name="_xlnm.Print_Area" vbProcedure="false">Summary!$A$1:$J$99</definedName>
    <definedName function="false" hidden="false" localSheetId="2" name="_xlnm.Print_Titles" vbProcedure="false">Summary!$1:$11</definedName>
    <definedName function="false" hidden="false" localSheetId="0" name="solver_adj" vbProcedure="false">'Input Sheet'!$C$7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'Input Sheet'!$C$12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0.15</definedName>
    <definedName function="false" hidden="false" localSheetId="1" name="solver_adj" vbProcedure="false">Model!$B$19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Model!$B$9</definedName>
    <definedName function="false" hidden="false" localSheetId="1" name="solver_pre" vbProcedure="false">0.000001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3</definedName>
    <definedName function="false" hidden="false" localSheetId="1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<sst xmlns="http://schemas.openxmlformats.org/spreadsheetml/2006/main" count="449" uniqueCount="265">
  <si>
    <t xml:space="preserve">Project Name:</t>
  </si>
  <si>
    <t xml:space="preserve">TW Compressor Monetization</t>
  </si>
  <si>
    <t xml:space="preserve">Terminal Value</t>
  </si>
  <si>
    <t xml:space="preserve">Incentive Revenues</t>
  </si>
  <si>
    <t xml:space="preserve">CIAC</t>
  </si>
  <si>
    <t xml:space="preserve">Ciac With Gross Up</t>
  </si>
  <si>
    <t xml:space="preserve">TAX RATE</t>
  </si>
  <si>
    <t xml:space="preserve">AD VAL %</t>
  </si>
  <si>
    <t xml:space="preserve">DCF</t>
  </si>
  <si>
    <t xml:space="preserve">NPV @</t>
  </si>
  <si>
    <t xml:space="preserve">Financing</t>
  </si>
  <si>
    <t xml:space="preserve">Debt</t>
  </si>
  <si>
    <t xml:space="preserve">Interest Rate</t>
  </si>
  <si>
    <t xml:space="preserve">Construction Estimates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</si>
  <si>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</si>
  <si>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</si>
  <si>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</si>
  <si>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</si>
  <si>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</si>
  <si>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</si>
  <si>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</si>
  <si>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</si>
  <si>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</si>
  <si>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</si>
  <si>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Year 11</t>
  </si>
  <si>
    <t xml:space="preserve">Year 12</t>
  </si>
  <si>
    <t xml:space="preserve">Year 13</t>
  </si>
  <si>
    <t xml:space="preserve">Year 14</t>
  </si>
  <si>
    <t xml:space="preserve">Year 15</t>
  </si>
  <si>
    <t xml:space="preserve">Year 16</t>
  </si>
  <si>
    <t xml:space="preserve">Year 17</t>
  </si>
  <si>
    <t xml:space="preserve">Year 18</t>
  </si>
  <si>
    <t xml:space="preserve">Year 19</t>
  </si>
  <si>
    <t xml:space="preserve">Year 20</t>
  </si>
  <si>
    <t xml:space="preserve">Estimate Level</t>
  </si>
  <si>
    <t xml:space="preserve">Construction Cost</t>
  </si>
  <si>
    <t xml:space="preserve">Operations Justification</t>
  </si>
  <si>
    <t xml:space="preserve">Term of Benefit in Years</t>
  </si>
  <si>
    <t xml:space="preserve">Incremental Revenues</t>
  </si>
  <si>
    <t xml:space="preserve">O&amp;M Savings</t>
  </si>
  <si>
    <t xml:space="preserve">Contract Term In Years</t>
  </si>
  <si>
    <t xml:space="preserve">Winter</t>
  </si>
  <si>
    <t xml:space="preserve">Summer</t>
  </si>
  <si>
    <t xml:space="preserve">Contract 1</t>
  </si>
  <si>
    <t xml:space="preserve">Contract 2</t>
  </si>
  <si>
    <t xml:space="preserve">Contract 3</t>
  </si>
  <si>
    <t xml:space="preserve">        DEMAND RATES</t>
  </si>
  <si>
    <t xml:space="preserve">    COMMODITY MARGINS</t>
  </si>
  <si>
    <t xml:space="preserve"> TF12B Summer</t>
  </si>
  <si>
    <t xml:space="preserve"> TF12B</t>
  </si>
  <si>
    <t xml:space="preserve"> TF12B Blended Rate</t>
  </si>
  <si>
    <t xml:space="preserve"> TF12V</t>
  </si>
  <si>
    <t xml:space="preserve"> TF12V / TFX Summer</t>
  </si>
  <si>
    <t xml:space="preserve"> TF5</t>
  </si>
  <si>
    <t xml:space="preserve"> TF12V Blended Rate</t>
  </si>
  <si>
    <t xml:space="preserve"> TFX</t>
  </si>
  <si>
    <t xml:space="preserve"> TFX Blended Rate</t>
  </si>
  <si>
    <t xml:space="preserve"> TF 12B Winter</t>
  </si>
  <si>
    <t xml:space="preserve"> TI 12 month blended rate</t>
  </si>
  <si>
    <t xml:space="preserve"> TF5 /TFX Winter</t>
  </si>
  <si>
    <t xml:space="preserve"> TI Winter</t>
  </si>
  <si>
    <t xml:space="preserve"> TFV Winter</t>
  </si>
  <si>
    <t xml:space="preserve"> TI Summer</t>
  </si>
  <si>
    <t xml:space="preserve"> TFF</t>
  </si>
  <si>
    <t xml:space="preserve">Rate &amp; Volume Information</t>
  </si>
  <si>
    <t xml:space="preserve">   Contract 1</t>
  </si>
  <si>
    <t xml:space="preserve">Schedule</t>
  </si>
  <si>
    <t xml:space="preserve">Demand Rate</t>
  </si>
  <si>
    <t xml:space="preserve">Commodity Rate</t>
  </si>
  <si>
    <t xml:space="preserve">Months</t>
  </si>
  <si>
    <t xml:space="preserve">Term-YRS</t>
  </si>
  <si>
    <t xml:space="preserve">Volumes</t>
  </si>
  <si>
    <t xml:space="preserve">Load Factor</t>
  </si>
  <si>
    <t xml:space="preserve">Winter Rate Schedule</t>
  </si>
  <si>
    <t xml:space="preserve">Summer Rate Schedule</t>
  </si>
  <si>
    <t xml:space="preserve">Winter Demand Volume</t>
  </si>
  <si>
    <t xml:space="preserve">Summer Demand Volume</t>
  </si>
  <si>
    <t xml:space="preserve">Winter Commodity Volume</t>
  </si>
  <si>
    <t xml:space="preserve">Summer Commodity Volume</t>
  </si>
  <si>
    <t xml:space="preserve">   Contract 2</t>
  </si>
  <si>
    <t xml:space="preserve">   Contract 3</t>
  </si>
  <si>
    <t xml:space="preserve">Inflation Factor</t>
  </si>
  <si>
    <t xml:space="preserve">(Applied to Construction Costs)</t>
  </si>
  <si>
    <t xml:space="preserve">O&amp;M Assumption Factor</t>
  </si>
  <si>
    <t xml:space="preserve">Based on Facity unit rate</t>
  </si>
  <si>
    <t xml:space="preserve">Quantity</t>
  </si>
  <si>
    <t xml:space="preserve">Cost Per Unit</t>
  </si>
  <si>
    <t xml:space="preserve">Total Cost</t>
  </si>
  <si>
    <t xml:space="preserve">O&amp;M Expense Year 2</t>
  </si>
  <si>
    <t xml:space="preserve">Mainline</t>
  </si>
  <si>
    <t xml:space="preserve">O&amp;M Expense Year 1</t>
  </si>
  <si>
    <t xml:space="preserve">Branchline</t>
  </si>
  <si>
    <t xml:space="preserve">Branchline Loop</t>
  </si>
  <si>
    <t xml:space="preserve">New Town Border Station</t>
  </si>
  <si>
    <t xml:space="preserve">Reciprocating Horsepower</t>
  </si>
  <si>
    <t xml:space="preserve">Turbine Horsepower</t>
  </si>
  <si>
    <t xml:space="preserve">HP Enviromental Costs </t>
  </si>
  <si>
    <t xml:space="preserve">Minnesota HP Enviromental Costs</t>
  </si>
  <si>
    <t xml:space="preserve">Total O&amp;M</t>
  </si>
  <si>
    <t xml:space="preserve">O&amp;M Expense Year 4</t>
  </si>
  <si>
    <t xml:space="preserve">O&amp;M Expense Year 3</t>
  </si>
  <si>
    <t xml:space="preserve">O&amp;M Expense Year 6</t>
  </si>
  <si>
    <t xml:space="preserve">O&amp;M Expense Year 5</t>
  </si>
  <si>
    <t xml:space="preserve">O&amp;M Expense Year 8</t>
  </si>
  <si>
    <t xml:space="preserve">O&amp;M Expense Year 7</t>
  </si>
  <si>
    <t xml:space="preserve">O&amp;M Expense Year 10</t>
  </si>
  <si>
    <t xml:space="preserve">O&amp;M Expense Year 9</t>
  </si>
  <si>
    <t xml:space="preserve">For informational purposes only - Not to be construed as approval/disapproval by the Economic Analysis Dept.</t>
  </si>
  <si>
    <t xml:space="preserve">PROJECT:</t>
  </si>
  <si>
    <t xml:space="preserve">Winter Demand Rate</t>
  </si>
  <si>
    <t xml:space="preserve">Summer Demand Rate</t>
  </si>
  <si>
    <t xml:space="preserve">Sensitivity Analysis</t>
  </si>
  <si>
    <t xml:space="preserve">Variance in Cost Est.</t>
  </si>
  <si>
    <t xml:space="preserve">Project Cost</t>
  </si>
  <si>
    <t xml:space="preserve">NPV @ 9.5%</t>
  </si>
  <si>
    <t xml:space="preserve">ANNUAL REVENUE</t>
  </si>
  <si>
    <t xml:space="preserve">(See Total Revenue )</t>
  </si>
  <si>
    <t xml:space="preserve">PERCENTAGE</t>
  </si>
  <si>
    <t xml:space="preserve">YEAR 2000</t>
  </si>
  <si>
    <t xml:space="preserve">YEAR 2001</t>
  </si>
  <si>
    <t xml:space="preserve">YEAR 2002</t>
  </si>
  <si>
    <t xml:space="preserve">YEAR 2003</t>
  </si>
  <si>
    <t xml:space="preserve">YEAR 2004</t>
  </si>
  <si>
    <t xml:space="preserve">YEAR 2005</t>
  </si>
  <si>
    <t xml:space="preserve">YEAR 2006</t>
  </si>
  <si>
    <t xml:space="preserve">YEAR 2007</t>
  </si>
  <si>
    <t xml:space="preserve">YEAR 2008</t>
  </si>
  <si>
    <t xml:space="preserve">YEAR 2009</t>
  </si>
  <si>
    <t xml:space="preserve">YEAR 2010</t>
  </si>
  <si>
    <t xml:space="preserve">YEAR 2011</t>
  </si>
  <si>
    <t xml:space="preserve">YEAR 2012</t>
  </si>
  <si>
    <t xml:space="preserve">YEAR 2013</t>
  </si>
  <si>
    <t xml:space="preserve">YEAR 2014</t>
  </si>
  <si>
    <t xml:space="preserve">YEAR 2015</t>
  </si>
  <si>
    <t xml:space="preserve">YEAR 2016</t>
  </si>
  <si>
    <t xml:space="preserve">YEAR 2017</t>
  </si>
  <si>
    <t xml:space="preserve">YEAR 2018</t>
  </si>
  <si>
    <t xml:space="preserve">YEAR 2019</t>
  </si>
  <si>
    <t xml:space="preserve">YEAR 2020</t>
  </si>
  <si>
    <t xml:space="preserve">Sum Years 11 - 20</t>
  </si>
  <si>
    <t xml:space="preserve">Total</t>
  </si>
  <si>
    <t xml:space="preserve">DEBT</t>
  </si>
  <si>
    <t xml:space="preserve">EQUITY</t>
  </si>
  <si>
    <t xml:space="preserve">PROJECT COST</t>
  </si>
  <si>
    <t xml:space="preserve">  AFUDC</t>
  </si>
  <si>
    <t xml:space="preserve">  OVERHEAD</t>
  </si>
  <si>
    <t xml:space="preserve">  CONSTRUCTION</t>
  </si>
  <si>
    <t xml:space="preserve">  CONTRIBUTION</t>
  </si>
  <si>
    <t xml:space="preserve">Incremental Demand Volumes</t>
  </si>
  <si>
    <t xml:space="preserve">Accumulated Demand Volumes</t>
  </si>
  <si>
    <t xml:space="preserve">Commodity Volumes</t>
  </si>
  <si>
    <t xml:space="preserve">These two cells Must be =</t>
  </si>
  <si>
    <t xml:space="preserve">DEMAND REVENUES</t>
  </si>
  <si>
    <t xml:space="preserve">COMMODITY REVENUES</t>
  </si>
  <si>
    <t xml:space="preserve">INCENTIVE REVENUES</t>
  </si>
  <si>
    <t xml:space="preserve">OPERATIONS JUSTIFICATION</t>
  </si>
  <si>
    <t xml:space="preserve">   Incremental Revenues</t>
  </si>
  <si>
    <t xml:space="preserve">   O&amp;M Savings</t>
  </si>
  <si>
    <t xml:space="preserve">CIAC Received</t>
  </si>
  <si>
    <t xml:space="preserve">TERMINAL VALUE</t>
  </si>
  <si>
    <t xml:space="preserve">TOTAL REVENUES</t>
  </si>
  <si>
    <t xml:space="preserve">TAX DEPRECIATION</t>
  </si>
  <si>
    <t xml:space="preserve">O&amp;M</t>
  </si>
  <si>
    <t xml:space="preserve">INTEREST EXPENSE</t>
  </si>
  <si>
    <t xml:space="preserve">Cells Must  = 0</t>
  </si>
  <si>
    <t xml:space="preserve">AD VALOREM TAX</t>
  </si>
  <si>
    <t xml:space="preserve">TOTAL EXPENSE</t>
  </si>
  <si>
    <t xml:space="preserve">INCOME BEFORE TAX</t>
  </si>
  <si>
    <t xml:space="preserve">INCOME TAX</t>
  </si>
  <si>
    <t xml:space="preserve">NET INCOME</t>
  </si>
  <si>
    <t xml:space="preserve">TAX REIMBURSEMENT</t>
  </si>
  <si>
    <t xml:space="preserve">TAXABLE INCOME</t>
  </si>
  <si>
    <t xml:space="preserve">INCOME TAX EXPENSE</t>
  </si>
  <si>
    <t xml:space="preserve">PRINCIPAL PAYMENT</t>
  </si>
  <si>
    <t xml:space="preserve">IRR</t>
  </si>
  <si>
    <t xml:space="preserve">CASH FLOW</t>
  </si>
  <si>
    <t xml:space="preserve">           FOR DISCUSSION ONLY</t>
  </si>
  <si>
    <t xml:space="preserve">TAX DEPRECIATION CALC:</t>
  </si>
  <si>
    <t xml:space="preserve">  BALANCE 2007 Construction</t>
  </si>
  <si>
    <t xml:space="preserve">  BALANCE 2003 Construction</t>
  </si>
  <si>
    <t xml:space="preserve">  BALANCE 2000 Construction</t>
  </si>
  <si>
    <t xml:space="preserve">Tax Depr Rate Schedule Yr 2007</t>
  </si>
  <si>
    <t xml:space="preserve">Tax Depr Rate Schedule Yr 2003</t>
  </si>
  <si>
    <t xml:space="preserve">Tax Depr Rate Schedule Yr 2000</t>
  </si>
  <si>
    <t xml:space="preserve">PREMATURE DEPR EXP</t>
  </si>
  <si>
    <t xml:space="preserve">NORMAL  DEPRECIATION EXP Yr 2007</t>
  </si>
  <si>
    <t xml:space="preserve">NORMAL  DEPRECIATION EXP Yr 2003</t>
  </si>
  <si>
    <t xml:space="preserve">NORMAL  DEPRECIATION EXP Yr 2000</t>
  </si>
  <si>
    <t xml:space="preserve">DEPRECIATION EXP</t>
  </si>
  <si>
    <t xml:space="preserve">DEBT AMOUNT  2007</t>
  </si>
  <si>
    <t xml:space="preserve">DEBT AMOUNT  2003</t>
  </si>
  <si>
    <t xml:space="preserve">DEBT AMOUNT  2000</t>
  </si>
  <si>
    <t xml:space="preserve">PRINCIPAL BALANCE</t>
  </si>
  <si>
    <t xml:space="preserve">PAYMENT  EXP YR 2007</t>
  </si>
  <si>
    <t xml:space="preserve">PAYMENT  EXP YR 2003</t>
  </si>
  <si>
    <t xml:space="preserve">PAYMENT  EXP YR 2000</t>
  </si>
  <si>
    <t xml:space="preserve">TOTAL PAYMENT</t>
  </si>
  <si>
    <t xml:space="preserve">INTEREST RATE</t>
  </si>
  <si>
    <t xml:space="preserve">INTEREST EXP YR 2007</t>
  </si>
  <si>
    <t xml:space="preserve">INTEREST EXP YR 2003</t>
  </si>
  <si>
    <t xml:space="preserve">INTEREST EXP YR 2000</t>
  </si>
  <si>
    <t xml:space="preserve">Total  Interest</t>
  </si>
  <si>
    <t xml:space="preserve">PRINCIPAL REPAY EXP YR 2007</t>
  </si>
  <si>
    <t xml:space="preserve">PRINCIPAL REPAY EXP YR 2003</t>
  </si>
  <si>
    <t xml:space="preserve">PRINCIPAL REPAY EXP YR 2000</t>
  </si>
  <si>
    <t xml:space="preserve">TOTAL PRINCIPAL PAYMENT</t>
  </si>
  <si>
    <t xml:space="preserve">Percentage Reduction To COS</t>
  </si>
  <si>
    <t xml:space="preserve">Hanover IRR</t>
  </si>
  <si>
    <t xml:space="preserve">Sales Price</t>
  </si>
  <si>
    <t xml:space="preserve">Net Book Value of Assets Sold</t>
  </si>
  <si>
    <t xml:space="preserve">Tax Net Book</t>
  </si>
  <si>
    <t xml:space="preserve">Cost of Sale - Severance Costs</t>
  </si>
  <si>
    <t xml:space="preserve">Severance Costs</t>
  </si>
  <si>
    <t xml:space="preserve">Book Gain on Sale</t>
  </si>
  <si>
    <t xml:space="preserve">Tax Gain on Sale</t>
  </si>
  <si>
    <t xml:space="preserve">Tax on Sale</t>
  </si>
  <si>
    <t xml:space="preserve">Assumptions for Hanover</t>
  </si>
  <si>
    <t xml:space="preserve">Purchase Price</t>
  </si>
  <si>
    <t xml:space="preserve">Terminal Value end of Contract Term</t>
  </si>
  <si>
    <t xml:space="preserve">(Terminal value equal to estimated NBV for TW in 7Years)</t>
  </si>
  <si>
    <t xml:space="preserve">Combined Income Tax Rate</t>
  </si>
  <si>
    <t xml:space="preserve">Capital Structure</t>
  </si>
  <si>
    <t xml:space="preserve">Financing Details</t>
  </si>
  <si>
    <t xml:space="preserve">Cash Invested</t>
  </si>
  <si>
    <t xml:space="preserve">Amount Financed</t>
  </si>
  <si>
    <t xml:space="preserve">Loan Term -Yrs</t>
  </si>
  <si>
    <t xml:space="preserve">Annual Loan PMT</t>
  </si>
  <si>
    <t xml:space="preserve">Balloon Pmt</t>
  </si>
  <si>
    <t xml:space="preserve">Hanover Management Fee</t>
  </si>
  <si>
    <t xml:space="preserve">Return &amp; Taxes</t>
  </si>
  <si>
    <t xml:space="preserve">Depreciation Expense</t>
  </si>
  <si>
    <t xml:space="preserve">Ad Valorem Tax</t>
  </si>
  <si>
    <t xml:space="preserve">Interest Expense</t>
  </si>
  <si>
    <t xml:space="preserve">Estimated Management Fee</t>
  </si>
  <si>
    <t xml:space="preserve">Note:  Management fee assumes that Hanover is able to lower O&amp;M costs by 10% and keep these costs flat for 7 years.</t>
  </si>
  <si>
    <t xml:space="preserve">Hanover Cash Flow</t>
  </si>
  <si>
    <t xml:space="preserve">Purchase of Assets</t>
  </si>
  <si>
    <t xml:space="preserve">Revenues - Management Fee</t>
  </si>
  <si>
    <t xml:space="preserve">Loan Payment</t>
  </si>
  <si>
    <t xml:space="preserve">Income Taxes</t>
  </si>
  <si>
    <t xml:space="preserve">Sale of Assets</t>
  </si>
  <si>
    <t xml:space="preserve">Net Cash Flow</t>
  </si>
  <si>
    <t xml:space="preserve">IRR of Cash Flow</t>
  </si>
  <si>
    <t xml:space="preserve">Impact on Sale To Transwestern</t>
  </si>
  <si>
    <t xml:space="preserve">TW Estimated Cash Flow Without Sale</t>
  </si>
  <si>
    <t xml:space="preserve">COS Revenues</t>
  </si>
  <si>
    <t xml:space="preserve">O&amp;M </t>
  </si>
  <si>
    <t xml:space="preserve">TW Estimated Cash Flow With Sale</t>
  </si>
  <si>
    <t xml:space="preserve">Return on Sale Proceeds Reinvested @ 9.5%</t>
  </si>
  <si>
    <t xml:space="preserve">Mgmt Fee</t>
  </si>
  <si>
    <t xml:space="preserve">Income Tax</t>
  </si>
  <si>
    <t xml:space="preserve">Buy Back of Assets</t>
  </si>
  <si>
    <t xml:space="preserve">Change in TW EBIT Due to Compressor Sale</t>
  </si>
  <si>
    <t xml:space="preserve">Gain From Sale Net of Severance Costs</t>
  </si>
  <si>
    <t xml:space="preserve">Management Fee</t>
  </si>
  <si>
    <t xml:space="preserve">Current Expenses Included In Management Fee</t>
  </si>
  <si>
    <t xml:space="preserve">Total Add Back for current Expenses</t>
  </si>
  <si>
    <t xml:space="preserve">Ebit Increase / (Decrease)</t>
  </si>
  <si>
    <t xml:space="preserve">Interest Income on Net Sales Proceeds @ 9.5%</t>
  </si>
  <si>
    <t xml:space="preserve">Total EBIT and Interest Income</t>
  </si>
  <si>
    <t xml:space="preserve">Current TW COS</t>
  </si>
  <si>
    <t xml:space="preserve">COS Excluding O&amp;M</t>
  </si>
  <si>
    <t xml:space="preserve">Total TW Current COS</t>
  </si>
  <si>
    <t xml:space="preserve">Reduction to COS</t>
  </si>
  <si>
    <t xml:space="preserve">FOR DISCUSSION ONLY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</si>
</sst>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\(#,##0\)"/>
    <numFmt numFmtId="166" formatCode="0.00%"/>
    <numFmt numFmtId="167" formatCode="_(\$* #,##0.00_);_(\$* \(#,##0.00\);_(\$* \-??_);_(@_)"/>
    <numFmt numFmtId="168" formatCode="_(\$* #,##0_);_(\$* \(#,##0\);_(\$* \-??_);_(@_)"/>
    <numFmt numFmtId="169" formatCode="_(\$* #,##0_);_(\$* \(#,##0\);_(\$* \-_);_(@_)"/>
    <numFmt numFmtId="170" formatCode="0%"/>
    <numFmt numFmtId="171" formatCode="0.0000_)"/>
    <numFmt numFmtId="172" formatCode="0.000_)"/>
    <numFmt numFmtId="173" formatCode="_(* #,##0.00_);_(* \(#,##0.00\);_(* \-??_);_(@_)"/>
    <numFmt numFmtId="174" formatCode="_(* #,##0_);_(* \(#,##0\);_(* \-??_);_(@_)"/>
    <numFmt numFmtId="175" formatCode="#,##0.0000_);\(#,##0.0000\)"/>
    <numFmt numFmtId="176" formatCode="\$#,##0.0000"/>
    <numFmt numFmtId="177" formatCode="0.0000"/>
    <numFmt numFmtId="178" formatCode="_(* #,##0_);_(* \(#,##0\);_(* \-_);_(@_)"/>
    <numFmt numFmtId="179" formatCode="\$#,##0_);[RED]&quot;($&quot;#,##0\)"/>
    <numFmt numFmtId="180" formatCode="0.0%"/>
    <numFmt numFmtId="181" formatCode="#,##0"/>
    <numFmt numFmtId="182" formatCode="\$#,##0.00_);[RED]&quot;($&quot;#,##0.00\)"/>
    <numFmt numFmtId="183" formatCode="[$-409]#,##0_);[RED]\(#,##0\)"/>
    <numFmt numFmtId="184" formatCode="0"/>
    <numFmt numFmtId="185" formatCode="\$#,##0"/>
    <numFmt numFmtId="186" formatCode="\$#,##0_);&quot;($&quot;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 MT"/>
      <family val="0"/>
    </font>
    <font>
      <b val="true"/>
      <sz val="8"/>
      <color rgb="FF008000"/>
      <name val="Arial MT"/>
      <family val="0"/>
    </font>
    <font>
      <sz val="8"/>
      <name val="Arial"/>
      <family val="0"/>
    </font>
    <font>
      <b val="true"/>
      <u val="single"/>
      <sz val="8"/>
      <name val="Arial"/>
      <family val="2"/>
    </font>
    <font>
      <sz val="8"/>
      <name val="Arial MT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 MT"/>
      <family val="0"/>
    </font>
    <font>
      <sz val="10"/>
      <name val="Arial"/>
      <family val="2"/>
    </font>
    <font>
      <sz val="9"/>
      <name val="Arial MT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5" fillId="4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5" fillId="2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1" fontId="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6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6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1" width="23.56"/>
    <col collapsed="false" customWidth="true" hidden="false" outlineLevel="0" max="3" min="3" style="1" width="21.42"/>
    <col collapsed="false" customWidth="true" hidden="false" outlineLevel="0" max="4" min="4" style="1" width="12.7"/>
    <col collapsed="false" customWidth="true" hidden="false" outlineLevel="0" max="5" min="5" style="1" width="15.7"/>
    <col collapsed="false" customWidth="true" hidden="false" outlineLevel="0" max="6" min="6" style="1" width="11.28"/>
    <col collapsed="false" customWidth="true" hidden="false" outlineLevel="0" max="7" min="7" style="1" width="11.56"/>
    <col collapsed="false" customWidth="true" hidden="false" outlineLevel="0" max="8" min="8" style="1" width="13.28"/>
    <col collapsed="false" customWidth="true" hidden="false" outlineLevel="0" max="9" min="9" style="1" width="11.42"/>
    <col collapsed="false" customWidth="true" hidden="false" outlineLevel="0" max="10" min="10" style="1" width="11.28"/>
    <col collapsed="false" customWidth="true" hidden="false" outlineLevel="0" max="11" min="11" style="1" width="13.14"/>
    <col collapsed="false" customWidth="true" hidden="false" outlineLevel="0" max="12" min="12" style="1" width="11.99"/>
    <col collapsed="false" customWidth="true" hidden="false" outlineLevel="0" max="13" min="13" style="1" width="11.85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B1" s="2" t="s">
        <v>0</v>
      </c>
      <c r="C1" s="3" t="s">
        <v>1</v>
      </c>
      <c r="D1" s="4"/>
      <c r="E1" s="5"/>
      <c r="F1" s="5"/>
      <c r="G1" s="5"/>
    </row>
    <row r="3" customFormat="false" ht="11.25" hidden="false" customHeight="false" outlineLevel="0" collapsed="false">
      <c r="A3" s="6"/>
      <c r="B3" s="7"/>
      <c r="D3" s="8" t="n">
        <v>1</v>
      </c>
      <c r="E3" s="8" t="n">
        <v>2</v>
      </c>
      <c r="F3" s="8" t="n">
        <v>3</v>
      </c>
      <c r="G3" s="8" t="n">
        <v>4</v>
      </c>
      <c r="H3" s="8" t="n">
        <v>5</v>
      </c>
      <c r="I3" s="8" t="n">
        <v>6</v>
      </c>
      <c r="J3" s="8" t="n">
        <v>7</v>
      </c>
      <c r="K3" s="8" t="n">
        <v>8</v>
      </c>
      <c r="L3" s="8" t="n">
        <v>9</v>
      </c>
      <c r="M3" s="8" t="n">
        <v>10</v>
      </c>
      <c r="N3" s="8" t="n">
        <v>11</v>
      </c>
      <c r="O3" s="8" t="n">
        <v>12</v>
      </c>
      <c r="P3" s="8" t="n">
        <v>13</v>
      </c>
      <c r="Q3" s="8" t="n">
        <v>14</v>
      </c>
      <c r="R3" s="8" t="n">
        <v>15</v>
      </c>
      <c r="S3" s="8" t="n">
        <v>16</v>
      </c>
      <c r="T3" s="8" t="n">
        <v>17</v>
      </c>
      <c r="U3" s="8" t="n">
        <v>18</v>
      </c>
      <c r="V3" s="8" t="n">
        <v>19</v>
      </c>
      <c r="W3" s="8" t="n">
        <v>20</v>
      </c>
    </row>
    <row r="4" customFormat="false" ht="11.25" hidden="false" customHeight="false" outlineLevel="0" collapsed="false">
      <c r="A4" s="6"/>
      <c r="B4" s="7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T4" s="8"/>
      <c r="V4" s="8"/>
    </row>
    <row r="5" customFormat="false" ht="11.25" hidden="false" customHeight="false" outlineLevel="0" collapsed="false">
      <c r="A5" s="6" t="s">
        <v>2</v>
      </c>
      <c r="B5" s="7"/>
      <c r="C5" s="10" t="n">
        <v>0.8</v>
      </c>
      <c r="D5" s="11" t="n">
        <f aca="false">16390042-5928851</f>
        <v>10461191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T5" s="8"/>
      <c r="V5" s="8"/>
    </row>
    <row r="6" customFormat="false" ht="11.25" hidden="false" customHeight="false" outlineLevel="0" collapsed="false">
      <c r="A6" s="6" t="s">
        <v>3</v>
      </c>
      <c r="B6" s="7"/>
      <c r="C6" s="12" t="n">
        <f aca="false">SUM(D6:M6)</f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customFormat="false" ht="11.25" hidden="false" customHeight="false" outlineLevel="0" collapsed="false">
      <c r="A7" s="6" t="s">
        <v>4</v>
      </c>
      <c r="B7" s="7"/>
      <c r="C7" s="14" t="n">
        <v>0</v>
      </c>
      <c r="D7" s="1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T7" s="8"/>
      <c r="V7" s="8"/>
    </row>
    <row r="8" customFormat="false" ht="11.25" hidden="false" customHeight="false" outlineLevel="0" collapsed="false">
      <c r="A8" s="6" t="s">
        <v>5</v>
      </c>
      <c r="B8" s="7"/>
      <c r="C8" s="16" t="n">
        <f aca="false">+C7*1.304</f>
        <v>0</v>
      </c>
    </row>
    <row r="9" customFormat="false" ht="11.25" hidden="false" customHeight="false" outlineLevel="0" collapsed="false">
      <c r="A9" s="17" t="s">
        <v>6</v>
      </c>
      <c r="C9" s="18" t="n">
        <f aca="false">+Summary!B15</f>
        <v>0.39</v>
      </c>
    </row>
    <row r="10" customFormat="false" ht="11.25" hidden="false" customHeight="false" outlineLevel="0" collapsed="false">
      <c r="A10" s="17" t="s">
        <v>7</v>
      </c>
      <c r="C10" s="19" t="n">
        <v>0.01</v>
      </c>
    </row>
    <row r="11" customFormat="false" ht="11.25" hidden="false" customHeight="false" outlineLevel="0" collapsed="false">
      <c r="A11" s="17"/>
      <c r="C11" s="20"/>
    </row>
    <row r="12" customFormat="false" ht="11.25" hidden="false" customHeight="false" outlineLevel="0" collapsed="false">
      <c r="A12" s="17" t="s">
        <v>8</v>
      </c>
      <c r="C12" s="21" t="n">
        <f aca="false">+Model!B66</f>
        <v>0.0821689918531453</v>
      </c>
    </row>
    <row r="13" customFormat="false" ht="11.25" hidden="false" customHeight="false" outlineLevel="0" collapsed="false">
      <c r="A13" s="17" t="s">
        <v>9</v>
      </c>
      <c r="B13" s="22" t="n">
        <v>0.095</v>
      </c>
      <c r="C13" s="23" t="n">
        <f aca="false">+Model!C68</f>
        <v>-32762.9230930985</v>
      </c>
      <c r="G13" s="24"/>
    </row>
    <row r="14" customFormat="false" ht="11.25" hidden="false" customHeight="false" outlineLevel="0" collapsed="false">
      <c r="A14" s="17"/>
      <c r="C14" s="20"/>
    </row>
    <row r="15" customFormat="false" ht="11.25" hidden="false" customHeight="false" outlineLevel="0" collapsed="false">
      <c r="A15" s="2" t="s">
        <v>10</v>
      </c>
      <c r="F15" s="25"/>
      <c r="G15" s="25"/>
      <c r="H15" s="25"/>
      <c r="I15" s="25"/>
      <c r="M15" s="25"/>
      <c r="O15" s="25"/>
      <c r="Q15" s="25"/>
      <c r="S15" s="25"/>
      <c r="U15" s="25"/>
      <c r="W15" s="25"/>
    </row>
    <row r="16" customFormat="false" ht="11.25" hidden="false" customHeight="false" outlineLevel="0" collapsed="false">
      <c r="B16" s="1" t="s">
        <v>11</v>
      </c>
      <c r="C16" s="26" t="n">
        <f aca="false">+Summary!C17</f>
        <v>0.9</v>
      </c>
      <c r="S16" s="27"/>
      <c r="U16" s="27"/>
      <c r="W16" s="27"/>
    </row>
    <row r="17" customFormat="false" ht="11.25" hidden="false" customHeight="false" outlineLevel="0" collapsed="false">
      <c r="B17" s="1" t="s">
        <v>12</v>
      </c>
      <c r="C17" s="26" t="n">
        <f aca="false">+Summary!C23</f>
        <v>0.0732</v>
      </c>
      <c r="S17" s="27"/>
      <c r="U17" s="27"/>
      <c r="W17" s="27"/>
    </row>
    <row r="18" customFormat="false" ht="11.25" hidden="false" customHeight="false" outlineLevel="0" collapsed="false">
      <c r="C18" s="28"/>
      <c r="S18" s="27"/>
      <c r="U18" s="27"/>
      <c r="W18" s="27"/>
    </row>
    <row r="19" customFormat="false" ht="11.25" hidden="false" customHeight="false" outlineLevel="0" collapsed="false">
      <c r="A19" s="2" t="s">
        <v>13</v>
      </c>
      <c r="C19" s="24"/>
      <c r="D19" s="29" t="s">
        <v>14</v>
      </c>
      <c r="E19" s="29" t="s">
        <v>15</v>
      </c>
      <c r="F19" s="29" t="s">
        <v>16</v>
      </c>
      <c r="G19" s="29" t="s">
        <v>17</v>
      </c>
      <c r="H19" s="29" t="s">
        <v>18</v>
      </c>
      <c r="I19" s="29" t="s">
        <v>19</v>
      </c>
      <c r="J19" s="29" t="s">
        <v>20</v>
      </c>
      <c r="K19" s="29" t="s">
        <v>21</v>
      </c>
      <c r="L19" s="29" t="s">
        <v>22</v>
      </c>
      <c r="M19" s="29" t="s">
        <v>23</v>
      </c>
      <c r="N19" s="29" t="s">
        <v>24</v>
      </c>
      <c r="O19" s="29" t="s">
        <v>25</v>
      </c>
      <c r="P19" s="29" t="s">
        <v>26</v>
      </c>
      <c r="Q19" s="29" t="s">
        <v>27</v>
      </c>
      <c r="R19" s="29" t="s">
        <v>28</v>
      </c>
      <c r="S19" s="29" t="s">
        <v>29</v>
      </c>
      <c r="T19" s="29" t="s">
        <v>30</v>
      </c>
      <c r="U19" s="29" t="s">
        <v>31</v>
      </c>
      <c r="V19" s="29" t="s">
        <v>32</v>
      </c>
      <c r="W19" s="29" t="s">
        <v>33</v>
      </c>
    </row>
    <row r="20" customFormat="false" ht="11.25" hidden="false" customHeight="false" outlineLevel="0" collapsed="false">
      <c r="B20" s="1" t="s">
        <v>34</v>
      </c>
      <c r="C20" s="30"/>
    </row>
    <row r="21" customFormat="false" ht="11.25" hidden="false" customHeight="false" outlineLevel="0" collapsed="false">
      <c r="B21" s="1" t="s">
        <v>35</v>
      </c>
      <c r="C21" s="12" t="n">
        <f aca="false">SUM(D21:M21)</f>
        <v>14800000</v>
      </c>
      <c r="D21" s="31" t="n">
        <f aca="false">+Summary!B7</f>
        <v>14800000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customFormat="false" ht="11.25" hidden="false" customHeight="false" outlineLevel="0" collapsed="false">
      <c r="C22" s="1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customFormat="false" ht="11.25" hidden="false" customHeight="false" outlineLevel="0" collapsed="false">
      <c r="A23" s="2" t="s">
        <v>36</v>
      </c>
      <c r="C23" s="1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customFormat="false" ht="11.25" hidden="false" customHeight="false" outlineLevel="0" collapsed="false">
      <c r="B24" s="1" t="s">
        <v>37</v>
      </c>
      <c r="C24" s="33" t="n">
        <f aca="false">+Summary!C22</f>
        <v>7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customFormat="false" ht="11.25" hidden="false" customHeight="false" outlineLevel="0" collapsed="false">
      <c r="B25" s="1" t="s">
        <v>38</v>
      </c>
      <c r="C25" s="12" t="n">
        <f aca="false">SUM(D25:W25)</f>
        <v>20418890.4653683</v>
      </c>
      <c r="D25" s="34" t="n">
        <f aca="false">+Summary!D33</f>
        <v>2930137.275</v>
      </c>
      <c r="E25" s="34" t="n">
        <f aca="false">+Summary!E33</f>
        <v>2924512.58775</v>
      </c>
      <c r="F25" s="34" t="n">
        <f aca="false">+Summary!F33</f>
        <v>2917753.3443825</v>
      </c>
      <c r="G25" s="34" t="n">
        <f aca="false">+Summary!G33</f>
        <v>2913066.98346398</v>
      </c>
      <c r="H25" s="34" t="n">
        <f aca="false">+Summary!H33</f>
        <v>2910642.41221789</v>
      </c>
      <c r="I25" s="34" t="n">
        <f aca="false">+Summary!I33</f>
        <v>2910490.21283443</v>
      </c>
      <c r="J25" s="34" t="n">
        <f aca="false">+Summary!J33</f>
        <v>2912287.64971946</v>
      </c>
      <c r="K25" s="34" t="n">
        <f aca="false">+Summary!K33</f>
        <v>0</v>
      </c>
      <c r="L25" s="34" t="n">
        <f aca="false">+Summary!L33</f>
        <v>0</v>
      </c>
      <c r="M25" s="34" t="n">
        <f aca="false">+Summary!K33</f>
        <v>0</v>
      </c>
      <c r="N25" s="34" t="n">
        <f aca="false">+Summary!L33</f>
        <v>0</v>
      </c>
      <c r="O25" s="34" t="n">
        <f aca="false">+Summary!M33</f>
        <v>0</v>
      </c>
      <c r="P25" s="34" t="n">
        <f aca="false">+Summary!N33</f>
        <v>0</v>
      </c>
      <c r="Q25" s="34" t="n">
        <f aca="false">+Summary!O33</f>
        <v>0</v>
      </c>
      <c r="R25" s="34" t="n">
        <f aca="false">+Summary!P33</f>
        <v>0</v>
      </c>
      <c r="S25" s="34" t="n">
        <f aca="false">+Summary!Q33</f>
        <v>0</v>
      </c>
      <c r="T25" s="34" t="n">
        <f aca="false">+Summary!R33</f>
        <v>0</v>
      </c>
      <c r="U25" s="34" t="n">
        <f aca="false">+Summary!S33</f>
        <v>0</v>
      </c>
      <c r="V25" s="34" t="n">
        <f aca="false">+Summary!T33</f>
        <v>0</v>
      </c>
      <c r="W25" s="34" t="n">
        <f aca="false">+Summary!U33</f>
        <v>0</v>
      </c>
    </row>
    <row r="26" customFormat="false" ht="11.25" hidden="false" customHeight="false" outlineLevel="0" collapsed="false">
      <c r="B26" s="1" t="s">
        <v>39</v>
      </c>
      <c r="C26" s="12" t="n">
        <f aca="false">SUM(D26:W26)</f>
        <v>0</v>
      </c>
      <c r="D26" s="34"/>
      <c r="E26" s="35" t="n">
        <f aca="false">IF($C$24-D3&gt;0,D26*(1+C74),0)</f>
        <v>0</v>
      </c>
      <c r="F26" s="35" t="n">
        <f aca="false">IF($C$24-E3&gt;0,E26*(1+D72),0)</f>
        <v>0</v>
      </c>
      <c r="G26" s="35" t="n">
        <f aca="false">IF($C$24-F3&gt;0,F26*(1+E72),0)</f>
        <v>0</v>
      </c>
      <c r="H26" s="35" t="n">
        <f aca="false">IF($C$24-G3&gt;0,G26*(1+F72),0)</f>
        <v>0</v>
      </c>
      <c r="I26" s="35" t="n">
        <f aca="false">IF($C$24-H3&gt;0,H26*(1+G72),0)</f>
        <v>0</v>
      </c>
      <c r="J26" s="35" t="n">
        <f aca="false">IF($C$24-I3&gt;0,I26*(1+H72),0)</f>
        <v>0</v>
      </c>
      <c r="K26" s="35" t="n">
        <f aca="false">IF($C$24-J3&gt;0,J26*(1+I72),0)</f>
        <v>0</v>
      </c>
      <c r="L26" s="35" t="n">
        <f aca="false">IF($C$24-K3&gt;0,K26*(1+J72),0)</f>
        <v>0</v>
      </c>
      <c r="M26" s="35" t="n">
        <f aca="false">IF($C$24-L3&gt;0,L26*(1+K72),0)</f>
        <v>0</v>
      </c>
      <c r="N26" s="35" t="n">
        <f aca="false">IF($C$24-M3&gt;0,M26*(1+L72),0)</f>
        <v>0</v>
      </c>
      <c r="O26" s="35" t="n">
        <f aca="false">IF($C$24-N3&gt;0,N26*(1+M72),0)</f>
        <v>0</v>
      </c>
      <c r="P26" s="35" t="n">
        <f aca="false">IF($C$24-O3&gt;0,O26*(1+N72),0)</f>
        <v>0</v>
      </c>
      <c r="Q26" s="35" t="n">
        <f aca="false">IF($C$24-P3&gt;0,P26*(1+O72),0)</f>
        <v>0</v>
      </c>
      <c r="R26" s="35" t="n">
        <f aca="false">IF($C$24-Q3&gt;0,Q26*(1+P72),0)</f>
        <v>0</v>
      </c>
      <c r="S26" s="35" t="n">
        <f aca="false">IF($C$24-R3&gt;0,R26*(1+Q72),0)</f>
        <v>0</v>
      </c>
      <c r="T26" s="35" t="n">
        <f aca="false">IF($C$24-S3&gt;0,S26*(1+R72),0)</f>
        <v>0</v>
      </c>
      <c r="U26" s="35" t="n">
        <f aca="false">IF($C$24-T3&gt;0,T26*(1+S72),0)</f>
        <v>0</v>
      </c>
      <c r="V26" s="35" t="n">
        <f aca="false">IF($C$24-U3&gt;0,U26*(1+T72),0)</f>
        <v>0</v>
      </c>
      <c r="W26" s="35" t="n">
        <f aca="false">IF($C$24-V3&gt;0,V26*(1+U72),0)</f>
        <v>0</v>
      </c>
    </row>
    <row r="27" customFormat="false" ht="11.25" hidden="false" customHeight="false" outlineLevel="0" collapsed="false"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customFormat="false" ht="11.25" hidden="false" customHeight="false" outlineLevel="0" collapsed="false">
      <c r="C28" s="1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customFormat="false" ht="11.25" hidden="false" customHeight="false" outlineLevel="0" collapsed="false">
      <c r="C29" s="1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customFormat="false" ht="11.25" hidden="false" customHeight="false" outlineLevel="0" collapsed="false">
      <c r="C30" s="1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customFormat="false" ht="11.25" hidden="false" customHeight="false" outlineLevel="0" collapsed="false">
      <c r="A31" s="2" t="s">
        <v>40</v>
      </c>
      <c r="C31" s="36" t="s">
        <v>41</v>
      </c>
      <c r="D31" s="37" t="s">
        <v>42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customFormat="false" ht="11.25" hidden="false" customHeight="false" outlineLevel="0" collapsed="false">
      <c r="A32" s="2"/>
      <c r="B32" s="1" t="s">
        <v>43</v>
      </c>
      <c r="C32" s="38" t="n">
        <v>7</v>
      </c>
      <c r="D32" s="38" t="n">
        <v>7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customFormat="false" ht="11.25" hidden="false" customHeight="false" outlineLevel="0" collapsed="false">
      <c r="A33" s="2"/>
      <c r="B33" s="1" t="s">
        <v>44</v>
      </c>
      <c r="C33" s="38"/>
      <c r="D33" s="3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customFormat="false" ht="11.25" hidden="false" customHeight="false" outlineLevel="0" collapsed="false">
      <c r="A34" s="2"/>
      <c r="B34" s="1" t="s">
        <v>45</v>
      </c>
      <c r="C34" s="38"/>
      <c r="D34" s="3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customFormat="false" ht="11.25" hidden="false" customHeight="false" outlineLevel="0" collapsed="false">
      <c r="E35" s="39"/>
    </row>
    <row r="36" customFormat="false" ht="12" hidden="false" customHeight="false" outlineLevel="0" collapsed="false">
      <c r="C36" s="6" t="s">
        <v>46</v>
      </c>
      <c r="D36" s="7"/>
      <c r="E36" s="7"/>
      <c r="F36" s="27"/>
      <c r="G36" s="6" t="s">
        <v>47</v>
      </c>
      <c r="H36" s="40"/>
      <c r="I36" s="40"/>
    </row>
    <row r="37" customFormat="false" ht="11.25" hidden="false" customHeight="false" outlineLevel="0" collapsed="false">
      <c r="C37" s="41" t="s">
        <v>48</v>
      </c>
      <c r="D37" s="42"/>
      <c r="E37" s="43" t="n">
        <v>4.498</v>
      </c>
      <c r="F37" s="42"/>
      <c r="G37" s="44" t="s">
        <v>49</v>
      </c>
      <c r="H37" s="42"/>
      <c r="I37" s="45" t="n">
        <v>0.025</v>
      </c>
    </row>
    <row r="38" customFormat="false" ht="11.25" hidden="false" customHeight="false" outlineLevel="0" collapsed="false">
      <c r="C38" s="46" t="s">
        <v>50</v>
      </c>
      <c r="D38" s="47"/>
      <c r="E38" s="48" t="n">
        <v>5.997</v>
      </c>
      <c r="F38" s="7"/>
      <c r="G38" s="6" t="s">
        <v>51</v>
      </c>
      <c r="H38" s="7"/>
      <c r="I38" s="49" t="n">
        <v>0.025</v>
      </c>
    </row>
    <row r="39" customFormat="false" ht="11.25" hidden="false" customHeight="false" outlineLevel="0" collapsed="false">
      <c r="C39" s="46" t="s">
        <v>52</v>
      </c>
      <c r="D39" s="7"/>
      <c r="E39" s="48" t="n">
        <v>4.498</v>
      </c>
      <c r="F39" s="7"/>
      <c r="G39" s="6" t="s">
        <v>53</v>
      </c>
      <c r="H39" s="7"/>
      <c r="I39" s="49" t="n">
        <v>0.025</v>
      </c>
    </row>
    <row r="40" customFormat="false" ht="11.25" hidden="false" customHeight="false" outlineLevel="0" collapsed="false">
      <c r="C40" s="46" t="s">
        <v>54</v>
      </c>
      <c r="D40" s="47"/>
      <c r="E40" s="48" t="n">
        <v>7.1967</v>
      </c>
      <c r="F40" s="7"/>
      <c r="G40" s="6" t="s">
        <v>55</v>
      </c>
      <c r="H40" s="7"/>
      <c r="I40" s="49" t="n">
        <v>0.025</v>
      </c>
    </row>
    <row r="41" customFormat="false" ht="11.25" hidden="false" customHeight="false" outlineLevel="0" collapsed="false">
      <c r="C41" s="50" t="s">
        <v>56</v>
      </c>
      <c r="D41" s="47"/>
      <c r="E41" s="48" t="n">
        <v>7.6213</v>
      </c>
      <c r="F41" s="7"/>
      <c r="G41" s="6"/>
      <c r="H41" s="7"/>
      <c r="I41" s="49"/>
    </row>
    <row r="42" customFormat="false" ht="11.25" hidden="false" customHeight="false" outlineLevel="0" collapsed="false">
      <c r="C42" s="50" t="s">
        <v>57</v>
      </c>
      <c r="D42" s="47"/>
      <c r="E42" s="48" t="n">
        <v>8.096</v>
      </c>
      <c r="F42" s="7"/>
      <c r="G42" s="6" t="s">
        <v>58</v>
      </c>
      <c r="H42" s="7"/>
      <c r="I42" s="49" t="n">
        <v>0.2757</v>
      </c>
    </row>
    <row r="43" customFormat="false" ht="11.25" hidden="false" customHeight="false" outlineLevel="0" collapsed="false">
      <c r="C43" s="46" t="s">
        <v>59</v>
      </c>
      <c r="D43" s="7"/>
      <c r="E43" s="48" t="n">
        <v>11.994</v>
      </c>
      <c r="F43" s="47"/>
      <c r="G43" s="51" t="s">
        <v>60</v>
      </c>
      <c r="H43" s="47"/>
      <c r="I43" s="49" t="n">
        <v>0.4195</v>
      </c>
    </row>
    <row r="44" customFormat="false" ht="11.25" hidden="false" customHeight="false" outlineLevel="0" collapsed="false">
      <c r="C44" s="46" t="s">
        <v>61</v>
      </c>
      <c r="D44" s="40"/>
      <c r="E44" s="48" t="n">
        <v>10.975</v>
      </c>
      <c r="F44" s="47"/>
      <c r="G44" s="51" t="s">
        <v>62</v>
      </c>
      <c r="H44" s="47"/>
      <c r="I44" s="49" t="n">
        <v>0.173</v>
      </c>
    </row>
    <row r="45" customFormat="false" ht="12" hidden="false" customHeight="false" outlineLevel="0" collapsed="false">
      <c r="C45" s="52" t="s">
        <v>63</v>
      </c>
      <c r="D45" s="53"/>
      <c r="E45" s="54" t="n">
        <v>5.864</v>
      </c>
      <c r="F45" s="55"/>
      <c r="G45" s="55"/>
      <c r="H45" s="55"/>
      <c r="I45" s="56"/>
    </row>
    <row r="46" customFormat="false" ht="11.25" hidden="false" customHeight="false" outlineLevel="0" collapsed="false">
      <c r="D46" s="1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customFormat="false" ht="11.25" hidden="false" customHeight="false" outlineLevel="0" collapsed="false">
      <c r="A47" s="2" t="s">
        <v>64</v>
      </c>
      <c r="C47" s="1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customFormat="false" ht="11.25" hidden="false" customHeight="false" outlineLevel="0" collapsed="false">
      <c r="A48" s="2" t="s">
        <v>65</v>
      </c>
      <c r="C48" s="57" t="s">
        <v>66</v>
      </c>
      <c r="D48" s="58" t="s">
        <v>67</v>
      </c>
      <c r="E48" s="59" t="s">
        <v>68</v>
      </c>
      <c r="F48" s="58" t="s">
        <v>69</v>
      </c>
      <c r="G48" s="58" t="s">
        <v>70</v>
      </c>
      <c r="H48" s="58" t="s">
        <v>71</v>
      </c>
      <c r="I48" s="60" t="s">
        <v>72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customFormat="false" ht="11.25" hidden="false" customHeight="false" outlineLevel="0" collapsed="false">
      <c r="B49" s="1" t="s">
        <v>73</v>
      </c>
      <c r="C49" s="61"/>
      <c r="D49" s="62"/>
      <c r="E49" s="63"/>
      <c r="F49" s="30"/>
      <c r="G49" s="64" t="n">
        <f aca="false">+C32</f>
        <v>7</v>
      </c>
      <c r="H49" s="65"/>
      <c r="I49" s="26"/>
    </row>
    <row r="50" customFormat="false" ht="11.25" hidden="false" customHeight="false" outlineLevel="0" collapsed="false">
      <c r="B50" s="1" t="s">
        <v>74</v>
      </c>
      <c r="C50" s="66"/>
      <c r="D50" s="62"/>
      <c r="E50" s="63"/>
      <c r="F50" s="30"/>
      <c r="G50" s="64" t="n">
        <f aca="false">+D32</f>
        <v>7</v>
      </c>
      <c r="H50" s="65"/>
      <c r="I50" s="26"/>
    </row>
    <row r="51" customFormat="false" ht="11.25" hidden="false" customHeight="false" outlineLevel="0" collapsed="false">
      <c r="B51" s="1" t="s">
        <v>75</v>
      </c>
      <c r="C51" s="67"/>
      <c r="D51" s="67" t="n">
        <f aca="false">IF($G$49-D3&lt;0,0,$H$49)</f>
        <v>0</v>
      </c>
      <c r="E51" s="67" t="n">
        <f aca="false">IF($G$49-E3&lt;0,0,$H$49)</f>
        <v>0</v>
      </c>
      <c r="F51" s="67" t="n">
        <f aca="false">IF($G$49-F3&lt;0,0,$H$49)</f>
        <v>0</v>
      </c>
      <c r="G51" s="67" t="n">
        <f aca="false">IF($G$49-G3&lt;0,0,$H$49)</f>
        <v>0</v>
      </c>
      <c r="H51" s="67" t="n">
        <f aca="false">IF($G$49-H3&lt;0,0,$H$49)</f>
        <v>0</v>
      </c>
      <c r="I51" s="67" t="n">
        <f aca="false">IF($G$49-I3&lt;0,0,$H$49)</f>
        <v>0</v>
      </c>
      <c r="J51" s="67" t="n">
        <f aca="false">IF($G$49-J3&lt;0,0,$H$49)</f>
        <v>0</v>
      </c>
      <c r="K51" s="67" t="n">
        <f aca="false">IF($G$49-K3&lt;0,0,$H$49)</f>
        <v>0</v>
      </c>
      <c r="L51" s="67" t="n">
        <f aca="false">IF($G$49-L3&lt;0,0,$H$49)</f>
        <v>0</v>
      </c>
      <c r="M51" s="67" t="n">
        <f aca="false">IF($G$49-M3&lt;0,0,$H$49)</f>
        <v>0</v>
      </c>
      <c r="N51" s="67" t="n">
        <f aca="false">IF($G$49-N3&lt;0,0,$H$49)</f>
        <v>0</v>
      </c>
      <c r="O51" s="67" t="n">
        <f aca="false">IF($G$49-O3&lt;0,0,$H$49)</f>
        <v>0</v>
      </c>
      <c r="P51" s="67" t="n">
        <f aca="false">IF($G$49-P3&lt;0,0,$H$49)</f>
        <v>0</v>
      </c>
      <c r="Q51" s="67" t="n">
        <f aca="false">IF($G$49-Q3&lt;0,0,$H$49)</f>
        <v>0</v>
      </c>
      <c r="R51" s="67" t="n">
        <f aca="false">IF($G$49-R3&lt;0,0,$H$49)</f>
        <v>0</v>
      </c>
      <c r="S51" s="67" t="n">
        <f aca="false">IF($G$49-S3&lt;0,0,$H$49)</f>
        <v>0</v>
      </c>
      <c r="T51" s="67" t="n">
        <f aca="false">IF($G$49-T3&lt;0,0,$H$49)</f>
        <v>0</v>
      </c>
      <c r="U51" s="67" t="n">
        <f aca="false">IF($G$49-U3&lt;0,0,$H$49)</f>
        <v>0</v>
      </c>
      <c r="V51" s="67" t="n">
        <f aca="false">IF($G$49-V3&lt;0,0,$H$49)</f>
        <v>0</v>
      </c>
      <c r="W51" s="67" t="n">
        <f aca="false">IF($G$49-W3&lt;0,0,$H$49)</f>
        <v>0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customFormat="false" ht="11.25" hidden="false" customHeight="false" outlineLevel="0" collapsed="false">
      <c r="B52" s="1" t="s">
        <v>76</v>
      </c>
      <c r="C52" s="67"/>
      <c r="D52" s="67" t="n">
        <f aca="false">IF($G$50-D3&lt;0,0,$H$50)</f>
        <v>0</v>
      </c>
      <c r="E52" s="67" t="n">
        <f aca="false">IF($G$50-E3&lt;0,0,$H$50)</f>
        <v>0</v>
      </c>
      <c r="F52" s="67" t="n">
        <f aca="false">IF($G$50-F3&lt;0,0,$H$50)</f>
        <v>0</v>
      </c>
      <c r="G52" s="67" t="n">
        <f aca="false">IF($G$50-G3&lt;0,0,$H$50)</f>
        <v>0</v>
      </c>
      <c r="H52" s="67" t="n">
        <f aca="false">IF($G$50-H3&lt;0,0,$H$50)</f>
        <v>0</v>
      </c>
      <c r="I52" s="67" t="n">
        <f aca="false">IF($G$50-I3&lt;0,0,$H$50)</f>
        <v>0</v>
      </c>
      <c r="J52" s="67" t="n">
        <f aca="false">IF($G$50-J3&lt;0,0,$H$50)</f>
        <v>0</v>
      </c>
      <c r="K52" s="67" t="n">
        <f aca="false">IF($G$50-K3&lt;0,0,$H$50)</f>
        <v>0</v>
      </c>
      <c r="L52" s="67" t="n">
        <f aca="false">IF($G$50-L3&lt;0,0,$H$50)</f>
        <v>0</v>
      </c>
      <c r="M52" s="67" t="n">
        <f aca="false">IF($G$50-M3&lt;0,0,$H$50)</f>
        <v>0</v>
      </c>
      <c r="N52" s="67" t="n">
        <f aca="false">IF($G$50-N3&lt;0,0,$H$50)</f>
        <v>0</v>
      </c>
      <c r="O52" s="67" t="n">
        <f aca="false">IF($G$50-O3&lt;0,0,$H$50)</f>
        <v>0</v>
      </c>
      <c r="P52" s="67" t="n">
        <f aca="false">IF($G$50-P3&lt;0,0,$H$50)</f>
        <v>0</v>
      </c>
      <c r="Q52" s="67" t="n">
        <f aca="false">IF($G$50-Q3&lt;0,0,$H$50)</f>
        <v>0</v>
      </c>
      <c r="R52" s="67" t="n">
        <f aca="false">IF($G$50-R3&lt;0,0,$H$50)</f>
        <v>0</v>
      </c>
      <c r="S52" s="67" t="n">
        <f aca="false">IF($G$50-S3&lt;0,0,$H$50)</f>
        <v>0</v>
      </c>
      <c r="T52" s="67" t="n">
        <f aca="false">IF($G$50-T3&lt;0,0,$H$50)</f>
        <v>0</v>
      </c>
      <c r="U52" s="67" t="n">
        <f aca="false">IF($G$50-U3&lt;0,0,$H$50)</f>
        <v>0</v>
      </c>
      <c r="V52" s="67" t="n">
        <f aca="false">IF($G$50-V3&lt;0,0,$H$50)</f>
        <v>0</v>
      </c>
      <c r="W52" s="67" t="n">
        <f aca="false">IF($G$50-W3&lt;0,0,$H$50)</f>
        <v>0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customFormat="false" ht="11.25" hidden="false" customHeight="false" outlineLevel="0" collapsed="false">
      <c r="B53" s="1" t="s">
        <v>77</v>
      </c>
      <c r="C53" s="67"/>
      <c r="D53" s="67" t="n">
        <f aca="false">+D51*30.4*$F$49*$I$49</f>
        <v>0</v>
      </c>
      <c r="E53" s="67" t="n">
        <f aca="false">+E51*30.4*$F$49*$I$49</f>
        <v>0</v>
      </c>
      <c r="F53" s="67" t="n">
        <f aca="false">+F51*30.4*$F$49*$I$49</f>
        <v>0</v>
      </c>
      <c r="G53" s="67" t="n">
        <f aca="false">+G51*30.4*$F$49*$I$49</f>
        <v>0</v>
      </c>
      <c r="H53" s="67" t="n">
        <f aca="false">+H51*30.4*$F$49*$I$49</f>
        <v>0</v>
      </c>
      <c r="I53" s="67" t="n">
        <f aca="false">+I51*30.4*$F$49*$I$49</f>
        <v>0</v>
      </c>
      <c r="J53" s="67" t="n">
        <f aca="false">+J51*30.4*$F$49*$I$49</f>
        <v>0</v>
      </c>
      <c r="K53" s="67" t="n">
        <f aca="false">+K51*30.4*$F$49*$I$49</f>
        <v>0</v>
      </c>
      <c r="L53" s="67" t="n">
        <f aca="false">+L51*30.4*$F$49*$I$49</f>
        <v>0</v>
      </c>
      <c r="M53" s="67" t="n">
        <f aca="false">+M51*30.4*$F$49*$I$49</f>
        <v>0</v>
      </c>
      <c r="N53" s="67" t="n">
        <f aca="false">+N51*30.4*$F$49*$I$49</f>
        <v>0</v>
      </c>
      <c r="O53" s="67" t="n">
        <f aca="false">+O51*30.4*$F$49*$I$49</f>
        <v>0</v>
      </c>
      <c r="P53" s="67" t="n">
        <f aca="false">+P51*30.4*$F$49*$I$49</f>
        <v>0</v>
      </c>
      <c r="Q53" s="67" t="n">
        <f aca="false">+Q51*30.4*$F$49*$I$49</f>
        <v>0</v>
      </c>
      <c r="R53" s="67" t="n">
        <f aca="false">+R51*30.4*$F$49*$I$49</f>
        <v>0</v>
      </c>
      <c r="S53" s="67" t="n">
        <f aca="false">+S51*30.4*$F$49*$I$49</f>
        <v>0</v>
      </c>
      <c r="T53" s="67" t="n">
        <f aca="false">+T51*30.4*$F$49*$I$49</f>
        <v>0</v>
      </c>
      <c r="U53" s="67" t="n">
        <f aca="false">+U51*30.4*$F$49*$I$49</f>
        <v>0</v>
      </c>
      <c r="V53" s="67" t="n">
        <f aca="false">+V51*30.4*$F$49*$I$49</f>
        <v>0</v>
      </c>
      <c r="W53" s="67" t="n">
        <f aca="false">+W51*30.4*$F$49*$I$49</f>
        <v>0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customFormat="false" ht="11.25" hidden="false" customHeight="false" outlineLevel="0" collapsed="false">
      <c r="B54" s="1" t="s">
        <v>78</v>
      </c>
      <c r="C54" s="67"/>
      <c r="D54" s="67" t="n">
        <f aca="false">+D52*30.4*$F$50*$I$50</f>
        <v>0</v>
      </c>
      <c r="E54" s="67" t="n">
        <f aca="false">+E52*30.4*$F$50*$I$50</f>
        <v>0</v>
      </c>
      <c r="F54" s="67" t="n">
        <f aca="false">+F52*30.4*$F$50*$I$50</f>
        <v>0</v>
      </c>
      <c r="G54" s="67" t="n">
        <f aca="false">+G52*30.4*$F$50*$I$50</f>
        <v>0</v>
      </c>
      <c r="H54" s="67" t="n">
        <f aca="false">+H52*30.4*$F$50*$I$50</f>
        <v>0</v>
      </c>
      <c r="I54" s="67" t="n">
        <f aca="false">+I52*30.4*$F$50*$I$50</f>
        <v>0</v>
      </c>
      <c r="J54" s="67" t="n">
        <f aca="false">+J52*30.4*$F$50*$I$50</f>
        <v>0</v>
      </c>
      <c r="K54" s="67" t="n">
        <f aca="false">+K52*30.4*$F$50*$I$50</f>
        <v>0</v>
      </c>
      <c r="L54" s="67" t="n">
        <f aca="false">+L52*30.4*$F$50*$I$50</f>
        <v>0</v>
      </c>
      <c r="M54" s="67" t="n">
        <f aca="false">+M52*30.4*$F$50*$I$50</f>
        <v>0</v>
      </c>
      <c r="N54" s="67" t="n">
        <f aca="false">+N52*30.4*$F$50*$I$50</f>
        <v>0</v>
      </c>
      <c r="O54" s="67" t="n">
        <f aca="false">+O52*30.4*$F$50*$I$50</f>
        <v>0</v>
      </c>
      <c r="P54" s="67" t="n">
        <f aca="false">+P52*30.4*$F$50*$I$50</f>
        <v>0</v>
      </c>
      <c r="Q54" s="67" t="n">
        <f aca="false">+Q52*30.4*$F$50*$I$50</f>
        <v>0</v>
      </c>
      <c r="R54" s="67" t="n">
        <f aca="false">+R52*30.4*$F$50*$I$50</f>
        <v>0</v>
      </c>
      <c r="S54" s="67" t="n">
        <f aca="false">+S52*30.4*$F$50*$I$50</f>
        <v>0</v>
      </c>
      <c r="T54" s="67" t="n">
        <f aca="false">+T52*30.4*$F$50*$I$50</f>
        <v>0</v>
      </c>
      <c r="U54" s="67" t="n">
        <f aca="false">+U52*30.4*$F$50*$I$50</f>
        <v>0</v>
      </c>
      <c r="V54" s="67" t="n">
        <f aca="false">+V52*30.4*$F$50*$I$50</f>
        <v>0</v>
      </c>
      <c r="W54" s="67" t="n">
        <f aca="false">+W52*30.4*$F$50*$I$50</f>
        <v>0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customFormat="false" ht="11.25" hidden="false" customHeight="false" outlineLevel="0" collapsed="false"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customFormat="false" ht="11.25" hidden="false" customHeight="false" outlineLevel="0" collapsed="false">
      <c r="A56" s="2" t="s">
        <v>79</v>
      </c>
      <c r="C56" s="57" t="s">
        <v>66</v>
      </c>
      <c r="D56" s="58" t="s">
        <v>67</v>
      </c>
      <c r="E56" s="59" t="s">
        <v>68</v>
      </c>
      <c r="F56" s="58" t="s">
        <v>69</v>
      </c>
      <c r="G56" s="58" t="s">
        <v>70</v>
      </c>
      <c r="H56" s="58" t="s">
        <v>71</v>
      </c>
      <c r="I56" s="60" t="s">
        <v>72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customFormat="false" ht="11.25" hidden="false" customHeight="false" outlineLevel="0" collapsed="false">
      <c r="B57" s="1" t="s">
        <v>73</v>
      </c>
      <c r="C57" s="61"/>
      <c r="D57" s="62"/>
      <c r="E57" s="63"/>
      <c r="F57" s="30"/>
      <c r="G57" s="64" t="n">
        <f aca="false">+C33</f>
        <v>0</v>
      </c>
      <c r="H57" s="65"/>
      <c r="I57" s="26"/>
    </row>
    <row r="58" customFormat="false" ht="11.25" hidden="false" customHeight="false" outlineLevel="0" collapsed="false">
      <c r="B58" s="1" t="s">
        <v>74</v>
      </c>
      <c r="C58" s="66"/>
      <c r="D58" s="62"/>
      <c r="E58" s="63"/>
      <c r="F58" s="30"/>
      <c r="G58" s="64" t="n">
        <f aca="false">+D33</f>
        <v>0</v>
      </c>
      <c r="H58" s="65"/>
      <c r="I58" s="26"/>
    </row>
    <row r="59" customFormat="false" ht="11.25" hidden="false" customHeight="false" outlineLevel="0" collapsed="false">
      <c r="B59" s="1" t="s">
        <v>75</v>
      </c>
      <c r="C59" s="67"/>
      <c r="D59" s="67" t="n">
        <f aca="false">IF($G$57-D3&lt;0,0,$H$57)</f>
        <v>0</v>
      </c>
      <c r="E59" s="67" t="n">
        <f aca="false">IF($G$57-E3&lt;0,0,$H$57)</f>
        <v>0</v>
      </c>
      <c r="F59" s="67" t="n">
        <f aca="false">IF($G$57-F3&lt;0,0,$H$57)</f>
        <v>0</v>
      </c>
      <c r="G59" s="67" t="n">
        <f aca="false">IF($G$57-G3&lt;0,0,$H$57)</f>
        <v>0</v>
      </c>
      <c r="H59" s="67" t="n">
        <f aca="false">IF($G$57-H3&lt;0,0,$H$57)</f>
        <v>0</v>
      </c>
      <c r="I59" s="67" t="n">
        <f aca="false">IF($G$57-I3&lt;0,0,$H$57)</f>
        <v>0</v>
      </c>
      <c r="J59" s="67" t="n">
        <f aca="false">IF($G$57-J3&lt;0,0,$H$57)</f>
        <v>0</v>
      </c>
      <c r="K59" s="67" t="n">
        <f aca="false">IF($G$57-K3&lt;0,0,$H$57)</f>
        <v>0</v>
      </c>
      <c r="L59" s="67" t="n">
        <f aca="false">IF($G$57-L3&lt;0,0,$H$57)</f>
        <v>0</v>
      </c>
      <c r="M59" s="67" t="n">
        <f aca="false">IF($G$57-M3&lt;0,0,$H$57)</f>
        <v>0</v>
      </c>
      <c r="N59" s="67" t="n">
        <f aca="false">IF($G$57-N3&lt;0,0,$H$57)</f>
        <v>0</v>
      </c>
      <c r="O59" s="67" t="n">
        <f aca="false">IF($G$57-O3&lt;0,0,$H$57)</f>
        <v>0</v>
      </c>
      <c r="P59" s="67" t="n">
        <f aca="false">IF($G$57-P3&lt;0,0,$H$57)</f>
        <v>0</v>
      </c>
      <c r="Q59" s="67" t="n">
        <f aca="false">IF($G$57-Q3&lt;0,0,$H$57)</f>
        <v>0</v>
      </c>
      <c r="R59" s="67" t="n">
        <f aca="false">IF($G$57-R3&lt;0,0,$H$57)</f>
        <v>0</v>
      </c>
      <c r="S59" s="67" t="n">
        <f aca="false">IF($G$57-S3&lt;0,0,$H$57)</f>
        <v>0</v>
      </c>
      <c r="T59" s="67" t="n">
        <f aca="false">IF($G$57-T3&lt;0,0,$H$57)</f>
        <v>0</v>
      </c>
      <c r="U59" s="67" t="n">
        <f aca="false">IF($G$57-U3&lt;0,0,$H$49)</f>
        <v>0</v>
      </c>
      <c r="V59" s="67" t="n">
        <f aca="false">IF($G$57-V3&lt;0,0,$H$49)</f>
        <v>0</v>
      </c>
      <c r="W59" s="67" t="n">
        <f aca="false">IF($G$57-W3&lt;0,0,$H$49)</f>
        <v>0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customFormat="false" ht="11.25" hidden="false" customHeight="false" outlineLevel="0" collapsed="false">
      <c r="B60" s="1" t="s">
        <v>76</v>
      </c>
      <c r="C60" s="67"/>
      <c r="D60" s="67" t="n">
        <f aca="false">IF($G$58-D3&lt;0,0,$H$58)</f>
        <v>0</v>
      </c>
      <c r="E60" s="67" t="n">
        <f aca="false">IF($G$58-E3&lt;0,0,$H$58)</f>
        <v>0</v>
      </c>
      <c r="F60" s="67" t="n">
        <f aca="false">IF($G$58-F3&lt;0,0,$H$58)</f>
        <v>0</v>
      </c>
      <c r="G60" s="67" t="n">
        <f aca="false">IF($G$58-G3&lt;0,0,$H$58)</f>
        <v>0</v>
      </c>
      <c r="H60" s="67" t="n">
        <f aca="false">IF($G$58-H3&lt;0,0,$H$58)</f>
        <v>0</v>
      </c>
      <c r="I60" s="67" t="n">
        <f aca="false">IF($G$58-I3&lt;0,0,$H$58)</f>
        <v>0</v>
      </c>
      <c r="J60" s="67" t="n">
        <f aca="false">IF($G$58-J3&lt;0,0,$H$58)</f>
        <v>0</v>
      </c>
      <c r="K60" s="67" t="n">
        <f aca="false">IF($G$58-K3&lt;0,0,$H$58)</f>
        <v>0</v>
      </c>
      <c r="L60" s="67" t="n">
        <f aca="false">IF($G$58-L3&lt;0,0,$H$58)</f>
        <v>0</v>
      </c>
      <c r="M60" s="67" t="n">
        <f aca="false">IF($G$58-M3&lt;0,0,$H$58)</f>
        <v>0</v>
      </c>
      <c r="N60" s="67" t="n">
        <f aca="false">IF($G$58-N3&lt;0,0,$H$58)</f>
        <v>0</v>
      </c>
      <c r="O60" s="67" t="n">
        <f aca="false">IF($G$58-O3&lt;0,0,$H$58)</f>
        <v>0</v>
      </c>
      <c r="P60" s="67" t="n">
        <f aca="false">IF($G$58-P3&lt;0,0,$H$58)</f>
        <v>0</v>
      </c>
      <c r="Q60" s="67" t="n">
        <f aca="false">IF($G$58-Q3&lt;0,0,$H$58)</f>
        <v>0</v>
      </c>
      <c r="R60" s="67" t="n">
        <f aca="false">IF($G$58-R3&lt;0,0,$H$58)</f>
        <v>0</v>
      </c>
      <c r="S60" s="67" t="n">
        <f aca="false">IF($G$58-S3&lt;0,0,$H$58)</f>
        <v>0</v>
      </c>
      <c r="T60" s="67" t="n">
        <f aca="false">IF($G$58-T3&lt;0,0,$H$58)</f>
        <v>0</v>
      </c>
      <c r="U60" s="67" t="n">
        <f aca="false">IF($G$58-U3&lt;0,0,$H$50)</f>
        <v>0</v>
      </c>
      <c r="V60" s="67" t="n">
        <f aca="false">IF($G$58-V3&lt;0,0,$H$50)</f>
        <v>0</v>
      </c>
      <c r="W60" s="67" t="n">
        <f aca="false">IF($G$58-W3&lt;0,0,$H$50)</f>
        <v>0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customFormat="false" ht="11.25" hidden="false" customHeight="false" outlineLevel="0" collapsed="false">
      <c r="B61" s="1" t="s">
        <v>77</v>
      </c>
      <c r="C61" s="67"/>
      <c r="D61" s="67" t="n">
        <f aca="false">+D59*30.4*$F$57*$I$57</f>
        <v>0</v>
      </c>
      <c r="E61" s="67" t="n">
        <f aca="false">+E59*30.4*$F$57*$I$57</f>
        <v>0</v>
      </c>
      <c r="F61" s="67" t="n">
        <f aca="false">+F59*30.4*$F$57*$I$57</f>
        <v>0</v>
      </c>
      <c r="G61" s="67" t="n">
        <f aca="false">+G59*30.4*$F$57*$I$57</f>
        <v>0</v>
      </c>
      <c r="H61" s="67" t="n">
        <f aca="false">+H59*30.4*$F$57*$I$57</f>
        <v>0</v>
      </c>
      <c r="I61" s="67" t="n">
        <f aca="false">+I59*30.4*$F$57*$I$57</f>
        <v>0</v>
      </c>
      <c r="J61" s="67" t="n">
        <f aca="false">+J59*30.4*$F$57*$I$57</f>
        <v>0</v>
      </c>
      <c r="K61" s="67" t="n">
        <f aca="false">+K59*30.4*$F$57*$I$57</f>
        <v>0</v>
      </c>
      <c r="L61" s="67" t="n">
        <f aca="false">+L59*30.4*$F$57*$I$57</f>
        <v>0</v>
      </c>
      <c r="M61" s="67" t="n">
        <f aca="false">+M59*30.4*$F$57*$I$57</f>
        <v>0</v>
      </c>
      <c r="N61" s="67" t="n">
        <f aca="false">+N59*30.4*$F$57*$I$57</f>
        <v>0</v>
      </c>
      <c r="O61" s="67" t="n">
        <f aca="false">+O59*30.4*$F$57*$I$57</f>
        <v>0</v>
      </c>
      <c r="P61" s="67" t="n">
        <f aca="false">+P59*30.4*$F$57*$I$57</f>
        <v>0</v>
      </c>
      <c r="Q61" s="67" t="n">
        <f aca="false">+Q59*30.4*$F$57*$I$57</f>
        <v>0</v>
      </c>
      <c r="R61" s="67" t="n">
        <f aca="false">+R59*30.4*$F$57*$I$57</f>
        <v>0</v>
      </c>
      <c r="S61" s="67" t="n">
        <f aca="false">+S59*30.4*$F$57*$I$57</f>
        <v>0</v>
      </c>
      <c r="T61" s="67" t="n">
        <f aca="false">+T59*30.4*$F$57*$I$57</f>
        <v>0</v>
      </c>
      <c r="U61" s="67" t="n">
        <f aca="false">+U59*30.4*$F$57*$I$57</f>
        <v>0</v>
      </c>
      <c r="V61" s="67" t="n">
        <f aca="false">+V59*30.4*$F$57*$I$57</f>
        <v>0</v>
      </c>
      <c r="W61" s="67" t="n">
        <f aca="false">+W59*30.4*$F$57*$I$57</f>
        <v>0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customFormat="false" ht="11.25" hidden="false" customHeight="false" outlineLevel="0" collapsed="false">
      <c r="B62" s="1" t="s">
        <v>78</v>
      </c>
      <c r="C62" s="67"/>
      <c r="D62" s="67" t="n">
        <f aca="false">+D60*30.4*$F$58*$I$58</f>
        <v>0</v>
      </c>
      <c r="E62" s="67" t="n">
        <f aca="false">+E60*30.4*$F$58*$I$58</f>
        <v>0</v>
      </c>
      <c r="F62" s="67" t="n">
        <f aca="false">+F60*30.4*$F$58*$I$58</f>
        <v>0</v>
      </c>
      <c r="G62" s="67" t="n">
        <f aca="false">+G60*30.4*$F$58*$I$58</f>
        <v>0</v>
      </c>
      <c r="H62" s="67" t="n">
        <f aca="false">+H60*30.4*$F$58*$I$58</f>
        <v>0</v>
      </c>
      <c r="I62" s="67" t="n">
        <f aca="false">+I60*30.4*$F$58*$I$58</f>
        <v>0</v>
      </c>
      <c r="J62" s="67" t="n">
        <f aca="false">+J60*30.4*$F$58*$I$58</f>
        <v>0</v>
      </c>
      <c r="K62" s="67" t="n">
        <f aca="false">+K60*30.4*$F$58*$I$58</f>
        <v>0</v>
      </c>
      <c r="L62" s="67" t="n">
        <f aca="false">+L60*30.4*$F$58*$I$58</f>
        <v>0</v>
      </c>
      <c r="M62" s="67" t="n">
        <f aca="false">+M60*30.4*$F$58*$I$58</f>
        <v>0</v>
      </c>
      <c r="N62" s="67" t="n">
        <f aca="false">+N60*30.4*$F$58*$I$58</f>
        <v>0</v>
      </c>
      <c r="O62" s="67" t="n">
        <f aca="false">+O60*30.4*$F$58*$I$58</f>
        <v>0</v>
      </c>
      <c r="P62" s="67" t="n">
        <f aca="false">+P60*30.4*$F$58*$I$58</f>
        <v>0</v>
      </c>
      <c r="Q62" s="67" t="n">
        <f aca="false">+Q60*30.4*$F$58*$I$58</f>
        <v>0</v>
      </c>
      <c r="R62" s="67" t="n">
        <f aca="false">+R60*30.4*$F$58*$I$58</f>
        <v>0</v>
      </c>
      <c r="S62" s="67" t="n">
        <f aca="false">+S60*30.4*$F$58*$I$58</f>
        <v>0</v>
      </c>
      <c r="T62" s="67" t="n">
        <f aca="false">+T60*30.4*$F$58*$I$58</f>
        <v>0</v>
      </c>
      <c r="U62" s="67" t="n">
        <f aca="false">+U60*30.4*$F$58*$I$58</f>
        <v>0</v>
      </c>
      <c r="V62" s="67" t="n">
        <f aca="false">+V60*30.4*$F$58*$I$58</f>
        <v>0</v>
      </c>
      <c r="W62" s="67" t="n">
        <f aca="false">+W60*30.4*$F$58*$I$58</f>
        <v>0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customFormat="false" ht="11.25" hidden="false" customHeight="false" outlineLevel="0" collapsed="false"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customFormat="false" ht="11.25" hidden="false" customHeight="false" outlineLevel="0" collapsed="false">
      <c r="A64" s="2" t="s">
        <v>80</v>
      </c>
      <c r="C64" s="57" t="s">
        <v>66</v>
      </c>
      <c r="D64" s="58" t="s">
        <v>67</v>
      </c>
      <c r="E64" s="59" t="s">
        <v>68</v>
      </c>
      <c r="F64" s="58" t="s">
        <v>69</v>
      </c>
      <c r="G64" s="58" t="s">
        <v>70</v>
      </c>
      <c r="H64" s="58" t="s">
        <v>71</v>
      </c>
      <c r="I64" s="60" t="s">
        <v>72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customFormat="false" ht="11.25" hidden="false" customHeight="false" outlineLevel="0" collapsed="false">
      <c r="B65" s="1" t="s">
        <v>73</v>
      </c>
      <c r="C65" s="61"/>
      <c r="D65" s="62"/>
      <c r="E65" s="63"/>
      <c r="F65" s="30"/>
      <c r="G65" s="64" t="n">
        <f aca="false">+C34</f>
        <v>0</v>
      </c>
      <c r="H65" s="65"/>
      <c r="I65" s="26"/>
    </row>
    <row r="66" customFormat="false" ht="11.25" hidden="false" customHeight="false" outlineLevel="0" collapsed="false">
      <c r="B66" s="1" t="s">
        <v>74</v>
      </c>
      <c r="C66" s="66"/>
      <c r="D66" s="62"/>
      <c r="E66" s="63"/>
      <c r="F66" s="30"/>
      <c r="G66" s="64" t="n">
        <f aca="false">+D34</f>
        <v>0</v>
      </c>
      <c r="H66" s="65"/>
      <c r="I66" s="26"/>
    </row>
    <row r="67" customFormat="false" ht="11.25" hidden="false" customHeight="false" outlineLevel="0" collapsed="false">
      <c r="B67" s="1" t="s">
        <v>75</v>
      </c>
      <c r="C67" s="67"/>
      <c r="D67" s="67" t="n">
        <f aca="false">IF($G$65-D3&lt;0,0,$H$65)</f>
        <v>0</v>
      </c>
      <c r="E67" s="67" t="n">
        <f aca="false">IF($G$65-E3&lt;0,0,$H$49)</f>
        <v>0</v>
      </c>
      <c r="F67" s="67" t="n">
        <f aca="false">IF($G$65-F3&lt;0,0,$H$49)</f>
        <v>0</v>
      </c>
      <c r="G67" s="67" t="n">
        <f aca="false">IF($G$65-G3&lt;0,0,$H$49)</f>
        <v>0</v>
      </c>
      <c r="H67" s="67" t="n">
        <f aca="false">IF($G$65-H3&lt;0,0,$H$49)</f>
        <v>0</v>
      </c>
      <c r="I67" s="67" t="n">
        <f aca="false">IF($G$65-I3&lt;0,0,$H$49)</f>
        <v>0</v>
      </c>
      <c r="J67" s="67" t="n">
        <f aca="false">IF($G$65-J3&lt;0,0,$H$49)</f>
        <v>0</v>
      </c>
      <c r="K67" s="67" t="n">
        <f aca="false">IF($G$65-K3&lt;0,0,$H$49)</f>
        <v>0</v>
      </c>
      <c r="L67" s="67" t="n">
        <f aca="false">IF($G$65-L3&lt;0,0,$H$49)</f>
        <v>0</v>
      </c>
      <c r="M67" s="67" t="n">
        <f aca="false">IF($G$65-M3&lt;0,0,$H$49)</f>
        <v>0</v>
      </c>
      <c r="N67" s="67" t="n">
        <f aca="false">IF($G$65-N3&lt;0,0,$H$49)</f>
        <v>0</v>
      </c>
      <c r="O67" s="67" t="n">
        <f aca="false">IF($G$65-O3&lt;0,0,$H$49)</f>
        <v>0</v>
      </c>
      <c r="P67" s="67" t="n">
        <f aca="false">IF($G$65-P3&lt;0,0,$H$49)</f>
        <v>0</v>
      </c>
      <c r="Q67" s="67" t="n">
        <f aca="false">IF($G$65-Q3&lt;0,0,$H$49)</f>
        <v>0</v>
      </c>
      <c r="R67" s="67" t="n">
        <f aca="false">IF($G$65-R3&lt;0,0,$H$49)</f>
        <v>0</v>
      </c>
      <c r="S67" s="67" t="n">
        <f aca="false">IF($G$65-S3&lt;0,0,$H$49)</f>
        <v>0</v>
      </c>
      <c r="T67" s="67" t="n">
        <f aca="false">IF($G$65-T3&lt;0,0,$H$49)</f>
        <v>0</v>
      </c>
      <c r="U67" s="67" t="n">
        <f aca="false">IF($G$65-U3&lt;0,0,$H$49)</f>
        <v>0</v>
      </c>
      <c r="V67" s="67" t="n">
        <f aca="false">IF($G$65-V3&lt;0,0,$H$49)</f>
        <v>0</v>
      </c>
      <c r="W67" s="67" t="n">
        <f aca="false">IF($G$65-W3&lt;0,0,$H$49)</f>
        <v>0</v>
      </c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customFormat="false" ht="11.25" hidden="false" customHeight="false" outlineLevel="0" collapsed="false">
      <c r="B68" s="1" t="s">
        <v>76</v>
      </c>
      <c r="C68" s="67"/>
      <c r="D68" s="67" t="n">
        <f aca="false">IF($G$66-D3&lt;0,0,$H$66)</f>
        <v>0</v>
      </c>
      <c r="E68" s="67" t="n">
        <f aca="false">IF($G$66-E3&lt;0,0,$H$50)</f>
        <v>0</v>
      </c>
      <c r="F68" s="67" t="n">
        <f aca="false">IF($G$66-F3&lt;0,0,$H$50)</f>
        <v>0</v>
      </c>
      <c r="G68" s="67" t="n">
        <f aca="false">IF($G$66-G3&lt;0,0,$H$50)</f>
        <v>0</v>
      </c>
      <c r="H68" s="67" t="n">
        <f aca="false">IF($G$66-H3&lt;0,0,$H$50)</f>
        <v>0</v>
      </c>
      <c r="I68" s="67" t="n">
        <f aca="false">IF($G$66-I3&lt;0,0,$H$50)</f>
        <v>0</v>
      </c>
      <c r="J68" s="67" t="n">
        <f aca="false">IF($G$66-J3&lt;0,0,$H$50)</f>
        <v>0</v>
      </c>
      <c r="K68" s="67" t="n">
        <f aca="false">IF($G$66-K3&lt;0,0,$H$50)</f>
        <v>0</v>
      </c>
      <c r="L68" s="67" t="n">
        <f aca="false">IF($G$66-L3&lt;0,0,$H$50)</f>
        <v>0</v>
      </c>
      <c r="M68" s="67" t="n">
        <f aca="false">IF($G$66-M3&lt;0,0,$H$50)</f>
        <v>0</v>
      </c>
      <c r="N68" s="67" t="n">
        <f aca="false">IF($G$66-N3&lt;0,0,$H$50)</f>
        <v>0</v>
      </c>
      <c r="O68" s="67" t="n">
        <f aca="false">IF($G$66-O3&lt;0,0,$H$50)</f>
        <v>0</v>
      </c>
      <c r="P68" s="67" t="n">
        <f aca="false">IF($G$66-P3&lt;0,0,$H$50)</f>
        <v>0</v>
      </c>
      <c r="Q68" s="67" t="n">
        <f aca="false">IF($G$66-Q3&lt;0,0,$H$50)</f>
        <v>0</v>
      </c>
      <c r="R68" s="67" t="n">
        <f aca="false">IF($G$66-R3&lt;0,0,$H$50)</f>
        <v>0</v>
      </c>
      <c r="S68" s="67" t="n">
        <f aca="false">IF($G$66-S3&lt;0,0,$H$50)</f>
        <v>0</v>
      </c>
      <c r="T68" s="67" t="n">
        <f aca="false">IF($G$66-T3&lt;0,0,$H$50)</f>
        <v>0</v>
      </c>
      <c r="U68" s="67" t="n">
        <f aca="false">IF($G$66-U3&lt;0,0,$H$50)</f>
        <v>0</v>
      </c>
      <c r="V68" s="67" t="n">
        <f aca="false">IF($G$66-V3&lt;0,0,$H$50)</f>
        <v>0</v>
      </c>
      <c r="W68" s="67" t="n">
        <f aca="false">IF($G$66-W3&lt;0,0,$H$50)</f>
        <v>0</v>
      </c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customFormat="false" ht="11.25" hidden="false" customHeight="false" outlineLevel="0" collapsed="false">
      <c r="B69" s="1" t="s">
        <v>77</v>
      </c>
      <c r="C69" s="67"/>
      <c r="D69" s="67" t="n">
        <f aca="false">+D67*30.4*$F$65*$I$65</f>
        <v>0</v>
      </c>
      <c r="E69" s="67" t="n">
        <f aca="false">+E67*30.4*$F$65*$I$65</f>
        <v>0</v>
      </c>
      <c r="F69" s="67" t="n">
        <f aca="false">+F67*30.4*$F$65*$I$65</f>
        <v>0</v>
      </c>
      <c r="G69" s="67" t="n">
        <f aca="false">+G67*30.4*$F$65*$I$65</f>
        <v>0</v>
      </c>
      <c r="H69" s="67" t="n">
        <f aca="false">+H67*30.4*$F$65*$I$65</f>
        <v>0</v>
      </c>
      <c r="I69" s="67" t="n">
        <f aca="false">+I67*30.4*$F$65*$I$65</f>
        <v>0</v>
      </c>
      <c r="J69" s="67" t="n">
        <f aca="false">+J67*30.4*$F$65*$I$65</f>
        <v>0</v>
      </c>
      <c r="K69" s="67" t="n">
        <f aca="false">+K67*30.4*$F$65*$I$65</f>
        <v>0</v>
      </c>
      <c r="L69" s="67" t="n">
        <f aca="false">+L67*30.4*$F$65*$I$65</f>
        <v>0</v>
      </c>
      <c r="M69" s="67" t="n">
        <f aca="false">+M67*30.4*$F$65*$I$65</f>
        <v>0</v>
      </c>
      <c r="N69" s="67" t="n">
        <f aca="false">+N67*30.4*$F$65*$I$65</f>
        <v>0</v>
      </c>
      <c r="O69" s="67" t="n">
        <f aca="false">+O67*30.4*$F$65*$I$65</f>
        <v>0</v>
      </c>
      <c r="P69" s="67" t="n">
        <f aca="false">+P67*30.4*$F$65*$I$65</f>
        <v>0</v>
      </c>
      <c r="Q69" s="67" t="n">
        <f aca="false">+Q67*30.4*$F$65*$I$65</f>
        <v>0</v>
      </c>
      <c r="R69" s="67" t="n">
        <f aca="false">+R67*30.4*$F$65*$I$65</f>
        <v>0</v>
      </c>
      <c r="S69" s="67" t="n">
        <f aca="false">+S67*30.4*$F$65*$I$65</f>
        <v>0</v>
      </c>
      <c r="T69" s="67" t="n">
        <f aca="false">+T67*30.4*$F$65*$I$65</f>
        <v>0</v>
      </c>
      <c r="U69" s="67" t="n">
        <f aca="false">+U67*30.4*$F$65*$I$65</f>
        <v>0</v>
      </c>
      <c r="V69" s="67" t="n">
        <f aca="false">+V67*30.4*$F$65*$I$65</f>
        <v>0</v>
      </c>
      <c r="W69" s="67" t="n">
        <f aca="false">+W67*30.4*$F$65*$I$65</f>
        <v>0</v>
      </c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customFormat="false" ht="11.25" hidden="false" customHeight="false" outlineLevel="0" collapsed="false">
      <c r="B70" s="1" t="s">
        <v>78</v>
      </c>
      <c r="C70" s="67"/>
      <c r="D70" s="67" t="n">
        <f aca="false">+D68*30.4*$F$66*$I$66</f>
        <v>0</v>
      </c>
      <c r="E70" s="67" t="n">
        <f aca="false">+E68*30.4*$F$66*$I$66</f>
        <v>0</v>
      </c>
      <c r="F70" s="67" t="n">
        <f aca="false">+F68*30.4*$F$66*$I$66</f>
        <v>0</v>
      </c>
      <c r="G70" s="67" t="n">
        <f aca="false">+G68*30.4*$F$66*$I$66</f>
        <v>0</v>
      </c>
      <c r="H70" s="67" t="n">
        <f aca="false">+H68*30.4*$F$66*$I$66</f>
        <v>0</v>
      </c>
      <c r="I70" s="67" t="n">
        <f aca="false">+I68*30.4*$F$66*$I$66</f>
        <v>0</v>
      </c>
      <c r="J70" s="67" t="n">
        <f aca="false">+J68*30.4*$F$66*$I$66</f>
        <v>0</v>
      </c>
      <c r="K70" s="67" t="n">
        <f aca="false">+K68*30.4*$F$66*$I$66</f>
        <v>0</v>
      </c>
      <c r="L70" s="67" t="n">
        <f aca="false">+L68*30.4*$F$66*$I$66</f>
        <v>0</v>
      </c>
      <c r="M70" s="67" t="n">
        <f aca="false">+M68*30.4*$F$66*$I$66</f>
        <v>0</v>
      </c>
      <c r="N70" s="67" t="n">
        <f aca="false">+N68*30.4*$F$66*$I$66</f>
        <v>0</v>
      </c>
      <c r="O70" s="67" t="n">
        <f aca="false">+O68*30.4*$F$66*$I$66</f>
        <v>0</v>
      </c>
      <c r="P70" s="67" t="n">
        <f aca="false">+P68*30.4*$F$66*$I$66</f>
        <v>0</v>
      </c>
      <c r="Q70" s="67" t="n">
        <f aca="false">+Q68*30.4*$F$66*$I$66</f>
        <v>0</v>
      </c>
      <c r="R70" s="67" t="n">
        <f aca="false">+R68*30.4*$F$66*$I$66</f>
        <v>0</v>
      </c>
      <c r="S70" s="67" t="n">
        <f aca="false">+S68*30.4*$F$66*$I$66</f>
        <v>0</v>
      </c>
      <c r="T70" s="67" t="n">
        <f aca="false">+T68*30.4*$F$66*$I$66</f>
        <v>0</v>
      </c>
      <c r="U70" s="67" t="n">
        <f aca="false">+U68*30.4*$F$66*$I$66</f>
        <v>0</v>
      </c>
      <c r="V70" s="67" t="n">
        <f aca="false">+V68*30.4*$F$66*$I$66</f>
        <v>0</v>
      </c>
      <c r="W70" s="67" t="n">
        <f aca="false">+W68*30.4*$F$66*$I$66</f>
        <v>0</v>
      </c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customFormat="false" ht="11.25" hidden="false" customHeight="false" outlineLevel="0" collapsed="false">
      <c r="C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customFormat="false" ht="11.25" hidden="false" customHeight="false" outlineLevel="0" collapsed="false"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customFormat="false" ht="11.25" hidden="false" customHeight="false" outlineLevel="0" collapsed="false">
      <c r="C73" s="68"/>
    </row>
    <row r="74" customFormat="false" ht="11.25" hidden="false" customHeight="false" outlineLevel="0" collapsed="false">
      <c r="A74" s="2" t="s">
        <v>81</v>
      </c>
      <c r="C74" s="69" t="n">
        <v>0.03</v>
      </c>
      <c r="D74" s="70"/>
    </row>
    <row r="75" customFormat="false" ht="11.25" hidden="false" customHeight="false" outlineLevel="0" collapsed="false">
      <c r="B75" s="1" t="s">
        <v>82</v>
      </c>
      <c r="C75" s="71"/>
      <c r="D75" s="12"/>
    </row>
    <row r="76" customFormat="false" ht="11.25" hidden="false" customHeight="false" outlineLevel="0" collapsed="false">
      <c r="A76" s="2" t="s">
        <v>83</v>
      </c>
      <c r="B76" s="1" t="s">
        <v>84</v>
      </c>
      <c r="C76" s="71"/>
      <c r="D76" s="72" t="n">
        <f aca="false">+Summary!D91*0.9</f>
        <v>1189352.7</v>
      </c>
      <c r="E76" s="12" t="n">
        <f aca="false">+D76</f>
        <v>1189352.7</v>
      </c>
      <c r="F76" s="12" t="n">
        <f aca="false">+E76</f>
        <v>1189352.7</v>
      </c>
      <c r="G76" s="12" t="n">
        <f aca="false">+F76</f>
        <v>1189352.7</v>
      </c>
      <c r="H76" s="12" t="n">
        <f aca="false">+G76</f>
        <v>1189352.7</v>
      </c>
      <c r="I76" s="12" t="n">
        <f aca="false">+H76</f>
        <v>1189352.7</v>
      </c>
      <c r="J76" s="12" t="n">
        <f aca="false">+I76</f>
        <v>1189352.7</v>
      </c>
      <c r="K76" s="12" t="n">
        <f aca="false">IF($G$49-K3&lt;0,0,J76)+R87</f>
        <v>0</v>
      </c>
      <c r="L76" s="12" t="n">
        <f aca="false">IF($G$49-L3&lt;0,0,K76)+S87</f>
        <v>0</v>
      </c>
      <c r="M76" s="12" t="n">
        <f aca="false">IF($G$49-M3&lt;0,0,L76)+T87</f>
        <v>0</v>
      </c>
      <c r="N76" s="12" t="n">
        <f aca="false">IF($G$49-N3&lt;0,0,M76)+U87</f>
        <v>0</v>
      </c>
      <c r="O76" s="12" t="n">
        <f aca="false">IF($G$49-O3&lt;0,0,N76)+V87</f>
        <v>0</v>
      </c>
      <c r="P76" s="12" t="n">
        <f aca="false">IF($G$49-P3&lt;0,0,O76*(1+$C$74))</f>
        <v>0</v>
      </c>
      <c r="Q76" s="12" t="n">
        <f aca="false">IF($G$49-Q3&lt;0,0,P76*(1+$C$74))</f>
        <v>0</v>
      </c>
      <c r="R76" s="12" t="n">
        <f aca="false">IF($G$49-R3&lt;0,0,Q76*(1+$C$74))</f>
        <v>0</v>
      </c>
      <c r="S76" s="12" t="n">
        <f aca="false">IF($G$49-S3&lt;0,0,R76*(1+$C$74))</f>
        <v>0</v>
      </c>
      <c r="T76" s="12" t="n">
        <f aca="false">IF($G$49-T3&lt;0,0,S76*(1+$C$74))</f>
        <v>0</v>
      </c>
      <c r="U76" s="12" t="n">
        <f aca="false">IF($G$49-U3&lt;0,0,T76*(1+$C$74))</f>
        <v>0</v>
      </c>
      <c r="V76" s="12" t="n">
        <f aca="false">IF($G$49-V3&lt;0,0,U76*(1+$C$74))</f>
        <v>0</v>
      </c>
      <c r="W76" s="12" t="n">
        <f aca="false">IF($G$49-W3&lt;0,0,V76*(1+$C$74))</f>
        <v>0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customFormat="false" ht="11.25" hidden="false" customHeight="false" outlineLevel="0" collapsed="false">
      <c r="C77" s="24"/>
    </row>
    <row r="78" customFormat="false" ht="11.25" hidden="false" customHeight="false" outlineLevel="0" collapsed="false">
      <c r="C78" s="4" t="s">
        <v>85</v>
      </c>
      <c r="D78" s="2" t="s">
        <v>86</v>
      </c>
      <c r="E78" s="2" t="s">
        <v>87</v>
      </c>
      <c r="G78" s="2" t="s">
        <v>88</v>
      </c>
      <c r="J78" s="4" t="s">
        <v>85</v>
      </c>
      <c r="K78" s="2" t="s">
        <v>86</v>
      </c>
      <c r="L78" s="2" t="s">
        <v>87</v>
      </c>
    </row>
    <row r="79" customFormat="false" ht="11.25" hidden="false" customHeight="false" outlineLevel="0" collapsed="false">
      <c r="B79" s="73" t="s">
        <v>89</v>
      </c>
      <c r="C79" s="61"/>
      <c r="D79" s="1" t="n">
        <v>600</v>
      </c>
      <c r="E79" s="1" t="n">
        <f aca="false">+C79*D79</f>
        <v>0</v>
      </c>
      <c r="H79" s="1" t="s">
        <v>89</v>
      </c>
      <c r="J79" s="74"/>
      <c r="K79" s="1" t="n">
        <v>600</v>
      </c>
      <c r="L79" s="1" t="n">
        <f aca="false">+J79*K79</f>
        <v>0</v>
      </c>
    </row>
    <row r="80" customFormat="false" ht="11.25" hidden="false" customHeight="false" outlineLevel="0" collapsed="false">
      <c r="A80" s="2" t="s">
        <v>90</v>
      </c>
      <c r="B80" s="75" t="s">
        <v>91</v>
      </c>
      <c r="C80" s="61"/>
      <c r="D80" s="24" t="n">
        <v>400</v>
      </c>
      <c r="E80" s="1" t="n">
        <f aca="false">+C80*D80</f>
        <v>0</v>
      </c>
      <c r="F80" s="24"/>
      <c r="H80" s="24" t="s">
        <v>91</v>
      </c>
      <c r="J80" s="74"/>
      <c r="K80" s="24" t="n">
        <v>400</v>
      </c>
      <c r="L80" s="1" t="n">
        <f aca="false">+J80*K80</f>
        <v>0</v>
      </c>
    </row>
    <row r="81" customFormat="false" ht="11.25" hidden="false" customHeight="false" outlineLevel="0" collapsed="false">
      <c r="B81" s="73" t="s">
        <v>92</v>
      </c>
      <c r="C81" s="61"/>
      <c r="D81" s="24" t="n">
        <v>100</v>
      </c>
      <c r="E81" s="1" t="n">
        <f aca="false">+C81*D81</f>
        <v>0</v>
      </c>
      <c r="F81" s="24"/>
      <c r="H81" s="1" t="s">
        <v>92</v>
      </c>
      <c r="J81" s="74"/>
      <c r="K81" s="24" t="n">
        <v>100</v>
      </c>
      <c r="L81" s="1" t="n">
        <f aca="false">+J81*K81</f>
        <v>0</v>
      </c>
    </row>
    <row r="82" customFormat="false" ht="11.25" hidden="false" customHeight="false" outlineLevel="0" collapsed="false">
      <c r="B82" s="75" t="s">
        <v>93</v>
      </c>
      <c r="C82" s="61" t="n">
        <v>0</v>
      </c>
      <c r="D82" s="24" t="n">
        <v>5000</v>
      </c>
      <c r="E82" s="1" t="n">
        <f aca="false">+C82*D82</f>
        <v>0</v>
      </c>
      <c r="F82" s="24"/>
      <c r="H82" s="24" t="s">
        <v>93</v>
      </c>
      <c r="J82" s="74"/>
      <c r="K82" s="24" t="n">
        <v>5000</v>
      </c>
      <c r="L82" s="1" t="n">
        <f aca="false">+J82*K82</f>
        <v>0</v>
      </c>
    </row>
    <row r="83" customFormat="false" ht="11.25" hidden="false" customHeight="false" outlineLevel="0" collapsed="false">
      <c r="B83" s="75" t="s">
        <v>94</v>
      </c>
      <c r="C83" s="61"/>
      <c r="D83" s="24" t="n">
        <v>46.71</v>
      </c>
      <c r="E83" s="1" t="n">
        <f aca="false">+C83*D83</f>
        <v>0</v>
      </c>
      <c r="F83" s="24"/>
      <c r="H83" s="24" t="s">
        <v>94</v>
      </c>
      <c r="J83" s="74"/>
      <c r="K83" s="24" t="n">
        <v>46.71</v>
      </c>
      <c r="L83" s="1" t="n">
        <f aca="false">+J83*K83</f>
        <v>0</v>
      </c>
    </row>
    <row r="84" customFormat="false" ht="11.25" hidden="false" customHeight="false" outlineLevel="0" collapsed="false">
      <c r="B84" s="75" t="s">
        <v>95</v>
      </c>
      <c r="C84" s="61"/>
      <c r="D84" s="24" t="n">
        <v>20.7</v>
      </c>
      <c r="E84" s="1" t="n">
        <f aca="false">+C84*D84</f>
        <v>0</v>
      </c>
      <c r="F84" s="24"/>
      <c r="H84" s="24" t="s">
        <v>95</v>
      </c>
      <c r="J84" s="74"/>
      <c r="K84" s="24" t="n">
        <v>20.7</v>
      </c>
      <c r="L84" s="1" t="n">
        <f aca="false">+J84*K84</f>
        <v>0</v>
      </c>
    </row>
    <row r="85" customFormat="false" ht="11.25" hidden="false" customHeight="false" outlineLevel="0" collapsed="false">
      <c r="B85" s="75" t="s">
        <v>96</v>
      </c>
      <c r="C85" s="61"/>
      <c r="D85" s="24" t="n">
        <v>1.4</v>
      </c>
      <c r="E85" s="1" t="n">
        <f aca="false">+C85*D85</f>
        <v>0</v>
      </c>
      <c r="F85" s="24"/>
      <c r="H85" s="24" t="s">
        <v>96</v>
      </c>
      <c r="J85" s="74"/>
      <c r="K85" s="24" t="n">
        <v>1.4</v>
      </c>
      <c r="L85" s="1" t="n">
        <f aca="false">+J85*K85</f>
        <v>0</v>
      </c>
    </row>
    <row r="86" customFormat="false" ht="11.25" hidden="false" customHeight="false" outlineLevel="0" collapsed="false">
      <c r="B86" s="75" t="s">
        <v>97</v>
      </c>
      <c r="C86" s="61"/>
      <c r="D86" s="24" t="n">
        <v>1.9</v>
      </c>
      <c r="E86" s="1" t="n">
        <f aca="false">+C86*D86</f>
        <v>0</v>
      </c>
      <c r="F86" s="24"/>
      <c r="H86" s="24" t="s">
        <v>97</v>
      </c>
      <c r="J86" s="74"/>
      <c r="K86" s="24" t="n">
        <v>1.9</v>
      </c>
      <c r="L86" s="1" t="n">
        <f aca="false">+J86*K86</f>
        <v>0</v>
      </c>
    </row>
    <row r="87" customFormat="false" ht="12" hidden="false" customHeight="false" outlineLevel="0" collapsed="false">
      <c r="B87" s="24"/>
      <c r="C87" s="76" t="s">
        <v>98</v>
      </c>
      <c r="D87" s="76"/>
      <c r="E87" s="77" t="n">
        <f aca="false">SUM(E79:E86)</f>
        <v>0</v>
      </c>
      <c r="F87" s="24"/>
      <c r="H87" s="24"/>
      <c r="J87" s="76" t="s">
        <v>98</v>
      </c>
      <c r="K87" s="76"/>
      <c r="L87" s="77" t="n">
        <f aca="false">SUM(L79:L86)</f>
        <v>0</v>
      </c>
    </row>
    <row r="88" customFormat="false" ht="12" hidden="false" customHeight="false" outlineLevel="0" collapsed="false">
      <c r="B88" s="24"/>
      <c r="C88" s="24"/>
      <c r="D88" s="24"/>
      <c r="F88" s="24"/>
    </row>
    <row r="89" customFormat="false" ht="11.25" hidden="false" customHeight="false" outlineLevel="0" collapsed="false">
      <c r="C89" s="4" t="s">
        <v>85</v>
      </c>
      <c r="D89" s="2" t="s">
        <v>86</v>
      </c>
      <c r="E89" s="2" t="s">
        <v>87</v>
      </c>
      <c r="F89" s="76"/>
      <c r="G89" s="2" t="s">
        <v>99</v>
      </c>
      <c r="H89" s="2"/>
      <c r="I89" s="2"/>
      <c r="J89" s="4" t="s">
        <v>85</v>
      </c>
      <c r="K89" s="2" t="s">
        <v>86</v>
      </c>
      <c r="L89" s="2" t="s">
        <v>87</v>
      </c>
    </row>
    <row r="90" customFormat="false" ht="11.25" hidden="false" customHeight="false" outlineLevel="0" collapsed="false">
      <c r="B90" s="1" t="s">
        <v>89</v>
      </c>
      <c r="C90" s="74"/>
      <c r="D90" s="1" t="n">
        <v>600</v>
      </c>
      <c r="E90" s="1" t="n">
        <f aca="false">+C90*D90</f>
        <v>0</v>
      </c>
      <c r="F90" s="24"/>
      <c r="H90" s="1" t="s">
        <v>89</v>
      </c>
      <c r="J90" s="74"/>
      <c r="K90" s="1" t="n">
        <v>600</v>
      </c>
      <c r="L90" s="1" t="n">
        <f aca="false">+J90*K90</f>
        <v>0</v>
      </c>
    </row>
    <row r="91" customFormat="false" ht="11.25" hidden="false" customHeight="false" outlineLevel="0" collapsed="false">
      <c r="A91" s="2" t="s">
        <v>100</v>
      </c>
      <c r="B91" s="24" t="s">
        <v>91</v>
      </c>
      <c r="C91" s="74"/>
      <c r="D91" s="24" t="n">
        <v>400</v>
      </c>
      <c r="E91" s="1" t="n">
        <f aca="false">+C91*D91</f>
        <v>0</v>
      </c>
      <c r="F91" s="24"/>
      <c r="H91" s="24" t="s">
        <v>91</v>
      </c>
      <c r="J91" s="74"/>
      <c r="K91" s="24" t="n">
        <v>400</v>
      </c>
      <c r="L91" s="1" t="n">
        <f aca="false">+J91*K91</f>
        <v>0</v>
      </c>
    </row>
    <row r="92" customFormat="false" ht="11.25" hidden="false" customHeight="false" outlineLevel="0" collapsed="false">
      <c r="B92" s="1" t="s">
        <v>92</v>
      </c>
      <c r="C92" s="74"/>
      <c r="D92" s="24" t="n">
        <v>100</v>
      </c>
      <c r="E92" s="1" t="n">
        <f aca="false">+C92*D92</f>
        <v>0</v>
      </c>
      <c r="F92" s="24"/>
      <c r="H92" s="1" t="s">
        <v>92</v>
      </c>
      <c r="J92" s="74"/>
      <c r="K92" s="24" t="n">
        <v>100</v>
      </c>
      <c r="L92" s="1" t="n">
        <f aca="false">+J92*K92</f>
        <v>0</v>
      </c>
    </row>
    <row r="93" customFormat="false" ht="11.25" hidden="false" customHeight="false" outlineLevel="0" collapsed="false">
      <c r="B93" s="24" t="s">
        <v>93</v>
      </c>
      <c r="C93" s="74"/>
      <c r="D93" s="24" t="n">
        <v>5000</v>
      </c>
      <c r="E93" s="1" t="n">
        <f aca="false">+C93*D93</f>
        <v>0</v>
      </c>
      <c r="F93" s="24"/>
      <c r="H93" s="24" t="s">
        <v>93</v>
      </c>
      <c r="J93" s="74"/>
      <c r="K93" s="24" t="n">
        <v>5000</v>
      </c>
      <c r="L93" s="1" t="n">
        <f aca="false">+J93*K93</f>
        <v>0</v>
      </c>
    </row>
    <row r="94" customFormat="false" ht="11.25" hidden="false" customHeight="false" outlineLevel="0" collapsed="false">
      <c r="B94" s="24" t="s">
        <v>94</v>
      </c>
      <c r="C94" s="74"/>
      <c r="D94" s="24" t="n">
        <v>46.71</v>
      </c>
      <c r="E94" s="1" t="n">
        <f aca="false">+C94*D94</f>
        <v>0</v>
      </c>
      <c r="H94" s="24" t="s">
        <v>94</v>
      </c>
      <c r="J94" s="74"/>
      <c r="K94" s="24" t="n">
        <v>46.71</v>
      </c>
      <c r="L94" s="1" t="n">
        <f aca="false">+J94*K94</f>
        <v>0</v>
      </c>
    </row>
    <row r="95" customFormat="false" ht="11.25" hidden="false" customHeight="false" outlineLevel="0" collapsed="false">
      <c r="B95" s="24" t="s">
        <v>95</v>
      </c>
      <c r="C95" s="74"/>
      <c r="D95" s="24" t="n">
        <v>20.7</v>
      </c>
      <c r="E95" s="1" t="n">
        <f aca="false">+C95*D95</f>
        <v>0</v>
      </c>
      <c r="H95" s="24" t="s">
        <v>95</v>
      </c>
      <c r="J95" s="74"/>
      <c r="K95" s="24" t="n">
        <v>20.7</v>
      </c>
      <c r="L95" s="1" t="n">
        <f aca="false">+J95*K95</f>
        <v>0</v>
      </c>
    </row>
    <row r="96" customFormat="false" ht="11.25" hidden="false" customHeight="false" outlineLevel="0" collapsed="false">
      <c r="B96" s="24" t="s">
        <v>96</v>
      </c>
      <c r="C96" s="74"/>
      <c r="D96" s="24" t="n">
        <v>1.4</v>
      </c>
      <c r="E96" s="1" t="n">
        <f aca="false">+C96*D96</f>
        <v>0</v>
      </c>
      <c r="H96" s="24" t="s">
        <v>96</v>
      </c>
      <c r="J96" s="74"/>
      <c r="K96" s="24" t="n">
        <v>1.4</v>
      </c>
      <c r="L96" s="1" t="n">
        <f aca="false">+J96*K96</f>
        <v>0</v>
      </c>
    </row>
    <row r="97" customFormat="false" ht="11.25" hidden="false" customHeight="false" outlineLevel="0" collapsed="false">
      <c r="B97" s="24" t="s">
        <v>97</v>
      </c>
      <c r="C97" s="74"/>
      <c r="D97" s="24" t="n">
        <v>1.9</v>
      </c>
      <c r="E97" s="1" t="n">
        <f aca="false">+C97*D97</f>
        <v>0</v>
      </c>
      <c r="H97" s="24" t="s">
        <v>97</v>
      </c>
      <c r="J97" s="74"/>
      <c r="K97" s="24" t="n">
        <v>1.9</v>
      </c>
      <c r="L97" s="1" t="n">
        <f aca="false">+J97*K97</f>
        <v>0</v>
      </c>
    </row>
    <row r="98" customFormat="false" ht="12" hidden="false" customHeight="false" outlineLevel="0" collapsed="false">
      <c r="B98" s="24"/>
      <c r="C98" s="76" t="s">
        <v>98</v>
      </c>
      <c r="D98" s="76"/>
      <c r="E98" s="77" t="n">
        <f aca="false">SUM(E90:E97)</f>
        <v>0</v>
      </c>
      <c r="F98" s="24"/>
      <c r="H98" s="24"/>
      <c r="J98" s="76" t="s">
        <v>98</v>
      </c>
      <c r="K98" s="76"/>
      <c r="L98" s="77" t="n">
        <f aca="false">SUM(L90:L97)</f>
        <v>0</v>
      </c>
    </row>
    <row r="99" customFormat="false" ht="12" hidden="false" customHeight="false" outlineLevel="0" collapsed="false">
      <c r="B99" s="24"/>
      <c r="C99" s="24"/>
      <c r="D99" s="24"/>
      <c r="F99" s="24"/>
    </row>
    <row r="100" customFormat="false" ht="11.25" hidden="false" customHeight="false" outlineLevel="0" collapsed="false">
      <c r="C100" s="4" t="s">
        <v>85</v>
      </c>
      <c r="D100" s="2" t="s">
        <v>86</v>
      </c>
      <c r="E100" s="2" t="s">
        <v>87</v>
      </c>
      <c r="F100" s="2"/>
      <c r="G100" s="2" t="s">
        <v>101</v>
      </c>
      <c r="H100" s="2"/>
      <c r="I100" s="2"/>
      <c r="J100" s="4" t="s">
        <v>85</v>
      </c>
      <c r="K100" s="2" t="s">
        <v>86</v>
      </c>
      <c r="L100" s="2" t="s">
        <v>87</v>
      </c>
    </row>
    <row r="101" customFormat="false" ht="11.25" hidden="false" customHeight="false" outlineLevel="0" collapsed="false">
      <c r="B101" s="1" t="s">
        <v>89</v>
      </c>
      <c r="C101" s="74"/>
      <c r="D101" s="1" t="n">
        <v>600</v>
      </c>
      <c r="E101" s="1" t="n">
        <f aca="false">+C101*D101</f>
        <v>0</v>
      </c>
      <c r="H101" s="1" t="s">
        <v>89</v>
      </c>
      <c r="J101" s="74"/>
      <c r="K101" s="1" t="n">
        <v>600</v>
      </c>
      <c r="L101" s="1" t="n">
        <f aca="false">+J101*K101</f>
        <v>0</v>
      </c>
    </row>
    <row r="102" customFormat="false" ht="11.25" hidden="false" customHeight="false" outlineLevel="0" collapsed="false">
      <c r="A102" s="2" t="s">
        <v>102</v>
      </c>
      <c r="B102" s="24" t="s">
        <v>91</v>
      </c>
      <c r="C102" s="74"/>
      <c r="D102" s="24" t="n">
        <v>400</v>
      </c>
      <c r="E102" s="1" t="n">
        <f aca="false">+C102*D102</f>
        <v>0</v>
      </c>
      <c r="H102" s="24" t="s">
        <v>91</v>
      </c>
      <c r="J102" s="74"/>
      <c r="K102" s="24" t="n">
        <v>400</v>
      </c>
      <c r="L102" s="1" t="n">
        <f aca="false">+J102*K102</f>
        <v>0</v>
      </c>
    </row>
    <row r="103" customFormat="false" ht="11.25" hidden="false" customHeight="false" outlineLevel="0" collapsed="false">
      <c r="B103" s="1" t="s">
        <v>92</v>
      </c>
      <c r="C103" s="74"/>
      <c r="D103" s="24" t="n">
        <v>100</v>
      </c>
      <c r="E103" s="1" t="n">
        <f aca="false">+C103*D103</f>
        <v>0</v>
      </c>
      <c r="H103" s="1" t="s">
        <v>92</v>
      </c>
      <c r="J103" s="74"/>
      <c r="K103" s="24" t="n">
        <v>100</v>
      </c>
      <c r="L103" s="1" t="n">
        <f aca="false">+J103*K103</f>
        <v>0</v>
      </c>
    </row>
    <row r="104" customFormat="false" ht="11.25" hidden="false" customHeight="false" outlineLevel="0" collapsed="false">
      <c r="B104" s="24" t="s">
        <v>93</v>
      </c>
      <c r="C104" s="74"/>
      <c r="D104" s="24" t="n">
        <v>5000</v>
      </c>
      <c r="E104" s="1" t="n">
        <f aca="false">+C104*D104</f>
        <v>0</v>
      </c>
      <c r="H104" s="24" t="s">
        <v>93</v>
      </c>
      <c r="J104" s="74"/>
      <c r="K104" s="24" t="n">
        <v>5000</v>
      </c>
      <c r="L104" s="1" t="n">
        <f aca="false">+J104*K104</f>
        <v>0</v>
      </c>
    </row>
    <row r="105" customFormat="false" ht="11.25" hidden="false" customHeight="false" outlineLevel="0" collapsed="false">
      <c r="B105" s="24" t="s">
        <v>94</v>
      </c>
      <c r="C105" s="74"/>
      <c r="D105" s="24" t="n">
        <v>46.71</v>
      </c>
      <c r="E105" s="1" t="n">
        <f aca="false">+C105*D105</f>
        <v>0</v>
      </c>
      <c r="H105" s="24" t="s">
        <v>94</v>
      </c>
      <c r="J105" s="74"/>
      <c r="K105" s="24" t="n">
        <v>46.71</v>
      </c>
      <c r="L105" s="1" t="n">
        <f aca="false">+J105*K105</f>
        <v>0</v>
      </c>
    </row>
    <row r="106" customFormat="false" ht="11.25" hidden="false" customHeight="false" outlineLevel="0" collapsed="false">
      <c r="B106" s="24" t="s">
        <v>95</v>
      </c>
      <c r="C106" s="74"/>
      <c r="D106" s="24" t="n">
        <v>20.7</v>
      </c>
      <c r="E106" s="1" t="n">
        <f aca="false">+C106*D106</f>
        <v>0</v>
      </c>
      <c r="H106" s="24" t="s">
        <v>95</v>
      </c>
      <c r="J106" s="74"/>
      <c r="K106" s="24" t="n">
        <v>20.7</v>
      </c>
      <c r="L106" s="1" t="n">
        <f aca="false">+J106*K106</f>
        <v>0</v>
      </c>
    </row>
    <row r="107" customFormat="false" ht="11.25" hidden="false" customHeight="false" outlineLevel="0" collapsed="false">
      <c r="B107" s="24" t="s">
        <v>96</v>
      </c>
      <c r="C107" s="74"/>
      <c r="D107" s="24" t="n">
        <v>1.4</v>
      </c>
      <c r="E107" s="1" t="n">
        <f aca="false">+C107*D107</f>
        <v>0</v>
      </c>
      <c r="H107" s="24" t="s">
        <v>96</v>
      </c>
      <c r="J107" s="74"/>
      <c r="K107" s="24" t="n">
        <v>1.4</v>
      </c>
      <c r="L107" s="1" t="n">
        <f aca="false">+J107*K107</f>
        <v>0</v>
      </c>
    </row>
    <row r="108" customFormat="false" ht="11.25" hidden="false" customHeight="false" outlineLevel="0" collapsed="false">
      <c r="B108" s="24" t="s">
        <v>97</v>
      </c>
      <c r="C108" s="74"/>
      <c r="D108" s="24" t="n">
        <v>1.9</v>
      </c>
      <c r="E108" s="1" t="n">
        <f aca="false">+C108*D108</f>
        <v>0</v>
      </c>
      <c r="H108" s="24" t="s">
        <v>97</v>
      </c>
      <c r="J108" s="74"/>
      <c r="K108" s="24" t="n">
        <v>1.9</v>
      </c>
      <c r="L108" s="1" t="n">
        <f aca="false">+J108*K108</f>
        <v>0</v>
      </c>
    </row>
    <row r="109" customFormat="false" ht="12" hidden="false" customHeight="false" outlineLevel="0" collapsed="false">
      <c r="B109" s="24"/>
      <c r="C109" s="76" t="s">
        <v>98</v>
      </c>
      <c r="D109" s="76"/>
      <c r="E109" s="77" t="n">
        <f aca="false">SUM(E101:E108)</f>
        <v>0</v>
      </c>
      <c r="F109" s="24"/>
      <c r="H109" s="24"/>
      <c r="J109" s="76" t="s">
        <v>98</v>
      </c>
      <c r="K109" s="76"/>
      <c r="L109" s="77" t="n">
        <f aca="false">SUM(L101:L108)</f>
        <v>0</v>
      </c>
    </row>
    <row r="110" customFormat="false" ht="12" hidden="false" customHeight="false" outlineLevel="0" collapsed="false">
      <c r="B110" s="24"/>
      <c r="C110" s="24"/>
      <c r="D110" s="24"/>
      <c r="F110" s="24"/>
    </row>
    <row r="111" customFormat="false" ht="11.25" hidden="false" customHeight="false" outlineLevel="0" collapsed="false">
      <c r="C111" s="4" t="s">
        <v>85</v>
      </c>
      <c r="D111" s="2" t="s">
        <v>86</v>
      </c>
      <c r="E111" s="2" t="s">
        <v>87</v>
      </c>
      <c r="F111" s="2"/>
      <c r="G111" s="2" t="s">
        <v>103</v>
      </c>
      <c r="H111" s="2"/>
      <c r="I111" s="2"/>
      <c r="J111" s="4" t="s">
        <v>85</v>
      </c>
      <c r="K111" s="2" t="s">
        <v>86</v>
      </c>
      <c r="L111" s="2" t="s">
        <v>87</v>
      </c>
    </row>
    <row r="112" customFormat="false" ht="11.25" hidden="false" customHeight="false" outlineLevel="0" collapsed="false">
      <c r="B112" s="1" t="s">
        <v>89</v>
      </c>
      <c r="C112" s="74"/>
      <c r="D112" s="1" t="n">
        <v>600</v>
      </c>
      <c r="E112" s="1" t="n">
        <f aca="false">+C112*D112</f>
        <v>0</v>
      </c>
      <c r="H112" s="1" t="s">
        <v>89</v>
      </c>
      <c r="J112" s="74"/>
      <c r="K112" s="1" t="n">
        <v>600</v>
      </c>
      <c r="L112" s="1" t="n">
        <f aca="false">+J112*K112</f>
        <v>0</v>
      </c>
    </row>
    <row r="113" customFormat="false" ht="11.25" hidden="false" customHeight="false" outlineLevel="0" collapsed="false">
      <c r="A113" s="2" t="s">
        <v>104</v>
      </c>
      <c r="B113" s="24" t="s">
        <v>91</v>
      </c>
      <c r="C113" s="74"/>
      <c r="D113" s="24" t="n">
        <v>400</v>
      </c>
      <c r="E113" s="1" t="n">
        <f aca="false">+C113*D113</f>
        <v>0</v>
      </c>
      <c r="H113" s="24" t="s">
        <v>91</v>
      </c>
      <c r="J113" s="74"/>
      <c r="K113" s="24" t="n">
        <v>400</v>
      </c>
      <c r="L113" s="1" t="n">
        <f aca="false">+J113*K113</f>
        <v>0</v>
      </c>
    </row>
    <row r="114" customFormat="false" ht="11.25" hidden="false" customHeight="false" outlineLevel="0" collapsed="false">
      <c r="B114" s="1" t="s">
        <v>92</v>
      </c>
      <c r="C114" s="74"/>
      <c r="D114" s="24" t="n">
        <v>100</v>
      </c>
      <c r="E114" s="1" t="n">
        <f aca="false">+C114*D114</f>
        <v>0</v>
      </c>
      <c r="H114" s="1" t="s">
        <v>92</v>
      </c>
      <c r="J114" s="74"/>
      <c r="K114" s="24" t="n">
        <v>100</v>
      </c>
      <c r="L114" s="1" t="n">
        <f aca="false">+J114*K114</f>
        <v>0</v>
      </c>
    </row>
    <row r="115" customFormat="false" ht="11.25" hidden="false" customHeight="false" outlineLevel="0" collapsed="false">
      <c r="B115" s="24" t="s">
        <v>93</v>
      </c>
      <c r="C115" s="74"/>
      <c r="D115" s="24" t="n">
        <v>5000</v>
      </c>
      <c r="E115" s="1" t="n">
        <f aca="false">+C115*D115</f>
        <v>0</v>
      </c>
      <c r="H115" s="24" t="s">
        <v>93</v>
      </c>
      <c r="J115" s="74"/>
      <c r="K115" s="24" t="n">
        <v>5000</v>
      </c>
      <c r="L115" s="1" t="n">
        <f aca="false">+J115*K115</f>
        <v>0</v>
      </c>
    </row>
    <row r="116" customFormat="false" ht="11.25" hidden="false" customHeight="false" outlineLevel="0" collapsed="false">
      <c r="B116" s="24" t="s">
        <v>94</v>
      </c>
      <c r="C116" s="74"/>
      <c r="D116" s="24" t="n">
        <v>46.71</v>
      </c>
      <c r="E116" s="1" t="n">
        <f aca="false">+C116*D116</f>
        <v>0</v>
      </c>
      <c r="H116" s="24" t="s">
        <v>94</v>
      </c>
      <c r="J116" s="74"/>
      <c r="K116" s="24" t="n">
        <v>46.71</v>
      </c>
      <c r="L116" s="1" t="n">
        <f aca="false">+J116*K116</f>
        <v>0</v>
      </c>
    </row>
    <row r="117" customFormat="false" ht="11.25" hidden="false" customHeight="false" outlineLevel="0" collapsed="false">
      <c r="B117" s="24" t="s">
        <v>95</v>
      </c>
      <c r="C117" s="74"/>
      <c r="D117" s="24" t="n">
        <v>20.7</v>
      </c>
      <c r="E117" s="1" t="n">
        <f aca="false">+C117*D117</f>
        <v>0</v>
      </c>
      <c r="H117" s="24" t="s">
        <v>95</v>
      </c>
      <c r="J117" s="74"/>
      <c r="K117" s="24" t="n">
        <v>20.7</v>
      </c>
      <c r="L117" s="1" t="n">
        <f aca="false">+J117*K117</f>
        <v>0</v>
      </c>
    </row>
    <row r="118" customFormat="false" ht="11.25" hidden="false" customHeight="false" outlineLevel="0" collapsed="false">
      <c r="B118" s="24" t="s">
        <v>96</v>
      </c>
      <c r="C118" s="74"/>
      <c r="D118" s="24" t="n">
        <v>1.4</v>
      </c>
      <c r="E118" s="1" t="n">
        <f aca="false">+C118*D118</f>
        <v>0</v>
      </c>
      <c r="H118" s="24" t="s">
        <v>96</v>
      </c>
      <c r="J118" s="74"/>
      <c r="K118" s="24" t="n">
        <v>1.4</v>
      </c>
      <c r="L118" s="1" t="n">
        <f aca="false">+J118*K118</f>
        <v>0</v>
      </c>
    </row>
    <row r="119" customFormat="false" ht="11.25" hidden="false" customHeight="false" outlineLevel="0" collapsed="false">
      <c r="B119" s="24" t="s">
        <v>97</v>
      </c>
      <c r="C119" s="74"/>
      <c r="D119" s="24" t="n">
        <v>1.9</v>
      </c>
      <c r="E119" s="1" t="n">
        <f aca="false">+C119*D119</f>
        <v>0</v>
      </c>
      <c r="H119" s="24" t="s">
        <v>97</v>
      </c>
      <c r="J119" s="74"/>
      <c r="K119" s="24" t="n">
        <v>1.9</v>
      </c>
      <c r="L119" s="1" t="n">
        <f aca="false">+J119*K119</f>
        <v>0</v>
      </c>
    </row>
    <row r="120" customFormat="false" ht="12" hidden="false" customHeight="false" outlineLevel="0" collapsed="false">
      <c r="B120" s="24"/>
      <c r="C120" s="76" t="s">
        <v>98</v>
      </c>
      <c r="D120" s="76"/>
      <c r="E120" s="77" t="n">
        <f aca="false">SUM(E112:E119)</f>
        <v>0</v>
      </c>
      <c r="F120" s="24"/>
      <c r="H120" s="24"/>
      <c r="J120" s="76" t="s">
        <v>98</v>
      </c>
      <c r="K120" s="76"/>
      <c r="L120" s="77" t="n">
        <f aca="false">SUM(L112:L119)</f>
        <v>0</v>
      </c>
    </row>
    <row r="121" customFormat="false" ht="12" hidden="false" customHeight="false" outlineLevel="0" collapsed="false">
      <c r="B121" s="24"/>
      <c r="C121" s="24"/>
      <c r="D121" s="24"/>
      <c r="F121" s="24"/>
    </row>
    <row r="122" customFormat="false" ht="11.25" hidden="false" customHeight="false" outlineLevel="0" collapsed="false">
      <c r="C122" s="4" t="s">
        <v>85</v>
      </c>
      <c r="D122" s="2" t="s">
        <v>86</v>
      </c>
      <c r="E122" s="2" t="s">
        <v>87</v>
      </c>
      <c r="F122" s="2"/>
      <c r="G122" s="2" t="s">
        <v>105</v>
      </c>
      <c r="H122" s="2"/>
      <c r="I122" s="2"/>
      <c r="J122" s="4" t="s">
        <v>85</v>
      </c>
      <c r="K122" s="2" t="s">
        <v>86</v>
      </c>
      <c r="L122" s="2" t="s">
        <v>87</v>
      </c>
    </row>
    <row r="123" customFormat="false" ht="11.25" hidden="false" customHeight="false" outlineLevel="0" collapsed="false">
      <c r="B123" s="1" t="s">
        <v>89</v>
      </c>
      <c r="C123" s="74"/>
      <c r="D123" s="1" t="n">
        <v>600</v>
      </c>
      <c r="E123" s="1" t="n">
        <f aca="false">+C123*D123</f>
        <v>0</v>
      </c>
      <c r="H123" s="1" t="s">
        <v>89</v>
      </c>
      <c r="J123" s="74"/>
      <c r="K123" s="1" t="n">
        <v>600</v>
      </c>
      <c r="L123" s="1" t="n">
        <f aca="false">+J123*K123</f>
        <v>0</v>
      </c>
    </row>
    <row r="124" customFormat="false" ht="11.25" hidden="false" customHeight="false" outlineLevel="0" collapsed="false">
      <c r="A124" s="2" t="s">
        <v>106</v>
      </c>
      <c r="B124" s="24" t="s">
        <v>91</v>
      </c>
      <c r="C124" s="74"/>
      <c r="D124" s="24" t="n">
        <v>400</v>
      </c>
      <c r="E124" s="1" t="n">
        <f aca="false">+C124*D124</f>
        <v>0</v>
      </c>
      <c r="H124" s="24" t="s">
        <v>91</v>
      </c>
      <c r="J124" s="74"/>
      <c r="K124" s="24" t="n">
        <v>400</v>
      </c>
      <c r="L124" s="1" t="n">
        <f aca="false">+J124*K124</f>
        <v>0</v>
      </c>
    </row>
    <row r="125" customFormat="false" ht="11.25" hidden="false" customHeight="false" outlineLevel="0" collapsed="false">
      <c r="B125" s="1" t="s">
        <v>92</v>
      </c>
      <c r="C125" s="74"/>
      <c r="D125" s="24" t="n">
        <v>100</v>
      </c>
      <c r="E125" s="1" t="n">
        <f aca="false">+C125*D125</f>
        <v>0</v>
      </c>
      <c r="H125" s="1" t="s">
        <v>92</v>
      </c>
      <c r="J125" s="74"/>
      <c r="K125" s="24" t="n">
        <v>100</v>
      </c>
      <c r="L125" s="1" t="n">
        <f aca="false">+J125*K125</f>
        <v>0</v>
      </c>
    </row>
    <row r="126" customFormat="false" ht="11.25" hidden="false" customHeight="false" outlineLevel="0" collapsed="false">
      <c r="B126" s="24" t="s">
        <v>93</v>
      </c>
      <c r="C126" s="74"/>
      <c r="D126" s="24" t="n">
        <v>5000</v>
      </c>
      <c r="E126" s="1" t="n">
        <f aca="false">+C126*D126</f>
        <v>0</v>
      </c>
      <c r="H126" s="24" t="s">
        <v>93</v>
      </c>
      <c r="J126" s="74"/>
      <c r="K126" s="24" t="n">
        <v>5000</v>
      </c>
      <c r="L126" s="1" t="n">
        <f aca="false">+J126*K126</f>
        <v>0</v>
      </c>
    </row>
    <row r="127" customFormat="false" ht="11.25" hidden="false" customHeight="false" outlineLevel="0" collapsed="false">
      <c r="B127" s="24" t="s">
        <v>94</v>
      </c>
      <c r="C127" s="74"/>
      <c r="D127" s="24" t="n">
        <v>46.71</v>
      </c>
      <c r="E127" s="1" t="n">
        <f aca="false">+C127*D127</f>
        <v>0</v>
      </c>
      <c r="H127" s="24" t="s">
        <v>94</v>
      </c>
      <c r="J127" s="74"/>
      <c r="K127" s="24" t="n">
        <v>46.71</v>
      </c>
      <c r="L127" s="1" t="n">
        <f aca="false">+J127*K127</f>
        <v>0</v>
      </c>
    </row>
    <row r="128" customFormat="false" ht="11.25" hidden="false" customHeight="false" outlineLevel="0" collapsed="false">
      <c r="B128" s="24" t="s">
        <v>95</v>
      </c>
      <c r="C128" s="74"/>
      <c r="D128" s="24" t="n">
        <v>20.7</v>
      </c>
      <c r="E128" s="1" t="n">
        <f aca="false">+C128*D128</f>
        <v>0</v>
      </c>
      <c r="H128" s="24" t="s">
        <v>95</v>
      </c>
      <c r="J128" s="74"/>
      <c r="K128" s="24" t="n">
        <v>20.7</v>
      </c>
      <c r="L128" s="1" t="n">
        <f aca="false">+J128*K128</f>
        <v>0</v>
      </c>
    </row>
    <row r="129" customFormat="false" ht="11.25" hidden="false" customHeight="false" outlineLevel="0" collapsed="false">
      <c r="B129" s="24" t="s">
        <v>96</v>
      </c>
      <c r="C129" s="74"/>
      <c r="D129" s="24" t="n">
        <v>1.4</v>
      </c>
      <c r="E129" s="1" t="n">
        <f aca="false">+C129*D129</f>
        <v>0</v>
      </c>
      <c r="H129" s="24" t="s">
        <v>96</v>
      </c>
      <c r="J129" s="74"/>
      <c r="K129" s="24" t="n">
        <v>1.4</v>
      </c>
      <c r="L129" s="1" t="n">
        <f aca="false">+J129*K129</f>
        <v>0</v>
      </c>
    </row>
    <row r="130" customFormat="false" ht="11.25" hidden="false" customHeight="false" outlineLevel="0" collapsed="false">
      <c r="B130" s="24" t="s">
        <v>97</v>
      </c>
      <c r="C130" s="74"/>
      <c r="D130" s="24" t="n">
        <v>1.9</v>
      </c>
      <c r="E130" s="1" t="n">
        <f aca="false">+C130*D130</f>
        <v>0</v>
      </c>
      <c r="H130" s="24" t="s">
        <v>97</v>
      </c>
      <c r="J130" s="74"/>
      <c r="K130" s="24" t="n">
        <v>1.9</v>
      </c>
      <c r="L130" s="1" t="n">
        <f aca="false">+J130*K130</f>
        <v>0</v>
      </c>
    </row>
    <row r="131" customFormat="false" ht="12" hidden="false" customHeight="false" outlineLevel="0" collapsed="false">
      <c r="B131" s="24"/>
      <c r="C131" s="76" t="s">
        <v>98</v>
      </c>
      <c r="D131" s="76"/>
      <c r="E131" s="77" t="n">
        <f aca="false">SUM(E123:E130)</f>
        <v>0</v>
      </c>
      <c r="F131" s="24"/>
      <c r="H131" s="24"/>
      <c r="J131" s="76" t="s">
        <v>98</v>
      </c>
      <c r="K131" s="76"/>
      <c r="L131" s="77" t="n">
        <f aca="false">SUM(L123:L130)</f>
        <v>0</v>
      </c>
    </row>
    <row r="132" customFormat="false" ht="12" hidden="false" customHeight="false" outlineLevel="0" collapsed="false">
      <c r="B132" s="24"/>
      <c r="C132" s="24"/>
      <c r="D132" s="24"/>
      <c r="F132" s="24"/>
    </row>
    <row r="142" customFormat="false" ht="10.5" hidden="false" customHeight="true" outlineLevel="0" collapsed="false">
      <c r="F142" s="24"/>
    </row>
    <row r="143" customFormat="false" ht="11.25" hidden="false" customHeight="false" outlineLevel="0" collapsed="false">
      <c r="B143" s="24"/>
      <c r="C143" s="24"/>
      <c r="D143" s="24"/>
      <c r="F143" s="24"/>
    </row>
    <row r="153" customFormat="false" ht="10.5" hidden="false" customHeight="true" outlineLevel="0" collapsed="false">
      <c r="F153" s="24"/>
    </row>
    <row r="154" customFormat="false" ht="11.25" hidden="false" customHeight="false" outlineLevel="0" collapsed="false">
      <c r="B154" s="24"/>
      <c r="C154" s="24"/>
      <c r="D154" s="24"/>
      <c r="F154" s="24"/>
    </row>
    <row r="164" customFormat="false" ht="10.5" hidden="false" customHeight="true" outlineLevel="0" collapsed="false">
      <c r="F164" s="24"/>
    </row>
    <row r="165" customFormat="false" ht="11.25" hidden="false" customHeight="false" outlineLevel="0" collapsed="false">
      <c r="B165" s="24"/>
      <c r="C165" s="24"/>
      <c r="D165" s="24"/>
      <c r="F165" s="24"/>
    </row>
    <row r="175" customFormat="false" ht="10.5" hidden="false" customHeight="true" outlineLevel="0" collapsed="false">
      <c r="F175" s="24"/>
    </row>
    <row r="176" customFormat="false" ht="11.25" hidden="false" customHeight="false" outlineLevel="0" collapsed="false">
      <c r="B176" s="24"/>
      <c r="C176" s="24"/>
      <c r="D176" s="24"/>
      <c r="F176" s="24"/>
    </row>
    <row r="186" customFormat="false" ht="10.5" hidden="false" customHeight="true" outlineLevel="0" collapsed="false">
      <c r="F186" s="24"/>
    </row>
    <row r="187" customFormat="false" ht="11.25" hidden="false" customHeight="false" outlineLevel="0" collapsed="false">
      <c r="B187" s="24"/>
      <c r="C187" s="24"/>
      <c r="D187" s="24"/>
      <c r="F187" s="24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true" showOutlineSymbols="true" defaultGridColor="true" view="normal" topLeftCell="A79" colorId="64" zoomScale="75" zoomScaleNormal="75" zoomScalePageLayoutView="100" workbookViewId="0">
      <selection pane="topLeft" activeCell="D102" activeCellId="0" sqref="D10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14.99"/>
    <col collapsed="false" customWidth="true" hidden="false" outlineLevel="0" max="3" min="3" style="1" width="14.7"/>
    <col collapsed="false" customWidth="true" hidden="false" outlineLevel="0" max="4" min="4" style="1" width="14.99"/>
    <col collapsed="false" customWidth="true" hidden="false" outlineLevel="0" max="5" min="5" style="1" width="14.7"/>
    <col collapsed="false" customWidth="true" hidden="false" outlineLevel="0" max="8" min="6" style="1" width="12.56"/>
    <col collapsed="false" customWidth="true" hidden="false" outlineLevel="0" max="9" min="9" style="1" width="14.14"/>
    <col collapsed="false" customWidth="true" hidden="false" outlineLevel="0" max="10" min="10" style="1" width="13.7"/>
    <col collapsed="false" customWidth="true" hidden="false" outlineLevel="0" max="12" min="11" style="1" width="12.56"/>
    <col collapsed="false" customWidth="true" hidden="false" outlineLevel="0" max="13" min="13" style="1" width="15.28"/>
    <col collapsed="false" customWidth="true" hidden="false" outlineLevel="0" max="14" min="14" style="1" width="12.56"/>
    <col collapsed="false" customWidth="true" hidden="true" outlineLevel="0" max="18" min="15" style="1" width="12.56"/>
    <col collapsed="false" customWidth="true" hidden="true" outlineLevel="0" max="23" min="19" style="1" width="9.85"/>
    <col collapsed="false" customWidth="true" hidden="false" outlineLevel="0" max="24" min="24" style="1" width="17.7"/>
    <col collapsed="false" customWidth="true" hidden="false" outlineLevel="0" max="25" min="25" style="1" width="15.13"/>
    <col collapsed="false" customWidth="true" hidden="false" outlineLevel="0" max="26" min="26" style="1" width="13.14"/>
    <col collapsed="false" customWidth="false" hidden="false" outlineLevel="0" max="257" min="27" style="1" width="9.14"/>
  </cols>
  <sheetData>
    <row r="1" customFormat="false" ht="11.25" hidden="false" customHeight="false" outlineLevel="0" collapsed="false">
      <c r="C1" s="1" t="n">
        <v>0</v>
      </c>
      <c r="D1" s="1" t="n">
        <v>1</v>
      </c>
      <c r="E1" s="1" t="n">
        <v>2</v>
      </c>
      <c r="F1" s="1" t="n">
        <v>3</v>
      </c>
      <c r="G1" s="1" t="n">
        <v>4</v>
      </c>
      <c r="H1" s="1" t="n">
        <v>5</v>
      </c>
      <c r="I1" s="1" t="n">
        <v>6</v>
      </c>
      <c r="J1" s="1" t="n">
        <v>7</v>
      </c>
      <c r="K1" s="1" t="n">
        <v>8</v>
      </c>
      <c r="L1" s="1" t="n">
        <v>9</v>
      </c>
      <c r="M1" s="1" t="n">
        <v>10</v>
      </c>
      <c r="N1" s="1" t="n">
        <v>11</v>
      </c>
      <c r="O1" s="1" t="n">
        <v>12</v>
      </c>
      <c r="P1" s="1" t="n">
        <v>13</v>
      </c>
      <c r="Q1" s="1" t="n">
        <v>14</v>
      </c>
      <c r="R1" s="1" t="n">
        <v>15</v>
      </c>
      <c r="S1" s="1" t="n">
        <v>16</v>
      </c>
      <c r="T1" s="1" t="n">
        <v>17</v>
      </c>
      <c r="U1" s="1" t="n">
        <v>18</v>
      </c>
      <c r="V1" s="1" t="n">
        <v>19</v>
      </c>
      <c r="W1" s="1" t="n">
        <v>20</v>
      </c>
    </row>
    <row r="2" customFormat="false" ht="12.75" hidden="false" customHeight="false" outlineLevel="0" collapsed="false">
      <c r="A2" s="78" t="n">
        <f aca="false">+Z36-AA36+Z37-AA37+Z52+Z54+Y75+Y76+Y77+Z86+Y89+Z105+Z106+Z107+Z42-AA42+Z43-AA43</f>
        <v>0</v>
      </c>
      <c r="D2" s="79" t="s">
        <v>107</v>
      </c>
    </row>
    <row r="3" customFormat="false" ht="15.75" hidden="false" customHeight="false" outlineLevel="0" collapsed="false">
      <c r="A3" s="80" t="s">
        <v>108</v>
      </c>
      <c r="B3" s="81" t="str">
        <f aca="false">+'Input Sheet'!C1</f>
        <v>TW Compressor Monetization</v>
      </c>
    </row>
    <row r="4" customFormat="false" ht="12" hidden="false" customHeight="false" outlineLevel="0" collapsed="false"/>
    <row r="5" customFormat="false" ht="11.25" hidden="false" customHeight="false" outlineLevel="0" collapsed="false">
      <c r="B5" s="82" t="s">
        <v>66</v>
      </c>
      <c r="C5" s="83" t="s">
        <v>67</v>
      </c>
      <c r="D5" s="84" t="s">
        <v>68</v>
      </c>
      <c r="E5" s="83" t="s">
        <v>69</v>
      </c>
      <c r="F5" s="83" t="s">
        <v>70</v>
      </c>
      <c r="G5" s="85" t="s">
        <v>71</v>
      </c>
      <c r="H5" s="86" t="s">
        <v>72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1.25" hidden="false" customHeight="false" outlineLevel="0" collapsed="false">
      <c r="A6" s="2" t="s">
        <v>109</v>
      </c>
      <c r="B6" s="87" t="n">
        <f aca="false">+'Input Sheet'!C49</f>
        <v>0</v>
      </c>
      <c r="C6" s="88" t="n">
        <f aca="false">+'Input Sheet'!D49</f>
        <v>0</v>
      </c>
      <c r="D6" s="73" t="n">
        <f aca="false">+'Input Sheet'!E49</f>
        <v>0</v>
      </c>
      <c r="E6" s="89" t="n">
        <f aca="false">+'Input Sheet'!F49</f>
        <v>0</v>
      </c>
      <c r="F6" s="89" t="n">
        <f aca="false">+'Input Sheet'!G49</f>
        <v>7</v>
      </c>
      <c r="G6" s="90" t="n">
        <f aca="false">+'Input Sheet'!H49</f>
        <v>0</v>
      </c>
      <c r="H6" s="91" t="n">
        <f aca="false">+'Input Sheet'!I49</f>
        <v>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" hidden="false" customHeight="false" outlineLevel="0" collapsed="false">
      <c r="A7" s="2" t="s">
        <v>110</v>
      </c>
      <c r="B7" s="92" t="n">
        <f aca="false">+'Input Sheet'!C50</f>
        <v>0</v>
      </c>
      <c r="C7" s="93" t="n">
        <f aca="false">+'Input Sheet'!D50</f>
        <v>0</v>
      </c>
      <c r="D7" s="94" t="n">
        <f aca="false">+'Input Sheet'!E50</f>
        <v>0</v>
      </c>
      <c r="E7" s="95" t="n">
        <f aca="false">+'Input Sheet'!F50</f>
        <v>0</v>
      </c>
      <c r="F7" s="95" t="n">
        <f aca="false">+'Input Sheet'!G50</f>
        <v>7</v>
      </c>
      <c r="G7" s="96" t="n">
        <f aca="false">+'Input Sheet'!H50</f>
        <v>0</v>
      </c>
      <c r="H7" s="97" t="n">
        <f aca="false">+'Input Sheet'!I50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11.25" hidden="false" customHeight="false" outlineLevel="0" collapsed="false">
      <c r="X8" s="8"/>
    </row>
    <row r="9" customFormat="false" ht="11.25" hidden="false" customHeight="false" outlineLevel="0" collapsed="false">
      <c r="A9" s="98" t="s">
        <v>8</v>
      </c>
      <c r="B9" s="99" t="n">
        <f aca="false">+B66</f>
        <v>0.0821689918531453</v>
      </c>
      <c r="D9" s="24"/>
      <c r="E9" s="12"/>
      <c r="F9" s="1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customFormat="false" ht="11.25" hidden="false" customHeight="false" outlineLevel="0" collapsed="false">
      <c r="A10" s="24"/>
      <c r="B10" s="24"/>
      <c r="C10" s="71"/>
      <c r="D10" s="24"/>
      <c r="E10" s="24"/>
      <c r="F10" s="100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customFormat="false" ht="15" hidden="false" customHeight="false" outlineLevel="0" collapsed="false">
      <c r="A11" s="101" t="s">
        <v>111</v>
      </c>
      <c r="C11" s="0"/>
      <c r="D11" s="24"/>
      <c r="E11" s="24"/>
      <c r="F11" s="100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customFormat="false" ht="12.75" hidden="false" customHeight="false" outlineLevel="0" collapsed="false">
      <c r="A12" s="102" t="s">
        <v>112</v>
      </c>
      <c r="B12" s="103" t="s">
        <v>113</v>
      </c>
      <c r="C12" s="102" t="s">
        <v>8</v>
      </c>
      <c r="D12" s="103" t="s">
        <v>113</v>
      </c>
      <c r="E12" s="102" t="s">
        <v>114</v>
      </c>
      <c r="F12" s="10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customFormat="false" ht="16.5" hidden="false" customHeight="true" outlineLevel="0" collapsed="false">
      <c r="A13" s="104" t="n">
        <v>0</v>
      </c>
      <c r="B13" s="105" t="n">
        <f aca="false">+'Input Sheet'!D21</f>
        <v>14800000</v>
      </c>
      <c r="C13" s="106" t="n">
        <f aca="false">IRR(C66:W66)</f>
        <v>0.0821689918531453</v>
      </c>
      <c r="D13" s="107" t="n">
        <f aca="false">+B13</f>
        <v>14800000</v>
      </c>
      <c r="E13" s="108" t="n">
        <f aca="false">NPV(0.095,C66:W66)</f>
        <v>-29920.4777105921</v>
      </c>
      <c r="F13" s="10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customFormat="false" ht="16.5" hidden="false" customHeight="true" outlineLevel="0" collapsed="false">
      <c r="A14" s="104" t="n">
        <f aca="false">(+B14-$B$13)/$B$13</f>
        <v>0.101351351351351</v>
      </c>
      <c r="B14" s="109" t="n">
        <v>16300000</v>
      </c>
      <c r="C14" s="110" t="e">
        <f aca="true">TABLE(C$13,$C$25,$B14)</f>
        <v>#N/A</v>
      </c>
      <c r="D14" s="105" t="n">
        <f aca="false">+B14</f>
        <v>16300000</v>
      </c>
      <c r="E14" s="108" t="n">
        <f aca="true">TABLE(E$13,$C$25,$D14)</f>
        <v>-865021.252237717</v>
      </c>
      <c r="F14" s="10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customFormat="false" ht="16.5" hidden="false" customHeight="true" outlineLevel="0" collapsed="false">
      <c r="A15" s="104" t="n">
        <f aca="false">(+B15-$B$13)/$B$13</f>
        <v>0.148648648648649</v>
      </c>
      <c r="B15" s="109" t="n">
        <v>17000000</v>
      </c>
      <c r="C15" s="106" t="e">
        <f aca="true">TABLE(C$13,$C$25,$B15)</f>
        <v>#N/A</v>
      </c>
      <c r="D15" s="105" t="n">
        <f aca="false">+B15</f>
        <v>17000000</v>
      </c>
      <c r="E15" s="108" t="n">
        <f aca="true">TABLE(E$13,$C$25,$D15)</f>
        <v>-1254734.94701704</v>
      </c>
      <c r="F15" s="10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customFormat="false" ht="16.5" hidden="false" customHeight="true" outlineLevel="0" collapsed="false">
      <c r="A16" s="111" t="n">
        <f aca="false">(+B16-$B$13)/$B$13</f>
        <v>0.202702702702703</v>
      </c>
      <c r="B16" s="112" t="n">
        <v>17800000</v>
      </c>
      <c r="C16" s="113" t="e">
        <f aca="true">TABLE(C$13,$C$25,$B16)</f>
        <v>#N/A</v>
      </c>
      <c r="D16" s="114" t="n">
        <f aca="false">+B16</f>
        <v>17800000</v>
      </c>
      <c r="E16" s="115" t="n">
        <f aca="true">TABLE(E$13,$C$25,$D16)</f>
        <v>-1700122.02676484</v>
      </c>
      <c r="F16" s="10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customFormat="false" ht="12.75" hidden="false" customHeight="false" outlineLevel="0" collapsed="false">
      <c r="A17" s="116"/>
      <c r="B17" s="117"/>
      <c r="C17" s="118"/>
      <c r="D17" s="24"/>
      <c r="E17" s="24"/>
      <c r="F17" s="10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customFormat="false" ht="11.25" hidden="false" customHeight="false" outlineLevel="0" collapsed="false">
      <c r="A18" s="2" t="s">
        <v>115</v>
      </c>
      <c r="B18" s="119" t="s">
        <v>116</v>
      </c>
      <c r="C18" s="120"/>
      <c r="D18" s="121"/>
      <c r="E18" s="24"/>
      <c r="F18" s="1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22"/>
    </row>
    <row r="19" customFormat="false" ht="11.25" hidden="false" customHeight="false" outlineLevel="0" collapsed="false">
      <c r="A19" s="2" t="s">
        <v>4</v>
      </c>
      <c r="B19" s="123" t="n">
        <f aca="false">+'Input Sheet'!C7</f>
        <v>0</v>
      </c>
      <c r="D19" s="24"/>
      <c r="E19" s="24"/>
      <c r="F19" s="12"/>
      <c r="G19" s="24"/>
      <c r="H19" s="24"/>
      <c r="I19" s="24"/>
      <c r="J19" s="12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customFormat="false" ht="11.25" hidden="false" customHeight="false" outlineLevel="0" collapsed="false">
      <c r="A20" s="2" t="str">
        <f aca="false">+'Input Sheet'!A8</f>
        <v>Ciac With Gross Up</v>
      </c>
      <c r="B20" s="123" t="n">
        <f aca="false">+'Input Sheet'!C8</f>
        <v>0</v>
      </c>
      <c r="D20" s="24"/>
      <c r="E20" s="24"/>
      <c r="F20" s="12"/>
      <c r="G20" s="24"/>
      <c r="H20" s="24"/>
      <c r="I20" s="24"/>
      <c r="J20" s="1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customFormat="false" ht="11.25" hidden="false" customHeight="false" outlineLevel="0" collapsed="false">
      <c r="C21" s="71"/>
      <c r="D21" s="24"/>
      <c r="E21" s="24"/>
      <c r="F21" s="10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customFormat="false" ht="11.25" hidden="false" customHeight="false" outlineLevel="0" collapsed="false">
      <c r="A22" s="24"/>
      <c r="B22" s="124" t="s">
        <v>117</v>
      </c>
      <c r="C22" s="125" t="s">
        <v>118</v>
      </c>
      <c r="D22" s="125" t="s">
        <v>119</v>
      </c>
      <c r="E22" s="125" t="s">
        <v>120</v>
      </c>
      <c r="F22" s="125" t="s">
        <v>121</v>
      </c>
      <c r="G22" s="125" t="s">
        <v>122</v>
      </c>
      <c r="H22" s="125" t="s">
        <v>123</v>
      </c>
      <c r="I22" s="125" t="s">
        <v>124</v>
      </c>
      <c r="J22" s="125" t="s">
        <v>125</v>
      </c>
      <c r="K22" s="125" t="s">
        <v>126</v>
      </c>
      <c r="L22" s="125" t="s">
        <v>127</v>
      </c>
      <c r="M22" s="125" t="s">
        <v>128</v>
      </c>
      <c r="N22" s="125" t="s">
        <v>129</v>
      </c>
      <c r="O22" s="125" t="s">
        <v>130</v>
      </c>
      <c r="P22" s="125" t="s">
        <v>131</v>
      </c>
      <c r="Q22" s="125" t="s">
        <v>132</v>
      </c>
      <c r="R22" s="125" t="s">
        <v>133</v>
      </c>
      <c r="S22" s="125" t="s">
        <v>134</v>
      </c>
      <c r="T22" s="125" t="s">
        <v>135</v>
      </c>
      <c r="U22" s="125" t="s">
        <v>136</v>
      </c>
      <c r="V22" s="125" t="s">
        <v>137</v>
      </c>
      <c r="W22" s="125" t="s">
        <v>138</v>
      </c>
      <c r="X22" s="125" t="s">
        <v>139</v>
      </c>
      <c r="Y22" s="8" t="s">
        <v>140</v>
      </c>
    </row>
    <row r="23" customFormat="false" ht="11.25" hidden="false" customHeight="false" outlineLevel="0" collapsed="false">
      <c r="A23" s="126" t="s">
        <v>141</v>
      </c>
      <c r="B23" s="127" t="n">
        <f aca="false">+'Input Sheet'!C16</f>
        <v>0.9</v>
      </c>
      <c r="C23" s="12" t="n">
        <f aca="false">C28*$B$23</f>
        <v>13320000</v>
      </c>
      <c r="D23" s="12" t="n">
        <f aca="false">D28*$B$23</f>
        <v>0</v>
      </c>
      <c r="E23" s="12" t="n">
        <f aca="false">E28*$B$23</f>
        <v>0</v>
      </c>
      <c r="F23" s="12" t="n">
        <f aca="false">F28*$B$23</f>
        <v>0</v>
      </c>
      <c r="G23" s="12" t="n">
        <f aca="false">G28*$B$23</f>
        <v>0</v>
      </c>
      <c r="H23" s="12" t="n">
        <f aca="false">H28*$B$23</f>
        <v>0</v>
      </c>
      <c r="I23" s="12" t="n">
        <f aca="false">I28*$B$23</f>
        <v>0</v>
      </c>
      <c r="J23" s="12" t="n">
        <f aca="false">J28*$B$23</f>
        <v>0</v>
      </c>
      <c r="K23" s="12" t="n">
        <f aca="false">K28*$B$23</f>
        <v>0</v>
      </c>
      <c r="L23" s="12" t="n">
        <f aca="false">L28*$B$23</f>
        <v>0</v>
      </c>
      <c r="M23" s="12" t="n">
        <f aca="false">M28*$B$23</f>
        <v>0</v>
      </c>
      <c r="N23" s="12" t="n">
        <f aca="false">N28*$B$23</f>
        <v>0</v>
      </c>
      <c r="O23" s="12" t="n">
        <f aca="false">O28*$B$23</f>
        <v>0</v>
      </c>
      <c r="P23" s="12" t="n">
        <f aca="false">P28*$B$23</f>
        <v>0</v>
      </c>
      <c r="Q23" s="12" t="n">
        <f aca="false">Q28*$B$23</f>
        <v>0</v>
      </c>
      <c r="R23" s="12" t="n">
        <f aca="false">R28*$B$23</f>
        <v>0</v>
      </c>
      <c r="S23" s="12" t="n">
        <f aca="false">S28*$B$23</f>
        <v>0</v>
      </c>
      <c r="T23" s="12" t="n">
        <f aca="false">T28*$B$23</f>
        <v>0</v>
      </c>
      <c r="U23" s="12" t="n">
        <f aca="false">U28*$B$23</f>
        <v>0</v>
      </c>
      <c r="V23" s="12" t="n">
        <f aca="false">V28*$B$23</f>
        <v>0</v>
      </c>
      <c r="W23" s="12" t="n">
        <f aca="false">W28*$B$23</f>
        <v>0</v>
      </c>
      <c r="X23" s="12" t="n">
        <f aca="false">SUM(N23:W23)</f>
        <v>0</v>
      </c>
      <c r="Y23" s="122" t="n">
        <f aca="false">SUM(C23:M23)</f>
        <v>13320000</v>
      </c>
    </row>
    <row r="24" customFormat="false" ht="11.25" hidden="false" customHeight="false" outlineLevel="0" collapsed="false">
      <c r="A24" s="126" t="s">
        <v>142</v>
      </c>
      <c r="B24" s="127" t="n">
        <f aca="false">1-B23</f>
        <v>0.1</v>
      </c>
      <c r="C24" s="12" t="n">
        <f aca="false">+C28*(1-$B$23)</f>
        <v>1480000</v>
      </c>
      <c r="D24" s="12" t="n">
        <f aca="false">+D28*(1-$B$23)</f>
        <v>0</v>
      </c>
      <c r="E24" s="12" t="n">
        <f aca="false">+E28*(1-$B$23)</f>
        <v>0</v>
      </c>
      <c r="F24" s="12" t="n">
        <f aca="false">+F28*(1-$B$23)</f>
        <v>0</v>
      </c>
      <c r="G24" s="12" t="n">
        <f aca="false">+G28*(1-$B$23)</f>
        <v>0</v>
      </c>
      <c r="H24" s="12" t="n">
        <f aca="false">+H28*(1-$B$23)</f>
        <v>0</v>
      </c>
      <c r="I24" s="12" t="n">
        <f aca="false">+I28*(1-$B$23)</f>
        <v>0</v>
      </c>
      <c r="J24" s="12" t="n">
        <f aca="false">+J28*(1-$B$23)</f>
        <v>0</v>
      </c>
      <c r="K24" s="12" t="n">
        <f aca="false">+K28*(1-$B$23)</f>
        <v>0</v>
      </c>
      <c r="L24" s="12" t="n">
        <f aca="false">+L28*(1-$B$23)</f>
        <v>0</v>
      </c>
      <c r="M24" s="12" t="n">
        <f aca="false">+M28*(1-$B$23)</f>
        <v>0</v>
      </c>
      <c r="N24" s="12" t="n">
        <f aca="false">+N28*(1-$B$23)</f>
        <v>0</v>
      </c>
      <c r="O24" s="12" t="n">
        <f aca="false">+O28*(1-$B$23)</f>
        <v>0</v>
      </c>
      <c r="P24" s="12" t="n">
        <f aca="false">+P28*(1-$B$23)</f>
        <v>0</v>
      </c>
      <c r="Q24" s="12" t="n">
        <f aca="false">+Q28*(1-$B$23)</f>
        <v>0</v>
      </c>
      <c r="R24" s="12" t="n">
        <f aca="false">+R28*(1-$B$23)</f>
        <v>0</v>
      </c>
      <c r="S24" s="12" t="n">
        <f aca="false">+S28*(1-$B$23)</f>
        <v>0</v>
      </c>
      <c r="T24" s="12" t="n">
        <f aca="false">+T28*(1-$B$23)</f>
        <v>0</v>
      </c>
      <c r="U24" s="12" t="n">
        <f aca="false">+U28*(1-$B$23)</f>
        <v>0</v>
      </c>
      <c r="V24" s="12" t="n">
        <f aca="false">+V28*(1-$B$23)</f>
        <v>0</v>
      </c>
      <c r="W24" s="12" t="n">
        <f aca="false">+W28*(1-$B$23)</f>
        <v>0</v>
      </c>
      <c r="X24" s="12" t="n">
        <f aca="false">SUM(N24:W24)</f>
        <v>0</v>
      </c>
      <c r="Y24" s="122" t="n">
        <f aca="false">SUM(C24:M24)</f>
        <v>1480000</v>
      </c>
    </row>
    <row r="25" customFormat="false" ht="11.25" hidden="false" customHeight="false" outlineLevel="0" collapsed="false">
      <c r="B25" s="1" t="s">
        <v>143</v>
      </c>
      <c r="C25" s="12" t="n">
        <f aca="false">+'Input Sheet'!D21</f>
        <v>14800000</v>
      </c>
      <c r="D25" s="12" t="n">
        <f aca="false">+'Input Sheet'!E21</f>
        <v>0</v>
      </c>
      <c r="E25" s="12" t="n">
        <f aca="false">+'Input Sheet'!F21</f>
        <v>0</v>
      </c>
      <c r="F25" s="12" t="n">
        <f aca="false">+'Input Sheet'!G21</f>
        <v>0</v>
      </c>
      <c r="G25" s="12" t="n">
        <f aca="false">+'Input Sheet'!H21</f>
        <v>0</v>
      </c>
      <c r="H25" s="12" t="n">
        <f aca="false">+'Input Sheet'!I21</f>
        <v>0</v>
      </c>
      <c r="I25" s="12" t="n">
        <f aca="false">+'Input Sheet'!J21</f>
        <v>0</v>
      </c>
      <c r="J25" s="12" t="n">
        <f aca="false">+'Input Sheet'!K21</f>
        <v>0</v>
      </c>
      <c r="K25" s="12" t="n">
        <f aca="false">+'Input Sheet'!L21</f>
        <v>0</v>
      </c>
      <c r="L25" s="12" t="n">
        <f aca="false">+'Input Sheet'!M21</f>
        <v>0</v>
      </c>
      <c r="M25" s="12" t="n">
        <f aca="false">+'Input Sheet'!N21</f>
        <v>0</v>
      </c>
      <c r="N25" s="12" t="n">
        <f aca="false">+'Input Sheet'!O21</f>
        <v>0</v>
      </c>
      <c r="O25" s="12" t="n">
        <f aca="false">+'Input Sheet'!P21</f>
        <v>0</v>
      </c>
      <c r="P25" s="12" t="n">
        <f aca="false">+'Input Sheet'!Q21</f>
        <v>0</v>
      </c>
      <c r="Q25" s="12" t="n">
        <f aca="false">+'Input Sheet'!R21</f>
        <v>0</v>
      </c>
      <c r="R25" s="12" t="n">
        <f aca="false">+'Input Sheet'!S21</f>
        <v>0</v>
      </c>
      <c r="S25" s="12" t="n">
        <f aca="false">+'Input Sheet'!T21</f>
        <v>0</v>
      </c>
      <c r="T25" s="12" t="n">
        <f aca="false">+'Input Sheet'!U21</f>
        <v>0</v>
      </c>
      <c r="U25" s="12" t="n">
        <f aca="false">+'Input Sheet'!V21</f>
        <v>0</v>
      </c>
      <c r="V25" s="12" t="n">
        <f aca="false">+'Input Sheet'!W21</f>
        <v>0</v>
      </c>
      <c r="W25" s="12" t="n">
        <f aca="false">+'Input Sheet'!X21</f>
        <v>0</v>
      </c>
      <c r="X25" s="12"/>
      <c r="Y25" s="128" t="n">
        <f aca="false">SUM(C25:W25)</f>
        <v>14800000</v>
      </c>
    </row>
    <row r="26" customFormat="false" ht="11.25" hidden="false" customHeight="false" outlineLevel="0" collapsed="false">
      <c r="B26" s="129" t="s">
        <v>144</v>
      </c>
      <c r="C26" s="12" t="n">
        <f aca="false">C27</f>
        <v>0</v>
      </c>
      <c r="D26" s="12" t="n">
        <f aca="false">(0.858369099*D25)*0.015</f>
        <v>0</v>
      </c>
      <c r="E26" s="12" t="n">
        <f aca="false">(0.858369099*E25)*0.015</f>
        <v>0</v>
      </c>
      <c r="F26" s="12" t="n">
        <f aca="false">(0.858369099*F25)*0.015</f>
        <v>0</v>
      </c>
      <c r="G26" s="12" t="n">
        <f aca="false">(0.858369099*G25)*0.015</f>
        <v>0</v>
      </c>
      <c r="H26" s="12" t="n">
        <f aca="false">(0.858369099*H25)*0.015</f>
        <v>0</v>
      </c>
      <c r="I26" s="12" t="n">
        <f aca="false">(0.858369099*I25)*0.015</f>
        <v>0</v>
      </c>
      <c r="J26" s="12" t="n">
        <f aca="false">(0.858369099*J25)*0.015</f>
        <v>0</v>
      </c>
      <c r="K26" s="12" t="n">
        <f aca="false">(0.858369099*K25)*0.015</f>
        <v>0</v>
      </c>
      <c r="L26" s="12" t="n">
        <f aca="false">(0.858369099*L25)*0.015</f>
        <v>0</v>
      </c>
      <c r="M26" s="12" t="n">
        <f aca="false">(0.858369099*M25)*0.015</f>
        <v>0</v>
      </c>
      <c r="N26" s="12" t="n">
        <f aca="false">(0.858369099*N25)*0.015</f>
        <v>0</v>
      </c>
      <c r="O26" s="12" t="n">
        <f aca="false">(0.858369099*O25)*0.015</f>
        <v>0</v>
      </c>
      <c r="P26" s="12" t="n">
        <f aca="false">(0.858369099*P25)*0.015</f>
        <v>0</v>
      </c>
      <c r="Q26" s="12" t="n">
        <f aca="false">(0.858369099*Q25)*0.015</f>
        <v>0</v>
      </c>
      <c r="R26" s="12" t="n">
        <f aca="false">(0.858369099*R25)*0.015</f>
        <v>0</v>
      </c>
      <c r="S26" s="12" t="n">
        <f aca="false">(0.858369099*S25)*0.015</f>
        <v>0</v>
      </c>
      <c r="T26" s="12" t="n">
        <f aca="false">(0.858369099*T25)*0.015</f>
        <v>0</v>
      </c>
      <c r="U26" s="12" t="n">
        <f aca="false">(0.858369099*U25)*0.015</f>
        <v>0</v>
      </c>
      <c r="V26" s="12" t="n">
        <f aca="false">(0.858369099*V25)*0.015</f>
        <v>0</v>
      </c>
      <c r="W26" s="12" t="n">
        <f aca="false">(0.858369099*W25)*0.015</f>
        <v>0</v>
      </c>
      <c r="X26" s="12"/>
      <c r="Y26" s="128" t="n">
        <f aca="false">SUM(C26:W26)</f>
        <v>0</v>
      </c>
    </row>
    <row r="27" customFormat="false" ht="11.25" hidden="false" customHeight="false" outlineLevel="0" collapsed="false">
      <c r="B27" s="129" t="s">
        <v>145</v>
      </c>
      <c r="C27" s="12"/>
      <c r="D27" s="12" t="n">
        <f aca="false">(0.858369099*D25)*0.15</f>
        <v>0</v>
      </c>
      <c r="E27" s="12" t="n">
        <f aca="false">(0.858369099*E25)*0.15</f>
        <v>0</v>
      </c>
      <c r="F27" s="12" t="n">
        <f aca="false">(0.858369099*F25)*0.15</f>
        <v>0</v>
      </c>
      <c r="G27" s="12" t="n">
        <f aca="false">(0.858369099*G25)*0.15</f>
        <v>0</v>
      </c>
      <c r="H27" s="12" t="n">
        <f aca="false">(0.858369099*H25)*0.15</f>
        <v>0</v>
      </c>
      <c r="I27" s="12" t="n">
        <f aca="false">(0.858369099*I25)*0.15</f>
        <v>0</v>
      </c>
      <c r="J27" s="12" t="n">
        <f aca="false">(0.858369099*J25)*0.15</f>
        <v>0</v>
      </c>
      <c r="K27" s="12" t="n">
        <f aca="false">(0.858369099*K25)*0.15</f>
        <v>0</v>
      </c>
      <c r="L27" s="12" t="n">
        <f aca="false">(0.858369099*L25)*0.15</f>
        <v>0</v>
      </c>
      <c r="M27" s="12" t="n">
        <f aca="false">(0.858369099*M25)*0.15</f>
        <v>0</v>
      </c>
      <c r="N27" s="12" t="n">
        <f aca="false">(0.858369099*N25)*0.15</f>
        <v>0</v>
      </c>
      <c r="O27" s="12" t="n">
        <f aca="false">(0.858369099*O25)*0.15</f>
        <v>0</v>
      </c>
      <c r="P27" s="12" t="n">
        <f aca="false">(0.858369099*P25)*0.15</f>
        <v>0</v>
      </c>
      <c r="Q27" s="12" t="n">
        <f aca="false">(0.858369099*Q25)*0.15</f>
        <v>0</v>
      </c>
      <c r="R27" s="12" t="n">
        <f aca="false">(0.858369099*R25)*0.15</f>
        <v>0</v>
      </c>
      <c r="S27" s="12" t="n">
        <f aca="false">(0.858369099*S25)*0.15</f>
        <v>0</v>
      </c>
      <c r="T27" s="12" t="n">
        <f aca="false">(0.858369099*T25)*0.15</f>
        <v>0</v>
      </c>
      <c r="U27" s="12" t="n">
        <f aca="false">(0.858369099*U25)*0.15</f>
        <v>0</v>
      </c>
      <c r="V27" s="12" t="n">
        <f aca="false">(0.858369099*V25)*0.15</f>
        <v>0</v>
      </c>
      <c r="W27" s="12" t="n">
        <f aca="false">(0.858369099*W25)*0.15</f>
        <v>0</v>
      </c>
      <c r="X27" s="12"/>
      <c r="Y27" s="128" t="n">
        <f aca="false">SUM(C27:W27)</f>
        <v>0</v>
      </c>
    </row>
    <row r="28" customFormat="false" ht="11.25" hidden="false" customHeight="false" outlineLevel="0" collapsed="false">
      <c r="B28" s="1" t="s">
        <v>146</v>
      </c>
      <c r="C28" s="12" t="n">
        <f aca="false">+C25-C26-C27</f>
        <v>14800000</v>
      </c>
      <c r="D28" s="12" t="n">
        <f aca="false">+D25-D26-D27</f>
        <v>0</v>
      </c>
      <c r="E28" s="12" t="n">
        <f aca="false">+E25-E26-E27</f>
        <v>0</v>
      </c>
      <c r="F28" s="12" t="n">
        <f aca="false">+F25-F26-F27</f>
        <v>0</v>
      </c>
      <c r="G28" s="12" t="n">
        <f aca="false">+G25-G26-G27</f>
        <v>0</v>
      </c>
      <c r="H28" s="12" t="n">
        <f aca="false">+H25-H26-H27</f>
        <v>0</v>
      </c>
      <c r="I28" s="12" t="n">
        <f aca="false">+I25-I26-I27</f>
        <v>0</v>
      </c>
      <c r="J28" s="12" t="n">
        <f aca="false">+J25-J26-J27</f>
        <v>0</v>
      </c>
      <c r="K28" s="12" t="n">
        <f aca="false">+K25-K26-K27</f>
        <v>0</v>
      </c>
      <c r="L28" s="12" t="n">
        <f aca="false">+L25-L26-L27</f>
        <v>0</v>
      </c>
      <c r="M28" s="12" t="n">
        <f aca="false">+M25-M26-M27</f>
        <v>0</v>
      </c>
      <c r="N28" s="12" t="n">
        <f aca="false">+N25-N26-N27</f>
        <v>0</v>
      </c>
      <c r="O28" s="12" t="n">
        <f aca="false">+O25-O26-O27</f>
        <v>0</v>
      </c>
      <c r="P28" s="12" t="n">
        <f aca="false">+P25-P26-P27</f>
        <v>0</v>
      </c>
      <c r="Q28" s="12" t="n">
        <f aca="false">+Q25-Q26-Q27</f>
        <v>0</v>
      </c>
      <c r="R28" s="12" t="n">
        <f aca="false">+R25-R26-R27</f>
        <v>0</v>
      </c>
      <c r="S28" s="12" t="n">
        <f aca="false">+S25-S26-S27</f>
        <v>0</v>
      </c>
      <c r="T28" s="12" t="n">
        <f aca="false">+T25-T26-T27</f>
        <v>0</v>
      </c>
      <c r="U28" s="12" t="n">
        <f aca="false">+U25-U26-U27</f>
        <v>0</v>
      </c>
      <c r="V28" s="12" t="n">
        <f aca="false">+V25-V26-V27</f>
        <v>0</v>
      </c>
      <c r="W28" s="12" t="n">
        <f aca="false">+W25-W26-W27</f>
        <v>0</v>
      </c>
      <c r="X28" s="12"/>
      <c r="Y28" s="128" t="n">
        <f aca="false">SUM(C28:W28)</f>
        <v>14800000</v>
      </c>
    </row>
    <row r="29" customFormat="false" ht="11.25" hidden="false" customHeight="false" outlineLevel="0" collapsed="false">
      <c r="B29" s="1" t="s">
        <v>147</v>
      </c>
      <c r="C29" s="12"/>
      <c r="D29" s="12" t="n">
        <f aca="false">+D19</f>
        <v>0</v>
      </c>
      <c r="E29" s="12" t="n">
        <f aca="false">+E19</f>
        <v>0</v>
      </c>
      <c r="F29" s="12" t="n">
        <v>0</v>
      </c>
      <c r="G29" s="12" t="n">
        <f aca="false">+G19</f>
        <v>0</v>
      </c>
      <c r="H29" s="12" t="n">
        <f aca="false">+H19</f>
        <v>0</v>
      </c>
      <c r="I29" s="12" t="n">
        <f aca="false">+I19</f>
        <v>0</v>
      </c>
      <c r="J29" s="12" t="n">
        <v>0</v>
      </c>
      <c r="K29" s="12" t="n">
        <f aca="false">+K19</f>
        <v>0</v>
      </c>
      <c r="L29" s="12" t="n">
        <f aca="false">+L19</f>
        <v>0</v>
      </c>
      <c r="M29" s="12" t="n">
        <f aca="false">+M19</f>
        <v>0</v>
      </c>
      <c r="N29" s="12" t="n">
        <f aca="false">+N19</f>
        <v>0</v>
      </c>
      <c r="O29" s="12" t="n">
        <f aca="false">+O19</f>
        <v>0</v>
      </c>
      <c r="P29" s="12" t="n">
        <f aca="false">+P19</f>
        <v>0</v>
      </c>
      <c r="Q29" s="12" t="n">
        <f aca="false">+Q19</f>
        <v>0</v>
      </c>
      <c r="R29" s="12" t="n">
        <f aca="false">+R19</f>
        <v>0</v>
      </c>
      <c r="S29" s="12" t="n">
        <f aca="false">+S19</f>
        <v>0</v>
      </c>
      <c r="T29" s="12" t="n">
        <f aca="false">+T19</f>
        <v>0</v>
      </c>
      <c r="U29" s="12" t="n">
        <f aca="false">+U19</f>
        <v>0</v>
      </c>
      <c r="V29" s="12" t="n">
        <f aca="false">+V19</f>
        <v>0</v>
      </c>
      <c r="W29" s="12" t="n">
        <f aca="false">+W19</f>
        <v>0</v>
      </c>
      <c r="X29" s="12"/>
      <c r="Y29" s="128" t="n">
        <f aca="false">SUM(C29:W29)</f>
        <v>0</v>
      </c>
    </row>
    <row r="30" customFormat="false" ht="11.25" hidden="false" customHeight="false" outlineLevel="0" collapsed="false">
      <c r="C30" s="130"/>
      <c r="D30" s="130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customFormat="false" ht="12.75" hidden="false" customHeight="false" outlineLevel="0" collapsed="false">
      <c r="A31" s="129" t="s">
        <v>148</v>
      </c>
      <c r="B31" s="24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 t="n">
        <v>0</v>
      </c>
      <c r="N31" s="131" t="n">
        <v>1</v>
      </c>
      <c r="O31" s="131" t="n">
        <v>2</v>
      </c>
      <c r="P31" s="131" t="n">
        <v>3</v>
      </c>
      <c r="Q31" s="131" t="n">
        <v>4</v>
      </c>
      <c r="R31" s="131" t="n">
        <v>5</v>
      </c>
      <c r="S31" s="131" t="n">
        <v>6</v>
      </c>
      <c r="T31" s="131" t="n">
        <v>7</v>
      </c>
      <c r="U31" s="131" t="n">
        <v>8</v>
      </c>
      <c r="V31" s="131" t="n">
        <v>9</v>
      </c>
      <c r="W31" s="131" t="n">
        <v>10</v>
      </c>
      <c r="X31" s="131"/>
      <c r="Y31" s="132" t="n">
        <f aca="false">SUM(C31:M31)</f>
        <v>0</v>
      </c>
    </row>
    <row r="32" customFormat="false" ht="11.25" hidden="false" customHeight="false" outlineLevel="0" collapsed="false">
      <c r="A32" s="129" t="s">
        <v>149</v>
      </c>
      <c r="B32" s="24"/>
    </row>
    <row r="33" customFormat="false" ht="11.25" hidden="false" customHeight="false" outlineLevel="0" collapsed="false">
      <c r="A33" s="133" t="s">
        <v>41</v>
      </c>
      <c r="B33" s="24"/>
      <c r="C33" s="134"/>
      <c r="D33" s="134" t="n">
        <f aca="false">+'Input Sheet'!D51+'Input Sheet'!D59+'Input Sheet'!D67</f>
        <v>0</v>
      </c>
      <c r="E33" s="134" t="n">
        <f aca="false">+'Input Sheet'!E51+'Input Sheet'!E59+'Input Sheet'!E67</f>
        <v>0</v>
      </c>
      <c r="F33" s="134" t="n">
        <f aca="false">+'Input Sheet'!F51+'Input Sheet'!F59+'Input Sheet'!F67</f>
        <v>0</v>
      </c>
      <c r="G33" s="134" t="n">
        <f aca="false">+'Input Sheet'!G51+'Input Sheet'!G59+'Input Sheet'!G67</f>
        <v>0</v>
      </c>
      <c r="H33" s="134" t="n">
        <f aca="false">+'Input Sheet'!H51+'Input Sheet'!H59+'Input Sheet'!H67</f>
        <v>0</v>
      </c>
      <c r="I33" s="134" t="n">
        <f aca="false">+'Input Sheet'!I51+'Input Sheet'!I59+'Input Sheet'!I67</f>
        <v>0</v>
      </c>
      <c r="J33" s="134" t="n">
        <f aca="false">+'Input Sheet'!J51+'Input Sheet'!J59+'Input Sheet'!J67</f>
        <v>0</v>
      </c>
      <c r="K33" s="134" t="n">
        <f aca="false">+'Input Sheet'!K51+'Input Sheet'!K59+'Input Sheet'!K67</f>
        <v>0</v>
      </c>
      <c r="L33" s="134" t="n">
        <f aca="false">+'Input Sheet'!L51+'Input Sheet'!L59+'Input Sheet'!L67</f>
        <v>0</v>
      </c>
      <c r="M33" s="134" t="n">
        <f aca="false">+'Input Sheet'!M51+'Input Sheet'!M59+'Input Sheet'!M67</f>
        <v>0</v>
      </c>
      <c r="N33" s="134" t="n">
        <f aca="false">+'Input Sheet'!N51+'Input Sheet'!N59+'Input Sheet'!N67</f>
        <v>0</v>
      </c>
      <c r="O33" s="134" t="n">
        <f aca="false">+'Input Sheet'!O51+'Input Sheet'!O59+'Input Sheet'!O67</f>
        <v>0</v>
      </c>
      <c r="P33" s="134" t="n">
        <f aca="false">+'Input Sheet'!P51+'Input Sheet'!P59+'Input Sheet'!P67</f>
        <v>0</v>
      </c>
      <c r="Q33" s="134" t="n">
        <f aca="false">+'Input Sheet'!Q51+'Input Sheet'!Q59+'Input Sheet'!Q67</f>
        <v>0</v>
      </c>
      <c r="R33" s="134" t="n">
        <f aca="false">+'Input Sheet'!R51+'Input Sheet'!R59+'Input Sheet'!R67</f>
        <v>0</v>
      </c>
      <c r="S33" s="134" t="n">
        <f aca="false">+'Input Sheet'!S51+'Input Sheet'!S59+'Input Sheet'!S67</f>
        <v>0</v>
      </c>
      <c r="T33" s="134" t="n">
        <f aca="false">+'Input Sheet'!T51+'Input Sheet'!T59+'Input Sheet'!T67</f>
        <v>0</v>
      </c>
      <c r="U33" s="134" t="n">
        <f aca="false">+'Input Sheet'!U51+'Input Sheet'!U59+'Input Sheet'!U67</f>
        <v>0</v>
      </c>
      <c r="V33" s="134" t="n">
        <f aca="false">+'Input Sheet'!V51+'Input Sheet'!V59+'Input Sheet'!V67</f>
        <v>0</v>
      </c>
      <c r="W33" s="134" t="n">
        <f aca="false">+'Input Sheet'!W51+'Input Sheet'!W59+'Input Sheet'!W67</f>
        <v>0</v>
      </c>
      <c r="X33" s="134" t="n">
        <f aca="false">SUM(N33:W33)</f>
        <v>0</v>
      </c>
      <c r="Y33" s="132" t="n">
        <f aca="false">SUM(C33:W33)</f>
        <v>0</v>
      </c>
      <c r="Z33" s="135" t="n">
        <f aca="false">+D33*'Input Sheet'!$F$49</f>
        <v>0</v>
      </c>
      <c r="AA33" s="135" t="n">
        <f aca="false">+E33*'Input Sheet'!$F$49</f>
        <v>0</v>
      </c>
      <c r="AB33" s="135" t="n">
        <f aca="false">+F33*'Input Sheet'!$F$49</f>
        <v>0</v>
      </c>
      <c r="AC33" s="135" t="n">
        <f aca="false">+G33*'Input Sheet'!$F$49</f>
        <v>0</v>
      </c>
      <c r="AD33" s="135" t="n">
        <f aca="false">+H33*'Input Sheet'!$F$49</f>
        <v>0</v>
      </c>
      <c r="AE33" s="135" t="n">
        <f aca="false">+I33*'Input Sheet'!$F$49</f>
        <v>0</v>
      </c>
      <c r="AF33" s="135" t="n">
        <f aca="false">+J33*'Input Sheet'!$F$49</f>
        <v>0</v>
      </c>
      <c r="AG33" s="135" t="n">
        <f aca="false">+K33*'Input Sheet'!$F$49</f>
        <v>0</v>
      </c>
      <c r="AH33" s="135" t="n">
        <f aca="false">+L33*'Input Sheet'!$F$49</f>
        <v>0</v>
      </c>
      <c r="AI33" s="135" t="n">
        <f aca="false">+M33*'Input Sheet'!$F$49</f>
        <v>0</v>
      </c>
      <c r="AJ33" s="135" t="n">
        <f aca="false">+N33*'Input Sheet'!$F$49</f>
        <v>0</v>
      </c>
      <c r="AK33" s="135" t="n">
        <f aca="false">+O33*'Input Sheet'!$F$49</f>
        <v>0</v>
      </c>
      <c r="AL33" s="135" t="n">
        <f aca="false">+P33*'Input Sheet'!$F$49</f>
        <v>0</v>
      </c>
      <c r="AM33" s="135" t="n">
        <f aca="false">+Q33*'Input Sheet'!$F$49</f>
        <v>0</v>
      </c>
      <c r="AN33" s="135" t="n">
        <f aca="false">+R33*'Input Sheet'!$F$49</f>
        <v>0</v>
      </c>
      <c r="AO33" s="135" t="n">
        <f aca="false">+S33*'Input Sheet'!$F$49</f>
        <v>0</v>
      </c>
      <c r="AP33" s="135" t="n">
        <f aca="false">+T33*'Input Sheet'!$F$49</f>
        <v>0</v>
      </c>
      <c r="AQ33" s="135" t="n">
        <f aca="false">+U33*'Input Sheet'!$F$49</f>
        <v>0</v>
      </c>
      <c r="AR33" s="135" t="n">
        <f aca="false">+V33*'Input Sheet'!$F$49</f>
        <v>0</v>
      </c>
      <c r="AS33" s="135" t="n">
        <f aca="false">+W33*'Input Sheet'!$F$49</f>
        <v>0</v>
      </c>
      <c r="AT33" s="135" t="n">
        <f aca="false">SUM(Z33:AS33)</f>
        <v>0</v>
      </c>
    </row>
    <row r="34" customFormat="false" ht="11.25" hidden="false" customHeight="false" outlineLevel="0" collapsed="false">
      <c r="A34" s="133" t="s">
        <v>42</v>
      </c>
      <c r="B34" s="24"/>
      <c r="C34" s="134"/>
      <c r="D34" s="134" t="n">
        <f aca="false">+'Input Sheet'!D52+'Input Sheet'!D60+'Input Sheet'!D68</f>
        <v>0</v>
      </c>
      <c r="E34" s="134" t="n">
        <f aca="false">+'Input Sheet'!E52+'Input Sheet'!E60+'Input Sheet'!E68</f>
        <v>0</v>
      </c>
      <c r="F34" s="134" t="n">
        <f aca="false">+'Input Sheet'!F52+'Input Sheet'!F60+'Input Sheet'!F68</f>
        <v>0</v>
      </c>
      <c r="G34" s="134" t="n">
        <f aca="false">+'Input Sheet'!G52+'Input Sheet'!G60+'Input Sheet'!G68</f>
        <v>0</v>
      </c>
      <c r="H34" s="134" t="n">
        <f aca="false">+'Input Sheet'!H52+'Input Sheet'!H60+'Input Sheet'!H68</f>
        <v>0</v>
      </c>
      <c r="I34" s="134" t="n">
        <f aca="false">+'Input Sheet'!I52+'Input Sheet'!I60+'Input Sheet'!I68</f>
        <v>0</v>
      </c>
      <c r="J34" s="134" t="n">
        <f aca="false">+'Input Sheet'!J52+'Input Sheet'!J60+'Input Sheet'!J68</f>
        <v>0</v>
      </c>
      <c r="K34" s="134" t="n">
        <f aca="false">+'Input Sheet'!K52+'Input Sheet'!K60+'Input Sheet'!K68</f>
        <v>0</v>
      </c>
      <c r="L34" s="134" t="n">
        <f aca="false">+'Input Sheet'!L52+'Input Sheet'!L60+'Input Sheet'!L68</f>
        <v>0</v>
      </c>
      <c r="M34" s="134" t="n">
        <f aca="false">+'Input Sheet'!M52+'Input Sheet'!M60+'Input Sheet'!M68</f>
        <v>0</v>
      </c>
      <c r="N34" s="134" t="n">
        <f aca="false">+'Input Sheet'!N52+'Input Sheet'!N60+'Input Sheet'!N68</f>
        <v>0</v>
      </c>
      <c r="O34" s="134" t="n">
        <f aca="false">+'Input Sheet'!O52+'Input Sheet'!O60+'Input Sheet'!O68</f>
        <v>0</v>
      </c>
      <c r="P34" s="134" t="n">
        <f aca="false">+'Input Sheet'!P52+'Input Sheet'!P60+'Input Sheet'!P68</f>
        <v>0</v>
      </c>
      <c r="Q34" s="134" t="n">
        <f aca="false">+'Input Sheet'!Q52+'Input Sheet'!Q60+'Input Sheet'!Q68</f>
        <v>0</v>
      </c>
      <c r="R34" s="134" t="n">
        <f aca="false">+'Input Sheet'!R52+'Input Sheet'!R60+'Input Sheet'!R68</f>
        <v>0</v>
      </c>
      <c r="S34" s="134" t="n">
        <f aca="false">+'Input Sheet'!S52+'Input Sheet'!S60+'Input Sheet'!S68</f>
        <v>0</v>
      </c>
      <c r="T34" s="134" t="n">
        <f aca="false">+'Input Sheet'!T52+'Input Sheet'!T60+'Input Sheet'!T68</f>
        <v>0</v>
      </c>
      <c r="U34" s="134" t="n">
        <f aca="false">+'Input Sheet'!U52+'Input Sheet'!U60+'Input Sheet'!U68</f>
        <v>0</v>
      </c>
      <c r="V34" s="134" t="n">
        <f aca="false">+'Input Sheet'!V52+'Input Sheet'!V60+'Input Sheet'!V68</f>
        <v>0</v>
      </c>
      <c r="W34" s="134" t="n">
        <f aca="false">+'Input Sheet'!W52+'Input Sheet'!W60+'Input Sheet'!W68</f>
        <v>0</v>
      </c>
      <c r="X34" s="134" t="n">
        <f aca="false">SUM(N34:W34)</f>
        <v>0</v>
      </c>
      <c r="Y34" s="132" t="n">
        <f aca="false">SUM(C34:W34)</f>
        <v>0</v>
      </c>
      <c r="Z34" s="135" t="n">
        <f aca="false">+D34*'Input Sheet'!$F$50</f>
        <v>0</v>
      </c>
      <c r="AA34" s="135" t="n">
        <f aca="false">+E34*'Input Sheet'!$F$50</f>
        <v>0</v>
      </c>
      <c r="AB34" s="135" t="n">
        <f aca="false">+F34*'Input Sheet'!$F$50</f>
        <v>0</v>
      </c>
      <c r="AC34" s="135" t="n">
        <f aca="false">+G34*'Input Sheet'!$F$50</f>
        <v>0</v>
      </c>
      <c r="AD34" s="135" t="n">
        <f aca="false">+H34*'Input Sheet'!$F$50</f>
        <v>0</v>
      </c>
      <c r="AE34" s="135" t="n">
        <f aca="false">+I34*'Input Sheet'!$F$50</f>
        <v>0</v>
      </c>
      <c r="AF34" s="135" t="n">
        <f aca="false">+J34*'Input Sheet'!$F$50</f>
        <v>0</v>
      </c>
      <c r="AG34" s="135" t="n">
        <f aca="false">+K34*'Input Sheet'!$F$50</f>
        <v>0</v>
      </c>
      <c r="AH34" s="135" t="n">
        <f aca="false">+L34*'Input Sheet'!$F$50</f>
        <v>0</v>
      </c>
      <c r="AI34" s="135" t="n">
        <f aca="false">+M34*'Input Sheet'!$F$50</f>
        <v>0</v>
      </c>
      <c r="AJ34" s="135" t="n">
        <f aca="false">+N34*'Input Sheet'!$F$50</f>
        <v>0</v>
      </c>
      <c r="AK34" s="135" t="n">
        <f aca="false">+O34*'Input Sheet'!$F$50</f>
        <v>0</v>
      </c>
      <c r="AL34" s="135" t="n">
        <f aca="false">+P34*'Input Sheet'!$F$50</f>
        <v>0</v>
      </c>
      <c r="AM34" s="135" t="n">
        <f aca="false">+Q34*'Input Sheet'!$F$50</f>
        <v>0</v>
      </c>
      <c r="AN34" s="135" t="n">
        <f aca="false">+R34*'Input Sheet'!$F$50</f>
        <v>0</v>
      </c>
      <c r="AO34" s="135" t="n">
        <f aca="false">+S34*'Input Sheet'!$F$50</f>
        <v>0</v>
      </c>
      <c r="AP34" s="135" t="n">
        <f aca="false">+T34*'Input Sheet'!$F$50</f>
        <v>0</v>
      </c>
      <c r="AQ34" s="135" t="n">
        <f aca="false">+U34*'Input Sheet'!$F$50</f>
        <v>0</v>
      </c>
      <c r="AR34" s="135" t="n">
        <f aca="false">+V34*'Input Sheet'!$F$50</f>
        <v>0</v>
      </c>
      <c r="AS34" s="135" t="n">
        <f aca="false">+W34*'Input Sheet'!$F$50</f>
        <v>0</v>
      </c>
      <c r="AT34" s="135" t="n">
        <f aca="false">SUM(Z34:AS34)</f>
        <v>0</v>
      </c>
    </row>
    <row r="35" customFormat="false" ht="11.25" hidden="false" customHeight="false" outlineLevel="0" collapsed="false">
      <c r="A35" s="129" t="s">
        <v>150</v>
      </c>
      <c r="B35" s="24"/>
    </row>
    <row r="36" customFormat="false" ht="11.25" hidden="false" customHeight="false" outlineLevel="0" collapsed="false">
      <c r="A36" s="133" t="s">
        <v>41</v>
      </c>
      <c r="B36" s="24"/>
      <c r="C36" s="136"/>
      <c r="D36" s="136" t="n">
        <f aca="false">+'Input Sheet'!D53+'Input Sheet'!D61+'Input Sheet'!D69</f>
        <v>0</v>
      </c>
      <c r="E36" s="136" t="n">
        <f aca="false">+'Input Sheet'!E53+'Input Sheet'!E61+'Input Sheet'!E69</f>
        <v>0</v>
      </c>
      <c r="F36" s="136" t="n">
        <f aca="false">+'Input Sheet'!F53+'Input Sheet'!F61+'Input Sheet'!F69</f>
        <v>0</v>
      </c>
      <c r="G36" s="136" t="n">
        <f aca="false">+'Input Sheet'!G53+'Input Sheet'!G61+'Input Sheet'!G69</f>
        <v>0</v>
      </c>
      <c r="H36" s="136" t="n">
        <f aca="false">+'Input Sheet'!H53+'Input Sheet'!H61+'Input Sheet'!H69</f>
        <v>0</v>
      </c>
      <c r="I36" s="136" t="n">
        <f aca="false">+'Input Sheet'!I53+'Input Sheet'!I61+'Input Sheet'!I69</f>
        <v>0</v>
      </c>
      <c r="J36" s="136" t="n">
        <f aca="false">+'Input Sheet'!J53+'Input Sheet'!J61+'Input Sheet'!J69</f>
        <v>0</v>
      </c>
      <c r="K36" s="136" t="n">
        <f aca="false">+'Input Sheet'!K53+'Input Sheet'!K61+'Input Sheet'!K69</f>
        <v>0</v>
      </c>
      <c r="L36" s="136" t="n">
        <f aca="false">+'Input Sheet'!L53+'Input Sheet'!L61+'Input Sheet'!L69</f>
        <v>0</v>
      </c>
      <c r="M36" s="136" t="n">
        <f aca="false">+'Input Sheet'!M53+'Input Sheet'!M61+'Input Sheet'!M69</f>
        <v>0</v>
      </c>
      <c r="N36" s="136" t="n">
        <f aca="false">+'Input Sheet'!N53+'Input Sheet'!N61+'Input Sheet'!N69</f>
        <v>0</v>
      </c>
      <c r="O36" s="136" t="n">
        <f aca="false">+'Input Sheet'!O53+'Input Sheet'!O61+'Input Sheet'!O69</f>
        <v>0</v>
      </c>
      <c r="P36" s="136" t="n">
        <f aca="false">+'Input Sheet'!P53+'Input Sheet'!P61+'Input Sheet'!P69</f>
        <v>0</v>
      </c>
      <c r="Q36" s="136" t="n">
        <f aca="false">+'Input Sheet'!Q53+'Input Sheet'!Q61+'Input Sheet'!Q69</f>
        <v>0</v>
      </c>
      <c r="R36" s="136" t="n">
        <f aca="false">+'Input Sheet'!R53+'Input Sheet'!R61+'Input Sheet'!R69</f>
        <v>0</v>
      </c>
      <c r="S36" s="136" t="n">
        <f aca="false">+'Input Sheet'!S53+'Input Sheet'!S61+'Input Sheet'!S69</f>
        <v>0</v>
      </c>
      <c r="T36" s="136" t="n">
        <f aca="false">+'Input Sheet'!T53+'Input Sheet'!T61+'Input Sheet'!T69</f>
        <v>0</v>
      </c>
      <c r="U36" s="136" t="n">
        <f aca="false">+'Input Sheet'!U53+'Input Sheet'!U61+'Input Sheet'!U69</f>
        <v>0</v>
      </c>
      <c r="V36" s="136" t="n">
        <f aca="false">+'Input Sheet'!V53+'Input Sheet'!V61+'Input Sheet'!V69</f>
        <v>0</v>
      </c>
      <c r="W36" s="136" t="n">
        <f aca="false">+'Input Sheet'!W53+'Input Sheet'!W61+'Input Sheet'!W69</f>
        <v>0</v>
      </c>
      <c r="X36" s="134" t="n">
        <f aca="false">SUM(N36:W36)</f>
        <v>0</v>
      </c>
      <c r="Y36" s="128" t="n">
        <f aca="false">SUM(C36:W36)</f>
        <v>0</v>
      </c>
      <c r="Z36" s="137" t="n">
        <f aca="false">IF(AT33=0,0,Y39/AT33)</f>
        <v>0</v>
      </c>
      <c r="AA36" s="137" t="n">
        <f aca="false">+C6</f>
        <v>0</v>
      </c>
      <c r="AB36" s="135" t="s">
        <v>151</v>
      </c>
      <c r="AC36" s="135"/>
    </row>
    <row r="37" customFormat="false" ht="11.25" hidden="false" customHeight="false" outlineLevel="0" collapsed="false">
      <c r="A37" s="133" t="s">
        <v>42</v>
      </c>
      <c r="B37" s="24"/>
      <c r="C37" s="138"/>
      <c r="D37" s="136" t="n">
        <f aca="false">+'Input Sheet'!D54+'Input Sheet'!D62+'Input Sheet'!D70</f>
        <v>0</v>
      </c>
      <c r="E37" s="136" t="n">
        <f aca="false">+'Input Sheet'!E54+'Input Sheet'!E62+'Input Sheet'!E70</f>
        <v>0</v>
      </c>
      <c r="F37" s="136" t="n">
        <f aca="false">+'Input Sheet'!F54+'Input Sheet'!F62+'Input Sheet'!F70</f>
        <v>0</v>
      </c>
      <c r="G37" s="136" t="n">
        <f aca="false">+'Input Sheet'!G54+'Input Sheet'!G62+'Input Sheet'!G70</f>
        <v>0</v>
      </c>
      <c r="H37" s="136" t="n">
        <f aca="false">+'Input Sheet'!H54+'Input Sheet'!H62+'Input Sheet'!H70</f>
        <v>0</v>
      </c>
      <c r="I37" s="136" t="n">
        <f aca="false">+'Input Sheet'!I54+'Input Sheet'!I62+'Input Sheet'!I70</f>
        <v>0</v>
      </c>
      <c r="J37" s="136" t="n">
        <f aca="false">+'Input Sheet'!J54+'Input Sheet'!J62+'Input Sheet'!J70</f>
        <v>0</v>
      </c>
      <c r="K37" s="136" t="n">
        <f aca="false">+'Input Sheet'!K54+'Input Sheet'!K62+'Input Sheet'!K70</f>
        <v>0</v>
      </c>
      <c r="L37" s="136" t="n">
        <f aca="false">+'Input Sheet'!L54+'Input Sheet'!L62+'Input Sheet'!L70</f>
        <v>0</v>
      </c>
      <c r="M37" s="136" t="n">
        <f aca="false">+'Input Sheet'!M54+'Input Sheet'!M62+'Input Sheet'!M70</f>
        <v>0</v>
      </c>
      <c r="N37" s="136" t="n">
        <f aca="false">+'Input Sheet'!N54+'Input Sheet'!N62+'Input Sheet'!N70</f>
        <v>0</v>
      </c>
      <c r="O37" s="136" t="n">
        <f aca="false">+'Input Sheet'!O54+'Input Sheet'!O62+'Input Sheet'!O70</f>
        <v>0</v>
      </c>
      <c r="P37" s="136" t="n">
        <f aca="false">+'Input Sheet'!P54+'Input Sheet'!P62+'Input Sheet'!P70</f>
        <v>0</v>
      </c>
      <c r="Q37" s="136" t="n">
        <f aca="false">+'Input Sheet'!Q54+'Input Sheet'!Q62+'Input Sheet'!Q70</f>
        <v>0</v>
      </c>
      <c r="R37" s="136" t="n">
        <f aca="false">+'Input Sheet'!R54+'Input Sheet'!R62+'Input Sheet'!R70</f>
        <v>0</v>
      </c>
      <c r="S37" s="136" t="n">
        <f aca="false">+'Input Sheet'!S54+'Input Sheet'!S62+'Input Sheet'!S70</f>
        <v>0</v>
      </c>
      <c r="T37" s="136" t="n">
        <f aca="false">+'Input Sheet'!T54+'Input Sheet'!T62+'Input Sheet'!T70</f>
        <v>0</v>
      </c>
      <c r="U37" s="136" t="n">
        <f aca="false">+'Input Sheet'!U54+'Input Sheet'!U62+'Input Sheet'!U70</f>
        <v>0</v>
      </c>
      <c r="V37" s="136" t="n">
        <f aca="false">+'Input Sheet'!V54+'Input Sheet'!V62+'Input Sheet'!V70</f>
        <v>0</v>
      </c>
      <c r="W37" s="136" t="n">
        <f aca="false">+'Input Sheet'!W54+'Input Sheet'!W62+'Input Sheet'!W70</f>
        <v>0</v>
      </c>
      <c r="X37" s="134" t="n">
        <f aca="false">SUM(N37:W37)</f>
        <v>0</v>
      </c>
      <c r="Y37" s="128" t="n">
        <f aca="false">SUM(C37:W37)</f>
        <v>0</v>
      </c>
      <c r="Z37" s="137" t="n">
        <f aca="false">IF(AT34=0,0,Y40/AT34)</f>
        <v>0</v>
      </c>
      <c r="AA37" s="137" t="n">
        <f aca="false">+C7</f>
        <v>0</v>
      </c>
      <c r="AB37" s="135" t="s">
        <v>151</v>
      </c>
      <c r="AC37" s="135"/>
    </row>
    <row r="38" customFormat="false" ht="11.25" hidden="false" customHeight="false" outlineLevel="0" collapsed="false">
      <c r="A38" s="129" t="s">
        <v>152</v>
      </c>
      <c r="B38" s="24"/>
      <c r="C38" s="139"/>
    </row>
    <row r="39" customFormat="false" ht="11.25" hidden="false" customHeight="false" outlineLevel="0" collapsed="false">
      <c r="A39" s="133" t="s">
        <v>41</v>
      </c>
      <c r="B39" s="24"/>
      <c r="C39" s="139"/>
      <c r="D39" s="139" t="n">
        <f aca="false">+'Input Sheet'!D51*'Input Sheet'!$F$49*'Input Sheet'!$D$49+'Input Sheet'!D59*'Input Sheet'!$D$57*'Input Sheet'!$F$57+'Input Sheet'!D67*'Input Sheet'!$D$65*'Input Sheet'!$F$65</f>
        <v>0</v>
      </c>
      <c r="E39" s="139" t="n">
        <f aca="false">+'Input Sheet'!E51*'Input Sheet'!$F$49*'Input Sheet'!$D$49+'Input Sheet'!E59*'Input Sheet'!$D$57*'Input Sheet'!$F$57+'Input Sheet'!E67*'Input Sheet'!$D$65*'Input Sheet'!$F$65</f>
        <v>0</v>
      </c>
      <c r="F39" s="139" t="n">
        <f aca="false">+'Input Sheet'!F51*'Input Sheet'!$F$49*'Input Sheet'!$D$49+'Input Sheet'!F59*'Input Sheet'!$D$57*'Input Sheet'!$F$57+'Input Sheet'!F67*'Input Sheet'!$D$65*'Input Sheet'!$F$65</f>
        <v>0</v>
      </c>
      <c r="G39" s="139" t="n">
        <f aca="false">+'Input Sheet'!G51*'Input Sheet'!$F$49*'Input Sheet'!$D$49+'Input Sheet'!G59*'Input Sheet'!$D$57*'Input Sheet'!$F$57+'Input Sheet'!G67*'Input Sheet'!$D$65*'Input Sheet'!$F$65</f>
        <v>0</v>
      </c>
      <c r="H39" s="139" t="n">
        <f aca="false">+'Input Sheet'!H51*'Input Sheet'!$F$49*'Input Sheet'!$D$49+'Input Sheet'!H59*'Input Sheet'!$D$57*'Input Sheet'!$F$57+'Input Sheet'!H67*'Input Sheet'!$D$65*'Input Sheet'!$F$65</f>
        <v>0</v>
      </c>
      <c r="I39" s="139" t="n">
        <f aca="false">+'Input Sheet'!I51*'Input Sheet'!$F$49*'Input Sheet'!$D$49+'Input Sheet'!I59*'Input Sheet'!$D$57*'Input Sheet'!$F$57+'Input Sheet'!I67*'Input Sheet'!$D$65*'Input Sheet'!$F$65</f>
        <v>0</v>
      </c>
      <c r="J39" s="139" t="n">
        <f aca="false">+'Input Sheet'!J51*'Input Sheet'!$F$49*'Input Sheet'!$D$49+'Input Sheet'!J59*'Input Sheet'!$D$57*'Input Sheet'!$F$57+'Input Sheet'!J67*'Input Sheet'!$D$65*'Input Sheet'!$F$65</f>
        <v>0</v>
      </c>
      <c r="K39" s="139" t="n">
        <f aca="false">+'Input Sheet'!K51*'Input Sheet'!$F$49*'Input Sheet'!$D$49+'Input Sheet'!K59*'Input Sheet'!$D$57*'Input Sheet'!$F$57+'Input Sheet'!K67*'Input Sheet'!$D$65*'Input Sheet'!$F$65</f>
        <v>0</v>
      </c>
      <c r="L39" s="139" t="n">
        <f aca="false">+'Input Sheet'!L51*'Input Sheet'!$F$49*'Input Sheet'!$D$49+'Input Sheet'!L59*'Input Sheet'!$D$57*'Input Sheet'!$F$57+'Input Sheet'!L67*'Input Sheet'!$D$65*'Input Sheet'!$F$65</f>
        <v>0</v>
      </c>
      <c r="M39" s="139" t="n">
        <f aca="false">+'Input Sheet'!M51*'Input Sheet'!$F$49*'Input Sheet'!$D$49+'Input Sheet'!M59*'Input Sheet'!$D$57*'Input Sheet'!$F$57+'Input Sheet'!M67*'Input Sheet'!$D$65*'Input Sheet'!$F$65</f>
        <v>0</v>
      </c>
      <c r="N39" s="139" t="n">
        <f aca="false">+'Input Sheet'!N51*'Input Sheet'!$F$49*'Input Sheet'!$D$49+'Input Sheet'!N59*'Input Sheet'!$D$57*'Input Sheet'!$F$57+'Input Sheet'!N67*'Input Sheet'!$D$65*'Input Sheet'!$F$65</f>
        <v>0</v>
      </c>
      <c r="O39" s="139" t="n">
        <f aca="false">+'Input Sheet'!O51*'Input Sheet'!$F$49*'Input Sheet'!$D$49+'Input Sheet'!O59*'Input Sheet'!$D$57*'Input Sheet'!$F$57+'Input Sheet'!O67*'Input Sheet'!$D$65*'Input Sheet'!$F$65</f>
        <v>0</v>
      </c>
      <c r="P39" s="139" t="n">
        <f aca="false">+'Input Sheet'!P51*'Input Sheet'!$F$49*'Input Sheet'!$D$49+'Input Sheet'!P59*'Input Sheet'!$D$57*'Input Sheet'!$F$57+'Input Sheet'!P67*'Input Sheet'!$D$65*'Input Sheet'!$F$65</f>
        <v>0</v>
      </c>
      <c r="Q39" s="139" t="n">
        <f aca="false">+'Input Sheet'!Q51*'Input Sheet'!$F$49*'Input Sheet'!$D$49+'Input Sheet'!Q59*'Input Sheet'!$D$57*'Input Sheet'!$F$57+'Input Sheet'!Q67*'Input Sheet'!$D$65*'Input Sheet'!$F$65</f>
        <v>0</v>
      </c>
      <c r="R39" s="139" t="n">
        <f aca="false">+'Input Sheet'!R51*'Input Sheet'!$F$49*'Input Sheet'!$D$49+'Input Sheet'!R59*'Input Sheet'!$D$57*'Input Sheet'!$F$57+'Input Sheet'!R67*'Input Sheet'!$D$65*'Input Sheet'!$F$65</f>
        <v>0</v>
      </c>
      <c r="S39" s="139" t="n">
        <f aca="false">+'Input Sheet'!S51*'Input Sheet'!$F$49*'Input Sheet'!$D$49+'Input Sheet'!S59*'Input Sheet'!$D$57*'Input Sheet'!$F$57+'Input Sheet'!S67*'Input Sheet'!$D$65*'Input Sheet'!$F$65</f>
        <v>0</v>
      </c>
      <c r="T39" s="139" t="n">
        <f aca="false">+'Input Sheet'!T51*'Input Sheet'!$F$49*'Input Sheet'!$D$49+'Input Sheet'!T59*'Input Sheet'!$D$57*'Input Sheet'!$F$57+'Input Sheet'!T67*'Input Sheet'!$D$65*'Input Sheet'!$F$65</f>
        <v>0</v>
      </c>
      <c r="U39" s="139" t="n">
        <f aca="false">+'Input Sheet'!U51*'Input Sheet'!$F$49*'Input Sheet'!$D$49+'Input Sheet'!U59*'Input Sheet'!$D$57*'Input Sheet'!$F$57+'Input Sheet'!U67*'Input Sheet'!$D$65*'Input Sheet'!$F$65</f>
        <v>0</v>
      </c>
      <c r="V39" s="139" t="n">
        <f aca="false">+'Input Sheet'!V51*'Input Sheet'!$F$49*'Input Sheet'!$D$49+'Input Sheet'!V59*'Input Sheet'!$D$57*'Input Sheet'!$F$57+'Input Sheet'!V67*'Input Sheet'!$D$65*'Input Sheet'!$F$65</f>
        <v>0</v>
      </c>
      <c r="W39" s="139" t="n">
        <f aca="false">+'Input Sheet'!W51*'Input Sheet'!$F$49*'Input Sheet'!$D$49+'Input Sheet'!W59*'Input Sheet'!$D$57*'Input Sheet'!$F$57+'Input Sheet'!W67*'Input Sheet'!$D$65*'Input Sheet'!$F$65</f>
        <v>0</v>
      </c>
      <c r="X39" s="134" t="n">
        <f aca="false">SUM(N39:W39)</f>
        <v>0</v>
      </c>
      <c r="Y39" s="128" t="n">
        <f aca="false">SUM(C39:W39)</f>
        <v>0</v>
      </c>
    </row>
    <row r="40" customFormat="false" ht="11.25" hidden="false" customHeight="false" outlineLevel="0" collapsed="false">
      <c r="A40" s="133" t="s">
        <v>42</v>
      </c>
      <c r="B40" s="24"/>
      <c r="C40" s="139"/>
      <c r="D40" s="139" t="n">
        <f aca="false">+'Input Sheet'!D52*'Input Sheet'!$D$50*'Input Sheet'!$F$50+'Input Sheet'!D60*'Input Sheet'!$D$58*'Input Sheet'!$F$58+'Input Sheet'!D68*'Input Sheet'!$D$66*'Input Sheet'!$F$66</f>
        <v>0</v>
      </c>
      <c r="E40" s="139" t="n">
        <f aca="false">+'Input Sheet'!E52*'Input Sheet'!$D$50*'Input Sheet'!$F$50+'Input Sheet'!E60*'Input Sheet'!$D$58*'Input Sheet'!$F$58+'Input Sheet'!E68*'Input Sheet'!$D$66*'Input Sheet'!$F$66</f>
        <v>0</v>
      </c>
      <c r="F40" s="139" t="n">
        <f aca="false">+'Input Sheet'!F52*'Input Sheet'!$D$50*'Input Sheet'!$F$50+'Input Sheet'!F60*'Input Sheet'!$D$58*'Input Sheet'!$F$58+'Input Sheet'!F68*'Input Sheet'!$D$66*'Input Sheet'!$F$66</f>
        <v>0</v>
      </c>
      <c r="G40" s="139" t="n">
        <f aca="false">+'Input Sheet'!G52*'Input Sheet'!$D$50*'Input Sheet'!$F$50+'Input Sheet'!G60*'Input Sheet'!$D$58*'Input Sheet'!$F$58+'Input Sheet'!G68*'Input Sheet'!$D$66*'Input Sheet'!$F$66</f>
        <v>0</v>
      </c>
      <c r="H40" s="139" t="n">
        <f aca="false">+'Input Sheet'!H52*'Input Sheet'!$D$50*'Input Sheet'!$F$50+'Input Sheet'!H60*'Input Sheet'!$D$58*'Input Sheet'!$F$58+'Input Sheet'!H68*'Input Sheet'!$D$66*'Input Sheet'!$F$66</f>
        <v>0</v>
      </c>
      <c r="I40" s="139" t="n">
        <f aca="false">+'Input Sheet'!I52*'Input Sheet'!$D$50*'Input Sheet'!$F$50+'Input Sheet'!I60*'Input Sheet'!$D$58*'Input Sheet'!$F$58+'Input Sheet'!I68*'Input Sheet'!$D$66*'Input Sheet'!$F$66</f>
        <v>0</v>
      </c>
      <c r="J40" s="139" t="n">
        <f aca="false">+'Input Sheet'!J52*'Input Sheet'!$D$50*'Input Sheet'!$F$50+'Input Sheet'!J60*'Input Sheet'!$D$58*'Input Sheet'!$F$58+'Input Sheet'!J68*'Input Sheet'!$D$66*'Input Sheet'!$F$66</f>
        <v>0</v>
      </c>
      <c r="K40" s="139" t="n">
        <f aca="false">+'Input Sheet'!K52*'Input Sheet'!$D$50*'Input Sheet'!$F$50+'Input Sheet'!K60*'Input Sheet'!$D$58*'Input Sheet'!$F$58+'Input Sheet'!K68*'Input Sheet'!$D$66*'Input Sheet'!$F$66</f>
        <v>0</v>
      </c>
      <c r="L40" s="139" t="n">
        <f aca="false">+'Input Sheet'!L52*'Input Sheet'!$D$50*'Input Sheet'!$F$50+'Input Sheet'!L60*'Input Sheet'!$D$58*'Input Sheet'!$F$58+'Input Sheet'!L68*'Input Sheet'!$D$66*'Input Sheet'!$F$66</f>
        <v>0</v>
      </c>
      <c r="M40" s="139" t="n">
        <f aca="false">+'Input Sheet'!M52*'Input Sheet'!$D$50*'Input Sheet'!$F$50+'Input Sheet'!M60*'Input Sheet'!$D$58*'Input Sheet'!$F$58+'Input Sheet'!M68*'Input Sheet'!$D$66*'Input Sheet'!$F$66</f>
        <v>0</v>
      </c>
      <c r="N40" s="139" t="n">
        <f aca="false">+'Input Sheet'!N52*'Input Sheet'!$D$50*'Input Sheet'!$F$50+'Input Sheet'!N60*'Input Sheet'!$D$58*'Input Sheet'!$F$58+'Input Sheet'!N68*'Input Sheet'!$D$66*'Input Sheet'!$F$66</f>
        <v>0</v>
      </c>
      <c r="O40" s="139" t="n">
        <f aca="false">+'Input Sheet'!O52*'Input Sheet'!$D$50*'Input Sheet'!$F$50+'Input Sheet'!O60*'Input Sheet'!$D$58*'Input Sheet'!$F$58+'Input Sheet'!O68*'Input Sheet'!$D$66*'Input Sheet'!$F$66</f>
        <v>0</v>
      </c>
      <c r="P40" s="139" t="n">
        <f aca="false">+'Input Sheet'!P52*'Input Sheet'!$D$50*'Input Sheet'!$F$50+'Input Sheet'!P60*'Input Sheet'!$D$58*'Input Sheet'!$F$58+'Input Sheet'!P68*'Input Sheet'!$D$66*'Input Sheet'!$F$66</f>
        <v>0</v>
      </c>
      <c r="Q40" s="139" t="n">
        <f aca="false">+'Input Sheet'!Q52*'Input Sheet'!$D$50*'Input Sheet'!$F$50+'Input Sheet'!Q60*'Input Sheet'!$D$58*'Input Sheet'!$F$58+'Input Sheet'!Q68*'Input Sheet'!$D$66*'Input Sheet'!$F$66</f>
        <v>0</v>
      </c>
      <c r="R40" s="139" t="n">
        <f aca="false">+'Input Sheet'!R52*'Input Sheet'!$D$50*'Input Sheet'!$F$50+'Input Sheet'!R60*'Input Sheet'!$D$58*'Input Sheet'!$F$58+'Input Sheet'!R68*'Input Sheet'!$D$66*'Input Sheet'!$F$66</f>
        <v>0</v>
      </c>
      <c r="S40" s="139" t="n">
        <f aca="false">+'Input Sheet'!S52*'Input Sheet'!$D$50*'Input Sheet'!$F$50+'Input Sheet'!S60*'Input Sheet'!$D$58*'Input Sheet'!$F$58+'Input Sheet'!S68*'Input Sheet'!$D$66*'Input Sheet'!$F$66</f>
        <v>0</v>
      </c>
      <c r="T40" s="139" t="n">
        <f aca="false">+'Input Sheet'!T52*'Input Sheet'!$D$50*'Input Sheet'!$F$50+'Input Sheet'!T60*'Input Sheet'!$D$58*'Input Sheet'!$F$58+'Input Sheet'!T68*'Input Sheet'!$D$66*'Input Sheet'!$F$66</f>
        <v>0</v>
      </c>
      <c r="U40" s="139" t="n">
        <f aca="false">+'Input Sheet'!U52*'Input Sheet'!$D$50*'Input Sheet'!$F$50+'Input Sheet'!U60*'Input Sheet'!$D$58*'Input Sheet'!$F$58+'Input Sheet'!U68*'Input Sheet'!$D$66*'Input Sheet'!$F$66</f>
        <v>0</v>
      </c>
      <c r="V40" s="139" t="n">
        <f aca="false">+'Input Sheet'!V52*'Input Sheet'!$D$50*'Input Sheet'!$F$50+'Input Sheet'!V60*'Input Sheet'!$D$58*'Input Sheet'!$F$58+'Input Sheet'!V68*'Input Sheet'!$D$66*'Input Sheet'!$F$66</f>
        <v>0</v>
      </c>
      <c r="W40" s="139" t="n">
        <f aca="false">+'Input Sheet'!W52*'Input Sheet'!$D$50*'Input Sheet'!$F$50+'Input Sheet'!W60*'Input Sheet'!$D$58*'Input Sheet'!$F$58+'Input Sheet'!W68*'Input Sheet'!$D$66*'Input Sheet'!$F$66</f>
        <v>0</v>
      </c>
      <c r="X40" s="134" t="n">
        <f aca="false">SUM(N40:W40)</f>
        <v>0</v>
      </c>
      <c r="Y40" s="128" t="n">
        <f aca="false">SUM(C40:W40)</f>
        <v>0</v>
      </c>
    </row>
    <row r="41" customFormat="false" ht="11.25" hidden="false" customHeight="false" outlineLevel="0" collapsed="false">
      <c r="A41" s="140" t="s">
        <v>153</v>
      </c>
      <c r="B41" s="24"/>
      <c r="C41" s="139"/>
      <c r="D41" s="141"/>
    </row>
    <row r="42" customFormat="false" ht="11.25" hidden="false" customHeight="false" outlineLevel="0" collapsed="false">
      <c r="A42" s="133" t="s">
        <v>41</v>
      </c>
      <c r="B42" s="24"/>
      <c r="C42" s="139"/>
      <c r="D42" s="139" t="n">
        <f aca="false">+'Input Sheet'!D53*'Input Sheet'!$E$49+'Input Sheet'!D61*'Input Sheet'!$E$57+'Input Sheet'!D69*'Input Sheet'!$E$65</f>
        <v>0</v>
      </c>
      <c r="E42" s="139" t="n">
        <f aca="false">+'Input Sheet'!E53*'Input Sheet'!$E$49+'Input Sheet'!E61*'Input Sheet'!$E$57+'Input Sheet'!E69*'Input Sheet'!$E$65</f>
        <v>0</v>
      </c>
      <c r="F42" s="139" t="n">
        <f aca="false">+'Input Sheet'!F53*'Input Sheet'!$E$49+'Input Sheet'!F61*'Input Sheet'!$E$57+'Input Sheet'!F69*'Input Sheet'!$E$65</f>
        <v>0</v>
      </c>
      <c r="G42" s="139" t="n">
        <f aca="false">+'Input Sheet'!G53*'Input Sheet'!$E$49+'Input Sheet'!G61*'Input Sheet'!$E$57+'Input Sheet'!G69*'Input Sheet'!$E$65</f>
        <v>0</v>
      </c>
      <c r="H42" s="139" t="n">
        <f aca="false">+'Input Sheet'!H53*'Input Sheet'!$E$49+'Input Sheet'!H61*'Input Sheet'!$E$57+'Input Sheet'!H69*'Input Sheet'!$E$65</f>
        <v>0</v>
      </c>
      <c r="I42" s="139" t="n">
        <f aca="false">+'Input Sheet'!I53*'Input Sheet'!$E$49+'Input Sheet'!I61*'Input Sheet'!$E$57+'Input Sheet'!I69*'Input Sheet'!$E$65</f>
        <v>0</v>
      </c>
      <c r="J42" s="139" t="n">
        <f aca="false">+'Input Sheet'!J53*'Input Sheet'!$E$49+'Input Sheet'!J61*'Input Sheet'!$E$57+'Input Sheet'!J69*'Input Sheet'!$E$65</f>
        <v>0</v>
      </c>
      <c r="K42" s="139" t="n">
        <f aca="false">+'Input Sheet'!K53*'Input Sheet'!$E$49+'Input Sheet'!K61*'Input Sheet'!$E$57+'Input Sheet'!K69*'Input Sheet'!$E$65</f>
        <v>0</v>
      </c>
      <c r="L42" s="139" t="n">
        <f aca="false">+'Input Sheet'!L53*'Input Sheet'!$E$49+'Input Sheet'!L61*'Input Sheet'!$E$57+'Input Sheet'!L69*'Input Sheet'!$E$65</f>
        <v>0</v>
      </c>
      <c r="M42" s="139" t="n">
        <f aca="false">+'Input Sheet'!M53*'Input Sheet'!$E$49+'Input Sheet'!M61*'Input Sheet'!$E$57+'Input Sheet'!M69*'Input Sheet'!$E$65</f>
        <v>0</v>
      </c>
      <c r="N42" s="139" t="n">
        <f aca="false">+'Input Sheet'!N53*'Input Sheet'!$E$49+'Input Sheet'!N61*'Input Sheet'!$E$57+'Input Sheet'!N69*'Input Sheet'!$E$65</f>
        <v>0</v>
      </c>
      <c r="O42" s="139" t="n">
        <f aca="false">+'Input Sheet'!O53*'Input Sheet'!$E$49+'Input Sheet'!O61*'Input Sheet'!$E$57+'Input Sheet'!O69*'Input Sheet'!$E$65</f>
        <v>0</v>
      </c>
      <c r="P42" s="139" t="n">
        <f aca="false">+'Input Sheet'!P53*'Input Sheet'!$E$49+'Input Sheet'!P61*'Input Sheet'!$E$57+'Input Sheet'!P69*'Input Sheet'!$E$65</f>
        <v>0</v>
      </c>
      <c r="Q42" s="139" t="n">
        <f aca="false">+'Input Sheet'!Q53*'Input Sheet'!$E$49+'Input Sheet'!Q61*'Input Sheet'!$E$57+'Input Sheet'!Q69*'Input Sheet'!$E$65</f>
        <v>0</v>
      </c>
      <c r="R42" s="139" t="n">
        <f aca="false">+'Input Sheet'!R53*'Input Sheet'!$E$49+'Input Sheet'!R61*'Input Sheet'!$E$57+'Input Sheet'!R69*'Input Sheet'!$E$65</f>
        <v>0</v>
      </c>
      <c r="S42" s="139" t="n">
        <f aca="false">+'Input Sheet'!S53*'Input Sheet'!$E$49+'Input Sheet'!S61*'Input Sheet'!$E$57+'Input Sheet'!S69*'Input Sheet'!$E$65</f>
        <v>0</v>
      </c>
      <c r="T42" s="139" t="n">
        <f aca="false">+'Input Sheet'!T53*'Input Sheet'!$E$49+'Input Sheet'!T61*'Input Sheet'!$E$57+'Input Sheet'!T69*'Input Sheet'!$E$65</f>
        <v>0</v>
      </c>
      <c r="U42" s="139" t="n">
        <f aca="false">+'Input Sheet'!U53*'Input Sheet'!$E$49+'Input Sheet'!U61*'Input Sheet'!$E$57+'Input Sheet'!U69*'Input Sheet'!$E$65</f>
        <v>0</v>
      </c>
      <c r="V42" s="139" t="n">
        <f aca="false">+'Input Sheet'!V53*'Input Sheet'!$E$49+'Input Sheet'!V61*'Input Sheet'!$E$57+'Input Sheet'!V69*'Input Sheet'!$E$65</f>
        <v>0</v>
      </c>
      <c r="W42" s="139" t="n">
        <f aca="false">+'Input Sheet'!W53*'Input Sheet'!$E$49+'Input Sheet'!W61*'Input Sheet'!$E$57+'Input Sheet'!W69*'Input Sheet'!$E$65</f>
        <v>0</v>
      </c>
      <c r="X42" s="134" t="n">
        <f aca="false">SUM(N42:W42)</f>
        <v>0</v>
      </c>
      <c r="Y42" s="139" t="n">
        <f aca="false">+$D$6*Y36</f>
        <v>0</v>
      </c>
      <c r="Z42" s="137" t="n">
        <f aca="false">IF(Y36=0,0,Y42/Y36)</f>
        <v>0</v>
      </c>
      <c r="AA42" s="137" t="n">
        <f aca="false">+D6</f>
        <v>0</v>
      </c>
      <c r="AB42" s="135" t="s">
        <v>151</v>
      </c>
      <c r="AC42" s="135"/>
    </row>
    <row r="43" customFormat="false" ht="11.25" hidden="false" customHeight="false" outlineLevel="0" collapsed="false">
      <c r="A43" s="133" t="s">
        <v>42</v>
      </c>
      <c r="B43" s="24"/>
      <c r="C43" s="139"/>
      <c r="D43" s="139" t="n">
        <f aca="false">+'Input Sheet'!D54*'Input Sheet'!$E$50+'Input Sheet'!D62*'Input Sheet'!$E$58+'Input Sheet'!D70*'Input Sheet'!$E$66</f>
        <v>0</v>
      </c>
      <c r="E43" s="139" t="n">
        <f aca="false">+'Input Sheet'!E54*'Input Sheet'!$E$50+'Input Sheet'!E62*'Input Sheet'!$E$58+'Input Sheet'!E70*'Input Sheet'!$E$66</f>
        <v>0</v>
      </c>
      <c r="F43" s="139" t="n">
        <f aca="false">+'Input Sheet'!F54*'Input Sheet'!$E$50+'Input Sheet'!F62*'Input Sheet'!$E$58+'Input Sheet'!F70*'Input Sheet'!$E$66</f>
        <v>0</v>
      </c>
      <c r="G43" s="139" t="n">
        <f aca="false">+'Input Sheet'!G54*'Input Sheet'!$E$50+'Input Sheet'!G62*'Input Sheet'!$E$58+'Input Sheet'!G70*'Input Sheet'!$E$66</f>
        <v>0</v>
      </c>
      <c r="H43" s="139" t="n">
        <f aca="false">+'Input Sheet'!H54*'Input Sheet'!$E$50+'Input Sheet'!H62*'Input Sheet'!$E$58+'Input Sheet'!H70*'Input Sheet'!$E$66</f>
        <v>0</v>
      </c>
      <c r="I43" s="139" t="n">
        <f aca="false">+'Input Sheet'!I54*'Input Sheet'!$E$50+'Input Sheet'!I62*'Input Sheet'!$E$58+'Input Sheet'!I70*'Input Sheet'!$E$66</f>
        <v>0</v>
      </c>
      <c r="J43" s="139" t="n">
        <f aca="false">+'Input Sheet'!J54*'Input Sheet'!$E$50+'Input Sheet'!J62*'Input Sheet'!$E$58+'Input Sheet'!J70*'Input Sheet'!$E$66</f>
        <v>0</v>
      </c>
      <c r="K43" s="139" t="n">
        <f aca="false">+'Input Sheet'!K54*'Input Sheet'!$E$50+'Input Sheet'!K62*'Input Sheet'!$E$58+'Input Sheet'!K70*'Input Sheet'!$E$66</f>
        <v>0</v>
      </c>
      <c r="L43" s="139" t="n">
        <f aca="false">+'Input Sheet'!L54*'Input Sheet'!$E$50+'Input Sheet'!L62*'Input Sheet'!$E$58+'Input Sheet'!L70*'Input Sheet'!$E$66</f>
        <v>0</v>
      </c>
      <c r="M43" s="139" t="n">
        <f aca="false">+'Input Sheet'!M54*'Input Sheet'!$E$50+'Input Sheet'!M62*'Input Sheet'!$E$58+'Input Sheet'!M70*'Input Sheet'!$E$66</f>
        <v>0</v>
      </c>
      <c r="N43" s="139" t="n">
        <f aca="false">+'Input Sheet'!N54*'Input Sheet'!$E$50+'Input Sheet'!N62*'Input Sheet'!$E$58+'Input Sheet'!N70*'Input Sheet'!$E$66</f>
        <v>0</v>
      </c>
      <c r="O43" s="139" t="n">
        <f aca="false">+'Input Sheet'!O54*'Input Sheet'!$E$50+'Input Sheet'!O62*'Input Sheet'!$E$58+'Input Sheet'!O70*'Input Sheet'!$E$66</f>
        <v>0</v>
      </c>
      <c r="P43" s="139" t="n">
        <f aca="false">+'Input Sheet'!P54*'Input Sheet'!$E$50+'Input Sheet'!P62*'Input Sheet'!$E$58+'Input Sheet'!P70*'Input Sheet'!$E$66</f>
        <v>0</v>
      </c>
      <c r="Q43" s="139" t="n">
        <f aca="false">+'Input Sheet'!Q54*'Input Sheet'!$E$50+'Input Sheet'!Q62*'Input Sheet'!$E$58+'Input Sheet'!Q70*'Input Sheet'!$E$66</f>
        <v>0</v>
      </c>
      <c r="R43" s="139" t="n">
        <f aca="false">+'Input Sheet'!R54*'Input Sheet'!$E$50+'Input Sheet'!R62*'Input Sheet'!$E$58+'Input Sheet'!R70*'Input Sheet'!$E$66</f>
        <v>0</v>
      </c>
      <c r="S43" s="139" t="n">
        <f aca="false">+'Input Sheet'!S54*'Input Sheet'!$E$50+'Input Sheet'!S62*'Input Sheet'!$E$58+'Input Sheet'!S70*'Input Sheet'!$E$66</f>
        <v>0</v>
      </c>
      <c r="T43" s="139" t="n">
        <f aca="false">+'Input Sheet'!T54*'Input Sheet'!$E$50+'Input Sheet'!T62*'Input Sheet'!$E$58+'Input Sheet'!T70*'Input Sheet'!$E$66</f>
        <v>0</v>
      </c>
      <c r="U43" s="139" t="n">
        <f aca="false">+'Input Sheet'!U54*'Input Sheet'!$E$50+'Input Sheet'!U62*'Input Sheet'!$E$58+'Input Sheet'!U70*'Input Sheet'!$E$66</f>
        <v>0</v>
      </c>
      <c r="V43" s="139" t="n">
        <f aca="false">+'Input Sheet'!V54*'Input Sheet'!$E$50+'Input Sheet'!V62*'Input Sheet'!$E$58+'Input Sheet'!V70*'Input Sheet'!$E$66</f>
        <v>0</v>
      </c>
      <c r="W43" s="139" t="n">
        <f aca="false">+'Input Sheet'!W54*'Input Sheet'!$E$50+'Input Sheet'!W62*'Input Sheet'!$E$58+'Input Sheet'!W70*'Input Sheet'!$E$66</f>
        <v>0</v>
      </c>
      <c r="X43" s="134" t="n">
        <f aca="false">SUM(N43:W43)</f>
        <v>0</v>
      </c>
      <c r="Y43" s="139" t="n">
        <f aca="false">+$C$7*Y37</f>
        <v>0</v>
      </c>
      <c r="Z43" s="137" t="n">
        <f aca="false">IF(Y37=0,0,Y43/Y37)</f>
        <v>0</v>
      </c>
      <c r="AA43" s="137" t="n">
        <f aca="false">+D7</f>
        <v>0</v>
      </c>
      <c r="AB43" s="135" t="s">
        <v>151</v>
      </c>
      <c r="AC43" s="135"/>
    </row>
    <row r="44" customFormat="false" ht="11.25" hidden="false" customHeight="false" outlineLevel="0" collapsed="false">
      <c r="A44" s="140" t="s">
        <v>154</v>
      </c>
      <c r="B44" s="24"/>
      <c r="C44" s="139"/>
      <c r="D44" s="139" t="n">
        <f aca="false">+'Input Sheet'!D6</f>
        <v>0</v>
      </c>
      <c r="E44" s="139" t="n">
        <f aca="false">+'Input Sheet'!E6</f>
        <v>0</v>
      </c>
      <c r="F44" s="139" t="n">
        <f aca="false">+'Input Sheet'!F6</f>
        <v>0</v>
      </c>
      <c r="G44" s="139" t="n">
        <f aca="false">+'Input Sheet'!G6</f>
        <v>0</v>
      </c>
      <c r="H44" s="139" t="n">
        <f aca="false">+'Input Sheet'!H6</f>
        <v>0</v>
      </c>
      <c r="I44" s="139" t="n">
        <f aca="false">+'Input Sheet'!I6</f>
        <v>0</v>
      </c>
      <c r="J44" s="139" t="n">
        <f aca="false">+'Input Sheet'!J6</f>
        <v>0</v>
      </c>
      <c r="K44" s="139" t="n">
        <f aca="false">+'Input Sheet'!K6</f>
        <v>0</v>
      </c>
      <c r="L44" s="139" t="n">
        <f aca="false">+'Input Sheet'!L6</f>
        <v>0</v>
      </c>
      <c r="M44" s="139" t="n">
        <f aca="false">+'Input Sheet'!M6</f>
        <v>0</v>
      </c>
      <c r="N44" s="139" t="n">
        <f aca="false">+'Input Sheet'!N6</f>
        <v>0</v>
      </c>
      <c r="O44" s="139" t="n">
        <f aca="false">+'Input Sheet'!O6</f>
        <v>0</v>
      </c>
      <c r="P44" s="139" t="n">
        <f aca="false">+'Input Sheet'!P6</f>
        <v>0</v>
      </c>
      <c r="Q44" s="139" t="n">
        <f aca="false">+'Input Sheet'!Q6</f>
        <v>0</v>
      </c>
      <c r="R44" s="139" t="n">
        <f aca="false">+'Input Sheet'!R6</f>
        <v>0</v>
      </c>
      <c r="S44" s="139" t="n">
        <f aca="false">+'Input Sheet'!S6</f>
        <v>0</v>
      </c>
      <c r="T44" s="139" t="n">
        <f aca="false">+'Input Sheet'!T6</f>
        <v>0</v>
      </c>
      <c r="U44" s="139" t="n">
        <f aca="false">+'Input Sheet'!U6</f>
        <v>0</v>
      </c>
      <c r="V44" s="139" t="n">
        <f aca="false">+'Input Sheet'!V6</f>
        <v>0</v>
      </c>
      <c r="W44" s="139" t="n">
        <f aca="false">+'Input Sheet'!W6</f>
        <v>0</v>
      </c>
      <c r="X44" s="134" t="n">
        <f aca="false">SUM(N44:W44)</f>
        <v>0</v>
      </c>
      <c r="Y44" s="128" t="n">
        <f aca="false">SUM(C44:W44)</f>
        <v>0</v>
      </c>
      <c r="Z44" s="142"/>
    </row>
    <row r="45" customFormat="false" ht="11.25" hidden="false" customHeight="false" outlineLevel="0" collapsed="false">
      <c r="A45" s="140" t="s">
        <v>155</v>
      </c>
      <c r="B45" s="24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4"/>
      <c r="Y45" s="128"/>
      <c r="Z45" s="142"/>
    </row>
    <row r="46" customFormat="false" ht="11.25" hidden="false" customHeight="false" outlineLevel="0" collapsed="false">
      <c r="A46" s="143" t="s">
        <v>156</v>
      </c>
      <c r="B46" s="144"/>
      <c r="C46" s="145"/>
      <c r="D46" s="145" t="n">
        <f aca="false">+Summary!D33</f>
        <v>2930137.275</v>
      </c>
      <c r="E46" s="145" t="n">
        <f aca="false">+Summary!E33</f>
        <v>2924512.58775</v>
      </c>
      <c r="F46" s="145" t="n">
        <f aca="false">+Summary!F33</f>
        <v>2917753.3443825</v>
      </c>
      <c r="G46" s="145" t="n">
        <f aca="false">+Summary!G33</f>
        <v>2913066.98346398</v>
      </c>
      <c r="H46" s="145" t="n">
        <f aca="false">+Summary!H33</f>
        <v>2910642.41221789</v>
      </c>
      <c r="I46" s="145" t="n">
        <f aca="false">+Summary!I33</f>
        <v>2910490.21283443</v>
      </c>
      <c r="J46" s="145" t="n">
        <f aca="false">+Summary!J33</f>
        <v>2912287.64971946</v>
      </c>
      <c r="K46" s="145" t="n">
        <f aca="false">+Summary!K33</f>
        <v>0</v>
      </c>
      <c r="L46" s="145" t="n">
        <f aca="false">+Summary!L33</f>
        <v>0</v>
      </c>
      <c r="M46" s="145" t="n">
        <f aca="false">+Summary!K33</f>
        <v>0</v>
      </c>
      <c r="N46" s="145" t="n">
        <f aca="false">+Summary!L33</f>
        <v>0</v>
      </c>
      <c r="O46" s="145" t="n">
        <f aca="false">+Summary!M33</f>
        <v>0</v>
      </c>
      <c r="P46" s="145" t="n">
        <f aca="false">+Summary!N33</f>
        <v>0</v>
      </c>
      <c r="Q46" s="145" t="n">
        <f aca="false">+Summary!O33</f>
        <v>0</v>
      </c>
      <c r="R46" s="145" t="n">
        <f aca="false">+Summary!P33</f>
        <v>0</v>
      </c>
      <c r="S46" s="145" t="n">
        <f aca="false">+Summary!Q33</f>
        <v>0</v>
      </c>
      <c r="T46" s="145" t="n">
        <f aca="false">+Summary!R33</f>
        <v>0</v>
      </c>
      <c r="U46" s="145" t="n">
        <f aca="false">+Summary!S33</f>
        <v>0</v>
      </c>
      <c r="V46" s="145" t="n">
        <f aca="false">+Summary!T33</f>
        <v>0</v>
      </c>
      <c r="W46" s="145" t="n">
        <f aca="false">+Summary!U33</f>
        <v>0</v>
      </c>
      <c r="X46" s="145" t="n">
        <f aca="false">+Summary!V33</f>
        <v>0</v>
      </c>
      <c r="Y46" s="146"/>
      <c r="Z46" s="142"/>
    </row>
    <row r="47" customFormat="false" ht="11.25" hidden="false" customHeight="false" outlineLevel="0" collapsed="false">
      <c r="A47" s="143" t="s">
        <v>157</v>
      </c>
      <c r="B47" s="144"/>
      <c r="C47" s="145"/>
      <c r="D47" s="145" t="n">
        <f aca="false">+'Input Sheet'!D26</f>
        <v>0</v>
      </c>
      <c r="E47" s="145" t="n">
        <f aca="false">+'Input Sheet'!E26</f>
        <v>0</v>
      </c>
      <c r="F47" s="145" t="n">
        <f aca="false">+'Input Sheet'!F26</f>
        <v>0</v>
      </c>
      <c r="G47" s="145" t="n">
        <f aca="false">+'Input Sheet'!G26</f>
        <v>0</v>
      </c>
      <c r="H47" s="145" t="n">
        <f aca="false">+'Input Sheet'!H26</f>
        <v>0</v>
      </c>
      <c r="I47" s="145" t="n">
        <f aca="false">+'Input Sheet'!I26</f>
        <v>0</v>
      </c>
      <c r="J47" s="145" t="n">
        <f aca="false">+'Input Sheet'!J26</f>
        <v>0</v>
      </c>
      <c r="K47" s="145" t="n">
        <f aca="false">+'Input Sheet'!K26</f>
        <v>0</v>
      </c>
      <c r="L47" s="145" t="n">
        <f aca="false">+'Input Sheet'!L26</f>
        <v>0</v>
      </c>
      <c r="M47" s="145" t="n">
        <f aca="false">+'Input Sheet'!M26</f>
        <v>0</v>
      </c>
      <c r="N47" s="145" t="n">
        <f aca="false">+'Input Sheet'!N26</f>
        <v>0</v>
      </c>
      <c r="O47" s="145" t="n">
        <f aca="false">+'Input Sheet'!O26</f>
        <v>0</v>
      </c>
      <c r="P47" s="145" t="n">
        <f aca="false">+'Input Sheet'!P26</f>
        <v>0</v>
      </c>
      <c r="Q47" s="145" t="n">
        <f aca="false">+'Input Sheet'!Q26</f>
        <v>0</v>
      </c>
      <c r="R47" s="145" t="n">
        <f aca="false">+'Input Sheet'!R26</f>
        <v>0</v>
      </c>
      <c r="S47" s="145" t="n">
        <f aca="false">+'Input Sheet'!S26</f>
        <v>0</v>
      </c>
      <c r="T47" s="145" t="n">
        <f aca="false">+'Input Sheet'!T26</f>
        <v>0</v>
      </c>
      <c r="U47" s="145" t="n">
        <f aca="false">+'Input Sheet'!U26</f>
        <v>0</v>
      </c>
      <c r="V47" s="145" t="n">
        <f aca="false">+'Input Sheet'!V26</f>
        <v>0</v>
      </c>
      <c r="W47" s="145" t="n">
        <f aca="false">+'Input Sheet'!W26</f>
        <v>0</v>
      </c>
      <c r="X47" s="147"/>
      <c r="Y47" s="146"/>
      <c r="Z47" s="142"/>
    </row>
    <row r="48" customFormat="false" ht="11.25" hidden="false" customHeight="false" outlineLevel="0" collapsed="false">
      <c r="A48" s="140" t="s">
        <v>158</v>
      </c>
      <c r="B48" s="24"/>
      <c r="C48" s="148"/>
      <c r="D48" s="139" t="n">
        <v>0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49"/>
      <c r="Z48" s="142"/>
    </row>
    <row r="49" customFormat="false" ht="11.25" hidden="false" customHeight="false" outlineLevel="0" collapsed="false">
      <c r="A49" s="140" t="s">
        <v>159</v>
      </c>
      <c r="B49" s="150" t="n">
        <f aca="false">+'Input Sheet'!C5</f>
        <v>0.8</v>
      </c>
      <c r="C49" s="148"/>
      <c r="D49" s="139" t="n">
        <f aca="false">IF($F$6-D1&lt;&gt;0,0,$B$49*$Y$25)</f>
        <v>0</v>
      </c>
      <c r="E49" s="139" t="n">
        <f aca="false">IF($F$6-E1&lt;&gt;0,0,$B$49*$Y$25)</f>
        <v>0</v>
      </c>
      <c r="F49" s="139" t="n">
        <f aca="false">IF($F$6-F1&lt;&gt;0,0,$B$49*$Y$25)</f>
        <v>0</v>
      </c>
      <c r="G49" s="139" t="n">
        <f aca="false">IF($F$6-G1&lt;&gt;0,0,$B$49*$Y$25)</f>
        <v>0</v>
      </c>
      <c r="H49" s="139" t="n">
        <f aca="false">IF($F$6-H1&lt;&gt;0,0,$B$49*$Y$25)</f>
        <v>0</v>
      </c>
      <c r="I49" s="139"/>
      <c r="J49" s="139" t="n">
        <f aca="false">+'Input Sheet'!D5</f>
        <v>10461191</v>
      </c>
      <c r="K49" s="139" t="n">
        <f aca="false">IF($F$6-K1&lt;&gt;0,0,$B$49*$Y$25)</f>
        <v>0</v>
      </c>
      <c r="L49" s="139" t="n">
        <f aca="false">IF($F$6-L1&lt;&gt;0,0,$B$49*$Y$25)</f>
        <v>0</v>
      </c>
      <c r="M49" s="139"/>
      <c r="N49" s="139" t="n">
        <f aca="false">IF($F$6-N1&lt;&gt;0,0,$B$49*$Y$25)</f>
        <v>0</v>
      </c>
      <c r="O49" s="139" t="n">
        <f aca="false">IF($F$6-O1&lt;&gt;0,0,$B$49*$Y$25)</f>
        <v>0</v>
      </c>
      <c r="P49" s="139" t="n">
        <f aca="false">IF($F$6-P1&lt;&gt;0,0,$B$49*$Y$25)</f>
        <v>0</v>
      </c>
      <c r="Q49" s="139" t="n">
        <f aca="false">IF($F$6-Q1&lt;&gt;0,0,$B$49*$Y$25)</f>
        <v>0</v>
      </c>
      <c r="R49" s="139" t="n">
        <f aca="false">IF($F$6-R1&lt;&gt;0,0,$B$49*$Y$25)</f>
        <v>0</v>
      </c>
      <c r="S49" s="139" t="n">
        <f aca="false">IF($F$6-S1&lt;&gt;0,0,$B$49*$Y$25)</f>
        <v>0</v>
      </c>
      <c r="T49" s="139" t="n">
        <f aca="false">IF($F$6-T1&lt;&gt;0,0,$B$49*$Y$25)</f>
        <v>0</v>
      </c>
      <c r="U49" s="139" t="n">
        <f aca="false">IF($F$6-U1&lt;&gt;0,0,$B$49*$Y$25)</f>
        <v>0</v>
      </c>
      <c r="V49" s="139" t="n">
        <f aca="false">IF($F$6-V1&lt;&gt;0,0,$B$49*$Y$25)</f>
        <v>0</v>
      </c>
      <c r="W49" s="139" t="n">
        <f aca="false">IF($F$6-W1&lt;&gt;0,0,$B$49*$Y$25)</f>
        <v>0</v>
      </c>
      <c r="X49" s="139" t="n">
        <f aca="false">SUM(N49:W49)</f>
        <v>0</v>
      </c>
      <c r="Y49" s="139" t="n">
        <f aca="false">IF(AA6-Y1&lt;&gt;0,0,$B$49*Y25)</f>
        <v>11840000</v>
      </c>
      <c r="Z49" s="142"/>
    </row>
    <row r="50" customFormat="false" ht="11.25" hidden="false" customHeight="false" outlineLevel="0" collapsed="false">
      <c r="A50" s="151" t="s">
        <v>160</v>
      </c>
      <c r="B50" s="152"/>
      <c r="C50" s="148"/>
      <c r="D50" s="153" t="n">
        <f aca="false">SUM(D39:D49)</f>
        <v>2930137.275</v>
      </c>
      <c r="E50" s="153" t="n">
        <f aca="false">SUM(E39:E49)</f>
        <v>2924512.58775</v>
      </c>
      <c r="F50" s="153" t="n">
        <f aca="false">SUM(F39:F49)</f>
        <v>2917753.3443825</v>
      </c>
      <c r="G50" s="153" t="n">
        <f aca="false">SUM(G39:G49)</f>
        <v>2913066.98346398</v>
      </c>
      <c r="H50" s="153" t="n">
        <f aca="false">SUM(H39:H49)</f>
        <v>2910642.41221789</v>
      </c>
      <c r="I50" s="153" t="n">
        <f aca="false">SUM(I39:I49)</f>
        <v>2910490.21283443</v>
      </c>
      <c r="J50" s="153" t="n">
        <f aca="false">SUM(J39:J49)</f>
        <v>13373478.6497195</v>
      </c>
      <c r="K50" s="153" t="n">
        <f aca="false">SUM(K39:K49)</f>
        <v>0</v>
      </c>
      <c r="L50" s="153" t="n">
        <f aca="false">SUM(L39:L49)</f>
        <v>0</v>
      </c>
      <c r="M50" s="153" t="n">
        <f aca="false">SUM(M39:M49)</f>
        <v>0</v>
      </c>
      <c r="N50" s="153" t="n">
        <f aca="false">SUM(N39:N49)</f>
        <v>0</v>
      </c>
      <c r="O50" s="153" t="n">
        <f aca="false">SUM(O39:O49)</f>
        <v>0</v>
      </c>
      <c r="P50" s="153" t="n">
        <f aca="false">SUM(P39:P49)</f>
        <v>0</v>
      </c>
      <c r="Q50" s="153" t="n">
        <f aca="false">SUM(Q39:Q49)</f>
        <v>0</v>
      </c>
      <c r="R50" s="153" t="n">
        <f aca="false">SUM(R39:R49)</f>
        <v>0</v>
      </c>
      <c r="S50" s="153" t="n">
        <f aca="false">SUM(S39:S49)</f>
        <v>0</v>
      </c>
      <c r="T50" s="153" t="n">
        <f aca="false">SUM(T39:T49)</f>
        <v>0</v>
      </c>
      <c r="U50" s="153" t="n">
        <f aca="false">SUM(U39:U49)</f>
        <v>0</v>
      </c>
      <c r="V50" s="153" t="n">
        <f aca="false">SUM(V39:V49)</f>
        <v>0</v>
      </c>
      <c r="W50" s="153" t="n">
        <f aca="false">SUM(W39:W49)</f>
        <v>0</v>
      </c>
      <c r="X50" s="153" t="n">
        <f aca="false">SUM(N50:W50)</f>
        <v>0</v>
      </c>
      <c r="Y50" s="154" t="n">
        <f aca="false">SUM(C50:W50)</f>
        <v>30880081.4653683</v>
      </c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1.25" hidden="false" customHeight="false" outlineLevel="0" collapsed="false">
      <c r="A51" s="140"/>
      <c r="B51" s="152"/>
      <c r="C51" s="155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5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1.25" hidden="false" customHeight="false" outlineLevel="0" collapsed="false">
      <c r="A52" s="140" t="s">
        <v>161</v>
      </c>
      <c r="B52" s="152"/>
      <c r="C52" s="156"/>
      <c r="D52" s="157" t="n">
        <f aca="false">+D86</f>
        <v>740000</v>
      </c>
      <c r="E52" s="157" t="n">
        <f aca="false">+E86</f>
        <v>1406000</v>
      </c>
      <c r="F52" s="157" t="n">
        <f aca="false">+F86</f>
        <v>1265400</v>
      </c>
      <c r="G52" s="157" t="n">
        <f aca="false">+G86</f>
        <v>1139600</v>
      </c>
      <c r="H52" s="157" t="n">
        <f aca="false">+IF('Input Sheet'!G49-Model!H1&gt;=0,H86,H77)</f>
        <v>1025640</v>
      </c>
      <c r="I52" s="157" t="n">
        <f aca="false">+I86</f>
        <v>922040</v>
      </c>
      <c r="J52" s="157" t="n">
        <f aca="false">+J86</f>
        <v>8301320</v>
      </c>
      <c r="K52" s="157" t="n">
        <f aca="false">+K86</f>
        <v>0</v>
      </c>
      <c r="L52" s="157" t="n">
        <f aca="false">+L86</f>
        <v>0</v>
      </c>
      <c r="M52" s="157" t="n">
        <f aca="false">+M86</f>
        <v>0</v>
      </c>
      <c r="N52" s="157" t="n">
        <f aca="false">+N86</f>
        <v>0</v>
      </c>
      <c r="O52" s="157" t="n">
        <f aca="false">+O86</f>
        <v>0</v>
      </c>
      <c r="P52" s="157" t="n">
        <f aca="false">+P86</f>
        <v>0</v>
      </c>
      <c r="Q52" s="157" t="n">
        <f aca="false">+Q86</f>
        <v>0</v>
      </c>
      <c r="R52" s="157" t="n">
        <f aca="false">+R86</f>
        <v>0</v>
      </c>
      <c r="S52" s="157" t="n">
        <f aca="false">+S86</f>
        <v>0</v>
      </c>
      <c r="T52" s="157" t="n">
        <f aca="false">+T86</f>
        <v>0</v>
      </c>
      <c r="U52" s="157" t="n">
        <f aca="false">+U86</f>
        <v>0</v>
      </c>
      <c r="V52" s="157" t="n">
        <f aca="false">+V86</f>
        <v>0</v>
      </c>
      <c r="W52" s="157" t="n">
        <f aca="false">+W86</f>
        <v>0</v>
      </c>
      <c r="X52" s="134" t="n">
        <f aca="false">SUM(N52:W52)</f>
        <v>0</v>
      </c>
      <c r="Y52" s="128" t="n">
        <f aca="false">SUM(C52:W52)</f>
        <v>14800000</v>
      </c>
      <c r="Z52" s="158" t="n">
        <f aca="false">+Y52-Y86</f>
        <v>0</v>
      </c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1.25" hidden="false" customHeight="false" outlineLevel="0" collapsed="false">
      <c r="A53" s="140" t="s">
        <v>162</v>
      </c>
      <c r="B53" s="152"/>
      <c r="C53" s="148"/>
      <c r="D53" s="139" t="n">
        <f aca="false">+'Input Sheet'!D76</f>
        <v>1189352.7</v>
      </c>
      <c r="E53" s="139" t="n">
        <f aca="false">+'Input Sheet'!E76</f>
        <v>1189352.7</v>
      </c>
      <c r="F53" s="139" t="n">
        <f aca="false">+'Input Sheet'!F76</f>
        <v>1189352.7</v>
      </c>
      <c r="G53" s="139" t="n">
        <f aca="false">+'Input Sheet'!G76</f>
        <v>1189352.7</v>
      </c>
      <c r="H53" s="139" t="n">
        <f aca="false">+'Input Sheet'!H76</f>
        <v>1189352.7</v>
      </c>
      <c r="I53" s="139" t="n">
        <f aca="false">+'Input Sheet'!I76</f>
        <v>1189352.7</v>
      </c>
      <c r="J53" s="139" t="n">
        <f aca="false">+'Input Sheet'!J76</f>
        <v>1189352.7</v>
      </c>
      <c r="K53" s="139" t="n">
        <f aca="false">+'Input Sheet'!K76</f>
        <v>0</v>
      </c>
      <c r="L53" s="139" t="n">
        <f aca="false">+'Input Sheet'!L76</f>
        <v>0</v>
      </c>
      <c r="M53" s="139" t="n">
        <f aca="false">+'Input Sheet'!M76</f>
        <v>0</v>
      </c>
      <c r="N53" s="139" t="n">
        <f aca="false">+'Input Sheet'!N76</f>
        <v>0</v>
      </c>
      <c r="O53" s="139" t="n">
        <f aca="false">+'Input Sheet'!O76</f>
        <v>0</v>
      </c>
      <c r="P53" s="139" t="n">
        <f aca="false">+'Input Sheet'!P76</f>
        <v>0</v>
      </c>
      <c r="Q53" s="139" t="n">
        <f aca="false">+'Input Sheet'!Q76</f>
        <v>0</v>
      </c>
      <c r="R53" s="139" t="n">
        <f aca="false">+'Input Sheet'!R76</f>
        <v>0</v>
      </c>
      <c r="S53" s="139" t="n">
        <f aca="false">+'Input Sheet'!S76</f>
        <v>0</v>
      </c>
      <c r="T53" s="139" t="n">
        <f aca="false">+'Input Sheet'!T76</f>
        <v>0</v>
      </c>
      <c r="U53" s="139" t="n">
        <f aca="false">+'Input Sheet'!U76</f>
        <v>0</v>
      </c>
      <c r="V53" s="139" t="n">
        <f aca="false">+'Input Sheet'!V76</f>
        <v>0</v>
      </c>
      <c r="W53" s="139" t="n">
        <f aca="false">+'Input Sheet'!W76</f>
        <v>0</v>
      </c>
      <c r="X53" s="134" t="n">
        <f aca="false">SUM(N53:W53)</f>
        <v>0</v>
      </c>
      <c r="Y53" s="128" t="n">
        <f aca="false">SUM(C53:W53)</f>
        <v>8325468.9</v>
      </c>
      <c r="Z53" s="152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1.25" hidden="false" customHeight="false" outlineLevel="0" collapsed="false">
      <c r="A54" s="140" t="s">
        <v>163</v>
      </c>
      <c r="B54" s="152"/>
      <c r="C54" s="148"/>
      <c r="D54" s="139" t="n">
        <f aca="false">+D103</f>
        <v>975024</v>
      </c>
      <c r="E54" s="139" t="n">
        <f aca="false">+E103</f>
        <v>951078.147235249</v>
      </c>
      <c r="F54" s="139" t="n">
        <f aca="false">+F103</f>
        <v>925379.458048119</v>
      </c>
      <c r="G54" s="139" t="n">
        <f aca="false">+G103</f>
        <v>897799.62481249</v>
      </c>
      <c r="H54" s="139" t="n">
        <f aca="false">+H103</f>
        <v>868200.947784014</v>
      </c>
      <c r="I54" s="139" t="n">
        <f aca="false">+I103</f>
        <v>836435.647597053</v>
      </c>
      <c r="J54" s="139" t="n">
        <f aca="false">+J103</f>
        <v>802345.127436406</v>
      </c>
      <c r="K54" s="139" t="n">
        <f aca="false">+K103</f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4" t="n">
        <f aca="false">SUM(N54:W54)</f>
        <v>0</v>
      </c>
      <c r="Y54" s="128" t="n">
        <f aca="false">SUM(C54:W54)</f>
        <v>6256262.95291333</v>
      </c>
      <c r="Z54" s="159" t="n">
        <v>0</v>
      </c>
      <c r="AA54" s="160" t="s">
        <v>164</v>
      </c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1.25" hidden="false" customHeight="false" outlineLevel="0" collapsed="false">
      <c r="A55" s="140" t="s">
        <v>165</v>
      </c>
      <c r="B55" s="152"/>
      <c r="C55" s="148"/>
      <c r="D55" s="139" t="n">
        <f aca="false">+Summary!D30</f>
        <v>163900.42</v>
      </c>
      <c r="E55" s="139" t="n">
        <f aca="false">IF(E50=0,0,+D55)</f>
        <v>163900.42</v>
      </c>
      <c r="F55" s="139" t="n">
        <f aca="false">IF(F50=0,0,+E55)</f>
        <v>163900.42</v>
      </c>
      <c r="G55" s="139" t="n">
        <f aca="false">IF(G50=0,0,+F55)</f>
        <v>163900.42</v>
      </c>
      <c r="H55" s="139" t="n">
        <f aca="false">IF(H50=0,0,+G55)</f>
        <v>163900.42</v>
      </c>
      <c r="I55" s="139" t="n">
        <f aca="false">IF(I50=0,0,+H55)</f>
        <v>163900.42</v>
      </c>
      <c r="J55" s="139" t="n">
        <f aca="false">IF(J50=0,0,+I55)</f>
        <v>163900.42</v>
      </c>
      <c r="K55" s="139" t="n">
        <f aca="false">IF(K50=0,0,+J55)</f>
        <v>0</v>
      </c>
      <c r="L55" s="139" t="n">
        <f aca="false">IF(L50=0,0,+K55)</f>
        <v>0</v>
      </c>
      <c r="M55" s="139" t="n">
        <f aca="false">IF(M50=0,0,+L55)</f>
        <v>0</v>
      </c>
      <c r="N55" s="139" t="n">
        <f aca="false">IF(N50=0,0,+M55*1.03+(M23+M24)*0.015)</f>
        <v>0</v>
      </c>
      <c r="O55" s="139" t="n">
        <f aca="false">IF(O50=0,0,+N55*1.03+(N23+N24)*0.015)</f>
        <v>0</v>
      </c>
      <c r="P55" s="139" t="n">
        <f aca="false">IF(P50=0,0,+O55*1.03+(O23+O24)*0.015)</f>
        <v>0</v>
      </c>
      <c r="Q55" s="139" t="n">
        <f aca="false">IF(Q50=0,0,+P55*1.03+(P23+P24)*0.015)</f>
        <v>0</v>
      </c>
      <c r="R55" s="139" t="n">
        <f aca="false">IF(R50=0,0,+Q55*1.03+(Q23+Q24)*0.015)</f>
        <v>0</v>
      </c>
      <c r="S55" s="139" t="n">
        <f aca="false">IF(S50=0,0,+R55*1.03+(R23+R24)*0.015)</f>
        <v>0</v>
      </c>
      <c r="T55" s="139" t="n">
        <f aca="false">IF(T50=0,0,+S55*1.03+(S23+S24)*0.015)</f>
        <v>0</v>
      </c>
      <c r="U55" s="139" t="n">
        <f aca="false">IF(U50=0,0,+T55*1.03+(T23+T24)*0.015)</f>
        <v>0</v>
      </c>
      <c r="V55" s="139" t="n">
        <f aca="false">IF(V50=0,0,+U55*1.03+(U23+U24)*0.015)</f>
        <v>0</v>
      </c>
      <c r="W55" s="139" t="n">
        <f aca="false">IF(W50=0,0,+V55*1.03+(V23+V24)*0.015)</f>
        <v>0</v>
      </c>
      <c r="X55" s="134" t="n">
        <f aca="false">SUM(N55:W55)</f>
        <v>0</v>
      </c>
      <c r="Y55" s="128" t="n">
        <f aca="false">SUM(C55:W55)</f>
        <v>1147302.94</v>
      </c>
      <c r="Z55" s="152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11.25" hidden="false" customHeight="false" outlineLevel="0" collapsed="false">
      <c r="A56" s="151" t="s">
        <v>166</v>
      </c>
      <c r="B56" s="152"/>
      <c r="C56" s="148"/>
      <c r="D56" s="153" t="n">
        <f aca="false">SUM(D52:D55)</f>
        <v>3068277.12</v>
      </c>
      <c r="E56" s="153" t="n">
        <f aca="false">SUM(E52:E55)</f>
        <v>3710331.26723525</v>
      </c>
      <c r="F56" s="153" t="n">
        <f aca="false">SUM(F52:F55)</f>
        <v>3544032.57804812</v>
      </c>
      <c r="G56" s="153" t="n">
        <f aca="false">SUM(G52:G55)</f>
        <v>3390652.74481249</v>
      </c>
      <c r="H56" s="153" t="n">
        <f aca="false">SUM(H52:H55)</f>
        <v>3247094.06778401</v>
      </c>
      <c r="I56" s="153" t="n">
        <f aca="false">SUM(I52:I55)</f>
        <v>3111728.76759705</v>
      </c>
      <c r="J56" s="153" t="n">
        <f aca="false">SUM(J52:J55)</f>
        <v>10456918.2474364</v>
      </c>
      <c r="K56" s="153" t="n">
        <f aca="false">SUM(K52:K55)</f>
        <v>0</v>
      </c>
      <c r="L56" s="153" t="n">
        <f aca="false">SUM(L52:L55)</f>
        <v>0</v>
      </c>
      <c r="M56" s="153" t="n">
        <f aca="false">SUM(M52:M55)</f>
        <v>0</v>
      </c>
      <c r="N56" s="153" t="n">
        <f aca="false">SUM(N52:N55)</f>
        <v>0</v>
      </c>
      <c r="O56" s="153" t="n">
        <f aca="false">SUM(O52:O55)</f>
        <v>0</v>
      </c>
      <c r="P56" s="153" t="n">
        <f aca="false">SUM(P52:P55)</f>
        <v>0</v>
      </c>
      <c r="Q56" s="153" t="n">
        <f aca="false">SUM(Q52:Q55)</f>
        <v>0</v>
      </c>
      <c r="R56" s="153" t="n">
        <f aca="false">SUM(R52:R55)</f>
        <v>0</v>
      </c>
      <c r="S56" s="153" t="n">
        <f aca="false">SUM(S52:S55)</f>
        <v>0</v>
      </c>
      <c r="T56" s="153" t="n">
        <f aca="false">SUM(T52:T55)</f>
        <v>0</v>
      </c>
      <c r="U56" s="153" t="n">
        <f aca="false">SUM(U52:U55)</f>
        <v>0</v>
      </c>
      <c r="V56" s="153" t="n">
        <f aca="false">SUM(V52:V55)</f>
        <v>0</v>
      </c>
      <c r="W56" s="153" t="n">
        <f aca="false">SUM(W52:W55)</f>
        <v>0</v>
      </c>
      <c r="X56" s="153" t="n">
        <f aca="false">SUM(X52:X55)</f>
        <v>0</v>
      </c>
      <c r="Y56" s="161" t="n">
        <f aca="false">SUM(Y52:Y55)</f>
        <v>30529034.7929133</v>
      </c>
      <c r="Z56" s="152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11.25" hidden="false" customHeight="false" outlineLevel="0" collapsed="false">
      <c r="A57" s="140"/>
      <c r="B57" s="152"/>
      <c r="C57" s="155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5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  <c r="FF57" s="140"/>
      <c r="FG57" s="140"/>
      <c r="FH57" s="140"/>
      <c r="FI57" s="140"/>
      <c r="FJ57" s="140"/>
      <c r="FK57" s="140"/>
      <c r="FL57" s="140"/>
      <c r="FM57" s="140"/>
      <c r="FN57" s="140"/>
      <c r="FO57" s="140"/>
      <c r="FP57" s="140"/>
      <c r="FQ57" s="140"/>
      <c r="FR57" s="140"/>
      <c r="FS57" s="140"/>
      <c r="FT57" s="140"/>
      <c r="FU57" s="140"/>
      <c r="FV57" s="140"/>
      <c r="FW57" s="140"/>
      <c r="FX57" s="140"/>
      <c r="FY57" s="140"/>
      <c r="FZ57" s="140"/>
      <c r="GA57" s="140"/>
      <c r="GB57" s="140"/>
      <c r="GC57" s="140"/>
      <c r="GD57" s="140"/>
      <c r="GE57" s="140"/>
      <c r="GF57" s="140"/>
      <c r="GG57" s="140"/>
      <c r="GH57" s="140"/>
      <c r="GI57" s="140"/>
      <c r="GJ57" s="140"/>
      <c r="GK57" s="140"/>
      <c r="GL57" s="140"/>
      <c r="GM57" s="140"/>
      <c r="GN57" s="140"/>
      <c r="GO57" s="140"/>
      <c r="GP57" s="140"/>
      <c r="GQ57" s="140"/>
      <c r="GR57" s="140"/>
      <c r="GS57" s="140"/>
      <c r="GT57" s="140"/>
      <c r="GU57" s="140"/>
      <c r="GV57" s="140"/>
      <c r="GW57" s="140"/>
      <c r="GX57" s="140"/>
      <c r="GY57" s="140"/>
      <c r="GZ57" s="140"/>
      <c r="HA57" s="140"/>
      <c r="HB57" s="140"/>
      <c r="HC57" s="140"/>
      <c r="HD57" s="140"/>
      <c r="HE57" s="140"/>
      <c r="HF57" s="140"/>
      <c r="HG57" s="140"/>
      <c r="HH57" s="140"/>
      <c r="HI57" s="140"/>
      <c r="HJ57" s="140"/>
      <c r="HK57" s="140"/>
      <c r="HL57" s="140"/>
      <c r="HM57" s="140"/>
      <c r="HN57" s="140"/>
      <c r="HO57" s="140"/>
      <c r="HP57" s="140"/>
      <c r="HQ57" s="140"/>
      <c r="HR57" s="140"/>
      <c r="HS57" s="140"/>
      <c r="HT57" s="140"/>
      <c r="HU57" s="140"/>
      <c r="HV57" s="140"/>
      <c r="HW57" s="140"/>
      <c r="HX57" s="140"/>
      <c r="HY57" s="140"/>
      <c r="HZ57" s="140"/>
      <c r="IA57" s="140"/>
      <c r="IB57" s="140"/>
      <c r="IC57" s="140"/>
      <c r="ID57" s="140"/>
      <c r="IE57" s="140"/>
      <c r="IF57" s="140"/>
      <c r="IG57" s="140"/>
      <c r="IH57" s="140"/>
      <c r="II57" s="140"/>
      <c r="IJ57" s="140"/>
      <c r="IK57" s="140"/>
      <c r="IL57" s="140"/>
      <c r="IM57" s="140"/>
      <c r="IN57" s="140"/>
      <c r="IO57" s="140"/>
      <c r="IP57" s="140"/>
      <c r="IQ57" s="140"/>
      <c r="IR57" s="140"/>
      <c r="IS57" s="140"/>
      <c r="IT57" s="140"/>
      <c r="IU57" s="140"/>
      <c r="IV57" s="140"/>
      <c r="IW57" s="140"/>
    </row>
    <row r="58" customFormat="false" ht="11.25" hidden="false" customHeight="false" outlineLevel="0" collapsed="false">
      <c r="A58" s="140" t="s">
        <v>167</v>
      </c>
      <c r="B58" s="152"/>
      <c r="C58" s="148"/>
      <c r="D58" s="139" t="n">
        <f aca="false">+D50-D56+C29</f>
        <v>-138139.845</v>
      </c>
      <c r="E58" s="139" t="n">
        <f aca="false">+E50-E56+D29</f>
        <v>-785818.679485249</v>
      </c>
      <c r="F58" s="139" t="n">
        <f aca="false">+F50-F56+E29</f>
        <v>-626279.233665618</v>
      </c>
      <c r="G58" s="139" t="n">
        <f aca="false">+G50-G56+F29</f>
        <v>-477585.761348515</v>
      </c>
      <c r="H58" s="139" t="n">
        <f aca="false">+H50-H56+G29</f>
        <v>-336451.655566119</v>
      </c>
      <c r="I58" s="139" t="n">
        <f aca="false">+I50-I56+H29</f>
        <v>-201238.554762621</v>
      </c>
      <c r="J58" s="139" t="n">
        <f aca="false">+J50-J56+I29</f>
        <v>2916560.40228306</v>
      </c>
      <c r="K58" s="139" t="n">
        <f aca="false">+K50-K56+J29</f>
        <v>0</v>
      </c>
      <c r="L58" s="139" t="n">
        <f aca="false">+L50-L56+K29</f>
        <v>0</v>
      </c>
      <c r="M58" s="139" t="n">
        <f aca="false">+M50-M56+L29</f>
        <v>0</v>
      </c>
      <c r="N58" s="139" t="n">
        <f aca="false">+N50-N56+M29</f>
        <v>0</v>
      </c>
      <c r="O58" s="139" t="n">
        <f aca="false">+O50-O56+N29</f>
        <v>0</v>
      </c>
      <c r="P58" s="139" t="n">
        <f aca="false">+P50-P56+O29</f>
        <v>0</v>
      </c>
      <c r="Q58" s="139" t="n">
        <f aca="false">+Q50-Q56+P29</f>
        <v>0</v>
      </c>
      <c r="R58" s="139" t="n">
        <f aca="false">+R50-R56+Q29</f>
        <v>0</v>
      </c>
      <c r="S58" s="139" t="n">
        <f aca="false">+S50-S56+R29</f>
        <v>0</v>
      </c>
      <c r="T58" s="139" t="n">
        <f aca="false">+T50-T56+S29</f>
        <v>0</v>
      </c>
      <c r="U58" s="139" t="n">
        <f aca="false">+U50-U56+T29</f>
        <v>0</v>
      </c>
      <c r="V58" s="139" t="n">
        <f aca="false">+V50-V56+U29</f>
        <v>0</v>
      </c>
      <c r="W58" s="139" t="n">
        <f aca="false">+W50-W56+V29</f>
        <v>0</v>
      </c>
      <c r="X58" s="134" t="n">
        <f aca="false">SUM(N58:W58)</f>
        <v>0</v>
      </c>
      <c r="Y58" s="162" t="n">
        <f aca="false">SUM(C58:W58)</f>
        <v>351046.672454937</v>
      </c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140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140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140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140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140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140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140"/>
      <c r="ID58" s="140"/>
      <c r="IE58" s="140"/>
      <c r="IF58" s="140"/>
      <c r="IG58" s="140"/>
      <c r="IH58" s="140"/>
      <c r="II58" s="140"/>
      <c r="IJ58" s="140"/>
      <c r="IK58" s="140"/>
      <c r="IL58" s="140"/>
      <c r="IM58" s="140"/>
      <c r="IN58" s="140"/>
      <c r="IO58" s="140"/>
      <c r="IP58" s="140"/>
      <c r="IQ58" s="140"/>
      <c r="IR58" s="140"/>
      <c r="IS58" s="140"/>
      <c r="IT58" s="140"/>
      <c r="IU58" s="140"/>
      <c r="IV58" s="140"/>
      <c r="IW58" s="140"/>
    </row>
    <row r="59" customFormat="false" ht="11.25" hidden="false" customHeight="false" outlineLevel="0" collapsed="false">
      <c r="A59" s="140" t="s">
        <v>168</v>
      </c>
      <c r="B59" s="152"/>
      <c r="C59" s="148"/>
      <c r="D59" s="139" t="n">
        <f aca="false">+D64</f>
        <v>-53874.5395500001</v>
      </c>
      <c r="E59" s="139" t="n">
        <f aca="false">+E64</f>
        <v>-306469.284999247</v>
      </c>
      <c r="F59" s="139" t="n">
        <f aca="false">+F64</f>
        <v>-244248.901129591</v>
      </c>
      <c r="G59" s="139" t="n">
        <f aca="false">+G64</f>
        <v>-186258.446925921</v>
      </c>
      <c r="H59" s="139" t="n">
        <f aca="false">+H64</f>
        <v>-131216.145670786</v>
      </c>
      <c r="I59" s="139" t="n">
        <f aca="false">+I64</f>
        <v>-78483.0363574222</v>
      </c>
      <c r="J59" s="139" t="n">
        <f aca="false">+J64</f>
        <v>1137458.55689039</v>
      </c>
      <c r="K59" s="139" t="n">
        <f aca="false">+K64</f>
        <v>0</v>
      </c>
      <c r="L59" s="139" t="n">
        <f aca="false">+L64</f>
        <v>0</v>
      </c>
      <c r="M59" s="139" t="n">
        <f aca="false">+M64</f>
        <v>0</v>
      </c>
      <c r="N59" s="139" t="n">
        <f aca="false">+N64</f>
        <v>0</v>
      </c>
      <c r="O59" s="139" t="n">
        <f aca="false">+O64</f>
        <v>0</v>
      </c>
      <c r="P59" s="139" t="n">
        <f aca="false">+P64</f>
        <v>0</v>
      </c>
      <c r="Q59" s="139" t="n">
        <f aca="false">+Q64</f>
        <v>0</v>
      </c>
      <c r="R59" s="139" t="n">
        <f aca="false">+R64</f>
        <v>0</v>
      </c>
      <c r="S59" s="139" t="n">
        <f aca="false">+S64</f>
        <v>0</v>
      </c>
      <c r="T59" s="139" t="n">
        <f aca="false">+T64</f>
        <v>0</v>
      </c>
      <c r="U59" s="139" t="n">
        <f aca="false">+U64</f>
        <v>0</v>
      </c>
      <c r="V59" s="139" t="n">
        <f aca="false">+V64</f>
        <v>0</v>
      </c>
      <c r="W59" s="139" t="n">
        <f aca="false">+W64</f>
        <v>0</v>
      </c>
      <c r="X59" s="134" t="n">
        <f aca="false">SUM(N59:W59)</f>
        <v>0</v>
      </c>
      <c r="Y59" s="162" t="n">
        <f aca="false">SUM(C59:W59)</f>
        <v>136908.202257426</v>
      </c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  <c r="II59" s="140"/>
      <c r="IJ59" s="140"/>
      <c r="IK59" s="140"/>
      <c r="IL59" s="140"/>
      <c r="IM59" s="140"/>
      <c r="IN59" s="140"/>
      <c r="IO59" s="140"/>
      <c r="IP59" s="140"/>
      <c r="IQ59" s="140"/>
      <c r="IR59" s="140"/>
      <c r="IS59" s="140"/>
      <c r="IT59" s="140"/>
      <c r="IU59" s="140"/>
      <c r="IV59" s="140"/>
      <c r="IW59" s="140"/>
    </row>
    <row r="60" customFormat="false" ht="11.25" hidden="false" customHeight="false" outlineLevel="0" collapsed="false">
      <c r="A60" s="140" t="s">
        <v>169</v>
      </c>
      <c r="B60" s="152"/>
      <c r="C60" s="148"/>
      <c r="D60" s="153" t="n">
        <f aca="false">+D58-D59</f>
        <v>-84265.3054500001</v>
      </c>
      <c r="E60" s="153" t="n">
        <f aca="false">+E58-E59</f>
        <v>-479349.394486002</v>
      </c>
      <c r="F60" s="153" t="n">
        <f aca="false">+F58-F59</f>
        <v>-382030.332536027</v>
      </c>
      <c r="G60" s="153" t="n">
        <f aca="false">+G58-G59</f>
        <v>-291327.314422594</v>
      </c>
      <c r="H60" s="153" t="n">
        <f aca="false">+H58-H59</f>
        <v>-205235.509895332</v>
      </c>
      <c r="I60" s="153" t="n">
        <f aca="false">+I58-I59</f>
        <v>-122755.518405199</v>
      </c>
      <c r="J60" s="153" t="n">
        <f aca="false">+J58-J59</f>
        <v>1779101.84539267</v>
      </c>
      <c r="K60" s="153" t="n">
        <f aca="false">+K58-K59</f>
        <v>0</v>
      </c>
      <c r="L60" s="153" t="n">
        <f aca="false">+L58-L59</f>
        <v>0</v>
      </c>
      <c r="M60" s="153" t="n">
        <f aca="false">+M58-M59</f>
        <v>0</v>
      </c>
      <c r="N60" s="153" t="n">
        <f aca="false">+N58-N59</f>
        <v>0</v>
      </c>
      <c r="O60" s="153" t="n">
        <f aca="false">+O58-O59</f>
        <v>0</v>
      </c>
      <c r="P60" s="153" t="n">
        <f aca="false">+P58-P59</f>
        <v>0</v>
      </c>
      <c r="Q60" s="153" t="n">
        <f aca="false">+Q58-Q59</f>
        <v>0</v>
      </c>
      <c r="R60" s="153" t="n">
        <f aca="false">+R58-R59</f>
        <v>0</v>
      </c>
      <c r="S60" s="153" t="n">
        <f aca="false">+S58-S59</f>
        <v>0</v>
      </c>
      <c r="T60" s="153" t="n">
        <f aca="false">+T58-T59</f>
        <v>0</v>
      </c>
      <c r="U60" s="153" t="n">
        <f aca="false">+U58-U59</f>
        <v>0</v>
      </c>
      <c r="V60" s="153" t="n">
        <f aca="false">+V58-V59</f>
        <v>0</v>
      </c>
      <c r="W60" s="153" t="n">
        <f aca="false">+W58-W59</f>
        <v>0</v>
      </c>
      <c r="X60" s="153" t="n">
        <f aca="false">+X58-X59</f>
        <v>0</v>
      </c>
      <c r="Y60" s="154" t="n">
        <f aca="false">SUM(Y58:Y59)</f>
        <v>487954.874712363</v>
      </c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  <c r="HT60" s="140"/>
      <c r="HU60" s="140"/>
      <c r="HV60" s="140"/>
      <c r="HW60" s="140"/>
      <c r="HX60" s="140"/>
      <c r="HY60" s="140"/>
      <c r="HZ60" s="140"/>
      <c r="IA60" s="140"/>
      <c r="IB60" s="140"/>
      <c r="IC60" s="140"/>
      <c r="ID60" s="140"/>
      <c r="IE60" s="140"/>
      <c r="IF60" s="140"/>
      <c r="IG60" s="140"/>
      <c r="IH60" s="140"/>
      <c r="II60" s="140"/>
      <c r="IJ60" s="140"/>
      <c r="IK60" s="140"/>
      <c r="IL60" s="140"/>
      <c r="IM60" s="140"/>
      <c r="IN60" s="140"/>
      <c r="IO60" s="140"/>
      <c r="IP60" s="140"/>
      <c r="IQ60" s="140"/>
      <c r="IR60" s="140"/>
      <c r="IS60" s="140"/>
      <c r="IT60" s="140"/>
      <c r="IU60" s="140"/>
      <c r="IV60" s="140"/>
      <c r="IW60" s="140"/>
    </row>
    <row r="61" customFormat="false" ht="11.25" hidden="false" customHeight="false" outlineLevel="0" collapsed="false">
      <c r="A61" s="140"/>
      <c r="B61" s="152"/>
      <c r="C61" s="155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5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0"/>
      <c r="GE61" s="140"/>
      <c r="GF61" s="140"/>
      <c r="GG61" s="140"/>
      <c r="GH61" s="140"/>
      <c r="GI61" s="140"/>
      <c r="GJ61" s="140"/>
      <c r="GK61" s="140"/>
      <c r="GL61" s="140"/>
      <c r="GM61" s="140"/>
      <c r="GN61" s="140"/>
      <c r="GO61" s="140"/>
      <c r="GP61" s="140"/>
      <c r="GQ61" s="140"/>
      <c r="GR61" s="140"/>
      <c r="GS61" s="140"/>
      <c r="GT61" s="140"/>
      <c r="GU61" s="140"/>
      <c r="GV61" s="140"/>
      <c r="GW61" s="140"/>
      <c r="GX61" s="140"/>
      <c r="GY61" s="140"/>
      <c r="GZ61" s="140"/>
      <c r="HA61" s="140"/>
      <c r="HB61" s="140"/>
      <c r="HC61" s="140"/>
      <c r="HD61" s="140"/>
      <c r="HE61" s="140"/>
      <c r="HF61" s="140"/>
      <c r="HG61" s="140"/>
      <c r="HH61" s="140"/>
      <c r="HI61" s="140"/>
      <c r="HJ61" s="140"/>
      <c r="HK61" s="140"/>
      <c r="HL61" s="140"/>
      <c r="HM61" s="140"/>
      <c r="HN61" s="140"/>
      <c r="HO61" s="140"/>
      <c r="HP61" s="140"/>
      <c r="HQ61" s="140"/>
      <c r="HR61" s="140"/>
      <c r="HS61" s="140"/>
      <c r="HT61" s="140"/>
      <c r="HU61" s="140"/>
      <c r="HV61" s="140"/>
      <c r="HW61" s="140"/>
      <c r="HX61" s="140"/>
      <c r="HY61" s="140"/>
      <c r="HZ61" s="140"/>
      <c r="IA61" s="140"/>
      <c r="IB61" s="140"/>
      <c r="IC61" s="140"/>
      <c r="ID61" s="140"/>
      <c r="IE61" s="140"/>
      <c r="IF61" s="140"/>
      <c r="IG61" s="140"/>
      <c r="IH61" s="140"/>
      <c r="II61" s="140"/>
      <c r="IJ61" s="140"/>
      <c r="IK61" s="140"/>
      <c r="IL61" s="140"/>
      <c r="IM61" s="140"/>
      <c r="IN61" s="140"/>
      <c r="IO61" s="140"/>
      <c r="IP61" s="140"/>
      <c r="IQ61" s="140"/>
      <c r="IR61" s="140"/>
      <c r="IS61" s="140"/>
      <c r="IT61" s="140"/>
      <c r="IU61" s="140"/>
      <c r="IV61" s="140"/>
      <c r="IW61" s="140"/>
    </row>
    <row r="62" customFormat="false" ht="11.25" hidden="false" customHeight="false" outlineLevel="0" collapsed="false">
      <c r="A62" s="129" t="s">
        <v>170</v>
      </c>
      <c r="B62" s="152"/>
      <c r="C62" s="163"/>
      <c r="D62" s="164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5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140"/>
      <c r="EC62" s="140"/>
      <c r="ED62" s="140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0"/>
      <c r="ES62" s="140"/>
      <c r="ET62" s="140"/>
      <c r="EU62" s="140"/>
      <c r="EV62" s="140"/>
      <c r="EW62" s="140"/>
      <c r="EX62" s="140"/>
      <c r="EY62" s="140"/>
      <c r="EZ62" s="140"/>
      <c r="FA62" s="140"/>
      <c r="FB62" s="140"/>
      <c r="FC62" s="140"/>
      <c r="FD62" s="140"/>
      <c r="FE62" s="140"/>
      <c r="FF62" s="140"/>
      <c r="FG62" s="140"/>
      <c r="FH62" s="140"/>
      <c r="FI62" s="140"/>
      <c r="FJ62" s="140"/>
      <c r="FK62" s="140"/>
      <c r="FL62" s="140"/>
      <c r="FM62" s="140"/>
      <c r="FN62" s="140"/>
      <c r="FO62" s="140"/>
      <c r="FP62" s="140"/>
      <c r="FQ62" s="140"/>
      <c r="FR62" s="140"/>
      <c r="FS62" s="140"/>
      <c r="FT62" s="140"/>
      <c r="FU62" s="140"/>
      <c r="FV62" s="140"/>
      <c r="FW62" s="140"/>
      <c r="FX62" s="140"/>
      <c r="FY62" s="140"/>
      <c r="FZ62" s="140"/>
      <c r="GA62" s="140"/>
      <c r="GB62" s="140"/>
      <c r="GC62" s="140"/>
      <c r="GD62" s="140"/>
      <c r="GE62" s="140"/>
      <c r="GF62" s="140"/>
      <c r="GG62" s="140"/>
      <c r="GH62" s="140"/>
      <c r="GI62" s="140"/>
      <c r="GJ62" s="140"/>
      <c r="GK62" s="140"/>
      <c r="GL62" s="140"/>
      <c r="GM62" s="140"/>
      <c r="GN62" s="140"/>
      <c r="GO62" s="140"/>
      <c r="GP62" s="140"/>
      <c r="GQ62" s="140"/>
      <c r="GR62" s="140"/>
      <c r="GS62" s="140"/>
      <c r="GT62" s="140"/>
      <c r="GU62" s="140"/>
      <c r="GV62" s="140"/>
      <c r="GW62" s="140"/>
      <c r="GX62" s="140"/>
      <c r="GY62" s="140"/>
      <c r="GZ62" s="140"/>
      <c r="HA62" s="140"/>
      <c r="HB62" s="140"/>
      <c r="HC62" s="140"/>
      <c r="HD62" s="140"/>
      <c r="HE62" s="140"/>
      <c r="HF62" s="140"/>
      <c r="HG62" s="140"/>
      <c r="HH62" s="140"/>
      <c r="HI62" s="140"/>
      <c r="HJ62" s="140"/>
      <c r="HK62" s="140"/>
      <c r="HL62" s="140"/>
      <c r="HM62" s="140"/>
      <c r="HN62" s="140"/>
      <c r="HO62" s="140"/>
      <c r="HP62" s="140"/>
      <c r="HQ62" s="140"/>
      <c r="HR62" s="140"/>
      <c r="HS62" s="140"/>
      <c r="HT62" s="140"/>
      <c r="HU62" s="140"/>
      <c r="HV62" s="140"/>
      <c r="HW62" s="140"/>
      <c r="HX62" s="140"/>
      <c r="HY62" s="140"/>
      <c r="HZ62" s="140"/>
      <c r="IA62" s="140"/>
      <c r="IB62" s="140"/>
      <c r="IC62" s="140"/>
      <c r="ID62" s="140"/>
      <c r="IE62" s="140"/>
      <c r="IF62" s="140"/>
      <c r="IG62" s="140"/>
      <c r="IH62" s="140"/>
      <c r="II62" s="140"/>
      <c r="IJ62" s="140"/>
      <c r="IK62" s="140"/>
      <c r="IL62" s="140"/>
      <c r="IM62" s="140"/>
      <c r="IN62" s="140"/>
      <c r="IO62" s="140"/>
      <c r="IP62" s="140"/>
      <c r="IQ62" s="140"/>
      <c r="IR62" s="140"/>
      <c r="IS62" s="140"/>
      <c r="IT62" s="140"/>
      <c r="IU62" s="140"/>
      <c r="IV62" s="140"/>
      <c r="IW62" s="140"/>
    </row>
    <row r="63" customFormat="false" ht="11.25" hidden="false" customHeight="false" outlineLevel="0" collapsed="false">
      <c r="A63" s="129" t="s">
        <v>171</v>
      </c>
      <c r="B63" s="140"/>
      <c r="C63" s="166"/>
      <c r="D63" s="167" t="n">
        <f aca="false">+D58</f>
        <v>-138139.845</v>
      </c>
      <c r="E63" s="167" t="n">
        <f aca="false">+E58</f>
        <v>-785818.679485249</v>
      </c>
      <c r="F63" s="167" t="n">
        <f aca="false">+F58</f>
        <v>-626279.233665618</v>
      </c>
      <c r="G63" s="167" t="n">
        <f aca="false">+G58</f>
        <v>-477585.761348515</v>
      </c>
      <c r="H63" s="167" t="n">
        <f aca="false">+H58</f>
        <v>-336451.655566119</v>
      </c>
      <c r="I63" s="167" t="n">
        <f aca="false">+I58</f>
        <v>-201238.554762621</v>
      </c>
      <c r="J63" s="167" t="n">
        <f aca="false">+J58</f>
        <v>2916560.40228306</v>
      </c>
      <c r="K63" s="167" t="n">
        <f aca="false">+K58</f>
        <v>0</v>
      </c>
      <c r="L63" s="167" t="n">
        <f aca="false">+L58</f>
        <v>0</v>
      </c>
      <c r="M63" s="167" t="n">
        <f aca="false">+M58</f>
        <v>0</v>
      </c>
      <c r="N63" s="167" t="n">
        <f aca="false">+N58</f>
        <v>0</v>
      </c>
      <c r="O63" s="167" t="n">
        <f aca="false">+O58</f>
        <v>0</v>
      </c>
      <c r="P63" s="167" t="n">
        <f aca="false">+P58</f>
        <v>0</v>
      </c>
      <c r="Q63" s="167" t="n">
        <f aca="false">+Q58</f>
        <v>0</v>
      </c>
      <c r="R63" s="167" t="n">
        <f aca="false">+R58</f>
        <v>0</v>
      </c>
      <c r="S63" s="167" t="n">
        <f aca="false">+S58</f>
        <v>0</v>
      </c>
      <c r="T63" s="167" t="n">
        <f aca="false">+T58</f>
        <v>0</v>
      </c>
      <c r="U63" s="167" t="n">
        <f aca="false">+U58</f>
        <v>0</v>
      </c>
      <c r="V63" s="167" t="n">
        <f aca="false">+V58</f>
        <v>0</v>
      </c>
      <c r="W63" s="167" t="n">
        <f aca="false">+W58</f>
        <v>0</v>
      </c>
      <c r="X63" s="134" t="n">
        <f aca="false">SUM(N63:W63)</f>
        <v>0</v>
      </c>
      <c r="Y63" s="162" t="n">
        <f aca="false">SUM(C63:W63)</f>
        <v>351046.672454937</v>
      </c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  <c r="CP63" s="140"/>
      <c r="CQ63" s="140"/>
      <c r="CR63" s="140"/>
      <c r="CS63" s="140"/>
      <c r="CT63" s="140"/>
      <c r="CU63" s="140"/>
      <c r="CV63" s="140"/>
      <c r="CW63" s="140"/>
      <c r="CX63" s="140"/>
      <c r="CY63" s="140"/>
      <c r="CZ63" s="140"/>
      <c r="DA63" s="140"/>
      <c r="DB63" s="140"/>
      <c r="DC63" s="140"/>
      <c r="DD63" s="140"/>
      <c r="DE63" s="140"/>
      <c r="DF63" s="140"/>
      <c r="DG63" s="140"/>
      <c r="DH63" s="140"/>
      <c r="DI63" s="140"/>
      <c r="DJ63" s="140"/>
      <c r="DK63" s="140"/>
      <c r="DL63" s="140"/>
      <c r="DM63" s="140"/>
      <c r="DN63" s="140"/>
      <c r="DO63" s="140"/>
      <c r="DP63" s="140"/>
      <c r="DQ63" s="140"/>
      <c r="DR63" s="140"/>
      <c r="DS63" s="140"/>
      <c r="DT63" s="140"/>
      <c r="DU63" s="140"/>
      <c r="DV63" s="140"/>
      <c r="DW63" s="140"/>
      <c r="DX63" s="140"/>
      <c r="DY63" s="140"/>
      <c r="DZ63" s="140"/>
      <c r="EA63" s="140"/>
      <c r="EB63" s="140"/>
      <c r="EC63" s="140"/>
      <c r="ED63" s="140"/>
      <c r="EE63" s="140"/>
      <c r="EF63" s="140"/>
      <c r="EG63" s="140"/>
      <c r="EH63" s="140"/>
      <c r="EI63" s="140"/>
      <c r="EJ63" s="140"/>
      <c r="EK63" s="140"/>
      <c r="EL63" s="140"/>
      <c r="EM63" s="140"/>
      <c r="EN63" s="140"/>
      <c r="EO63" s="140"/>
      <c r="EP63" s="140"/>
      <c r="EQ63" s="140"/>
      <c r="ER63" s="140"/>
      <c r="ES63" s="140"/>
      <c r="ET63" s="140"/>
      <c r="EU63" s="140"/>
      <c r="EV63" s="140"/>
      <c r="EW63" s="140"/>
      <c r="EX63" s="140"/>
      <c r="EY63" s="140"/>
      <c r="EZ63" s="140"/>
      <c r="FA63" s="140"/>
      <c r="FB63" s="140"/>
      <c r="FC63" s="140"/>
      <c r="FD63" s="140"/>
      <c r="FE63" s="140"/>
      <c r="FF63" s="140"/>
      <c r="FG63" s="140"/>
      <c r="FH63" s="140"/>
      <c r="FI63" s="140"/>
      <c r="FJ63" s="140"/>
      <c r="FK63" s="140"/>
      <c r="FL63" s="140"/>
      <c r="FM63" s="140"/>
      <c r="FN63" s="140"/>
      <c r="FO63" s="140"/>
      <c r="FP63" s="140"/>
      <c r="FQ63" s="140"/>
      <c r="FR63" s="140"/>
      <c r="FS63" s="140"/>
      <c r="FT63" s="140"/>
      <c r="FU63" s="140"/>
      <c r="FV63" s="140"/>
      <c r="FW63" s="140"/>
      <c r="FX63" s="140"/>
      <c r="FY63" s="140"/>
      <c r="FZ63" s="140"/>
      <c r="GA63" s="140"/>
      <c r="GB63" s="140"/>
      <c r="GC63" s="140"/>
      <c r="GD63" s="140"/>
      <c r="GE63" s="140"/>
      <c r="GF63" s="140"/>
      <c r="GG63" s="140"/>
      <c r="GH63" s="140"/>
      <c r="GI63" s="140"/>
      <c r="GJ63" s="140"/>
      <c r="GK63" s="140"/>
      <c r="GL63" s="140"/>
      <c r="GM63" s="140"/>
      <c r="GN63" s="140"/>
      <c r="GO63" s="140"/>
      <c r="GP63" s="140"/>
      <c r="GQ63" s="140"/>
      <c r="GR63" s="140"/>
      <c r="GS63" s="140"/>
      <c r="GT63" s="140"/>
      <c r="GU63" s="140"/>
      <c r="GV63" s="140"/>
      <c r="GW63" s="140"/>
      <c r="GX63" s="140"/>
      <c r="GY63" s="140"/>
      <c r="GZ63" s="140"/>
      <c r="HA63" s="140"/>
      <c r="HB63" s="140"/>
      <c r="HC63" s="140"/>
      <c r="HD63" s="140"/>
      <c r="HE63" s="140"/>
      <c r="HF63" s="140"/>
      <c r="HG63" s="140"/>
      <c r="HH63" s="140"/>
      <c r="HI63" s="140"/>
      <c r="HJ63" s="140"/>
      <c r="HK63" s="140"/>
      <c r="HL63" s="140"/>
      <c r="HM63" s="140"/>
      <c r="HN63" s="140"/>
      <c r="HO63" s="140"/>
      <c r="HP63" s="140"/>
      <c r="HQ63" s="140"/>
      <c r="HR63" s="140"/>
      <c r="HS63" s="140"/>
      <c r="HT63" s="140"/>
      <c r="HU63" s="140"/>
      <c r="HV63" s="140"/>
      <c r="HW63" s="140"/>
      <c r="HX63" s="140"/>
      <c r="HY63" s="140"/>
      <c r="HZ63" s="140"/>
      <c r="IA63" s="140"/>
      <c r="IB63" s="140"/>
      <c r="IC63" s="140"/>
      <c r="ID63" s="140"/>
      <c r="IE63" s="140"/>
      <c r="IF63" s="140"/>
      <c r="IG63" s="140"/>
      <c r="IH63" s="140"/>
      <c r="II63" s="140"/>
      <c r="IJ63" s="140"/>
      <c r="IK63" s="140"/>
      <c r="IL63" s="140"/>
      <c r="IM63" s="140"/>
      <c r="IN63" s="140"/>
      <c r="IO63" s="140"/>
      <c r="IP63" s="140"/>
      <c r="IQ63" s="140"/>
      <c r="IR63" s="140"/>
      <c r="IS63" s="140"/>
      <c r="IT63" s="140"/>
      <c r="IU63" s="140"/>
      <c r="IV63" s="140"/>
      <c r="IW63" s="140"/>
    </row>
    <row r="64" customFormat="false" ht="11.25" hidden="false" customHeight="false" outlineLevel="0" collapsed="false">
      <c r="A64" s="129" t="s">
        <v>172</v>
      </c>
      <c r="B64" s="168" t="n">
        <f aca="false">+'Input Sheet'!C9</f>
        <v>0.39</v>
      </c>
      <c r="C64" s="166"/>
      <c r="D64" s="167" t="n">
        <f aca="false">D63*$B$64+B20*B64</f>
        <v>-53874.5395500001</v>
      </c>
      <c r="E64" s="167" t="n">
        <f aca="false">E63*$B$64</f>
        <v>-306469.284999247</v>
      </c>
      <c r="F64" s="167" t="n">
        <f aca="false">F63*$B$64</f>
        <v>-244248.901129591</v>
      </c>
      <c r="G64" s="167" t="n">
        <f aca="false">G63*$B$64</f>
        <v>-186258.446925921</v>
      </c>
      <c r="H64" s="167" t="n">
        <f aca="false">H63*$B$64</f>
        <v>-131216.145670786</v>
      </c>
      <c r="I64" s="167" t="n">
        <f aca="false">I63*$B$64</f>
        <v>-78483.0363574222</v>
      </c>
      <c r="J64" s="167" t="n">
        <f aca="false">J63*$B$64</f>
        <v>1137458.55689039</v>
      </c>
      <c r="K64" s="167" t="n">
        <f aca="false">K63*$B$64</f>
        <v>0</v>
      </c>
      <c r="L64" s="167" t="n">
        <f aca="false">L63*$B$64</f>
        <v>0</v>
      </c>
      <c r="M64" s="167" t="n">
        <f aca="false">M63*$B$64</f>
        <v>0</v>
      </c>
      <c r="N64" s="167" t="n">
        <f aca="false">N63*$B$64</f>
        <v>0</v>
      </c>
      <c r="O64" s="167" t="n">
        <f aca="false">O63*$B$64</f>
        <v>0</v>
      </c>
      <c r="P64" s="167" t="n">
        <f aca="false">P63*$B$64</f>
        <v>0</v>
      </c>
      <c r="Q64" s="167" t="n">
        <f aca="false">Q63*$B$64</f>
        <v>0</v>
      </c>
      <c r="R64" s="167" t="n">
        <f aca="false">R63*$B$64</f>
        <v>0</v>
      </c>
      <c r="S64" s="167" t="n">
        <f aca="false">S63*$B$64</f>
        <v>0</v>
      </c>
      <c r="T64" s="167" t="n">
        <f aca="false">T63*$B$64</f>
        <v>0</v>
      </c>
      <c r="U64" s="167" t="n">
        <f aca="false">U63*$B$64</f>
        <v>0</v>
      </c>
      <c r="V64" s="167" t="n">
        <f aca="false">V63*$B$64</f>
        <v>0</v>
      </c>
      <c r="W64" s="167" t="n">
        <f aca="false">W63*$B$64</f>
        <v>0</v>
      </c>
      <c r="X64" s="134" t="n">
        <f aca="false">SUM(N64:W64)</f>
        <v>0</v>
      </c>
      <c r="Y64" s="162" t="n">
        <f aca="false">SUM(C64:W64)</f>
        <v>136908.202257426</v>
      </c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  <c r="IA64" s="140"/>
      <c r="IB64" s="140"/>
      <c r="IC64" s="140"/>
      <c r="ID64" s="140"/>
      <c r="IE64" s="140"/>
      <c r="IF64" s="140"/>
      <c r="IG64" s="140"/>
      <c r="IH64" s="140"/>
      <c r="II64" s="140"/>
      <c r="IJ64" s="140"/>
      <c r="IK64" s="140"/>
      <c r="IL64" s="140"/>
      <c r="IM64" s="140"/>
      <c r="IN64" s="140"/>
      <c r="IO64" s="140"/>
      <c r="IP64" s="140"/>
      <c r="IQ64" s="140"/>
      <c r="IR64" s="140"/>
      <c r="IS64" s="140"/>
      <c r="IT64" s="140"/>
      <c r="IU64" s="140"/>
      <c r="IV64" s="140"/>
      <c r="IW64" s="140"/>
    </row>
    <row r="65" customFormat="false" ht="11.25" hidden="false" customHeight="false" outlineLevel="0" collapsed="false">
      <c r="A65" s="129" t="s">
        <v>173</v>
      </c>
      <c r="B65" s="169" t="s">
        <v>174</v>
      </c>
      <c r="C65" s="166"/>
      <c r="D65" s="167" t="n">
        <f aca="false">+D107</f>
        <v>327129.136130476</v>
      </c>
      <c r="E65" s="167" t="n">
        <f aca="false">+E107</f>
        <v>351074.988895227</v>
      </c>
      <c r="F65" s="167" t="n">
        <f aca="false">+F107</f>
        <v>376773.678082357</v>
      </c>
      <c r="G65" s="167" t="n">
        <f aca="false">+G107</f>
        <v>404353.511317986</v>
      </c>
      <c r="H65" s="167" t="n">
        <f aca="false">+H107</f>
        <v>433952.188346462</v>
      </c>
      <c r="I65" s="167" t="n">
        <f aca="false">+I107</f>
        <v>465717.488533423</v>
      </c>
      <c r="J65" s="167" t="n">
        <f aca="false">+J107</f>
        <v>10960999.0086941</v>
      </c>
      <c r="K65" s="167" t="n">
        <v>0</v>
      </c>
      <c r="L65" s="167" t="n">
        <v>0</v>
      </c>
      <c r="M65" s="167" t="n">
        <v>0</v>
      </c>
      <c r="N65" s="167" t="n">
        <v>0</v>
      </c>
      <c r="O65" s="167" t="n">
        <v>0</v>
      </c>
      <c r="P65" s="167" t="n">
        <v>0</v>
      </c>
      <c r="Q65" s="167" t="n">
        <v>0</v>
      </c>
      <c r="R65" s="167" t="n">
        <v>0</v>
      </c>
      <c r="S65" s="167" t="n">
        <v>0</v>
      </c>
      <c r="T65" s="167" t="n">
        <v>0</v>
      </c>
      <c r="U65" s="167" t="n">
        <v>0</v>
      </c>
      <c r="V65" s="167" t="n">
        <v>0</v>
      </c>
      <c r="W65" s="167" t="n">
        <v>0</v>
      </c>
      <c r="X65" s="134" t="n">
        <f aca="false">SUM(N65:W65)</f>
        <v>0</v>
      </c>
      <c r="Y65" s="162" t="n">
        <f aca="false">SUM(C65:W65)</f>
        <v>13320000</v>
      </c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0"/>
      <c r="DA65" s="140"/>
      <c r="DB65" s="140"/>
      <c r="DC65" s="140"/>
      <c r="DD65" s="140"/>
      <c r="DE65" s="140"/>
      <c r="DF65" s="140"/>
      <c r="DG65" s="140"/>
      <c r="DH65" s="140"/>
      <c r="DI65" s="140"/>
      <c r="DJ65" s="140"/>
      <c r="DK65" s="140"/>
      <c r="DL65" s="140"/>
      <c r="DM65" s="140"/>
      <c r="DN65" s="140"/>
      <c r="DO65" s="140"/>
      <c r="DP65" s="140"/>
      <c r="DQ65" s="140"/>
      <c r="DR65" s="140"/>
      <c r="DS65" s="140"/>
      <c r="DT65" s="140"/>
      <c r="DU65" s="140"/>
      <c r="DV65" s="140"/>
      <c r="DW65" s="140"/>
      <c r="DX65" s="140"/>
      <c r="DY65" s="140"/>
      <c r="DZ65" s="140"/>
      <c r="EA65" s="140"/>
      <c r="EB65" s="140"/>
      <c r="EC65" s="140"/>
      <c r="ED65" s="140"/>
      <c r="EE65" s="140"/>
      <c r="EF65" s="140"/>
      <c r="EG65" s="140"/>
      <c r="EH65" s="140"/>
      <c r="EI65" s="140"/>
      <c r="EJ65" s="140"/>
      <c r="EK65" s="140"/>
      <c r="EL65" s="140"/>
      <c r="EM65" s="140"/>
      <c r="EN65" s="140"/>
      <c r="EO65" s="140"/>
      <c r="EP65" s="140"/>
      <c r="EQ65" s="140"/>
      <c r="ER65" s="140"/>
      <c r="ES65" s="140"/>
      <c r="ET65" s="140"/>
      <c r="EU65" s="140"/>
      <c r="EV65" s="140"/>
      <c r="EW65" s="140"/>
      <c r="EX65" s="140"/>
      <c r="EY65" s="140"/>
      <c r="EZ65" s="140"/>
      <c r="FA65" s="140"/>
      <c r="FB65" s="140"/>
      <c r="FC65" s="140"/>
      <c r="FD65" s="140"/>
      <c r="FE65" s="140"/>
      <c r="FF65" s="140"/>
      <c r="FG65" s="140"/>
      <c r="FH65" s="140"/>
      <c r="FI65" s="140"/>
      <c r="FJ65" s="140"/>
      <c r="FK65" s="140"/>
      <c r="FL65" s="140"/>
      <c r="FM65" s="140"/>
      <c r="FN65" s="140"/>
      <c r="FO65" s="140"/>
      <c r="FP65" s="140"/>
      <c r="FQ65" s="140"/>
      <c r="FR65" s="140"/>
      <c r="FS65" s="140"/>
      <c r="FT65" s="140"/>
      <c r="FU65" s="140"/>
      <c r="FV65" s="140"/>
      <c r="FW65" s="140"/>
      <c r="FX65" s="140"/>
      <c r="FY65" s="140"/>
      <c r="FZ65" s="140"/>
      <c r="GA65" s="140"/>
      <c r="GB65" s="140"/>
      <c r="GC65" s="140"/>
      <c r="GD65" s="140"/>
      <c r="GE65" s="140"/>
      <c r="GF65" s="140"/>
      <c r="GG65" s="140"/>
      <c r="GH65" s="140"/>
      <c r="GI65" s="140"/>
      <c r="GJ65" s="140"/>
      <c r="GK65" s="140"/>
      <c r="GL65" s="140"/>
      <c r="GM65" s="140"/>
      <c r="GN65" s="140"/>
      <c r="GO65" s="140"/>
      <c r="GP65" s="140"/>
      <c r="GQ65" s="140"/>
      <c r="GR65" s="140"/>
      <c r="GS65" s="140"/>
      <c r="GT65" s="140"/>
      <c r="GU65" s="140"/>
      <c r="GV65" s="140"/>
      <c r="GW65" s="140"/>
      <c r="GX65" s="140"/>
      <c r="GY65" s="140"/>
      <c r="GZ65" s="140"/>
      <c r="HA65" s="140"/>
      <c r="HB65" s="140"/>
      <c r="HC65" s="140"/>
      <c r="HD65" s="140"/>
      <c r="HE65" s="140"/>
      <c r="HF65" s="140"/>
      <c r="HG65" s="140"/>
      <c r="HH65" s="140"/>
      <c r="HI65" s="140"/>
      <c r="HJ65" s="140"/>
      <c r="HK65" s="140"/>
      <c r="HL65" s="140"/>
      <c r="HM65" s="140"/>
      <c r="HN65" s="140"/>
      <c r="HO65" s="140"/>
      <c r="HP65" s="140"/>
      <c r="HQ65" s="140"/>
      <c r="HR65" s="140"/>
      <c r="HS65" s="140"/>
      <c r="HT65" s="140"/>
      <c r="HU65" s="140"/>
      <c r="HV65" s="140"/>
      <c r="HW65" s="140"/>
      <c r="HX65" s="140"/>
      <c r="HY65" s="140"/>
      <c r="HZ65" s="140"/>
      <c r="IA65" s="140"/>
      <c r="IB65" s="140"/>
      <c r="IC65" s="140"/>
      <c r="ID65" s="140"/>
      <c r="IE65" s="140"/>
      <c r="IF65" s="140"/>
      <c r="IG65" s="140"/>
      <c r="IH65" s="140"/>
      <c r="II65" s="140"/>
      <c r="IJ65" s="140"/>
      <c r="IK65" s="140"/>
      <c r="IL65" s="140"/>
      <c r="IM65" s="140"/>
      <c r="IN65" s="140"/>
      <c r="IO65" s="140"/>
      <c r="IP65" s="140"/>
      <c r="IQ65" s="140"/>
      <c r="IR65" s="140"/>
      <c r="IS65" s="140"/>
      <c r="IT65" s="140"/>
      <c r="IU65" s="140"/>
      <c r="IV65" s="140"/>
      <c r="IW65" s="140"/>
    </row>
    <row r="66" customFormat="false" ht="11.25" hidden="false" customHeight="false" outlineLevel="0" collapsed="false">
      <c r="A66" s="129" t="s">
        <v>175</v>
      </c>
      <c r="B66" s="170" t="n">
        <f aca="false">IRR(C66:J66)</f>
        <v>0.0821689918531453</v>
      </c>
      <c r="C66" s="171" t="n">
        <f aca="false">-C24+B20</f>
        <v>-1480000</v>
      </c>
      <c r="D66" s="171" t="n">
        <f aca="false">+D60+D52-D65</f>
        <v>328605.558419524</v>
      </c>
      <c r="E66" s="171" t="n">
        <f aca="false">+E60+E52-E65</f>
        <v>575575.616618771</v>
      </c>
      <c r="F66" s="171" t="n">
        <f aca="false">+F60+F52-F65</f>
        <v>506595.989381616</v>
      </c>
      <c r="G66" s="171" t="n">
        <f aca="false">+G60+G52-G65</f>
        <v>443919.17425942</v>
      </c>
      <c r="H66" s="171" t="n">
        <f aca="false">+H60+H52-H65</f>
        <v>386452.301758206</v>
      </c>
      <c r="I66" s="171" t="n">
        <f aca="false">+I60+I52-I65</f>
        <v>333566.993061378</v>
      </c>
      <c r="J66" s="171" t="n">
        <f aca="false">+J60+J52-J65</f>
        <v>-880577.163301405</v>
      </c>
      <c r="K66" s="172" t="n">
        <f aca="false">+K60+K52-K65</f>
        <v>0</v>
      </c>
      <c r="L66" s="172" t="n">
        <f aca="false">+L60+L52-L65</f>
        <v>0</v>
      </c>
      <c r="M66" s="172" t="n">
        <f aca="false">+M60+M52-M65</f>
        <v>0</v>
      </c>
      <c r="N66" s="172" t="n">
        <f aca="false">+N60+N52-N65</f>
        <v>0</v>
      </c>
      <c r="O66" s="172" t="n">
        <f aca="false">+O60+O52-O65</f>
        <v>0</v>
      </c>
      <c r="P66" s="172" t="n">
        <f aca="false">+P60+P52-P65</f>
        <v>0</v>
      </c>
      <c r="Q66" s="172" t="n">
        <f aca="false">+Q60+Q52-Q65</f>
        <v>0</v>
      </c>
      <c r="R66" s="172" t="n">
        <f aca="false">+R60+R52-R65</f>
        <v>0</v>
      </c>
      <c r="S66" s="172" t="n">
        <f aca="false">+S60+S52-S65</f>
        <v>0</v>
      </c>
      <c r="T66" s="172" t="n">
        <f aca="false">+T60+T52-T65</f>
        <v>0</v>
      </c>
      <c r="U66" s="172" t="n">
        <f aca="false">+U60+U52-U65</f>
        <v>0</v>
      </c>
      <c r="V66" s="172" t="n">
        <f aca="false">+V60+V52-V65</f>
        <v>0</v>
      </c>
      <c r="W66" s="172" t="n">
        <f aca="false">+W60+W52-W65</f>
        <v>0</v>
      </c>
      <c r="X66" s="172" t="n">
        <f aca="false">SUM(N66:W66)</f>
        <v>0</v>
      </c>
      <c r="Y66" s="172" t="n">
        <f aca="false">SUM(C66:W66)</f>
        <v>214138.470197511</v>
      </c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0"/>
      <c r="FF66" s="140"/>
      <c r="FG66" s="140"/>
      <c r="FH66" s="140"/>
      <c r="FI66" s="140"/>
      <c r="FJ66" s="140"/>
      <c r="FK66" s="140"/>
      <c r="FL66" s="140"/>
      <c r="FM66" s="140"/>
      <c r="FN66" s="140"/>
      <c r="FO66" s="140"/>
      <c r="FP66" s="140"/>
      <c r="FQ66" s="140"/>
      <c r="FR66" s="140"/>
      <c r="FS66" s="140"/>
      <c r="FT66" s="140"/>
      <c r="FU66" s="140"/>
      <c r="FV66" s="140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  <c r="II66" s="140"/>
      <c r="IJ66" s="140"/>
      <c r="IK66" s="140"/>
      <c r="IL66" s="140"/>
      <c r="IM66" s="140"/>
      <c r="IN66" s="140"/>
      <c r="IO66" s="140"/>
      <c r="IP66" s="140"/>
      <c r="IQ66" s="140"/>
      <c r="IR66" s="140"/>
      <c r="IS66" s="140"/>
      <c r="IT66" s="140"/>
      <c r="IU66" s="140"/>
      <c r="IV66" s="140"/>
      <c r="IW66" s="140"/>
    </row>
    <row r="67" customFormat="false" ht="11.25" hidden="false" customHeight="false" outlineLevel="0" collapsed="false">
      <c r="A67" s="140"/>
      <c r="B67" s="140"/>
      <c r="C67" s="171" t="n">
        <f aca="false">SUM(C66:J66)</f>
        <v>214138.470197511</v>
      </c>
      <c r="D67" s="172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4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0"/>
      <c r="FF67" s="140"/>
      <c r="FG67" s="140"/>
      <c r="FH67" s="140"/>
      <c r="FI67" s="140"/>
      <c r="FJ67" s="140"/>
      <c r="FK67" s="140"/>
      <c r="FL67" s="140"/>
      <c r="FM67" s="140"/>
      <c r="FN67" s="140"/>
      <c r="FO67" s="140"/>
      <c r="FP67" s="140"/>
      <c r="FQ67" s="140"/>
      <c r="FR67" s="140"/>
      <c r="FS67" s="140"/>
      <c r="FT67" s="140"/>
      <c r="FU67" s="140"/>
      <c r="FV67" s="140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  <c r="II67" s="140"/>
      <c r="IJ67" s="140"/>
      <c r="IK67" s="140"/>
      <c r="IL67" s="140"/>
      <c r="IM67" s="140"/>
      <c r="IN67" s="140"/>
      <c r="IO67" s="140"/>
      <c r="IP67" s="140"/>
      <c r="IQ67" s="140"/>
      <c r="IR67" s="140"/>
      <c r="IS67" s="140"/>
      <c r="IT67" s="140"/>
      <c r="IU67" s="140"/>
      <c r="IV67" s="140"/>
      <c r="IW67" s="140"/>
    </row>
    <row r="68" customFormat="false" ht="11.25" hidden="false" customHeight="false" outlineLevel="0" collapsed="false">
      <c r="A68" s="175" t="str">
        <f aca="false">+'Input Sheet'!A13</f>
        <v>NPV @</v>
      </c>
      <c r="B68" s="176" t="n">
        <f aca="false">+'Input Sheet'!B13</f>
        <v>0.095</v>
      </c>
      <c r="C68" s="177" t="n">
        <f aca="false">NPV(B68,D66:W66)+C66</f>
        <v>-32762.9230930985</v>
      </c>
      <c r="D68" s="172"/>
      <c r="E68" s="172"/>
      <c r="F68" s="172"/>
      <c r="G68" s="172"/>
      <c r="H68" s="172"/>
      <c r="I68" s="172"/>
      <c r="J68" s="172" t="n">
        <f aca="false">+J54+J65</f>
        <v>11763344.1361305</v>
      </c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</row>
    <row r="69" customFormat="false" ht="11.25" hidden="false" customHeight="false" outlineLevel="0" collapsed="false">
      <c r="A69" s="140"/>
      <c r="B69" s="178"/>
      <c r="C69" s="172"/>
      <c r="D69" s="172"/>
      <c r="E69" s="179"/>
      <c r="F69" s="179"/>
      <c r="G69" s="179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4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0"/>
      <c r="FF69" s="140"/>
      <c r="FG69" s="140"/>
      <c r="FH69" s="140"/>
      <c r="FI69" s="140"/>
      <c r="FJ69" s="140"/>
      <c r="FK69" s="140"/>
      <c r="FL69" s="140"/>
      <c r="FM69" s="140"/>
      <c r="FN69" s="140"/>
      <c r="FO69" s="140"/>
      <c r="FP69" s="140"/>
      <c r="FQ69" s="140"/>
      <c r="FR69" s="140"/>
      <c r="FS69" s="140"/>
      <c r="FT69" s="140"/>
      <c r="FU69" s="140"/>
      <c r="FV69" s="140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  <c r="II69" s="140"/>
      <c r="IJ69" s="140"/>
      <c r="IK69" s="140"/>
      <c r="IL69" s="140"/>
      <c r="IM69" s="140"/>
      <c r="IN69" s="140"/>
      <c r="IO69" s="140"/>
      <c r="IP69" s="140"/>
      <c r="IQ69" s="140"/>
      <c r="IR69" s="140"/>
      <c r="IS69" s="140"/>
      <c r="IT69" s="140"/>
      <c r="IU69" s="140"/>
      <c r="IV69" s="140"/>
      <c r="IW69" s="140"/>
    </row>
    <row r="70" customFormat="false" ht="12" hidden="false" customHeight="false" outlineLevel="0" collapsed="false">
      <c r="A70" s="180"/>
      <c r="B70" s="181"/>
      <c r="C70" s="182"/>
      <c r="D70" s="182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7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4"/>
      <c r="DM70" s="184"/>
      <c r="DN70" s="184"/>
      <c r="DO70" s="184"/>
      <c r="DP70" s="184"/>
      <c r="DQ70" s="184"/>
      <c r="DR70" s="184"/>
      <c r="DS70" s="184"/>
      <c r="DT70" s="184"/>
      <c r="DU70" s="184"/>
      <c r="DV70" s="184"/>
      <c r="DW70" s="184"/>
      <c r="DX70" s="184"/>
      <c r="DY70" s="184"/>
      <c r="DZ70" s="184"/>
      <c r="EA70" s="184"/>
      <c r="EB70" s="184"/>
      <c r="EC70" s="184"/>
      <c r="ED70" s="184"/>
      <c r="EE70" s="184"/>
      <c r="EF70" s="184"/>
      <c r="EG70" s="184"/>
      <c r="EH70" s="184"/>
      <c r="EI70" s="184"/>
      <c r="EJ70" s="184"/>
      <c r="EK70" s="184"/>
      <c r="EL70" s="184"/>
      <c r="EM70" s="184"/>
      <c r="EN70" s="184"/>
      <c r="EO70" s="184"/>
      <c r="EP70" s="184"/>
      <c r="EQ70" s="184"/>
      <c r="ER70" s="184"/>
      <c r="ES70" s="184"/>
      <c r="ET70" s="184"/>
      <c r="EU70" s="184"/>
      <c r="EV70" s="184"/>
      <c r="EW70" s="184"/>
      <c r="EX70" s="184"/>
      <c r="EY70" s="184"/>
      <c r="EZ70" s="184"/>
      <c r="FA70" s="184"/>
      <c r="FB70" s="184"/>
      <c r="FC70" s="184"/>
      <c r="FD70" s="184"/>
      <c r="FE70" s="184"/>
      <c r="FF70" s="184"/>
      <c r="FG70" s="184"/>
      <c r="FH70" s="184"/>
      <c r="FI70" s="184"/>
      <c r="FJ70" s="184"/>
      <c r="FK70" s="184"/>
      <c r="FL70" s="184"/>
      <c r="FM70" s="184"/>
      <c r="FN70" s="184"/>
      <c r="FO70" s="184"/>
      <c r="FP70" s="184"/>
      <c r="FQ70" s="184"/>
      <c r="FR70" s="184"/>
      <c r="FS70" s="184"/>
      <c r="FT70" s="184"/>
      <c r="FU70" s="184"/>
      <c r="FV70" s="184"/>
      <c r="FW70" s="184"/>
      <c r="FX70" s="184"/>
      <c r="FY70" s="184"/>
      <c r="FZ70" s="184"/>
      <c r="GA70" s="184"/>
      <c r="GB70" s="184"/>
      <c r="GC70" s="184"/>
      <c r="GD70" s="184"/>
      <c r="GE70" s="184"/>
      <c r="GF70" s="184"/>
      <c r="GG70" s="184"/>
      <c r="GH70" s="184"/>
      <c r="GI70" s="184"/>
      <c r="GJ70" s="184"/>
      <c r="GK70" s="184"/>
      <c r="GL70" s="184"/>
      <c r="GM70" s="184"/>
      <c r="GN70" s="184"/>
      <c r="GO70" s="184"/>
      <c r="GP70" s="184"/>
      <c r="GQ70" s="184"/>
      <c r="GR70" s="184"/>
      <c r="GS70" s="184"/>
      <c r="GT70" s="184"/>
      <c r="GU70" s="184"/>
      <c r="GV70" s="184"/>
      <c r="GW70" s="184"/>
      <c r="GX70" s="184"/>
      <c r="GY70" s="184"/>
      <c r="GZ70" s="184"/>
      <c r="HA70" s="184"/>
      <c r="HB70" s="184"/>
      <c r="HC70" s="184"/>
      <c r="HD70" s="184"/>
      <c r="HE70" s="184"/>
      <c r="HF70" s="184"/>
      <c r="HG70" s="184"/>
      <c r="HH70" s="184"/>
      <c r="HI70" s="184"/>
      <c r="HJ70" s="184"/>
      <c r="HK70" s="184"/>
      <c r="HL70" s="184"/>
      <c r="HM70" s="184"/>
      <c r="HN70" s="184"/>
      <c r="HO70" s="184"/>
      <c r="HP70" s="184"/>
      <c r="HQ70" s="184"/>
      <c r="HR70" s="184"/>
      <c r="HS70" s="184"/>
      <c r="HT70" s="184"/>
      <c r="HU70" s="184"/>
      <c r="HV70" s="184"/>
      <c r="HW70" s="184"/>
      <c r="HX70" s="184"/>
      <c r="HY70" s="184"/>
      <c r="HZ70" s="184"/>
      <c r="IA70" s="184"/>
      <c r="IB70" s="184"/>
      <c r="IC70" s="184"/>
      <c r="ID70" s="184"/>
      <c r="IE70" s="184"/>
      <c r="IF70" s="184"/>
      <c r="IG70" s="184"/>
      <c r="IH70" s="184"/>
      <c r="II70" s="184"/>
      <c r="IJ70" s="184"/>
      <c r="IK70" s="184"/>
      <c r="IL70" s="184"/>
      <c r="IM70" s="184"/>
      <c r="IN70" s="184"/>
      <c r="IO70" s="184"/>
      <c r="IP70" s="184"/>
      <c r="IQ70" s="184"/>
      <c r="IR70" s="184"/>
      <c r="IS70" s="184"/>
      <c r="IT70" s="184"/>
      <c r="IU70" s="184"/>
      <c r="IV70" s="184"/>
      <c r="IW70" s="184"/>
    </row>
    <row r="71" customFormat="false" ht="12" hidden="false" customHeight="false" outlineLevel="0" collapsed="false">
      <c r="A71" s="140"/>
      <c r="B71" s="140"/>
      <c r="C71" s="172"/>
      <c r="D71" s="172"/>
      <c r="E71" s="185" t="s">
        <v>176</v>
      </c>
      <c r="F71" s="186"/>
      <c r="G71" s="187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88" t="n">
        <f aca="false">SUM(K78:V78)</f>
        <v>0.7933</v>
      </c>
      <c r="X71" s="188"/>
      <c r="Y71" s="174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0"/>
      <c r="FF71" s="140"/>
      <c r="FG71" s="140"/>
      <c r="FH71" s="140"/>
      <c r="FI71" s="140"/>
      <c r="FJ71" s="140"/>
      <c r="FK71" s="140"/>
      <c r="FL71" s="140"/>
      <c r="FM71" s="140"/>
      <c r="FN71" s="140"/>
      <c r="FO71" s="140"/>
      <c r="FP71" s="140"/>
      <c r="FQ71" s="140"/>
      <c r="FR71" s="140"/>
      <c r="FS71" s="140"/>
      <c r="FT71" s="140"/>
      <c r="FU71" s="140"/>
      <c r="FV71" s="140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</row>
    <row r="72" customFormat="false" ht="11.25" hidden="false" customHeight="false" outlineLevel="0" collapsed="false">
      <c r="A72" s="140"/>
      <c r="B72" s="140"/>
      <c r="C72" s="189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5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  <c r="IW72" s="140"/>
    </row>
    <row r="73" customFormat="false" ht="11.25" hidden="false" customHeight="false" outlineLevel="0" collapsed="false">
      <c r="A73" s="140"/>
      <c r="B73" s="190"/>
      <c r="C73" s="1" t="n">
        <v>0</v>
      </c>
      <c r="D73" s="1" t="n">
        <v>1</v>
      </c>
      <c r="E73" s="1" t="n">
        <v>2</v>
      </c>
      <c r="F73" s="1" t="n">
        <v>3</v>
      </c>
      <c r="G73" s="1" t="n">
        <v>4</v>
      </c>
      <c r="H73" s="1" t="n">
        <v>5</v>
      </c>
      <c r="I73" s="1" t="n">
        <v>6</v>
      </c>
      <c r="J73" s="1" t="n">
        <v>7</v>
      </c>
      <c r="K73" s="1" t="n">
        <v>8</v>
      </c>
      <c r="L73" s="1" t="n">
        <v>9</v>
      </c>
      <c r="M73" s="1" t="n">
        <v>10</v>
      </c>
      <c r="N73" s="1" t="n">
        <v>11</v>
      </c>
      <c r="O73" s="1" t="n">
        <v>12</v>
      </c>
      <c r="P73" s="1" t="n">
        <v>13</v>
      </c>
      <c r="Q73" s="1" t="n">
        <v>14</v>
      </c>
      <c r="R73" s="1" t="n">
        <v>15</v>
      </c>
      <c r="S73" s="1" t="n">
        <v>16</v>
      </c>
      <c r="T73" s="1" t="n">
        <v>17</v>
      </c>
      <c r="U73" s="1" t="n">
        <v>18</v>
      </c>
      <c r="V73" s="1" t="n">
        <v>19</v>
      </c>
      <c r="W73" s="1" t="n">
        <v>20</v>
      </c>
      <c r="Y73" s="15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0"/>
      <c r="FF73" s="140"/>
      <c r="FG73" s="140"/>
      <c r="FH73" s="140"/>
      <c r="FI73" s="140"/>
      <c r="FJ73" s="140"/>
      <c r="FK73" s="140"/>
      <c r="FL73" s="140"/>
      <c r="FM73" s="140"/>
      <c r="FN73" s="140"/>
      <c r="FO73" s="140"/>
      <c r="FP73" s="140"/>
      <c r="FQ73" s="140"/>
      <c r="FR73" s="140"/>
      <c r="FS73" s="140"/>
      <c r="FT73" s="140"/>
      <c r="FU73" s="140"/>
      <c r="FV73" s="140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  <c r="IW73" s="140"/>
    </row>
    <row r="74" customFormat="false" ht="11.25" hidden="false" customHeight="false" outlineLevel="0" collapsed="false">
      <c r="A74" s="129" t="s">
        <v>177</v>
      </c>
      <c r="B74" s="140"/>
      <c r="C74" s="189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5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</row>
    <row r="75" customFormat="false" ht="11.25" hidden="false" customHeight="false" outlineLevel="0" collapsed="false">
      <c r="A75" s="129" t="s">
        <v>178</v>
      </c>
      <c r="B75" s="140"/>
      <c r="C75" s="189"/>
      <c r="D75" s="167"/>
      <c r="E75" s="167"/>
      <c r="F75" s="167"/>
      <c r="G75" s="167"/>
      <c r="H75" s="167"/>
      <c r="I75" s="167"/>
      <c r="J75" s="179"/>
      <c r="K75" s="167" t="n">
        <f aca="false">J23+J24</f>
        <v>0</v>
      </c>
      <c r="L75" s="167" t="n">
        <f aca="false">+K75-K83</f>
        <v>0</v>
      </c>
      <c r="M75" s="167" t="n">
        <f aca="false">+L75-L83</f>
        <v>0</v>
      </c>
      <c r="N75" s="167" t="n">
        <f aca="false">+M75-M83</f>
        <v>0</v>
      </c>
      <c r="O75" s="167" t="n">
        <f aca="false">+N75-N83</f>
        <v>0</v>
      </c>
      <c r="P75" s="167" t="n">
        <f aca="false">+O75-O83</f>
        <v>0</v>
      </c>
      <c r="Q75" s="167" t="n">
        <f aca="false">+P75-P83</f>
        <v>0</v>
      </c>
      <c r="R75" s="167" t="n">
        <f aca="false">+Q75-Q83</f>
        <v>0</v>
      </c>
      <c r="S75" s="167" t="n">
        <f aca="false">+R75-R83</f>
        <v>0</v>
      </c>
      <c r="T75" s="167" t="n">
        <f aca="false">+S75-S83</f>
        <v>0</v>
      </c>
      <c r="U75" s="167" t="n">
        <f aca="false">+T75-T83</f>
        <v>0</v>
      </c>
      <c r="V75" s="167" t="n">
        <f aca="false">+U75-U83</f>
        <v>0</v>
      </c>
      <c r="W75" s="167" t="n">
        <f aca="false">+V75-V83</f>
        <v>0</v>
      </c>
      <c r="X75" s="167"/>
      <c r="Y75" s="191" t="n">
        <f aca="false">+W75-W83</f>
        <v>0</v>
      </c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  <c r="IW75" s="140"/>
    </row>
    <row r="76" customFormat="false" ht="11.25" hidden="false" customHeight="false" outlineLevel="0" collapsed="false">
      <c r="A76" s="129" t="s">
        <v>179</v>
      </c>
      <c r="B76" s="140"/>
      <c r="C76" s="189"/>
      <c r="D76" s="167"/>
      <c r="E76" s="167"/>
      <c r="F76" s="167"/>
      <c r="G76" s="167" t="n">
        <f aca="false">+F23+F24</f>
        <v>0</v>
      </c>
      <c r="H76" s="167" t="n">
        <f aca="false">+G76-G84</f>
        <v>0</v>
      </c>
      <c r="I76" s="167" t="n">
        <f aca="false">+H76-H84</f>
        <v>0</v>
      </c>
      <c r="J76" s="167" t="n">
        <f aca="false">+I76-I84</f>
        <v>0</v>
      </c>
      <c r="K76" s="167" t="n">
        <f aca="false">+J76-J84</f>
        <v>0</v>
      </c>
      <c r="L76" s="167" t="n">
        <f aca="false">+K76-K84</f>
        <v>0</v>
      </c>
      <c r="M76" s="167" t="n">
        <f aca="false">+L76-L84</f>
        <v>0</v>
      </c>
      <c r="N76" s="167" t="n">
        <f aca="false">+M76-M84</f>
        <v>0</v>
      </c>
      <c r="O76" s="167" t="n">
        <f aca="false">+N76-N84</f>
        <v>0</v>
      </c>
      <c r="P76" s="167" t="n">
        <f aca="false">+O76-O84</f>
        <v>0</v>
      </c>
      <c r="Q76" s="167" t="n">
        <f aca="false">+P76-P84</f>
        <v>0</v>
      </c>
      <c r="R76" s="167" t="n">
        <f aca="false">+Q76-Q84</f>
        <v>0</v>
      </c>
      <c r="S76" s="167" t="n">
        <f aca="false">+R76-R84</f>
        <v>0</v>
      </c>
      <c r="T76" s="167" t="n">
        <f aca="false">+S76-S84</f>
        <v>0</v>
      </c>
      <c r="U76" s="167" t="n">
        <f aca="false">+T76-T84</f>
        <v>0</v>
      </c>
      <c r="V76" s="167" t="n">
        <f aca="false">+U76-U84</f>
        <v>0</v>
      </c>
      <c r="W76" s="167" t="n">
        <f aca="false">+V76-V84</f>
        <v>0</v>
      </c>
      <c r="X76" s="167"/>
      <c r="Y76" s="191" t="n">
        <f aca="false">+W76-W84</f>
        <v>0</v>
      </c>
      <c r="Z76" s="160" t="s">
        <v>164</v>
      </c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  <c r="IW76" s="140"/>
    </row>
    <row r="77" customFormat="false" ht="11.25" hidden="false" customHeight="false" outlineLevel="0" collapsed="false">
      <c r="A77" s="129" t="s">
        <v>180</v>
      </c>
      <c r="B77" s="192"/>
      <c r="C77" s="167"/>
      <c r="D77" s="167" t="n">
        <f aca="false">(C23+C24)</f>
        <v>14800000</v>
      </c>
      <c r="E77" s="167" t="n">
        <f aca="false">D77-D85</f>
        <v>14060000</v>
      </c>
      <c r="F77" s="167" t="n">
        <f aca="false">E77-E85</f>
        <v>12654000</v>
      </c>
      <c r="G77" s="167" t="n">
        <f aca="false">F77-F85</f>
        <v>11388600</v>
      </c>
      <c r="H77" s="167" t="n">
        <f aca="false">G77-G85</f>
        <v>10249000</v>
      </c>
      <c r="I77" s="167" t="n">
        <f aca="false">H77-H85</f>
        <v>9223360</v>
      </c>
      <c r="J77" s="167" t="n">
        <f aca="false">I77-I85</f>
        <v>8301320</v>
      </c>
      <c r="K77" s="167" t="n">
        <f aca="false">J77-J85</f>
        <v>0</v>
      </c>
      <c r="L77" s="167" t="n">
        <f aca="false">K77-K85</f>
        <v>0</v>
      </c>
      <c r="M77" s="167" t="n">
        <f aca="false">L77-L85</f>
        <v>0</v>
      </c>
      <c r="N77" s="167" t="n">
        <f aca="false">M77-M85</f>
        <v>0</v>
      </c>
      <c r="O77" s="167" t="n">
        <f aca="false">N77-N85</f>
        <v>0</v>
      </c>
      <c r="P77" s="167" t="n">
        <f aca="false">O77-O85</f>
        <v>0</v>
      </c>
      <c r="Q77" s="167" t="n">
        <f aca="false">P77-P85</f>
        <v>0</v>
      </c>
      <c r="R77" s="167" t="n">
        <f aca="false">Q77-Q85</f>
        <v>0</v>
      </c>
      <c r="S77" s="167" t="n">
        <f aca="false">R77-R85</f>
        <v>0</v>
      </c>
      <c r="T77" s="167" t="n">
        <f aca="false">S77-S85</f>
        <v>0</v>
      </c>
      <c r="U77" s="167" t="n">
        <f aca="false">T77-T85</f>
        <v>0</v>
      </c>
      <c r="V77" s="167" t="n">
        <f aca="false">U77-U85</f>
        <v>0</v>
      </c>
      <c r="W77" s="167" t="n">
        <f aca="false">V77-V85</f>
        <v>0</v>
      </c>
      <c r="X77" s="167"/>
      <c r="Y77" s="191" t="n">
        <f aca="false">+W77-W85</f>
        <v>0</v>
      </c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</row>
    <row r="78" customFormat="false" ht="11.25" hidden="false" customHeight="false" outlineLevel="0" collapsed="false">
      <c r="A78" s="129" t="s">
        <v>181</v>
      </c>
      <c r="B78" s="192"/>
      <c r="C78" s="193"/>
      <c r="D78" s="193"/>
      <c r="E78" s="193"/>
      <c r="F78" s="193"/>
      <c r="G78" s="193"/>
      <c r="H78" s="193"/>
      <c r="I78" s="193"/>
      <c r="J78" s="179"/>
      <c r="K78" s="193" t="n">
        <v>0.05</v>
      </c>
      <c r="L78" s="193" t="n">
        <v>0.095</v>
      </c>
      <c r="M78" s="193" t="n">
        <v>0.0855</v>
      </c>
      <c r="N78" s="193" t="n">
        <v>0.077</v>
      </c>
      <c r="O78" s="193" t="n">
        <v>0.0693</v>
      </c>
      <c r="P78" s="193" t="n">
        <v>0.0623</v>
      </c>
      <c r="Q78" s="193" t="n">
        <v>0.059</v>
      </c>
      <c r="R78" s="193" t="n">
        <v>0.059</v>
      </c>
      <c r="S78" s="193" t="n">
        <v>0.0591</v>
      </c>
      <c r="T78" s="193" t="n">
        <v>0.059</v>
      </c>
      <c r="U78" s="193" t="n">
        <v>0.0591</v>
      </c>
      <c r="V78" s="193" t="n">
        <v>0.059</v>
      </c>
      <c r="W78" s="193" t="n">
        <f aca="false">1-0.7933</f>
        <v>0.2067</v>
      </c>
      <c r="X78" s="193"/>
      <c r="Y78" s="193"/>
      <c r="Z78" s="194"/>
      <c r="AA78" s="194"/>
      <c r="AB78" s="194"/>
      <c r="AC78" s="194"/>
      <c r="AD78" s="194"/>
      <c r="AE78" s="194"/>
      <c r="AF78" s="195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  <c r="IW78" s="140"/>
    </row>
    <row r="79" customFormat="false" ht="11.25" hidden="false" customHeight="false" outlineLevel="0" collapsed="false">
      <c r="A79" s="129" t="s">
        <v>182</v>
      </c>
      <c r="B79" s="192"/>
      <c r="C79" s="193"/>
      <c r="D79" s="193"/>
      <c r="E79" s="193"/>
      <c r="F79" s="179"/>
      <c r="G79" s="193" t="n">
        <v>0.05</v>
      </c>
      <c r="H79" s="193" t="n">
        <v>0.095</v>
      </c>
      <c r="I79" s="193" t="n">
        <v>0.0855</v>
      </c>
      <c r="J79" s="193" t="n">
        <v>0.077</v>
      </c>
      <c r="K79" s="193" t="n">
        <v>0.0693</v>
      </c>
      <c r="L79" s="193" t="n">
        <v>0.0623</v>
      </c>
      <c r="M79" s="193" t="n">
        <v>0.059</v>
      </c>
      <c r="N79" s="193" t="n">
        <v>0.059</v>
      </c>
      <c r="O79" s="193" t="n">
        <v>0.0591</v>
      </c>
      <c r="P79" s="193" t="n">
        <v>0.059</v>
      </c>
      <c r="Q79" s="193" t="n">
        <v>0.0591</v>
      </c>
      <c r="R79" s="193" t="n">
        <v>0.059</v>
      </c>
      <c r="S79" s="193" t="n">
        <v>0.0591</v>
      </c>
      <c r="T79" s="193" t="n">
        <v>0.059</v>
      </c>
      <c r="U79" s="193" t="n">
        <v>0.0591</v>
      </c>
      <c r="V79" s="193" t="n">
        <v>0.0295</v>
      </c>
      <c r="W79" s="193" t="n">
        <v>0</v>
      </c>
      <c r="X79" s="193"/>
      <c r="Y79" s="193"/>
      <c r="Z79" s="194"/>
      <c r="AA79" s="194"/>
      <c r="AB79" s="195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  <c r="IA79" s="140"/>
      <c r="IB79" s="140"/>
      <c r="IC79" s="140"/>
      <c r="ID79" s="140"/>
      <c r="IE79" s="140"/>
      <c r="IF79" s="140"/>
      <c r="IG79" s="140"/>
      <c r="IH79" s="140"/>
      <c r="II79" s="140"/>
      <c r="IJ79" s="140"/>
      <c r="IK79" s="140"/>
      <c r="IL79" s="140"/>
      <c r="IM79" s="140"/>
      <c r="IN79" s="140"/>
      <c r="IO79" s="140"/>
      <c r="IP79" s="140"/>
      <c r="IQ79" s="140"/>
      <c r="IR79" s="140"/>
      <c r="IS79" s="140"/>
      <c r="IT79" s="140"/>
      <c r="IU79" s="140"/>
      <c r="IV79" s="140"/>
      <c r="IW79" s="140"/>
    </row>
    <row r="80" customFormat="false" ht="11.25" hidden="false" customHeight="false" outlineLevel="0" collapsed="false">
      <c r="A80" s="129" t="s">
        <v>183</v>
      </c>
      <c r="B80" s="192"/>
      <c r="C80" s="179"/>
      <c r="D80" s="193" t="n">
        <v>0.05</v>
      </c>
      <c r="E80" s="193" t="n">
        <v>0.095</v>
      </c>
      <c r="F80" s="193" t="n">
        <v>0.0855</v>
      </c>
      <c r="G80" s="193" t="n">
        <v>0.077</v>
      </c>
      <c r="H80" s="193" t="n">
        <v>0.0693</v>
      </c>
      <c r="I80" s="193" t="n">
        <v>0.0623</v>
      </c>
      <c r="J80" s="193" t="n">
        <v>0.059</v>
      </c>
      <c r="K80" s="193" t="n">
        <v>0.059</v>
      </c>
      <c r="L80" s="193" t="n">
        <v>0.0591</v>
      </c>
      <c r="M80" s="193" t="n">
        <v>0.059</v>
      </c>
      <c r="N80" s="193" t="n">
        <v>0.0591</v>
      </c>
      <c r="O80" s="193" t="n">
        <v>0.059</v>
      </c>
      <c r="P80" s="193" t="n">
        <v>0.0591</v>
      </c>
      <c r="Q80" s="193" t="n">
        <v>0.059</v>
      </c>
      <c r="R80" s="193" t="n">
        <v>0.0591</v>
      </c>
      <c r="S80" s="193" t="n">
        <v>0.0295</v>
      </c>
      <c r="T80" s="193" t="n">
        <v>0</v>
      </c>
      <c r="U80" s="193" t="n">
        <v>0</v>
      </c>
      <c r="V80" s="193" t="n">
        <v>0</v>
      </c>
      <c r="W80" s="193" t="n">
        <v>0</v>
      </c>
      <c r="X80" s="193"/>
      <c r="Y80" s="149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/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</row>
    <row r="81" customFormat="false" ht="11.25" hidden="false" customHeight="false" outlineLevel="0" collapsed="false">
      <c r="A81" s="129"/>
      <c r="B81" s="192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49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0"/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/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/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</row>
    <row r="82" customFormat="false" ht="11.25" hidden="false" customHeight="false" outlineLevel="0" collapsed="false">
      <c r="A82" s="129" t="s">
        <v>184</v>
      </c>
      <c r="B82" s="190"/>
      <c r="C82" s="167"/>
      <c r="D82" s="167"/>
      <c r="E82" s="167"/>
      <c r="F82" s="167"/>
      <c r="G82" s="167"/>
      <c r="H82" s="167"/>
      <c r="I82" s="167"/>
      <c r="J82" s="167"/>
      <c r="K82" s="16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62" t="n">
        <f aca="false">SUM(C82:W82)</f>
        <v>0</v>
      </c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0"/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0"/>
      <c r="DR82" s="140"/>
      <c r="DS82" s="140"/>
      <c r="DT82" s="140"/>
      <c r="DU82" s="140"/>
      <c r="DV82" s="140"/>
      <c r="DW82" s="140"/>
      <c r="DX82" s="140"/>
      <c r="DY82" s="140"/>
      <c r="DZ82" s="140"/>
      <c r="EA82" s="140"/>
      <c r="EB82" s="140"/>
      <c r="EC82" s="140"/>
      <c r="ED82" s="140"/>
      <c r="EE82" s="140"/>
      <c r="EF82" s="140"/>
      <c r="EG82" s="140"/>
      <c r="EH82" s="140"/>
      <c r="EI82" s="140"/>
      <c r="EJ82" s="140"/>
      <c r="EK82" s="140"/>
      <c r="EL82" s="140"/>
      <c r="EM82" s="140"/>
      <c r="EN82" s="140"/>
      <c r="EO82" s="140"/>
      <c r="EP82" s="140"/>
      <c r="EQ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  <c r="GK82" s="140"/>
      <c r="GL82" s="140"/>
      <c r="GM82" s="140"/>
      <c r="GN82" s="140"/>
      <c r="GO82" s="140"/>
      <c r="GP82" s="140"/>
      <c r="GQ82" s="140"/>
      <c r="GR82" s="140"/>
      <c r="GS82" s="140"/>
      <c r="GT82" s="140"/>
      <c r="GU82" s="140"/>
      <c r="GV82" s="140"/>
      <c r="GW82" s="140"/>
      <c r="GX82" s="140"/>
      <c r="GY82" s="140"/>
      <c r="GZ82" s="140"/>
      <c r="HA82" s="140"/>
      <c r="HB82" s="140"/>
      <c r="HC82" s="140"/>
      <c r="HD82" s="140"/>
      <c r="HE82" s="140"/>
      <c r="HF82" s="140"/>
      <c r="HG82" s="140"/>
      <c r="HH82" s="140"/>
      <c r="HI82" s="140"/>
      <c r="HJ82" s="140"/>
      <c r="HK82" s="140"/>
      <c r="HL82" s="140"/>
      <c r="HM82" s="140"/>
      <c r="HN82" s="140"/>
      <c r="HO82" s="140"/>
      <c r="HP82" s="140"/>
      <c r="HQ82" s="140"/>
      <c r="HR82" s="140"/>
      <c r="HS82" s="140"/>
      <c r="HT82" s="140"/>
      <c r="HU82" s="140"/>
      <c r="HV82" s="140"/>
      <c r="HW82" s="140"/>
      <c r="HX82" s="140"/>
      <c r="HY82" s="140"/>
      <c r="HZ82" s="140"/>
      <c r="IA82" s="140"/>
      <c r="IB82" s="140"/>
      <c r="IC82" s="140"/>
      <c r="ID82" s="140"/>
      <c r="IE82" s="140"/>
      <c r="IF82" s="140"/>
      <c r="IG82" s="140"/>
      <c r="IH82" s="140"/>
      <c r="II82" s="140"/>
      <c r="IJ82" s="140"/>
      <c r="IK82" s="140"/>
      <c r="IL82" s="140"/>
      <c r="IM82" s="140"/>
      <c r="IN82" s="140"/>
      <c r="IO82" s="140"/>
      <c r="IP82" s="140"/>
      <c r="IQ82" s="140"/>
      <c r="IR82" s="140"/>
      <c r="IS82" s="140"/>
      <c r="IT82" s="140"/>
      <c r="IU82" s="140"/>
      <c r="IV82" s="140"/>
      <c r="IW82" s="140"/>
    </row>
    <row r="83" customFormat="false" ht="11.25" hidden="false" customHeight="false" outlineLevel="0" collapsed="false">
      <c r="A83" s="129" t="s">
        <v>185</v>
      </c>
      <c r="B83" s="190"/>
      <c r="C83" s="167"/>
      <c r="D83" s="167"/>
      <c r="E83" s="167"/>
      <c r="F83" s="167"/>
      <c r="G83" s="167"/>
      <c r="H83" s="167"/>
      <c r="I83" s="167"/>
      <c r="J83" s="167"/>
      <c r="K83" s="167" t="n">
        <f aca="false">($J$23+$J$24)*K78</f>
        <v>0</v>
      </c>
      <c r="L83" s="167" t="n">
        <f aca="false">($J$23+$J$24)*L78</f>
        <v>0</v>
      </c>
      <c r="M83" s="167" t="n">
        <f aca="false">($J$23+$J$24)*M78</f>
        <v>0</v>
      </c>
      <c r="N83" s="167" t="n">
        <f aca="false">($J$23+$J$24)*N78</f>
        <v>0</v>
      </c>
      <c r="O83" s="167" t="n">
        <f aca="false">($J$23+$J$24)*O78</f>
        <v>0</v>
      </c>
      <c r="P83" s="167" t="n">
        <f aca="false">($J$23+$J$24)*P78</f>
        <v>0</v>
      </c>
      <c r="Q83" s="167" t="n">
        <f aca="false">($J$23+$J$24)*Q78</f>
        <v>0</v>
      </c>
      <c r="R83" s="167" t="n">
        <f aca="false">($J$23+$J$24)*R78</f>
        <v>0</v>
      </c>
      <c r="S83" s="167" t="n">
        <f aca="false">+S75</f>
        <v>0</v>
      </c>
      <c r="T83" s="167" t="n">
        <f aca="false">($J$23+$J$24)*T78</f>
        <v>0</v>
      </c>
      <c r="U83" s="167" t="n">
        <f aca="false">+U75</f>
        <v>0</v>
      </c>
      <c r="V83" s="167" t="n">
        <f aca="false">($J$23+$J$24)*V78</f>
        <v>0</v>
      </c>
      <c r="W83" s="167" t="n">
        <f aca="false">+W75</f>
        <v>0</v>
      </c>
      <c r="X83" s="167"/>
      <c r="Y83" s="162" t="n">
        <f aca="false">SUM(C83:W83)</f>
        <v>0</v>
      </c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0"/>
      <c r="GD83" s="140"/>
      <c r="GE83" s="140"/>
      <c r="GF83" s="140"/>
      <c r="GG83" s="140"/>
      <c r="GH83" s="140"/>
      <c r="GI83" s="140"/>
      <c r="GJ83" s="140"/>
      <c r="GK83" s="140"/>
      <c r="GL83" s="140"/>
      <c r="GM83" s="140"/>
      <c r="GN83" s="140"/>
      <c r="GO83" s="140"/>
      <c r="GP83" s="140"/>
      <c r="GQ83" s="140"/>
      <c r="GR83" s="140"/>
      <c r="GS83" s="140"/>
      <c r="GT83" s="140"/>
      <c r="GU83" s="140"/>
      <c r="GV83" s="140"/>
      <c r="GW83" s="140"/>
      <c r="GX83" s="140"/>
      <c r="GY83" s="140"/>
      <c r="GZ83" s="140"/>
      <c r="HA83" s="140"/>
      <c r="HB83" s="140"/>
      <c r="HC83" s="140"/>
      <c r="HD83" s="140"/>
      <c r="HE83" s="140"/>
      <c r="HF83" s="140"/>
      <c r="HG83" s="140"/>
      <c r="HH83" s="140"/>
      <c r="HI83" s="140"/>
      <c r="HJ83" s="140"/>
      <c r="HK83" s="140"/>
      <c r="HL83" s="140"/>
      <c r="HM83" s="140"/>
      <c r="HN83" s="140"/>
      <c r="HO83" s="140"/>
      <c r="HP83" s="140"/>
      <c r="HQ83" s="140"/>
      <c r="HR83" s="140"/>
      <c r="HS83" s="140"/>
      <c r="HT83" s="140"/>
      <c r="HU83" s="140"/>
      <c r="HV83" s="140"/>
      <c r="HW83" s="140"/>
      <c r="HX83" s="140"/>
      <c r="HY83" s="140"/>
      <c r="HZ83" s="140"/>
      <c r="IA83" s="140"/>
      <c r="IB83" s="140"/>
      <c r="IC83" s="140"/>
      <c r="ID83" s="140"/>
      <c r="IE83" s="140"/>
      <c r="IF83" s="140"/>
      <c r="IG83" s="140"/>
      <c r="IH83" s="140"/>
      <c r="II83" s="140"/>
      <c r="IJ83" s="140"/>
      <c r="IK83" s="140"/>
      <c r="IL83" s="140"/>
      <c r="IM83" s="140"/>
      <c r="IN83" s="140"/>
      <c r="IO83" s="140"/>
      <c r="IP83" s="140"/>
      <c r="IQ83" s="140"/>
      <c r="IR83" s="140"/>
      <c r="IS83" s="140"/>
      <c r="IT83" s="140"/>
      <c r="IU83" s="140"/>
      <c r="IV83" s="140"/>
      <c r="IW83" s="140"/>
    </row>
    <row r="84" customFormat="false" ht="11.25" hidden="false" customHeight="false" outlineLevel="0" collapsed="false">
      <c r="A84" s="129" t="s">
        <v>186</v>
      </c>
      <c r="B84" s="190"/>
      <c r="C84" s="167"/>
      <c r="D84" s="167"/>
      <c r="E84" s="167"/>
      <c r="F84" s="179"/>
      <c r="G84" s="167" t="n">
        <f aca="false">($F$23+$F$24)*G79</f>
        <v>0</v>
      </c>
      <c r="H84" s="167" t="n">
        <f aca="false">($F$23+$F$24)*H79</f>
        <v>0</v>
      </c>
      <c r="I84" s="167" t="n">
        <f aca="false">($F$23+$F$24)*I79</f>
        <v>0</v>
      </c>
      <c r="J84" s="167" t="n">
        <f aca="false">($F$23+$F$24)*J79</f>
        <v>0</v>
      </c>
      <c r="K84" s="167" t="n">
        <f aca="false">($F$23+$F$24)*K79</f>
        <v>0</v>
      </c>
      <c r="L84" s="167" t="n">
        <f aca="false">($F$23+$F$24)*L79</f>
        <v>0</v>
      </c>
      <c r="M84" s="167" t="n">
        <f aca="false">+M76</f>
        <v>0</v>
      </c>
      <c r="N84" s="167" t="n">
        <f aca="false">+N76</f>
        <v>0</v>
      </c>
      <c r="O84" s="167" t="n">
        <f aca="false">+O76</f>
        <v>0</v>
      </c>
      <c r="P84" s="167" t="n">
        <f aca="false">+P76</f>
        <v>0</v>
      </c>
      <c r="Q84" s="167" t="n">
        <f aca="false">+Q76</f>
        <v>0</v>
      </c>
      <c r="R84" s="167" t="n">
        <f aca="false">+R76</f>
        <v>0</v>
      </c>
      <c r="S84" s="167" t="n">
        <f aca="false">+S76</f>
        <v>0</v>
      </c>
      <c r="T84" s="167" t="n">
        <f aca="false">+T76</f>
        <v>0</v>
      </c>
      <c r="U84" s="167" t="n">
        <f aca="false">+U76</f>
        <v>0</v>
      </c>
      <c r="V84" s="167" t="n">
        <f aca="false">+V76</f>
        <v>0</v>
      </c>
      <c r="W84" s="167" t="n">
        <f aca="false">+W76</f>
        <v>0</v>
      </c>
      <c r="X84" s="167"/>
      <c r="Y84" s="162" t="n">
        <f aca="false">SUM(C84:W84)</f>
        <v>0</v>
      </c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0"/>
      <c r="DR84" s="140"/>
      <c r="DS84" s="140"/>
      <c r="DT84" s="140"/>
      <c r="DU84" s="140"/>
      <c r="DV84" s="140"/>
      <c r="DW84" s="140"/>
      <c r="DX84" s="140"/>
      <c r="DY84" s="140"/>
      <c r="DZ84" s="140"/>
      <c r="EA84" s="140"/>
      <c r="EB84" s="140"/>
      <c r="EC84" s="140"/>
      <c r="ED84" s="140"/>
      <c r="EE84" s="140"/>
      <c r="EF84" s="140"/>
      <c r="EG84" s="140"/>
      <c r="EH84" s="140"/>
      <c r="EI84" s="140"/>
      <c r="EJ84" s="140"/>
      <c r="EK84" s="140"/>
      <c r="EL84" s="140"/>
      <c r="EM84" s="140"/>
      <c r="EN84" s="140"/>
      <c r="EO84" s="140"/>
      <c r="EP84" s="140"/>
      <c r="EQ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  <c r="FD84" s="140"/>
      <c r="FE84" s="140"/>
      <c r="FF84" s="140"/>
      <c r="FG84" s="140"/>
      <c r="FH84" s="140"/>
      <c r="FI84" s="140"/>
      <c r="FJ84" s="140"/>
      <c r="FK84" s="140"/>
      <c r="FL84" s="140"/>
      <c r="FM84" s="140"/>
      <c r="FN84" s="140"/>
      <c r="FO84" s="140"/>
      <c r="FP84" s="140"/>
      <c r="FQ84" s="140"/>
      <c r="FR84" s="140"/>
      <c r="FS84" s="140"/>
      <c r="FT84" s="140"/>
      <c r="FU84" s="140"/>
      <c r="FV84" s="140"/>
      <c r="FW84" s="140"/>
      <c r="FX84" s="140"/>
      <c r="FY84" s="140"/>
      <c r="FZ84" s="140"/>
      <c r="GA84" s="140"/>
      <c r="GB84" s="140"/>
      <c r="GC84" s="140"/>
      <c r="GD84" s="140"/>
      <c r="GE84" s="140"/>
      <c r="GF84" s="140"/>
      <c r="GG84" s="140"/>
      <c r="GH84" s="140"/>
      <c r="GI84" s="140"/>
      <c r="GJ84" s="140"/>
      <c r="GK84" s="140"/>
      <c r="GL84" s="140"/>
      <c r="GM84" s="140"/>
      <c r="GN84" s="140"/>
      <c r="GO84" s="140"/>
      <c r="GP84" s="140"/>
      <c r="GQ84" s="140"/>
      <c r="GR84" s="140"/>
      <c r="GS84" s="140"/>
      <c r="GT84" s="140"/>
      <c r="GU84" s="140"/>
      <c r="GV84" s="140"/>
      <c r="GW84" s="140"/>
      <c r="GX84" s="140"/>
      <c r="GY84" s="140"/>
      <c r="GZ84" s="140"/>
      <c r="HA84" s="140"/>
      <c r="HB84" s="140"/>
      <c r="HC84" s="140"/>
      <c r="HD84" s="140"/>
      <c r="HE84" s="140"/>
      <c r="HF84" s="140"/>
      <c r="HG84" s="140"/>
      <c r="HH84" s="140"/>
      <c r="HI84" s="140"/>
      <c r="HJ84" s="140"/>
      <c r="HK84" s="140"/>
      <c r="HL84" s="140"/>
      <c r="HM84" s="140"/>
      <c r="HN84" s="140"/>
      <c r="HO84" s="140"/>
      <c r="HP84" s="140"/>
      <c r="HQ84" s="140"/>
      <c r="HR84" s="140"/>
      <c r="HS84" s="140"/>
      <c r="HT84" s="140"/>
      <c r="HU84" s="140"/>
      <c r="HV84" s="140"/>
      <c r="HW84" s="140"/>
      <c r="HX84" s="140"/>
      <c r="HY84" s="140"/>
      <c r="HZ84" s="140"/>
      <c r="IA84" s="140"/>
      <c r="IB84" s="140"/>
      <c r="IC84" s="140"/>
      <c r="ID84" s="140"/>
      <c r="IE84" s="140"/>
      <c r="IF84" s="140"/>
      <c r="IG84" s="140"/>
      <c r="IH84" s="140"/>
      <c r="II84" s="140"/>
      <c r="IJ84" s="140"/>
      <c r="IK84" s="140"/>
      <c r="IL84" s="140"/>
      <c r="IM84" s="140"/>
      <c r="IN84" s="140"/>
      <c r="IO84" s="140"/>
      <c r="IP84" s="140"/>
      <c r="IQ84" s="140"/>
      <c r="IR84" s="140"/>
      <c r="IS84" s="140"/>
      <c r="IT84" s="140"/>
      <c r="IU84" s="140"/>
      <c r="IV84" s="140"/>
      <c r="IW84" s="140"/>
    </row>
    <row r="85" customFormat="false" ht="11.25" hidden="false" customHeight="false" outlineLevel="0" collapsed="false">
      <c r="A85" s="129" t="s">
        <v>187</v>
      </c>
      <c r="B85" s="184"/>
      <c r="C85" s="179" t="n">
        <v>0</v>
      </c>
      <c r="D85" s="167" t="n">
        <f aca="false">IF('Input Sheet'!$G$49-Model!D1&lt;=0,D77,D80*$D$77)</f>
        <v>740000</v>
      </c>
      <c r="E85" s="167" t="n">
        <f aca="false">IF('Input Sheet'!$G$49-Model!E1&lt;=0,E77,E80*$D$77)</f>
        <v>1406000</v>
      </c>
      <c r="F85" s="167" t="n">
        <f aca="false">IF('Input Sheet'!$G$49-Model!F1&lt;=0,F77,F80*$D$77)</f>
        <v>1265400</v>
      </c>
      <c r="G85" s="167" t="n">
        <f aca="false">IF('Input Sheet'!$G$49-Model!G1&lt;=0,G77,G80*$D$77)</f>
        <v>1139600</v>
      </c>
      <c r="H85" s="167" t="n">
        <f aca="false">IF('Input Sheet'!$G$49-Model!H1&lt;=0,H77,H80*$D$77)</f>
        <v>1025640</v>
      </c>
      <c r="I85" s="167" t="n">
        <f aca="false">IF('Input Sheet'!$G$49-Model!I1&lt;=0,I77,I80*$D$77)</f>
        <v>922040</v>
      </c>
      <c r="J85" s="167" t="n">
        <f aca="false">IF('Input Sheet'!$G$49-Model!J1&lt;=0,J77,J80*$D$77)</f>
        <v>8301320</v>
      </c>
      <c r="K85" s="167" t="n">
        <f aca="false">IF('Input Sheet'!$G$49-Model!K1&lt;=0,K77,K80*$D$77)</f>
        <v>0</v>
      </c>
      <c r="L85" s="167" t="n">
        <f aca="false">IF('Input Sheet'!$G$49-Model!L1&lt;=0,L77,L80*$D$77)</f>
        <v>0</v>
      </c>
      <c r="M85" s="167" t="n">
        <f aca="false">IF('Input Sheet'!$G$49-Model!M1&lt;=0,M77,M80*$D$77)</f>
        <v>0</v>
      </c>
      <c r="N85" s="167" t="n">
        <f aca="false">IF('Input Sheet'!$G$49-Model!N1&lt;=0,N77,N80*$D$77)</f>
        <v>0</v>
      </c>
      <c r="O85" s="167" t="n">
        <f aca="false">IF('Input Sheet'!$G$49-Model!O1&lt;=0,O77,O80*$D$77)</f>
        <v>0</v>
      </c>
      <c r="P85" s="167" t="n">
        <f aca="false">IF('Input Sheet'!$G$49-Model!P1&lt;=0,P77,P80*$D$77)</f>
        <v>0</v>
      </c>
      <c r="Q85" s="167" t="n">
        <f aca="false">IF('Input Sheet'!$G$49-Model!Q1&lt;=0,Q77,Q80*$D$77)</f>
        <v>0</v>
      </c>
      <c r="R85" s="167" t="n">
        <f aca="false">IF('Input Sheet'!$G$49-Model!R1&lt;=0,R77,R80*$D$77)</f>
        <v>0</v>
      </c>
      <c r="S85" s="167" t="n">
        <f aca="false">IF('Input Sheet'!$G$49-Model!S1&lt;=0,S77,S80*$D$77)</f>
        <v>0</v>
      </c>
      <c r="T85" s="167" t="n">
        <f aca="false">IF('Input Sheet'!$G$49-Model!T1&lt;=0,T77,T80*$D$77)</f>
        <v>0</v>
      </c>
      <c r="U85" s="167" t="n">
        <f aca="false">IF('Input Sheet'!$G$49-Model!U1&lt;=0,U77,U80*$D$77)</f>
        <v>0</v>
      </c>
      <c r="V85" s="167" t="n">
        <f aca="false">IF('Input Sheet'!$G$49-Model!V1&lt;=0,V77,V80*$D$77)</f>
        <v>0</v>
      </c>
      <c r="W85" s="167" t="n">
        <f aca="false">IF('Input Sheet'!$G$49-Model!W1&lt;=0,W77,W80*$D$77)</f>
        <v>0</v>
      </c>
      <c r="X85" s="167"/>
      <c r="Y85" s="162" t="n">
        <f aca="false">SUM(C85:W85)</f>
        <v>14800000</v>
      </c>
      <c r="Z85" s="195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  <c r="IA85" s="140"/>
      <c r="IB85" s="140"/>
      <c r="IC85" s="140"/>
      <c r="ID85" s="140"/>
      <c r="IE85" s="140"/>
      <c r="IF85" s="140"/>
      <c r="IG85" s="140"/>
      <c r="IH85" s="140"/>
      <c r="II85" s="140"/>
      <c r="IJ85" s="140"/>
      <c r="IK85" s="140"/>
      <c r="IL85" s="140"/>
      <c r="IM85" s="140"/>
      <c r="IN85" s="140"/>
      <c r="IO85" s="140"/>
      <c r="IP85" s="140"/>
      <c r="IQ85" s="140"/>
      <c r="IR85" s="140"/>
      <c r="IS85" s="140"/>
      <c r="IT85" s="140"/>
      <c r="IU85" s="140"/>
      <c r="IV85" s="140"/>
      <c r="IW85" s="140"/>
    </row>
    <row r="86" customFormat="false" ht="11.25" hidden="false" customHeight="false" outlineLevel="0" collapsed="false">
      <c r="A86" s="196" t="s">
        <v>188</v>
      </c>
      <c r="B86" s="197"/>
      <c r="C86" s="198" t="n">
        <v>0</v>
      </c>
      <c r="D86" s="198" t="n">
        <f aca="false">IF(E1=$F$6,MAX(D85,D82),D85)</f>
        <v>740000</v>
      </c>
      <c r="E86" s="198" t="n">
        <f aca="false">IF(F1=$F$6,MAX(E85,E82),E85)</f>
        <v>1406000</v>
      </c>
      <c r="F86" s="198" t="n">
        <f aca="false">IF(G1=$F$6,MAX(F85,F82),F85)</f>
        <v>1265400</v>
      </c>
      <c r="G86" s="198" t="n">
        <f aca="false">IF(H1=$F$6,MAX(G85,G82),G85)</f>
        <v>1139600</v>
      </c>
      <c r="H86" s="198" t="n">
        <f aca="false">IF(I1=$F$6,MAX(H85,H82),H85)</f>
        <v>1025640</v>
      </c>
      <c r="I86" s="198" t="n">
        <f aca="false">IF(J1=$F$6,MAX(I85,I82),I85)</f>
        <v>922040</v>
      </c>
      <c r="J86" s="198" t="n">
        <f aca="false">IF(K1=$F$6,MAX(J85,J82),J85)</f>
        <v>8301320</v>
      </c>
      <c r="K86" s="198" t="n">
        <f aca="false">IF(L1=$F$6,MAX(K85,K82),K85)</f>
        <v>0</v>
      </c>
      <c r="L86" s="198" t="n">
        <f aca="false">IF(M1=$F$6,MAX(L85,L82),L85)</f>
        <v>0</v>
      </c>
      <c r="M86" s="198" t="n">
        <f aca="false">IF(N1=$F$6,MAX(M85,M82),M85)</f>
        <v>0</v>
      </c>
      <c r="N86" s="198" t="n">
        <f aca="false">IF(O1=$F$6,MAX(N85,N82),N85)</f>
        <v>0</v>
      </c>
      <c r="O86" s="198" t="n">
        <f aca="false">IF(P1=$F$6,MAX(O85,O82),O85)</f>
        <v>0</v>
      </c>
      <c r="P86" s="198" t="n">
        <f aca="false">IF(Q1=$F$6,MAX(P85,P82),P85)</f>
        <v>0</v>
      </c>
      <c r="Q86" s="198" t="n">
        <f aca="false">IF(R1=$F$6,MAX(Q85,Q82),Q85)</f>
        <v>0</v>
      </c>
      <c r="R86" s="198" t="n">
        <f aca="false">IF(S1=$F$6,MAX(R85,R82),R85)</f>
        <v>0</v>
      </c>
      <c r="S86" s="198" t="n">
        <f aca="false">IF(T1=$F$6,MAX(S85,S82),S85)</f>
        <v>0</v>
      </c>
      <c r="T86" s="198" t="n">
        <f aca="false">IF(U1=$F$6,MAX(T85,T82),T85)</f>
        <v>0</v>
      </c>
      <c r="U86" s="198" t="n">
        <f aca="false">IF(V1=$F$6,MAX(U85,U82),U85)</f>
        <v>0</v>
      </c>
      <c r="V86" s="198" t="n">
        <f aca="false">IF(W1=$F$6,MAX(V85,V82),V85)</f>
        <v>0</v>
      </c>
      <c r="W86" s="198" t="n">
        <f aca="false">IF(X1=$F$6,MAX(W85,W82),W85)</f>
        <v>0</v>
      </c>
      <c r="X86" s="198"/>
      <c r="Y86" s="198" t="n">
        <f aca="false">SUM(Y83:Y85)</f>
        <v>14800000</v>
      </c>
      <c r="Z86" s="199" t="n">
        <f aca="false">+Y86-Y23-Y24</f>
        <v>0</v>
      </c>
      <c r="AA86" s="160" t="s">
        <v>164</v>
      </c>
      <c r="AB86" s="16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  <c r="DT86" s="200"/>
      <c r="DU86" s="200"/>
      <c r="DV86" s="200"/>
      <c r="DW86" s="200"/>
      <c r="DX86" s="200"/>
      <c r="DY86" s="200"/>
      <c r="DZ86" s="200"/>
      <c r="EA86" s="200"/>
      <c r="EB86" s="200"/>
      <c r="EC86" s="200"/>
      <c r="ED86" s="200"/>
      <c r="EE86" s="200"/>
      <c r="EF86" s="200"/>
      <c r="EG86" s="200"/>
      <c r="EH86" s="200"/>
      <c r="EI86" s="200"/>
      <c r="EJ86" s="200"/>
      <c r="EK86" s="200"/>
      <c r="EL86" s="200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200"/>
      <c r="EZ86" s="200"/>
      <c r="FA86" s="200"/>
      <c r="FB86" s="200"/>
      <c r="FC86" s="200"/>
      <c r="FD86" s="200"/>
      <c r="FE86" s="200"/>
      <c r="FF86" s="200"/>
      <c r="FG86" s="200"/>
      <c r="FH86" s="200"/>
      <c r="FI86" s="200"/>
      <c r="FJ86" s="200"/>
      <c r="FK86" s="200"/>
      <c r="FL86" s="200"/>
      <c r="FM86" s="200"/>
      <c r="FN86" s="200"/>
      <c r="FO86" s="200"/>
      <c r="FP86" s="200"/>
      <c r="FQ86" s="200"/>
      <c r="FR86" s="200"/>
      <c r="FS86" s="200"/>
      <c r="FT86" s="200"/>
      <c r="FU86" s="200"/>
      <c r="FV86" s="200"/>
      <c r="FW86" s="200"/>
      <c r="FX86" s="200"/>
      <c r="FY86" s="200"/>
      <c r="FZ86" s="200"/>
      <c r="GA86" s="200"/>
      <c r="GB86" s="200"/>
      <c r="GC86" s="200"/>
      <c r="GD86" s="200"/>
      <c r="GE86" s="200"/>
      <c r="GF86" s="200"/>
      <c r="GG86" s="200"/>
      <c r="GH86" s="200"/>
      <c r="GI86" s="200"/>
      <c r="GJ86" s="200"/>
      <c r="GK86" s="200"/>
      <c r="GL86" s="200"/>
      <c r="GM86" s="200"/>
      <c r="GN86" s="200"/>
      <c r="GO86" s="200"/>
      <c r="GP86" s="200"/>
      <c r="GQ86" s="200"/>
      <c r="GR86" s="200"/>
      <c r="GS86" s="200"/>
      <c r="GT86" s="200"/>
      <c r="GU86" s="200"/>
      <c r="GV86" s="200"/>
      <c r="GW86" s="200"/>
      <c r="GX86" s="200"/>
      <c r="GY86" s="200"/>
      <c r="GZ86" s="200"/>
      <c r="HA86" s="200"/>
      <c r="HB86" s="200"/>
      <c r="HC86" s="200"/>
      <c r="HD86" s="200"/>
      <c r="HE86" s="200"/>
      <c r="HF86" s="200"/>
      <c r="HG86" s="200"/>
      <c r="HH86" s="200"/>
      <c r="HI86" s="200"/>
      <c r="HJ86" s="200"/>
      <c r="HK86" s="200"/>
      <c r="HL86" s="200"/>
      <c r="HM86" s="200"/>
      <c r="HN86" s="200"/>
      <c r="HO86" s="200"/>
      <c r="HP86" s="200"/>
      <c r="HQ86" s="200"/>
      <c r="HR86" s="200"/>
      <c r="HS86" s="200"/>
      <c r="HT86" s="200"/>
      <c r="HU86" s="200"/>
      <c r="HV86" s="200"/>
      <c r="HW86" s="200"/>
      <c r="HX86" s="200"/>
      <c r="HY86" s="200"/>
      <c r="HZ86" s="200"/>
      <c r="IA86" s="200"/>
      <c r="IB86" s="200"/>
      <c r="IC86" s="200"/>
      <c r="ID86" s="200"/>
      <c r="IE86" s="200"/>
      <c r="IF86" s="200"/>
      <c r="IG86" s="200"/>
      <c r="IH86" s="200"/>
      <c r="II86" s="200"/>
      <c r="IJ86" s="200"/>
      <c r="IK86" s="200"/>
      <c r="IL86" s="200"/>
      <c r="IM86" s="200"/>
      <c r="IN86" s="200"/>
      <c r="IO86" s="200"/>
      <c r="IP86" s="200"/>
      <c r="IQ86" s="200"/>
      <c r="IR86" s="200"/>
      <c r="IS86" s="200"/>
      <c r="IT86" s="200"/>
      <c r="IU86" s="200"/>
      <c r="IV86" s="200"/>
      <c r="IW86" s="200"/>
    </row>
    <row r="87" customFormat="false" ht="11.25" hidden="false" customHeight="false" outlineLevel="0" collapsed="false"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</row>
    <row r="88" customFormat="false" ht="11.25" hidden="false" customHeight="false" outlineLevel="0" collapsed="false">
      <c r="A88" s="1" t="s">
        <v>189</v>
      </c>
      <c r="C88" s="179"/>
      <c r="D88" s="179"/>
      <c r="E88" s="179"/>
      <c r="F88" s="179"/>
      <c r="G88" s="179"/>
      <c r="H88" s="179"/>
      <c r="I88" s="179"/>
      <c r="J88" s="179"/>
      <c r="K88" s="201" t="n">
        <f aca="false">+J23</f>
        <v>0</v>
      </c>
      <c r="L88" s="128" t="n">
        <f aca="false">+K88-K105</f>
        <v>0</v>
      </c>
      <c r="M88" s="128" t="n">
        <f aca="false">+L88-L105</f>
        <v>0</v>
      </c>
      <c r="N88" s="128" t="n">
        <f aca="false">+M88-M105</f>
        <v>0</v>
      </c>
      <c r="O88" s="128" t="n">
        <f aca="false">+N88-N105</f>
        <v>0</v>
      </c>
      <c r="P88" s="128" t="n">
        <f aca="false">+O88-O105</f>
        <v>0</v>
      </c>
      <c r="Q88" s="128" t="n">
        <f aca="false">+P88-P105</f>
        <v>0</v>
      </c>
      <c r="R88" s="128" t="n">
        <f aca="false">+Q88-Q105</f>
        <v>0</v>
      </c>
      <c r="S88" s="128" t="n">
        <f aca="false">+R88-R105</f>
        <v>0</v>
      </c>
      <c r="T88" s="128" t="n">
        <f aca="false">+S88-S105</f>
        <v>0</v>
      </c>
      <c r="U88" s="128" t="n">
        <f aca="false">+T88-T105</f>
        <v>0</v>
      </c>
      <c r="V88" s="128" t="n">
        <f aca="false">+U88-U105</f>
        <v>0</v>
      </c>
      <c r="W88" s="128" t="n">
        <f aca="false">+V88-V105</f>
        <v>0</v>
      </c>
      <c r="X88" s="128"/>
      <c r="Y88" s="162" t="n">
        <f aca="false">SUM(C88:W88)</f>
        <v>0</v>
      </c>
    </row>
    <row r="89" customFormat="false" ht="11.25" hidden="false" customHeight="false" outlineLevel="0" collapsed="false">
      <c r="A89" s="1" t="s">
        <v>190</v>
      </c>
      <c r="C89" s="179"/>
      <c r="D89" s="179"/>
      <c r="E89" s="179"/>
      <c r="F89" s="179"/>
      <c r="G89" s="128" t="n">
        <f aca="false">+F23</f>
        <v>0</v>
      </c>
      <c r="H89" s="128" t="n">
        <f aca="false">+G89-G106</f>
        <v>0</v>
      </c>
      <c r="I89" s="128" t="n">
        <f aca="false">+H89-H106</f>
        <v>0</v>
      </c>
      <c r="J89" s="128" t="n">
        <f aca="false">+I89-I106</f>
        <v>0</v>
      </c>
      <c r="K89" s="128" t="n">
        <f aca="false">+J89-J106</f>
        <v>0</v>
      </c>
      <c r="L89" s="128" t="n">
        <f aca="false">+K89-K106</f>
        <v>0</v>
      </c>
      <c r="M89" s="128" t="n">
        <f aca="false">+L89-L106</f>
        <v>0</v>
      </c>
      <c r="N89" s="128" t="n">
        <f aca="false">+M89-M106</f>
        <v>0</v>
      </c>
      <c r="O89" s="128" t="n">
        <f aca="false">+N89-N106</f>
        <v>0</v>
      </c>
      <c r="P89" s="128" t="n">
        <f aca="false">+O89-O106</f>
        <v>0</v>
      </c>
      <c r="Q89" s="128" t="n">
        <f aca="false">+P89-P106</f>
        <v>0</v>
      </c>
      <c r="R89" s="128" t="n">
        <f aca="false">+Q89-Q106</f>
        <v>0</v>
      </c>
      <c r="S89" s="128" t="n">
        <f aca="false">+R89-R106</f>
        <v>0</v>
      </c>
      <c r="T89" s="128" t="n">
        <f aca="false">+S89-S106</f>
        <v>0</v>
      </c>
      <c r="U89" s="128" t="n">
        <f aca="false">+T89-T106</f>
        <v>0</v>
      </c>
      <c r="V89" s="128" t="n">
        <f aca="false">+U89-U106</f>
        <v>0</v>
      </c>
      <c r="W89" s="128" t="n">
        <f aca="false">+V89-V106</f>
        <v>0</v>
      </c>
      <c r="X89" s="128"/>
      <c r="Y89" s="162" t="n">
        <f aca="false">SUM(C89:W89)</f>
        <v>0</v>
      </c>
      <c r="Z89" s="160" t="s">
        <v>164</v>
      </c>
    </row>
    <row r="90" customFormat="false" ht="11.25" hidden="false" customHeight="false" outlineLevel="0" collapsed="false">
      <c r="A90" s="1" t="s">
        <v>191</v>
      </c>
      <c r="B90" s="202" t="n">
        <f aca="false">+B23</f>
        <v>0.9</v>
      </c>
      <c r="C90" s="179"/>
      <c r="D90" s="201" t="n">
        <f aca="false">+C28*B90</f>
        <v>13320000</v>
      </c>
      <c r="E90" s="128" t="n">
        <f aca="false">+D90-D107</f>
        <v>12992870.8638695</v>
      </c>
      <c r="F90" s="128" t="n">
        <f aca="false">+E90-E107</f>
        <v>12641795.8749743</v>
      </c>
      <c r="G90" s="128" t="n">
        <f aca="false">+F90-F107</f>
        <v>12265022.1968919</v>
      </c>
      <c r="H90" s="128" t="n">
        <f aca="false">+G90-G107</f>
        <v>11860668.685574</v>
      </c>
      <c r="I90" s="128" t="n">
        <f aca="false">+H90-H107</f>
        <v>11426716.4972275</v>
      </c>
      <c r="J90" s="128" t="n">
        <f aca="false">+I90-I107</f>
        <v>10960999.0086941</v>
      </c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62" t="n">
        <f aca="false">SUM(C90:W90)</f>
        <v>85468073.1272313</v>
      </c>
    </row>
    <row r="91" customFormat="false" ht="11.25" hidden="false" customHeight="false" outlineLevel="0" collapsed="false">
      <c r="A91" s="132" t="s">
        <v>192</v>
      </c>
      <c r="B91" s="134"/>
      <c r="C91" s="128"/>
      <c r="D91" s="203" t="n">
        <f aca="false">SUM(D88:D90)</f>
        <v>13320000</v>
      </c>
      <c r="E91" s="203" t="n">
        <f aca="false">SUM(E88:E90)</f>
        <v>12992870.8638695</v>
      </c>
      <c r="F91" s="203" t="n">
        <f aca="false">SUM(F88:F90)</f>
        <v>12641795.8749743</v>
      </c>
      <c r="G91" s="203" t="n">
        <f aca="false">SUM(G88:G90)</f>
        <v>12265022.1968919</v>
      </c>
      <c r="H91" s="203" t="n">
        <f aca="false">SUM(H88:H90)</f>
        <v>11860668.685574</v>
      </c>
      <c r="I91" s="203" t="n">
        <f aca="false">SUM(I88:I90)</f>
        <v>11426716.4972275</v>
      </c>
      <c r="J91" s="203" t="n">
        <f aca="false">SUM(J88:J90)</f>
        <v>10960999.0086941</v>
      </c>
      <c r="K91" s="203" t="n">
        <f aca="false">SUM(K88:K90)</f>
        <v>0</v>
      </c>
      <c r="L91" s="203" t="n">
        <f aca="false">SUM(L88:L90)</f>
        <v>0</v>
      </c>
      <c r="M91" s="203" t="n">
        <f aca="false">SUM(M88:M90)</f>
        <v>0</v>
      </c>
      <c r="N91" s="203" t="n">
        <f aca="false">SUM(N88:N90)</f>
        <v>0</v>
      </c>
      <c r="O91" s="203" t="n">
        <f aca="false">SUM(O88:O90)</f>
        <v>0</v>
      </c>
      <c r="P91" s="203" t="n">
        <f aca="false">SUM(P88:P90)</f>
        <v>0</v>
      </c>
      <c r="Q91" s="203" t="n">
        <f aca="false">SUM(Q88:Q90)</f>
        <v>0</v>
      </c>
      <c r="R91" s="203" t="n">
        <f aca="false">SUM(R88:R90)</f>
        <v>0</v>
      </c>
      <c r="S91" s="203" t="n">
        <f aca="false">SUM(S88:S90)</f>
        <v>0</v>
      </c>
      <c r="T91" s="203" t="n">
        <f aca="false">SUM(T88:T90)</f>
        <v>0</v>
      </c>
      <c r="U91" s="203" t="n">
        <f aca="false">SUM(U88:U90)</f>
        <v>0</v>
      </c>
      <c r="V91" s="203" t="n">
        <f aca="false">SUM(V88:V90)</f>
        <v>0</v>
      </c>
      <c r="W91" s="203" t="n">
        <f aca="false">SUM(W88:W90)</f>
        <v>0</v>
      </c>
      <c r="X91" s="203"/>
      <c r="Y91" s="198" t="n">
        <f aca="false">SUM(Y88:Y90)</f>
        <v>85468073.1272313</v>
      </c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  <c r="BZ91" s="132"/>
      <c r="CA91" s="132"/>
      <c r="CB91" s="132"/>
      <c r="CC91" s="132"/>
      <c r="CD91" s="132"/>
      <c r="CE91" s="132"/>
      <c r="CF91" s="132"/>
      <c r="CG91" s="132"/>
      <c r="CH91" s="132"/>
      <c r="CI91" s="132"/>
      <c r="CJ91" s="132"/>
      <c r="CK91" s="132"/>
      <c r="CL91" s="132"/>
      <c r="CM91" s="132"/>
      <c r="CN91" s="132"/>
      <c r="CO91" s="132"/>
      <c r="CP91" s="132"/>
      <c r="CQ91" s="132"/>
      <c r="CR91" s="132"/>
      <c r="CS91" s="132"/>
      <c r="CT91" s="132"/>
      <c r="CU91" s="132"/>
      <c r="CV91" s="132"/>
      <c r="CW91" s="132"/>
      <c r="CX91" s="132"/>
      <c r="CY91" s="132"/>
      <c r="CZ91" s="132"/>
      <c r="DA91" s="132"/>
      <c r="DB91" s="132"/>
      <c r="DC91" s="132"/>
      <c r="DD91" s="132"/>
      <c r="DE91" s="132"/>
      <c r="DF91" s="132"/>
      <c r="DG91" s="132"/>
      <c r="DH91" s="132"/>
      <c r="DI91" s="132"/>
      <c r="DJ91" s="132"/>
      <c r="DK91" s="132"/>
      <c r="DL91" s="132"/>
      <c r="DM91" s="132"/>
      <c r="DN91" s="132"/>
      <c r="DO91" s="132"/>
      <c r="DP91" s="132"/>
      <c r="DQ91" s="132"/>
      <c r="DR91" s="132"/>
      <c r="DS91" s="132"/>
      <c r="DT91" s="132"/>
      <c r="DU91" s="132"/>
      <c r="DV91" s="132"/>
      <c r="DW91" s="132"/>
      <c r="DX91" s="132"/>
      <c r="DY91" s="132"/>
      <c r="DZ91" s="132"/>
      <c r="EA91" s="132"/>
      <c r="EB91" s="132"/>
      <c r="EC91" s="132"/>
      <c r="ED91" s="132"/>
      <c r="EE91" s="132"/>
      <c r="EF91" s="132"/>
      <c r="EG91" s="132"/>
      <c r="EH91" s="132"/>
      <c r="EI91" s="132"/>
      <c r="EJ91" s="132"/>
      <c r="EK91" s="132"/>
      <c r="EL91" s="132"/>
      <c r="EM91" s="132"/>
      <c r="EN91" s="132"/>
      <c r="EO91" s="132"/>
      <c r="EP91" s="132"/>
      <c r="EQ91" s="132"/>
      <c r="ER91" s="132"/>
      <c r="ES91" s="132"/>
      <c r="ET91" s="132"/>
      <c r="EU91" s="132"/>
      <c r="EV91" s="132"/>
      <c r="EW91" s="132"/>
      <c r="EX91" s="132"/>
      <c r="EY91" s="132"/>
      <c r="EZ91" s="132"/>
      <c r="FA91" s="132"/>
      <c r="FB91" s="132"/>
      <c r="FC91" s="132"/>
      <c r="FD91" s="132"/>
      <c r="FE91" s="132"/>
      <c r="FF91" s="132"/>
      <c r="FG91" s="132"/>
      <c r="FH91" s="132"/>
      <c r="FI91" s="132"/>
      <c r="FJ91" s="132"/>
      <c r="FK91" s="132"/>
      <c r="FL91" s="132"/>
      <c r="FM91" s="132"/>
      <c r="FN91" s="132"/>
      <c r="FO91" s="132"/>
      <c r="FP91" s="132"/>
      <c r="FQ91" s="132"/>
      <c r="FR91" s="132"/>
      <c r="FS91" s="132"/>
      <c r="FT91" s="132"/>
      <c r="FU91" s="132"/>
      <c r="FV91" s="132"/>
      <c r="FW91" s="132"/>
      <c r="FX91" s="132"/>
      <c r="FY91" s="132"/>
      <c r="FZ91" s="132"/>
      <c r="GA91" s="132"/>
      <c r="GB91" s="132"/>
      <c r="GC91" s="132"/>
      <c r="GD91" s="132"/>
      <c r="GE91" s="132"/>
      <c r="GF91" s="132"/>
      <c r="GG91" s="132"/>
      <c r="GH91" s="132"/>
      <c r="GI91" s="132"/>
      <c r="GJ91" s="132"/>
      <c r="GK91" s="132"/>
      <c r="GL91" s="132"/>
      <c r="GM91" s="132"/>
      <c r="GN91" s="132"/>
      <c r="GO91" s="132"/>
      <c r="GP91" s="132"/>
      <c r="GQ91" s="132"/>
      <c r="GR91" s="132"/>
      <c r="GS91" s="132"/>
      <c r="GT91" s="132"/>
      <c r="GU91" s="132"/>
      <c r="GV91" s="132"/>
      <c r="GW91" s="132"/>
      <c r="GX91" s="132"/>
      <c r="GY91" s="132"/>
      <c r="GZ91" s="132"/>
      <c r="HA91" s="132"/>
      <c r="HB91" s="132"/>
      <c r="HC91" s="132"/>
      <c r="HD91" s="132"/>
      <c r="HE91" s="132"/>
      <c r="HF91" s="132"/>
      <c r="HG91" s="132"/>
      <c r="HH91" s="132"/>
      <c r="HI91" s="132"/>
      <c r="HJ91" s="132"/>
      <c r="HK91" s="132"/>
      <c r="HL91" s="132"/>
      <c r="HM91" s="132"/>
      <c r="HN91" s="132"/>
      <c r="HO91" s="132"/>
      <c r="HP91" s="132"/>
      <c r="HQ91" s="132"/>
      <c r="HR91" s="132"/>
      <c r="HS91" s="132"/>
      <c r="HT91" s="132"/>
      <c r="HU91" s="132"/>
      <c r="HV91" s="132"/>
      <c r="HW91" s="132"/>
      <c r="HX91" s="132"/>
      <c r="HY91" s="132"/>
      <c r="HZ91" s="132"/>
      <c r="IA91" s="132"/>
      <c r="IB91" s="132"/>
      <c r="IC91" s="132"/>
      <c r="ID91" s="132"/>
      <c r="IE91" s="132"/>
      <c r="IF91" s="132"/>
      <c r="IG91" s="132"/>
      <c r="IH91" s="132"/>
      <c r="II91" s="132"/>
      <c r="IJ91" s="132"/>
      <c r="IK91" s="132"/>
      <c r="IL91" s="132"/>
      <c r="IM91" s="132"/>
      <c r="IN91" s="132"/>
      <c r="IO91" s="132"/>
      <c r="IP91" s="132"/>
      <c r="IQ91" s="132"/>
      <c r="IR91" s="132"/>
      <c r="IS91" s="132"/>
      <c r="IT91" s="132"/>
      <c r="IU91" s="132"/>
      <c r="IV91" s="132"/>
      <c r="IW91" s="132"/>
    </row>
    <row r="92" customFormat="false" ht="11.25" hidden="false" customHeight="false" outlineLevel="0" collapsed="false">
      <c r="B92" s="204"/>
      <c r="C92" s="179"/>
      <c r="D92" s="201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</row>
    <row r="93" customFormat="false" ht="11.25" hidden="false" customHeight="false" outlineLevel="0" collapsed="false">
      <c r="A93" s="1" t="s">
        <v>193</v>
      </c>
      <c r="B93" s="24"/>
      <c r="C93" s="179"/>
      <c r="D93" s="128"/>
      <c r="E93" s="128"/>
      <c r="F93" s="128"/>
      <c r="G93" s="128"/>
      <c r="H93" s="128"/>
      <c r="I93" s="128"/>
      <c r="J93" s="179"/>
      <c r="K93" s="128" t="n">
        <f aca="false">PMT(B99,3,K88)*-1</f>
        <v>0</v>
      </c>
      <c r="L93" s="128" t="n">
        <f aca="false">+K93</f>
        <v>0</v>
      </c>
      <c r="M93" s="128" t="n">
        <f aca="false">+L93</f>
        <v>0</v>
      </c>
      <c r="N93" s="128" t="n">
        <f aca="false">+M93</f>
        <v>0</v>
      </c>
      <c r="O93" s="128" t="n">
        <f aca="false">+N93</f>
        <v>0</v>
      </c>
      <c r="P93" s="128" t="n">
        <f aca="false">+O93</f>
        <v>0</v>
      </c>
      <c r="Q93" s="128" t="n">
        <f aca="false">+P93</f>
        <v>0</v>
      </c>
      <c r="R93" s="128" t="n">
        <f aca="false">+Q93</f>
        <v>0</v>
      </c>
      <c r="S93" s="128" t="n">
        <f aca="false">+R93</f>
        <v>0</v>
      </c>
      <c r="T93" s="128" t="n">
        <f aca="false">+S93</f>
        <v>0</v>
      </c>
      <c r="U93" s="128" t="n">
        <f aca="false">+T93</f>
        <v>0</v>
      </c>
      <c r="V93" s="128" t="n">
        <f aca="false">+U93</f>
        <v>0</v>
      </c>
      <c r="W93" s="128" t="n">
        <f aca="false">+V93</f>
        <v>0</v>
      </c>
      <c r="X93" s="128"/>
      <c r="Y93" s="162" t="n">
        <f aca="false">SUM(C93:W93)</f>
        <v>0</v>
      </c>
    </row>
    <row r="94" customFormat="false" ht="11.25" hidden="false" customHeight="false" outlineLevel="0" collapsed="false">
      <c r="A94" s="1" t="s">
        <v>194</v>
      </c>
      <c r="B94" s="24"/>
      <c r="C94" s="179"/>
      <c r="D94" s="128"/>
      <c r="E94" s="128"/>
      <c r="F94" s="179"/>
      <c r="G94" s="205" t="n">
        <f aca="false">PMT($B$99,7,$G$89)*-1</f>
        <v>0</v>
      </c>
      <c r="H94" s="205" t="n">
        <f aca="false">+G94</f>
        <v>0</v>
      </c>
      <c r="I94" s="205" t="n">
        <f aca="false">+H94</f>
        <v>0</v>
      </c>
      <c r="J94" s="205" t="n">
        <f aca="false">+I94</f>
        <v>0</v>
      </c>
      <c r="K94" s="205" t="n">
        <f aca="false">+J94</f>
        <v>0</v>
      </c>
      <c r="L94" s="205" t="n">
        <f aca="false">+K94</f>
        <v>0</v>
      </c>
      <c r="M94" s="205" t="n">
        <f aca="false">+L94</f>
        <v>0</v>
      </c>
      <c r="N94" s="205" t="n">
        <f aca="false">+M94</f>
        <v>0</v>
      </c>
      <c r="O94" s="205" t="n">
        <f aca="false">+N94</f>
        <v>0</v>
      </c>
      <c r="P94" s="205" t="n">
        <f aca="false">+O94</f>
        <v>0</v>
      </c>
      <c r="Q94" s="205" t="n">
        <f aca="false">+P94</f>
        <v>0</v>
      </c>
      <c r="R94" s="205" t="n">
        <f aca="false">+Q94</f>
        <v>0</v>
      </c>
      <c r="S94" s="205" t="n">
        <f aca="false">+R94</f>
        <v>0</v>
      </c>
      <c r="T94" s="205" t="n">
        <f aca="false">+S94</f>
        <v>0</v>
      </c>
      <c r="U94" s="205" t="n">
        <f aca="false">+T94</f>
        <v>0</v>
      </c>
      <c r="V94" s="205" t="n">
        <f aca="false">+U94</f>
        <v>0</v>
      </c>
      <c r="W94" s="205" t="n">
        <f aca="false">+V94</f>
        <v>0</v>
      </c>
      <c r="X94" s="205"/>
      <c r="Y94" s="162" t="n">
        <f aca="false">SUM(C94:W94)</f>
        <v>0</v>
      </c>
    </row>
    <row r="95" customFormat="false" ht="11.25" hidden="false" customHeight="false" outlineLevel="0" collapsed="false">
      <c r="A95" s="1" t="s">
        <v>195</v>
      </c>
      <c r="B95" s="24"/>
      <c r="C95" s="179"/>
      <c r="D95" s="206" t="n">
        <f aca="false">-PMT(B99,7,D90-'Input Sheet'!D5)+'Input Sheet'!D5*B99</f>
        <v>1302153.13613048</v>
      </c>
      <c r="E95" s="206" t="n">
        <f aca="false">+D95</f>
        <v>1302153.13613048</v>
      </c>
      <c r="F95" s="206" t="n">
        <f aca="false">+E95</f>
        <v>1302153.13613048</v>
      </c>
      <c r="G95" s="206" t="n">
        <f aca="false">+F95</f>
        <v>1302153.13613048</v>
      </c>
      <c r="H95" s="206" t="n">
        <f aca="false">+G95</f>
        <v>1302153.13613048</v>
      </c>
      <c r="I95" s="206" t="n">
        <f aca="false">+H95</f>
        <v>1302153.13613048</v>
      </c>
      <c r="J95" s="206" t="n">
        <f aca="false">+I95+'Input Sheet'!D5</f>
        <v>11763344.1361305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62" t="n">
        <f aca="false">SUM(C95:W95)</f>
        <v>19576262.9529133</v>
      </c>
    </row>
    <row r="96" customFormat="false" ht="11.25" hidden="false" customHeight="false" outlineLevel="0" collapsed="false">
      <c r="A96" s="1" t="s">
        <v>196</v>
      </c>
      <c r="B96" s="24"/>
      <c r="C96" s="179"/>
      <c r="D96" s="207" t="n">
        <f aca="false">SUM(D93:D95)</f>
        <v>1302153.13613048</v>
      </c>
      <c r="E96" s="203" t="n">
        <f aca="false">SUM(E93:E95)</f>
        <v>1302153.13613048</v>
      </c>
      <c r="F96" s="203" t="n">
        <f aca="false">SUM(F93:F95)</f>
        <v>1302153.13613048</v>
      </c>
      <c r="G96" s="203" t="n">
        <f aca="false">SUM(G93:G95)</f>
        <v>1302153.13613048</v>
      </c>
      <c r="H96" s="203" t="n">
        <f aca="false">SUM(H93:H95)</f>
        <v>1302153.13613048</v>
      </c>
      <c r="I96" s="203" t="n">
        <f aca="false">SUM(I93:I95)</f>
        <v>1302153.13613048</v>
      </c>
      <c r="J96" s="203" t="n">
        <f aca="false">SUM(J93:J95)</f>
        <v>11763344.1361305</v>
      </c>
      <c r="K96" s="203" t="n">
        <f aca="false">SUM(K93:K95)</f>
        <v>0</v>
      </c>
      <c r="L96" s="203" t="n">
        <f aca="false">SUM(L93:L95)</f>
        <v>0</v>
      </c>
      <c r="M96" s="203" t="n">
        <f aca="false">SUM(M93:M95)</f>
        <v>0</v>
      </c>
      <c r="N96" s="203" t="n">
        <f aca="false">SUM(N93:N95)</f>
        <v>0</v>
      </c>
      <c r="O96" s="203" t="n">
        <f aca="false">SUM(O93:O95)</f>
        <v>0</v>
      </c>
      <c r="P96" s="203" t="n">
        <f aca="false">SUM(P93:P95)</f>
        <v>0</v>
      </c>
      <c r="Q96" s="203" t="n">
        <f aca="false">SUM(Q93:Q95)</f>
        <v>0</v>
      </c>
      <c r="R96" s="203" t="n">
        <f aca="false">SUM(R93:R95)</f>
        <v>0</v>
      </c>
      <c r="S96" s="203" t="n">
        <f aca="false">SUM(S93:S95)</f>
        <v>0</v>
      </c>
      <c r="T96" s="203" t="n">
        <f aca="false">SUM(T93:T95)</f>
        <v>0</v>
      </c>
      <c r="U96" s="203" t="n">
        <f aca="false">SUM(U93:U95)</f>
        <v>0</v>
      </c>
      <c r="V96" s="203" t="n">
        <f aca="false">SUM(V93:V95)</f>
        <v>0</v>
      </c>
      <c r="W96" s="203" t="n">
        <f aca="false">SUM(W93:W95)</f>
        <v>0</v>
      </c>
      <c r="X96" s="203"/>
      <c r="Y96" s="198" t="n">
        <f aca="false">SUM(Y93:Y95)</f>
        <v>19576262.9529133</v>
      </c>
    </row>
    <row r="97" customFormat="false" ht="11.25" hidden="false" customHeight="false" outlineLevel="0" collapsed="false">
      <c r="B97" s="24"/>
      <c r="C97" s="179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</row>
    <row r="98" customFormat="false" ht="11.25" hidden="false" customHeight="false" outlineLevel="0" collapsed="false">
      <c r="A98" s="132"/>
      <c r="B98" s="134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132"/>
      <c r="CN98" s="132"/>
      <c r="CO98" s="132"/>
      <c r="CP98" s="132"/>
      <c r="CQ98" s="132"/>
      <c r="CR98" s="132"/>
      <c r="CS98" s="132"/>
      <c r="CT98" s="132"/>
      <c r="CU98" s="132"/>
      <c r="CV98" s="132"/>
      <c r="CW98" s="132"/>
      <c r="CX98" s="132"/>
      <c r="CY98" s="132"/>
      <c r="CZ98" s="132"/>
      <c r="DA98" s="132"/>
      <c r="DB98" s="132"/>
      <c r="DC98" s="132"/>
      <c r="DD98" s="132"/>
      <c r="DE98" s="132"/>
      <c r="DF98" s="132"/>
      <c r="DG98" s="132"/>
      <c r="DH98" s="132"/>
      <c r="DI98" s="132"/>
      <c r="DJ98" s="132"/>
      <c r="DK98" s="132"/>
      <c r="DL98" s="132"/>
      <c r="DM98" s="132"/>
      <c r="DN98" s="132"/>
      <c r="DO98" s="132"/>
      <c r="DP98" s="132"/>
      <c r="DQ98" s="132"/>
      <c r="DR98" s="132"/>
      <c r="DS98" s="132"/>
      <c r="DT98" s="132"/>
      <c r="DU98" s="132"/>
      <c r="DV98" s="132"/>
      <c r="DW98" s="132"/>
      <c r="DX98" s="132"/>
      <c r="DY98" s="132"/>
      <c r="DZ98" s="132"/>
      <c r="EA98" s="132"/>
      <c r="EB98" s="132"/>
      <c r="EC98" s="132"/>
      <c r="ED98" s="132"/>
      <c r="EE98" s="132"/>
      <c r="EF98" s="132"/>
      <c r="EG98" s="132"/>
      <c r="EH98" s="132"/>
      <c r="EI98" s="132"/>
      <c r="EJ98" s="132"/>
      <c r="EK98" s="132"/>
      <c r="EL98" s="132"/>
      <c r="EM98" s="132"/>
      <c r="EN98" s="132"/>
      <c r="EO98" s="132"/>
      <c r="EP98" s="132"/>
      <c r="EQ98" s="132"/>
      <c r="ER98" s="132"/>
      <c r="ES98" s="132"/>
      <c r="ET98" s="132"/>
      <c r="EU98" s="132"/>
      <c r="EV98" s="132"/>
      <c r="EW98" s="132"/>
      <c r="EX98" s="132"/>
      <c r="EY98" s="132"/>
      <c r="EZ98" s="132"/>
      <c r="FA98" s="132"/>
      <c r="FB98" s="132"/>
      <c r="FC98" s="132"/>
      <c r="FD98" s="132"/>
      <c r="FE98" s="132"/>
      <c r="FF98" s="132"/>
      <c r="FG98" s="132"/>
      <c r="FH98" s="132"/>
      <c r="FI98" s="132"/>
      <c r="FJ98" s="132"/>
      <c r="FK98" s="132"/>
      <c r="FL98" s="132"/>
      <c r="FM98" s="132"/>
      <c r="FN98" s="132"/>
      <c r="FO98" s="132"/>
      <c r="FP98" s="132"/>
      <c r="FQ98" s="132"/>
      <c r="FR98" s="132"/>
      <c r="FS98" s="132"/>
      <c r="FT98" s="132"/>
      <c r="FU98" s="132"/>
      <c r="FV98" s="132"/>
      <c r="FW98" s="132"/>
      <c r="FX98" s="132"/>
      <c r="FY98" s="132"/>
      <c r="FZ98" s="132"/>
      <c r="GA98" s="132"/>
      <c r="GB98" s="132"/>
      <c r="GC98" s="132"/>
      <c r="GD98" s="132"/>
      <c r="GE98" s="132"/>
      <c r="GF98" s="132"/>
      <c r="GG98" s="132"/>
      <c r="GH98" s="132"/>
      <c r="GI98" s="132"/>
      <c r="GJ98" s="132"/>
      <c r="GK98" s="132"/>
      <c r="GL98" s="132"/>
      <c r="GM98" s="132"/>
      <c r="GN98" s="132"/>
      <c r="GO98" s="132"/>
      <c r="GP98" s="132"/>
      <c r="GQ98" s="132"/>
      <c r="GR98" s="132"/>
      <c r="GS98" s="132"/>
      <c r="GT98" s="132"/>
      <c r="GU98" s="132"/>
      <c r="GV98" s="132"/>
      <c r="GW98" s="132"/>
      <c r="GX98" s="132"/>
      <c r="GY98" s="132"/>
      <c r="GZ98" s="132"/>
      <c r="HA98" s="132"/>
      <c r="HB98" s="132"/>
      <c r="HC98" s="132"/>
      <c r="HD98" s="132"/>
      <c r="HE98" s="132"/>
      <c r="HF98" s="132"/>
      <c r="HG98" s="132"/>
      <c r="HH98" s="132"/>
      <c r="HI98" s="132"/>
      <c r="HJ98" s="132"/>
      <c r="HK98" s="132"/>
      <c r="HL98" s="132"/>
      <c r="HM98" s="132"/>
      <c r="HN98" s="132"/>
      <c r="HO98" s="132"/>
      <c r="HP98" s="132"/>
      <c r="HQ98" s="132"/>
      <c r="HR98" s="132"/>
      <c r="HS98" s="132"/>
      <c r="HT98" s="132"/>
      <c r="HU98" s="132"/>
      <c r="HV98" s="132"/>
      <c r="HW98" s="132"/>
      <c r="HX98" s="132"/>
      <c r="HY98" s="132"/>
      <c r="HZ98" s="132"/>
      <c r="IA98" s="132"/>
      <c r="IB98" s="132"/>
      <c r="IC98" s="132"/>
      <c r="ID98" s="132"/>
      <c r="IE98" s="132"/>
      <c r="IF98" s="132"/>
      <c r="IG98" s="132"/>
      <c r="IH98" s="132"/>
      <c r="II98" s="132"/>
      <c r="IJ98" s="132"/>
      <c r="IK98" s="132"/>
      <c r="IL98" s="132"/>
      <c r="IM98" s="132"/>
      <c r="IN98" s="132"/>
      <c r="IO98" s="132"/>
      <c r="IP98" s="132"/>
      <c r="IQ98" s="132"/>
      <c r="IR98" s="132"/>
      <c r="IS98" s="132"/>
      <c r="IT98" s="132"/>
      <c r="IU98" s="132"/>
      <c r="IV98" s="132"/>
      <c r="IW98" s="132"/>
    </row>
    <row r="99" customFormat="false" ht="11.25" hidden="false" customHeight="false" outlineLevel="0" collapsed="false">
      <c r="A99" s="1" t="s">
        <v>197</v>
      </c>
      <c r="B99" s="208" t="n">
        <f aca="false">+'Input Sheet'!C17</f>
        <v>0.0732</v>
      </c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</row>
    <row r="100" customFormat="false" ht="11.25" hidden="false" customHeight="false" outlineLevel="0" collapsed="false">
      <c r="A100" s="132" t="s">
        <v>198</v>
      </c>
      <c r="B100" s="134"/>
      <c r="C100" s="128"/>
      <c r="D100" s="128"/>
      <c r="E100" s="128"/>
      <c r="F100" s="128"/>
      <c r="G100" s="128"/>
      <c r="H100" s="128"/>
      <c r="I100" s="128"/>
      <c r="J100" s="128"/>
      <c r="K100" s="128" t="n">
        <f aca="false">+K88*$B$99</f>
        <v>0</v>
      </c>
      <c r="L100" s="128" t="n">
        <f aca="false">+L88*$B$99</f>
        <v>0</v>
      </c>
      <c r="M100" s="128" t="n">
        <f aca="false">+M88*$B$99</f>
        <v>0</v>
      </c>
      <c r="N100" s="128" t="n">
        <f aca="false">+N88*$B$99</f>
        <v>0</v>
      </c>
      <c r="O100" s="128" t="n">
        <f aca="false">+O88*$B$99</f>
        <v>0</v>
      </c>
      <c r="P100" s="128" t="n">
        <f aca="false">+P88*$B$99</f>
        <v>0</v>
      </c>
      <c r="Q100" s="128" t="n">
        <f aca="false">+Q88*$B$99</f>
        <v>0</v>
      </c>
      <c r="R100" s="128" t="n">
        <f aca="false">+R88*$B$99</f>
        <v>0</v>
      </c>
      <c r="S100" s="128" t="n">
        <f aca="false">+S88*$B$99</f>
        <v>0</v>
      </c>
      <c r="T100" s="128" t="n">
        <f aca="false">+T88*$B$99</f>
        <v>0</v>
      </c>
      <c r="U100" s="128" t="n">
        <f aca="false">+U88*$B$99</f>
        <v>0</v>
      </c>
      <c r="V100" s="128" t="n">
        <f aca="false">+V88*$B$99</f>
        <v>0</v>
      </c>
      <c r="W100" s="128" t="n">
        <f aca="false">+W88*$B$99</f>
        <v>0</v>
      </c>
      <c r="X100" s="128"/>
      <c r="Y100" s="167" t="n">
        <f aca="false">SUM(C100:S100)</f>
        <v>0</v>
      </c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132"/>
      <c r="CB100" s="132"/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2"/>
      <c r="CM100" s="132"/>
      <c r="CN100" s="132"/>
      <c r="CO100" s="132"/>
      <c r="CP100" s="132"/>
      <c r="CQ100" s="132"/>
      <c r="CR100" s="132"/>
      <c r="CS100" s="132"/>
      <c r="CT100" s="132"/>
      <c r="CU100" s="132"/>
      <c r="CV100" s="132"/>
      <c r="CW100" s="132"/>
      <c r="CX100" s="132"/>
      <c r="CY100" s="132"/>
      <c r="CZ100" s="132"/>
      <c r="DA100" s="132"/>
      <c r="DB100" s="132"/>
      <c r="DC100" s="132"/>
      <c r="DD100" s="132"/>
      <c r="DE100" s="132"/>
      <c r="DF100" s="132"/>
      <c r="DG100" s="132"/>
      <c r="DH100" s="132"/>
      <c r="DI100" s="132"/>
      <c r="DJ100" s="132"/>
      <c r="DK100" s="132"/>
      <c r="DL100" s="132"/>
      <c r="DM100" s="132"/>
      <c r="DN100" s="132"/>
      <c r="DO100" s="132"/>
      <c r="DP100" s="132"/>
      <c r="DQ100" s="132"/>
      <c r="DR100" s="132"/>
      <c r="DS100" s="132"/>
      <c r="DT100" s="132"/>
      <c r="DU100" s="132"/>
      <c r="DV100" s="132"/>
      <c r="DW100" s="132"/>
      <c r="DX100" s="132"/>
      <c r="DY100" s="132"/>
      <c r="DZ100" s="132"/>
      <c r="EA100" s="132"/>
      <c r="EB100" s="132"/>
      <c r="EC100" s="132"/>
      <c r="ED100" s="132"/>
      <c r="EE100" s="132"/>
      <c r="EF100" s="132"/>
      <c r="EG100" s="132"/>
      <c r="EH100" s="132"/>
      <c r="EI100" s="132"/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2"/>
      <c r="EV100" s="132"/>
      <c r="EW100" s="132"/>
      <c r="EX100" s="132"/>
      <c r="EY100" s="132"/>
      <c r="EZ100" s="132"/>
      <c r="FA100" s="132"/>
      <c r="FB100" s="132"/>
      <c r="FC100" s="132"/>
      <c r="FD100" s="132"/>
      <c r="FE100" s="132"/>
      <c r="FF100" s="132"/>
      <c r="FG100" s="132"/>
      <c r="FH100" s="132"/>
      <c r="FI100" s="132"/>
      <c r="FJ100" s="132"/>
      <c r="FK100" s="132"/>
      <c r="FL100" s="132"/>
      <c r="FM100" s="132"/>
      <c r="FN100" s="132"/>
      <c r="FO100" s="132"/>
      <c r="FP100" s="132"/>
      <c r="FQ100" s="132"/>
      <c r="FR100" s="132"/>
      <c r="FS100" s="132"/>
      <c r="FT100" s="132"/>
      <c r="FU100" s="132"/>
      <c r="FV100" s="132"/>
      <c r="FW100" s="132"/>
      <c r="FX100" s="132"/>
      <c r="FY100" s="132"/>
      <c r="FZ100" s="132"/>
      <c r="GA100" s="132"/>
      <c r="GB100" s="132"/>
      <c r="GC100" s="132"/>
      <c r="GD100" s="132"/>
      <c r="GE100" s="132"/>
      <c r="GF100" s="132"/>
      <c r="GG100" s="132"/>
      <c r="GH100" s="132"/>
      <c r="GI100" s="132"/>
      <c r="GJ100" s="132"/>
      <c r="GK100" s="132"/>
      <c r="GL100" s="132"/>
      <c r="GM100" s="132"/>
      <c r="GN100" s="132"/>
      <c r="GO100" s="132"/>
      <c r="GP100" s="132"/>
      <c r="GQ100" s="132"/>
      <c r="GR100" s="132"/>
      <c r="GS100" s="132"/>
      <c r="GT100" s="132"/>
      <c r="GU100" s="132"/>
      <c r="GV100" s="132"/>
      <c r="GW100" s="132"/>
      <c r="GX100" s="132"/>
      <c r="GY100" s="132"/>
      <c r="GZ100" s="132"/>
      <c r="HA100" s="132"/>
      <c r="HB100" s="132"/>
      <c r="HC100" s="132"/>
      <c r="HD100" s="132"/>
      <c r="HE100" s="132"/>
      <c r="HF100" s="132"/>
      <c r="HG100" s="132"/>
      <c r="HH100" s="132"/>
      <c r="HI100" s="132"/>
      <c r="HJ100" s="132"/>
      <c r="HK100" s="132"/>
      <c r="HL100" s="132"/>
      <c r="HM100" s="132"/>
      <c r="HN100" s="132"/>
      <c r="HO100" s="132"/>
      <c r="HP100" s="132"/>
      <c r="HQ100" s="132"/>
      <c r="HR100" s="132"/>
      <c r="HS100" s="132"/>
      <c r="HT100" s="132"/>
      <c r="HU100" s="132"/>
      <c r="HV100" s="132"/>
      <c r="HW100" s="132"/>
      <c r="HX100" s="132"/>
      <c r="HY100" s="132"/>
      <c r="HZ100" s="132"/>
      <c r="IA100" s="132"/>
      <c r="IB100" s="132"/>
      <c r="IC100" s="132"/>
      <c r="ID100" s="132"/>
      <c r="IE100" s="132"/>
      <c r="IF100" s="132"/>
      <c r="IG100" s="132"/>
      <c r="IH100" s="132"/>
      <c r="II100" s="132"/>
      <c r="IJ100" s="132"/>
      <c r="IK100" s="132"/>
      <c r="IL100" s="132"/>
      <c r="IM100" s="132"/>
      <c r="IN100" s="132"/>
      <c r="IO100" s="132"/>
      <c r="IP100" s="132"/>
      <c r="IQ100" s="132"/>
      <c r="IR100" s="132"/>
      <c r="IS100" s="132"/>
      <c r="IT100" s="132"/>
      <c r="IU100" s="132"/>
      <c r="IV100" s="132"/>
      <c r="IW100" s="132"/>
    </row>
    <row r="101" customFormat="false" ht="11.25" hidden="false" customHeight="false" outlineLevel="0" collapsed="false">
      <c r="A101" s="132" t="s">
        <v>199</v>
      </c>
      <c r="B101" s="134"/>
      <c r="C101" s="128"/>
      <c r="D101" s="128"/>
      <c r="E101" s="128"/>
      <c r="F101" s="128"/>
      <c r="G101" s="128" t="n">
        <f aca="false">+G89*$B$99</f>
        <v>0</v>
      </c>
      <c r="H101" s="128" t="n">
        <f aca="false">+H89*$B$99</f>
        <v>0</v>
      </c>
      <c r="I101" s="128" t="n">
        <f aca="false">+I89*$B$99</f>
        <v>0</v>
      </c>
      <c r="J101" s="128" t="n">
        <f aca="false">+J89*$B$99</f>
        <v>0</v>
      </c>
      <c r="K101" s="128" t="n">
        <f aca="false">+K89*$B$99</f>
        <v>0</v>
      </c>
      <c r="L101" s="128" t="n">
        <f aca="false">+L89*$B$99</f>
        <v>0</v>
      </c>
      <c r="M101" s="128" t="n">
        <f aca="false">+M89*$B$99</f>
        <v>0</v>
      </c>
      <c r="N101" s="128" t="n">
        <f aca="false">+N89*$B$99</f>
        <v>0</v>
      </c>
      <c r="O101" s="128" t="n">
        <f aca="false">+O89*$B$99</f>
        <v>0</v>
      </c>
      <c r="P101" s="128" t="n">
        <f aca="false">+P89*$B$99</f>
        <v>0</v>
      </c>
      <c r="Q101" s="128" t="n">
        <f aca="false">+Q89*$B$99</f>
        <v>0</v>
      </c>
      <c r="R101" s="128" t="n">
        <f aca="false">+R89*$B$99</f>
        <v>0</v>
      </c>
      <c r="S101" s="128" t="n">
        <f aca="false">+S89*$B$99</f>
        <v>0</v>
      </c>
      <c r="T101" s="128" t="n">
        <f aca="false">+T89*$B$99</f>
        <v>0</v>
      </c>
      <c r="U101" s="128" t="n">
        <f aca="false">+U89*$B$99</f>
        <v>0</v>
      </c>
      <c r="V101" s="128" t="n">
        <f aca="false">+V89*$B$99</f>
        <v>0</v>
      </c>
      <c r="W101" s="128" t="n">
        <f aca="false">+W89*$B$99</f>
        <v>0</v>
      </c>
      <c r="X101" s="128"/>
      <c r="Y101" s="167" t="n">
        <f aca="false">SUM(C101:S101)</f>
        <v>0</v>
      </c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2"/>
      <c r="EW101" s="132"/>
      <c r="EX101" s="132"/>
      <c r="EY101" s="132"/>
      <c r="EZ101" s="132"/>
      <c r="FA101" s="132"/>
      <c r="FB101" s="132"/>
      <c r="FC101" s="132"/>
      <c r="FD101" s="132"/>
      <c r="FE101" s="132"/>
      <c r="FF101" s="132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  <c r="GW101" s="132"/>
      <c r="GX101" s="132"/>
      <c r="GY101" s="132"/>
      <c r="GZ101" s="132"/>
      <c r="HA101" s="132"/>
      <c r="HB101" s="132"/>
      <c r="HC101" s="132"/>
      <c r="HD101" s="132"/>
      <c r="HE101" s="132"/>
      <c r="HF101" s="132"/>
      <c r="HG101" s="132"/>
      <c r="HH101" s="132"/>
      <c r="HI101" s="132"/>
      <c r="HJ101" s="132"/>
      <c r="HK101" s="132"/>
      <c r="HL101" s="132"/>
      <c r="HM101" s="132"/>
      <c r="HN101" s="132"/>
      <c r="HO101" s="132"/>
      <c r="HP101" s="132"/>
      <c r="HQ101" s="132"/>
      <c r="HR101" s="132"/>
      <c r="HS101" s="132"/>
      <c r="HT101" s="132"/>
      <c r="HU101" s="132"/>
      <c r="HV101" s="132"/>
      <c r="HW101" s="132"/>
      <c r="HX101" s="132"/>
      <c r="HY101" s="132"/>
      <c r="HZ101" s="132"/>
      <c r="IA101" s="132"/>
      <c r="IB101" s="132"/>
      <c r="IC101" s="132"/>
      <c r="ID101" s="132"/>
      <c r="IE101" s="132"/>
      <c r="IF101" s="132"/>
      <c r="IG101" s="132"/>
      <c r="IH101" s="132"/>
      <c r="II101" s="132"/>
      <c r="IJ101" s="132"/>
      <c r="IK101" s="132"/>
      <c r="IL101" s="132"/>
      <c r="IM101" s="132"/>
      <c r="IN101" s="132"/>
      <c r="IO101" s="132"/>
      <c r="IP101" s="132"/>
      <c r="IQ101" s="132"/>
      <c r="IR101" s="132"/>
      <c r="IS101" s="132"/>
      <c r="IT101" s="132"/>
      <c r="IU101" s="132"/>
      <c r="IV101" s="132"/>
      <c r="IW101" s="132"/>
    </row>
    <row r="102" customFormat="false" ht="11.25" hidden="false" customHeight="false" outlineLevel="0" collapsed="false">
      <c r="A102" s="132" t="s">
        <v>200</v>
      </c>
      <c r="B102" s="132"/>
      <c r="C102" s="128"/>
      <c r="D102" s="128" t="n">
        <f aca="false">+D90*$B$99</f>
        <v>975024</v>
      </c>
      <c r="E102" s="128" t="n">
        <f aca="false">+E90*$B$99</f>
        <v>951078.147235249</v>
      </c>
      <c r="F102" s="128" t="n">
        <f aca="false">+F90*$B$99</f>
        <v>925379.458048119</v>
      </c>
      <c r="G102" s="128" t="n">
        <f aca="false">+G90*$B$99</f>
        <v>897799.62481249</v>
      </c>
      <c r="H102" s="128" t="n">
        <f aca="false">+H90*$B$99</f>
        <v>868200.947784014</v>
      </c>
      <c r="I102" s="128" t="n">
        <f aca="false">+I90*$B$99</f>
        <v>836435.647597053</v>
      </c>
      <c r="J102" s="128" t="n">
        <f aca="false">+J90*$B$99</f>
        <v>802345.127436406</v>
      </c>
      <c r="K102" s="128" t="n">
        <v>0</v>
      </c>
      <c r="L102" s="128" t="n">
        <v>0</v>
      </c>
      <c r="M102" s="128" t="n">
        <v>0</v>
      </c>
      <c r="N102" s="128" t="n">
        <v>0</v>
      </c>
      <c r="O102" s="128" t="n">
        <v>0</v>
      </c>
      <c r="P102" s="128" t="n">
        <v>0</v>
      </c>
      <c r="Q102" s="128" t="n">
        <v>0</v>
      </c>
      <c r="R102" s="128" t="n">
        <v>0</v>
      </c>
      <c r="S102" s="128" t="n">
        <v>0</v>
      </c>
      <c r="T102" s="128" t="n">
        <v>0</v>
      </c>
      <c r="U102" s="128" t="n">
        <v>0</v>
      </c>
      <c r="V102" s="128" t="n">
        <v>0</v>
      </c>
      <c r="W102" s="128" t="n">
        <v>0</v>
      </c>
      <c r="X102" s="128"/>
      <c r="Y102" s="167" t="n">
        <f aca="false">SUM(C102:S102)</f>
        <v>6256262.95291333</v>
      </c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  <c r="HT102" s="132"/>
      <c r="HU102" s="132"/>
      <c r="HV102" s="132"/>
      <c r="HW102" s="132"/>
      <c r="HX102" s="132"/>
      <c r="HY102" s="132"/>
      <c r="HZ102" s="132"/>
      <c r="IA102" s="132"/>
      <c r="IB102" s="132"/>
      <c r="IC102" s="132"/>
      <c r="ID102" s="132"/>
      <c r="IE102" s="132"/>
      <c r="IF102" s="132"/>
      <c r="IG102" s="132"/>
      <c r="IH102" s="132"/>
      <c r="II102" s="132"/>
      <c r="IJ102" s="132"/>
      <c r="IK102" s="132"/>
      <c r="IL102" s="132"/>
      <c r="IM102" s="132"/>
      <c r="IN102" s="132"/>
      <c r="IO102" s="132"/>
      <c r="IP102" s="132"/>
      <c r="IQ102" s="132"/>
      <c r="IR102" s="132"/>
      <c r="IS102" s="132"/>
      <c r="IT102" s="132"/>
      <c r="IU102" s="132"/>
      <c r="IV102" s="132"/>
      <c r="IW102" s="132"/>
    </row>
    <row r="103" customFormat="false" ht="11.25" hidden="false" customHeight="false" outlineLevel="0" collapsed="false">
      <c r="A103" s="132" t="s">
        <v>201</v>
      </c>
      <c r="B103" s="132"/>
      <c r="C103" s="128"/>
      <c r="D103" s="203" t="n">
        <f aca="false">SUM(D100:D102)</f>
        <v>975024</v>
      </c>
      <c r="E103" s="203" t="n">
        <f aca="false">SUM(E100:E102)</f>
        <v>951078.147235249</v>
      </c>
      <c r="F103" s="203" t="n">
        <f aca="false">SUM(F100:F102)</f>
        <v>925379.458048119</v>
      </c>
      <c r="G103" s="203" t="n">
        <f aca="false">SUM(G100:G102)</f>
        <v>897799.62481249</v>
      </c>
      <c r="H103" s="203" t="n">
        <f aca="false">SUM(H100:H102)</f>
        <v>868200.947784014</v>
      </c>
      <c r="I103" s="203" t="n">
        <f aca="false">SUM(I100:I102)</f>
        <v>836435.647597053</v>
      </c>
      <c r="J103" s="203" t="n">
        <f aca="false">SUM(J100:J102)</f>
        <v>802345.127436406</v>
      </c>
      <c r="K103" s="203" t="n">
        <f aca="false">SUM(K100:K102)</f>
        <v>0</v>
      </c>
      <c r="L103" s="203" t="n">
        <f aca="false">SUM(L100:L102)</f>
        <v>0</v>
      </c>
      <c r="M103" s="203" t="n">
        <f aca="false">SUM(M100:M102)</f>
        <v>0</v>
      </c>
      <c r="N103" s="203" t="n">
        <f aca="false">SUM(N100:N102)</f>
        <v>0</v>
      </c>
      <c r="O103" s="203" t="n">
        <f aca="false">SUM(O100:O102)</f>
        <v>0</v>
      </c>
      <c r="P103" s="203" t="n">
        <f aca="false">SUM(P100:P102)</f>
        <v>0</v>
      </c>
      <c r="Q103" s="203" t="n">
        <f aca="false">SUM(Q100:Q102)</f>
        <v>0</v>
      </c>
      <c r="R103" s="203" t="n">
        <f aca="false">SUM(R100:R102)</f>
        <v>0</v>
      </c>
      <c r="S103" s="203" t="n">
        <f aca="false">SUM(S100:S102)</f>
        <v>0</v>
      </c>
      <c r="T103" s="203" t="n">
        <f aca="false">SUM(T100:T102)</f>
        <v>0</v>
      </c>
      <c r="U103" s="203" t="n">
        <f aca="false">SUM(U100:U102)</f>
        <v>0</v>
      </c>
      <c r="V103" s="203" t="n">
        <f aca="false">SUM(V100:V102)</f>
        <v>0</v>
      </c>
      <c r="W103" s="203" t="n">
        <f aca="false">SUM(W100:W102)</f>
        <v>0</v>
      </c>
      <c r="X103" s="203"/>
      <c r="Y103" s="198" t="n">
        <f aca="false">SUM(Y100:Y102)</f>
        <v>6256262.95291333</v>
      </c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  <c r="HT103" s="132"/>
      <c r="HU103" s="132"/>
      <c r="HV103" s="132"/>
      <c r="HW103" s="132"/>
      <c r="HX103" s="132"/>
      <c r="HY103" s="132"/>
      <c r="HZ103" s="132"/>
      <c r="IA103" s="132"/>
      <c r="IB103" s="132"/>
      <c r="IC103" s="132"/>
      <c r="ID103" s="132"/>
      <c r="IE103" s="132"/>
      <c r="IF103" s="132"/>
      <c r="IG103" s="132"/>
      <c r="IH103" s="132"/>
      <c r="II103" s="132"/>
      <c r="IJ103" s="132"/>
      <c r="IK103" s="132"/>
      <c r="IL103" s="132"/>
      <c r="IM103" s="132"/>
      <c r="IN103" s="132"/>
      <c r="IO103" s="132"/>
      <c r="IP103" s="132"/>
      <c r="IQ103" s="132"/>
      <c r="IR103" s="132"/>
      <c r="IS103" s="132"/>
      <c r="IT103" s="132"/>
      <c r="IU103" s="132"/>
      <c r="IV103" s="132"/>
      <c r="IW103" s="132"/>
    </row>
    <row r="104" customFormat="false" ht="11.25" hidden="false" customHeight="false" outlineLevel="0" collapsed="false">
      <c r="A104" s="132"/>
      <c r="B104" s="132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5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  <c r="EI104" s="132"/>
      <c r="EJ104" s="132"/>
      <c r="EK104" s="132"/>
      <c r="EL104" s="132"/>
      <c r="EM104" s="132"/>
      <c r="EN104" s="132"/>
      <c r="EO104" s="132"/>
      <c r="EP104" s="132"/>
      <c r="EQ104" s="132"/>
      <c r="ER104" s="132"/>
      <c r="ES104" s="132"/>
      <c r="ET104" s="132"/>
      <c r="EU104" s="132"/>
      <c r="EV104" s="132"/>
      <c r="EW104" s="132"/>
      <c r="EX104" s="132"/>
      <c r="EY104" s="132"/>
      <c r="EZ104" s="132"/>
      <c r="FA104" s="132"/>
      <c r="FB104" s="132"/>
      <c r="FC104" s="132"/>
      <c r="FD104" s="132"/>
      <c r="FE104" s="132"/>
      <c r="FF104" s="132"/>
      <c r="FG104" s="132"/>
      <c r="FH104" s="132"/>
      <c r="FI104" s="132"/>
      <c r="FJ104" s="132"/>
      <c r="FK104" s="132"/>
      <c r="FL104" s="132"/>
      <c r="FM104" s="132"/>
      <c r="FN104" s="132"/>
      <c r="FO104" s="132"/>
      <c r="FP104" s="132"/>
      <c r="FQ104" s="132"/>
      <c r="FR104" s="132"/>
      <c r="FS104" s="132"/>
      <c r="FT104" s="132"/>
      <c r="FU104" s="132"/>
      <c r="FV104" s="132"/>
      <c r="FW104" s="132"/>
      <c r="FX104" s="132"/>
      <c r="FY104" s="132"/>
      <c r="FZ104" s="132"/>
      <c r="GA104" s="132"/>
      <c r="GB104" s="132"/>
      <c r="GC104" s="132"/>
      <c r="GD104" s="132"/>
      <c r="GE104" s="132"/>
      <c r="GF104" s="132"/>
      <c r="GG104" s="132"/>
      <c r="GH104" s="132"/>
      <c r="GI104" s="132"/>
      <c r="GJ104" s="132"/>
      <c r="GK104" s="132"/>
      <c r="GL104" s="132"/>
      <c r="GM104" s="132"/>
      <c r="GN104" s="132"/>
      <c r="GO104" s="132"/>
      <c r="GP104" s="132"/>
      <c r="GQ104" s="132"/>
      <c r="GR104" s="132"/>
      <c r="GS104" s="132"/>
      <c r="GT104" s="132"/>
      <c r="GU104" s="132"/>
      <c r="GV104" s="132"/>
      <c r="GW104" s="132"/>
      <c r="GX104" s="132"/>
      <c r="GY104" s="132"/>
      <c r="GZ104" s="132"/>
      <c r="HA104" s="132"/>
      <c r="HB104" s="132"/>
      <c r="HC104" s="132"/>
      <c r="HD104" s="132"/>
      <c r="HE104" s="132"/>
      <c r="HF104" s="132"/>
      <c r="HG104" s="132"/>
      <c r="HH104" s="132"/>
      <c r="HI104" s="132"/>
      <c r="HJ104" s="132"/>
      <c r="HK104" s="132"/>
      <c r="HL104" s="132"/>
      <c r="HM104" s="132"/>
      <c r="HN104" s="132"/>
      <c r="HO104" s="132"/>
      <c r="HP104" s="132"/>
      <c r="HQ104" s="132"/>
      <c r="HR104" s="132"/>
      <c r="HS104" s="132"/>
      <c r="HT104" s="132"/>
      <c r="HU104" s="132"/>
      <c r="HV104" s="132"/>
      <c r="HW104" s="132"/>
      <c r="HX104" s="132"/>
      <c r="HY104" s="132"/>
      <c r="HZ104" s="132"/>
      <c r="IA104" s="132"/>
      <c r="IB104" s="132"/>
      <c r="IC104" s="132"/>
      <c r="ID104" s="132"/>
      <c r="IE104" s="132"/>
      <c r="IF104" s="132"/>
      <c r="IG104" s="132"/>
      <c r="IH104" s="132"/>
      <c r="II104" s="132"/>
      <c r="IJ104" s="132"/>
      <c r="IK104" s="132"/>
      <c r="IL104" s="132"/>
      <c r="IM104" s="132"/>
      <c r="IN104" s="132"/>
      <c r="IO104" s="132"/>
      <c r="IP104" s="132"/>
      <c r="IQ104" s="132"/>
      <c r="IR104" s="132"/>
      <c r="IS104" s="132"/>
      <c r="IT104" s="132"/>
      <c r="IU104" s="132"/>
      <c r="IV104" s="132"/>
      <c r="IW104" s="132"/>
    </row>
    <row r="105" customFormat="false" ht="11.25" hidden="false" customHeight="false" outlineLevel="0" collapsed="false">
      <c r="A105" s="132" t="s">
        <v>202</v>
      </c>
      <c r="B105" s="132"/>
      <c r="C105" s="128"/>
      <c r="D105" s="128"/>
      <c r="E105" s="128"/>
      <c r="F105" s="128"/>
      <c r="G105" s="128"/>
      <c r="H105" s="128"/>
      <c r="I105" s="128"/>
      <c r="J105" s="128"/>
      <c r="K105" s="128" t="n">
        <f aca="false">+K93-K100</f>
        <v>0</v>
      </c>
      <c r="L105" s="128" t="n">
        <f aca="false">+L93-L100</f>
        <v>0</v>
      </c>
      <c r="M105" s="128" t="n">
        <f aca="false">+M93-M100</f>
        <v>0</v>
      </c>
      <c r="N105" s="128" t="n">
        <f aca="false">+N93-N100</f>
        <v>0</v>
      </c>
      <c r="O105" s="128" t="n">
        <f aca="false">+O93-O100</f>
        <v>0</v>
      </c>
      <c r="P105" s="128" t="n">
        <f aca="false">+P93-P100</f>
        <v>0</v>
      </c>
      <c r="Q105" s="128" t="n">
        <f aca="false">+Q93-Q100</f>
        <v>0</v>
      </c>
      <c r="R105" s="128" t="n">
        <f aca="false">+R93-R100</f>
        <v>0</v>
      </c>
      <c r="S105" s="128" t="n">
        <f aca="false">+S93-S100</f>
        <v>0</v>
      </c>
      <c r="T105" s="128" t="n">
        <f aca="false">+T93-T100</f>
        <v>0</v>
      </c>
      <c r="U105" s="128" t="n">
        <f aca="false">+U93-U100</f>
        <v>0</v>
      </c>
      <c r="V105" s="128" t="n">
        <f aca="false">+V93-V100</f>
        <v>0</v>
      </c>
      <c r="W105" s="128" t="n">
        <f aca="false">+W93-W100</f>
        <v>0</v>
      </c>
      <c r="X105" s="128"/>
      <c r="Y105" s="167" t="n">
        <f aca="false">SUM(C105:S105)</f>
        <v>0</v>
      </c>
      <c r="Z105" s="209" t="n">
        <f aca="false">+Y105-K93</f>
        <v>0</v>
      </c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2"/>
      <c r="ES105" s="132"/>
      <c r="ET105" s="132"/>
      <c r="EU105" s="132"/>
      <c r="EV105" s="132"/>
      <c r="EW105" s="132"/>
      <c r="EX105" s="132"/>
      <c r="EY105" s="132"/>
      <c r="EZ105" s="132"/>
      <c r="FA105" s="132"/>
      <c r="FB105" s="132"/>
      <c r="FC105" s="132"/>
      <c r="FD105" s="132"/>
      <c r="FE105" s="132"/>
      <c r="FF105" s="132"/>
      <c r="FG105" s="132"/>
      <c r="FH105" s="132"/>
      <c r="FI105" s="132"/>
      <c r="FJ105" s="132"/>
      <c r="FK105" s="132"/>
      <c r="FL105" s="132"/>
      <c r="FM105" s="132"/>
      <c r="FN105" s="132"/>
      <c r="FO105" s="132"/>
      <c r="FP105" s="132"/>
      <c r="FQ105" s="132"/>
      <c r="FR105" s="132"/>
      <c r="FS105" s="132"/>
      <c r="FT105" s="132"/>
      <c r="FU105" s="132"/>
      <c r="FV105" s="132"/>
      <c r="FW105" s="132"/>
      <c r="FX105" s="132"/>
      <c r="FY105" s="132"/>
      <c r="FZ105" s="132"/>
      <c r="GA105" s="132"/>
      <c r="GB105" s="132"/>
      <c r="GC105" s="132"/>
      <c r="GD105" s="132"/>
      <c r="GE105" s="132"/>
      <c r="GF105" s="132"/>
      <c r="GG105" s="132"/>
      <c r="GH105" s="132"/>
      <c r="GI105" s="132"/>
      <c r="GJ105" s="132"/>
      <c r="GK105" s="132"/>
      <c r="GL105" s="132"/>
      <c r="GM105" s="132"/>
      <c r="GN105" s="132"/>
      <c r="GO105" s="132"/>
      <c r="GP105" s="132"/>
      <c r="GQ105" s="132"/>
      <c r="GR105" s="132"/>
      <c r="GS105" s="132"/>
      <c r="GT105" s="132"/>
      <c r="GU105" s="132"/>
      <c r="GV105" s="132"/>
      <c r="GW105" s="132"/>
      <c r="GX105" s="132"/>
      <c r="GY105" s="132"/>
      <c r="GZ105" s="132"/>
      <c r="HA105" s="132"/>
      <c r="HB105" s="132"/>
      <c r="HC105" s="132"/>
      <c r="HD105" s="132"/>
      <c r="HE105" s="132"/>
      <c r="HF105" s="132"/>
      <c r="HG105" s="132"/>
      <c r="HH105" s="132"/>
      <c r="HI105" s="132"/>
      <c r="HJ105" s="132"/>
      <c r="HK105" s="132"/>
      <c r="HL105" s="132"/>
      <c r="HM105" s="132"/>
      <c r="HN105" s="132"/>
      <c r="HO105" s="132"/>
      <c r="HP105" s="132"/>
      <c r="HQ105" s="132"/>
      <c r="HR105" s="132"/>
      <c r="HS105" s="132"/>
      <c r="HT105" s="132"/>
      <c r="HU105" s="132"/>
      <c r="HV105" s="132"/>
      <c r="HW105" s="132"/>
      <c r="HX105" s="132"/>
      <c r="HY105" s="132"/>
      <c r="HZ105" s="132"/>
      <c r="IA105" s="132"/>
      <c r="IB105" s="132"/>
      <c r="IC105" s="132"/>
      <c r="ID105" s="132"/>
      <c r="IE105" s="132"/>
      <c r="IF105" s="132"/>
      <c r="IG105" s="132"/>
      <c r="IH105" s="132"/>
      <c r="II105" s="132"/>
      <c r="IJ105" s="132"/>
      <c r="IK105" s="132"/>
      <c r="IL105" s="132"/>
      <c r="IM105" s="132"/>
      <c r="IN105" s="132"/>
      <c r="IO105" s="132"/>
      <c r="IP105" s="132"/>
      <c r="IQ105" s="132"/>
      <c r="IR105" s="132"/>
      <c r="IS105" s="132"/>
      <c r="IT105" s="132"/>
      <c r="IU105" s="132"/>
      <c r="IV105" s="132"/>
      <c r="IW105" s="132"/>
    </row>
    <row r="106" customFormat="false" ht="11.25" hidden="false" customHeight="false" outlineLevel="0" collapsed="false">
      <c r="A106" s="132" t="s">
        <v>203</v>
      </c>
      <c r="B106" s="132"/>
      <c r="C106" s="128"/>
      <c r="D106" s="128"/>
      <c r="E106" s="128"/>
      <c r="F106" s="128"/>
      <c r="G106" s="128" t="n">
        <f aca="false">+G94-G101</f>
        <v>0</v>
      </c>
      <c r="H106" s="128" t="n">
        <f aca="false">+H94-H101</f>
        <v>0</v>
      </c>
      <c r="I106" s="128" t="n">
        <f aca="false">+I94-I101</f>
        <v>0</v>
      </c>
      <c r="J106" s="128" t="n">
        <f aca="false">+J94-J101</f>
        <v>0</v>
      </c>
      <c r="K106" s="128" t="n">
        <f aca="false">+K94-K101</f>
        <v>0</v>
      </c>
      <c r="L106" s="128" t="n">
        <f aca="false">+L94-L101</f>
        <v>0</v>
      </c>
      <c r="M106" s="128" t="n">
        <f aca="false">+M94-M101</f>
        <v>0</v>
      </c>
      <c r="N106" s="128" t="n">
        <f aca="false">+N94-N101</f>
        <v>0</v>
      </c>
      <c r="O106" s="128" t="n">
        <f aca="false">+O94-O101</f>
        <v>0</v>
      </c>
      <c r="P106" s="128" t="n">
        <f aca="false">+P94-P101</f>
        <v>0</v>
      </c>
      <c r="Q106" s="128" t="n">
        <f aca="false">+Q94-Q101</f>
        <v>0</v>
      </c>
      <c r="R106" s="128" t="n">
        <f aca="false">+R94-R101</f>
        <v>0</v>
      </c>
      <c r="S106" s="128" t="n">
        <f aca="false">+S94-S101</f>
        <v>0</v>
      </c>
      <c r="T106" s="128" t="n">
        <f aca="false">+T94-T101</f>
        <v>0</v>
      </c>
      <c r="U106" s="128" t="n">
        <f aca="false">+U94-U101</f>
        <v>0</v>
      </c>
      <c r="V106" s="128" t="n">
        <f aca="false">+V94-V101</f>
        <v>0</v>
      </c>
      <c r="W106" s="128" t="n">
        <f aca="false">+W94-W101</f>
        <v>0</v>
      </c>
      <c r="X106" s="128"/>
      <c r="Y106" s="167" t="n">
        <f aca="false">SUM(C106:S106)</f>
        <v>0</v>
      </c>
      <c r="Z106" s="209" t="n">
        <f aca="false">+Y106-G89</f>
        <v>0</v>
      </c>
      <c r="AA106" s="160" t="s">
        <v>164</v>
      </c>
      <c r="AB106" s="160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2"/>
      <c r="GI106" s="132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2"/>
      <c r="GV106" s="132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2"/>
      <c r="HI106" s="132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  <c r="HT106" s="132"/>
      <c r="HU106" s="132"/>
      <c r="HV106" s="132"/>
      <c r="HW106" s="132"/>
      <c r="HX106" s="132"/>
      <c r="HY106" s="132"/>
      <c r="HZ106" s="132"/>
      <c r="IA106" s="132"/>
      <c r="IB106" s="132"/>
      <c r="IC106" s="132"/>
      <c r="ID106" s="132"/>
      <c r="IE106" s="132"/>
      <c r="IF106" s="132"/>
      <c r="IG106" s="132"/>
      <c r="IH106" s="132"/>
      <c r="II106" s="132"/>
      <c r="IJ106" s="132"/>
      <c r="IK106" s="132"/>
      <c r="IL106" s="132"/>
      <c r="IM106" s="132"/>
      <c r="IN106" s="132"/>
      <c r="IO106" s="132"/>
      <c r="IP106" s="132"/>
      <c r="IQ106" s="132"/>
      <c r="IR106" s="132"/>
      <c r="IS106" s="132"/>
      <c r="IT106" s="132"/>
      <c r="IU106" s="132"/>
      <c r="IV106" s="132"/>
      <c r="IW106" s="132"/>
    </row>
    <row r="107" customFormat="false" ht="11.25" hidden="false" customHeight="false" outlineLevel="0" collapsed="false">
      <c r="A107" s="132" t="s">
        <v>204</v>
      </c>
      <c r="B107" s="132"/>
      <c r="C107" s="128"/>
      <c r="D107" s="206" t="n">
        <f aca="false">+D96-D103</f>
        <v>327129.136130476</v>
      </c>
      <c r="E107" s="206" t="n">
        <f aca="false">+E96-E103</f>
        <v>351074.988895227</v>
      </c>
      <c r="F107" s="206" t="n">
        <f aca="false">+F96-F103</f>
        <v>376773.678082357</v>
      </c>
      <c r="G107" s="206" t="n">
        <f aca="false">+G96-G103</f>
        <v>404353.511317986</v>
      </c>
      <c r="H107" s="206" t="n">
        <f aca="false">+H96-H103</f>
        <v>433952.188346462</v>
      </c>
      <c r="I107" s="206" t="n">
        <f aca="false">+I96-I103</f>
        <v>465717.488533423</v>
      </c>
      <c r="J107" s="206" t="n">
        <f aca="false">+J96-J103</f>
        <v>10960999.0086941</v>
      </c>
      <c r="K107" s="128" t="n">
        <v>0</v>
      </c>
      <c r="L107" s="128" t="n">
        <v>0</v>
      </c>
      <c r="M107" s="128" t="n">
        <v>0</v>
      </c>
      <c r="N107" s="128" t="n">
        <v>0</v>
      </c>
      <c r="O107" s="128" t="n">
        <v>0</v>
      </c>
      <c r="P107" s="128" t="n">
        <v>0</v>
      </c>
      <c r="Q107" s="128" t="n">
        <v>0</v>
      </c>
      <c r="R107" s="128" t="n">
        <v>0</v>
      </c>
      <c r="S107" s="128" t="n">
        <v>0</v>
      </c>
      <c r="T107" s="128" t="n">
        <v>0</v>
      </c>
      <c r="U107" s="128" t="n">
        <v>0</v>
      </c>
      <c r="V107" s="128" t="n">
        <v>0</v>
      </c>
      <c r="W107" s="128" t="n">
        <v>0</v>
      </c>
      <c r="X107" s="128"/>
      <c r="Y107" s="167" t="n">
        <f aca="false">SUM(C107:S107)</f>
        <v>13320000</v>
      </c>
      <c r="Z107" s="209" t="n">
        <f aca="false">+Y107-D90</f>
        <v>0</v>
      </c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/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  <c r="DD107" s="132"/>
      <c r="DE107" s="132"/>
      <c r="DF107" s="132"/>
      <c r="DG107" s="132"/>
      <c r="DH107" s="132"/>
      <c r="DI107" s="132"/>
      <c r="DJ107" s="132"/>
      <c r="DK107" s="132"/>
      <c r="DL107" s="132"/>
      <c r="DM107" s="132"/>
      <c r="DN107" s="132"/>
      <c r="DO107" s="132"/>
      <c r="DP107" s="132"/>
      <c r="DQ107" s="132"/>
      <c r="DR107" s="132"/>
      <c r="DS107" s="132"/>
      <c r="DT107" s="132"/>
      <c r="DU107" s="132"/>
      <c r="DV107" s="132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2"/>
      <c r="EI107" s="132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2"/>
      <c r="EV107" s="132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2"/>
      <c r="FI107" s="132"/>
      <c r="FJ107" s="132"/>
      <c r="FK107" s="132"/>
      <c r="FL107" s="132"/>
      <c r="FM107" s="132"/>
      <c r="FN107" s="132"/>
      <c r="FO107" s="132"/>
      <c r="FP107" s="132"/>
      <c r="FQ107" s="132"/>
      <c r="FR107" s="132"/>
      <c r="FS107" s="132"/>
      <c r="FT107" s="132"/>
      <c r="FU107" s="132"/>
      <c r="FV107" s="132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2"/>
      <c r="GI107" s="132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2"/>
      <c r="GV107" s="132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2"/>
      <c r="HI107" s="132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  <c r="HT107" s="132"/>
      <c r="HU107" s="132"/>
      <c r="HV107" s="132"/>
      <c r="HW107" s="132"/>
      <c r="HX107" s="132"/>
      <c r="HY107" s="132"/>
      <c r="HZ107" s="132"/>
      <c r="IA107" s="132"/>
      <c r="IB107" s="132"/>
      <c r="IC107" s="132"/>
      <c r="ID107" s="132"/>
      <c r="IE107" s="132"/>
      <c r="IF107" s="132"/>
      <c r="IG107" s="132"/>
      <c r="IH107" s="132"/>
      <c r="II107" s="132"/>
      <c r="IJ107" s="132"/>
      <c r="IK107" s="132"/>
      <c r="IL107" s="132"/>
      <c r="IM107" s="132"/>
      <c r="IN107" s="132"/>
      <c r="IO107" s="132"/>
      <c r="IP107" s="132"/>
      <c r="IQ107" s="132"/>
      <c r="IR107" s="132"/>
      <c r="IS107" s="132"/>
      <c r="IT107" s="132"/>
      <c r="IU107" s="132"/>
      <c r="IV107" s="132"/>
      <c r="IW107" s="132"/>
    </row>
    <row r="108" customFormat="false" ht="11.25" hidden="false" customHeight="false" outlineLevel="0" collapsed="false">
      <c r="A108" s="132" t="s">
        <v>205</v>
      </c>
      <c r="B108" s="132"/>
      <c r="C108" s="128"/>
      <c r="D108" s="203" t="n">
        <f aca="false">SUM(D105:D107)</f>
        <v>327129.136130476</v>
      </c>
      <c r="E108" s="203" t="n">
        <f aca="false">SUM(E105:E107)</f>
        <v>351074.988895227</v>
      </c>
      <c r="F108" s="203" t="n">
        <f aca="false">SUM(F105:F107)</f>
        <v>376773.678082357</v>
      </c>
      <c r="G108" s="203" t="n">
        <f aca="false">SUM(G105:G107)</f>
        <v>404353.511317986</v>
      </c>
      <c r="H108" s="203" t="n">
        <f aca="false">SUM(H105:H107)</f>
        <v>433952.188346462</v>
      </c>
      <c r="I108" s="203" t="n">
        <f aca="false">SUM(I105:I107)</f>
        <v>465717.488533423</v>
      </c>
      <c r="J108" s="203" t="n">
        <f aca="false">SUM(J105:J107)</f>
        <v>10960999.0086941</v>
      </c>
      <c r="K108" s="203" t="n">
        <f aca="false">SUM(K105:K107)</f>
        <v>0</v>
      </c>
      <c r="L108" s="203" t="n">
        <f aca="false">SUM(L105:L107)</f>
        <v>0</v>
      </c>
      <c r="M108" s="203" t="n">
        <f aca="false">SUM(M105:M107)</f>
        <v>0</v>
      </c>
      <c r="N108" s="203" t="n">
        <f aca="false">SUM(N105:N107)</f>
        <v>0</v>
      </c>
      <c r="O108" s="203" t="n">
        <f aca="false">SUM(O105:O107)</f>
        <v>0</v>
      </c>
      <c r="P108" s="203" t="n">
        <f aca="false">SUM(P105:P107)</f>
        <v>0</v>
      </c>
      <c r="Q108" s="203" t="n">
        <f aca="false">SUM(Q105:Q107)</f>
        <v>0</v>
      </c>
      <c r="R108" s="203" t="n">
        <f aca="false">SUM(R105:R107)</f>
        <v>0</v>
      </c>
      <c r="S108" s="203" t="n">
        <f aca="false">SUM(S105:S107)</f>
        <v>0</v>
      </c>
      <c r="T108" s="203" t="n">
        <f aca="false">SUM(T105:T107)</f>
        <v>0</v>
      </c>
      <c r="U108" s="203" t="n">
        <f aca="false">SUM(U105:U107)</f>
        <v>0</v>
      </c>
      <c r="V108" s="203" t="n">
        <f aca="false">SUM(V105:V107)</f>
        <v>0</v>
      </c>
      <c r="W108" s="203" t="n">
        <f aca="false">SUM(W105:W107)</f>
        <v>0</v>
      </c>
      <c r="X108" s="203"/>
      <c r="Y108" s="198" t="n">
        <f aca="false">SUM(Y105:Y107)</f>
        <v>13320000</v>
      </c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2"/>
      <c r="FI108" s="132"/>
      <c r="FJ108" s="132"/>
      <c r="FK108" s="132"/>
      <c r="FL108" s="132"/>
      <c r="FM108" s="132"/>
      <c r="FN108" s="132"/>
      <c r="FO108" s="132"/>
      <c r="FP108" s="132"/>
      <c r="FQ108" s="132"/>
      <c r="FR108" s="132"/>
      <c r="FS108" s="132"/>
      <c r="FT108" s="132"/>
      <c r="FU108" s="132"/>
      <c r="FV108" s="132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2"/>
      <c r="GI108" s="132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2"/>
      <c r="GV108" s="132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2"/>
      <c r="HI108" s="132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  <c r="HT108" s="132"/>
      <c r="HU108" s="132"/>
      <c r="HV108" s="132"/>
      <c r="HW108" s="132"/>
      <c r="HX108" s="132"/>
      <c r="HY108" s="132"/>
      <c r="HZ108" s="132"/>
      <c r="IA108" s="132"/>
      <c r="IB108" s="132"/>
      <c r="IC108" s="132"/>
      <c r="ID108" s="132"/>
      <c r="IE108" s="132"/>
      <c r="IF108" s="132"/>
      <c r="IG108" s="132"/>
      <c r="IH108" s="132"/>
      <c r="II108" s="132"/>
      <c r="IJ108" s="132"/>
      <c r="IK108" s="132"/>
      <c r="IL108" s="132"/>
      <c r="IM108" s="132"/>
      <c r="IN108" s="132"/>
      <c r="IO108" s="132"/>
      <c r="IP108" s="132"/>
      <c r="IQ108" s="132"/>
      <c r="IR108" s="132"/>
      <c r="IS108" s="132"/>
      <c r="IT108" s="132"/>
      <c r="IU108" s="132"/>
      <c r="IV108" s="132"/>
      <c r="IW108" s="132"/>
    </row>
    <row r="109" customFormat="false" ht="11.25" hidden="false" customHeight="false" outlineLevel="0" collapsed="false"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</row>
    <row r="110" customFormat="false" ht="11.25" hidden="false" customHeight="false" outlineLevel="0" collapsed="false">
      <c r="A110" s="132"/>
      <c r="B110" s="132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132"/>
      <c r="DS110" s="132"/>
      <c r="DT110" s="132"/>
      <c r="DU110" s="132"/>
      <c r="DV110" s="132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2"/>
      <c r="FI110" s="132"/>
      <c r="FJ110" s="132"/>
      <c r="FK110" s="132"/>
      <c r="FL110" s="132"/>
      <c r="FM110" s="132"/>
      <c r="FN110" s="132"/>
      <c r="FO110" s="132"/>
      <c r="FP110" s="132"/>
      <c r="FQ110" s="132"/>
      <c r="FR110" s="132"/>
      <c r="FS110" s="132"/>
      <c r="FT110" s="132"/>
      <c r="FU110" s="132"/>
      <c r="FV110" s="132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2"/>
      <c r="GI110" s="132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2"/>
      <c r="GV110" s="132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2"/>
      <c r="HI110" s="132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  <c r="HT110" s="132"/>
      <c r="HU110" s="132"/>
      <c r="HV110" s="132"/>
      <c r="HW110" s="132"/>
      <c r="HX110" s="132"/>
      <c r="HY110" s="132"/>
      <c r="HZ110" s="132"/>
      <c r="IA110" s="132"/>
      <c r="IB110" s="132"/>
      <c r="IC110" s="132"/>
      <c r="ID110" s="132"/>
      <c r="IE110" s="132"/>
      <c r="IF110" s="132"/>
      <c r="IG110" s="132"/>
      <c r="IH110" s="132"/>
      <c r="II110" s="132"/>
      <c r="IJ110" s="132"/>
      <c r="IK110" s="132"/>
      <c r="IL110" s="132"/>
      <c r="IM110" s="132"/>
      <c r="IN110" s="132"/>
      <c r="IO110" s="132"/>
      <c r="IP110" s="132"/>
      <c r="IQ110" s="132"/>
      <c r="IR110" s="132"/>
      <c r="IS110" s="132"/>
      <c r="IT110" s="132"/>
      <c r="IU110" s="132"/>
      <c r="IV110" s="132"/>
      <c r="IW110" s="132"/>
    </row>
    <row r="111" customFormat="false" ht="11.25" hidden="false" customHeight="false" outlineLevel="0" collapsed="false">
      <c r="A111" s="132"/>
      <c r="B111" s="132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132"/>
      <c r="DS111" s="132"/>
      <c r="DT111" s="132"/>
      <c r="DU111" s="132"/>
      <c r="DV111" s="132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2"/>
      <c r="EI111" s="132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2"/>
      <c r="EV111" s="132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2"/>
      <c r="FI111" s="132"/>
      <c r="FJ111" s="132"/>
      <c r="FK111" s="132"/>
      <c r="FL111" s="132"/>
      <c r="FM111" s="132"/>
      <c r="FN111" s="132"/>
      <c r="FO111" s="132"/>
      <c r="FP111" s="132"/>
      <c r="FQ111" s="132"/>
      <c r="FR111" s="132"/>
      <c r="FS111" s="132"/>
      <c r="FT111" s="132"/>
      <c r="FU111" s="132"/>
      <c r="FV111" s="132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2"/>
      <c r="GI111" s="132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2"/>
      <c r="GV111" s="132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2"/>
      <c r="HI111" s="132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  <c r="HT111" s="132"/>
      <c r="HU111" s="132"/>
      <c r="HV111" s="132"/>
      <c r="HW111" s="132"/>
      <c r="HX111" s="132"/>
      <c r="HY111" s="132"/>
      <c r="HZ111" s="132"/>
      <c r="IA111" s="132"/>
      <c r="IB111" s="132"/>
      <c r="IC111" s="132"/>
      <c r="ID111" s="132"/>
      <c r="IE111" s="132"/>
      <c r="IF111" s="132"/>
      <c r="IG111" s="132"/>
      <c r="IH111" s="132"/>
      <c r="II111" s="132"/>
      <c r="IJ111" s="132"/>
      <c r="IK111" s="132"/>
      <c r="IL111" s="132"/>
      <c r="IM111" s="132"/>
      <c r="IN111" s="132"/>
      <c r="IO111" s="132"/>
      <c r="IP111" s="132"/>
      <c r="IQ111" s="132"/>
      <c r="IR111" s="132"/>
      <c r="IS111" s="132"/>
      <c r="IT111" s="132"/>
      <c r="IU111" s="132"/>
      <c r="IV111" s="132"/>
      <c r="IW111" s="132"/>
    </row>
    <row r="112" customFormat="false" ht="11.25" hidden="false" customHeight="false" outlineLevel="0" collapsed="false"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</row>
  </sheetData>
  <printOptions headings="false" gridLines="false" gridLinesSet="true" horizontalCentered="true" verticalCentered="false"/>
  <pageMargins left="0.25" right="0.25" top="0.390277777777778" bottom="0.190277777777778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7.56"/>
    <col collapsed="false" customWidth="true" hidden="false" outlineLevel="0" max="2" min="2" style="1" width="14.85"/>
    <col collapsed="false" customWidth="true" hidden="false" outlineLevel="0" max="3" min="3" style="1" width="11.28"/>
    <col collapsed="false" customWidth="true" hidden="false" outlineLevel="0" max="4" min="4" style="1" width="14.99"/>
    <col collapsed="false" customWidth="true" hidden="false" outlineLevel="0" max="5" min="5" style="1" width="13.28"/>
    <col collapsed="false" customWidth="true" hidden="false" outlineLevel="0" max="8" min="6" style="1" width="11.99"/>
    <col collapsed="false" customWidth="true" hidden="false" outlineLevel="0" max="9" min="9" style="1" width="12.28"/>
    <col collapsed="false" customWidth="true" hidden="false" outlineLevel="0" max="10" min="10" style="1" width="12.85"/>
    <col collapsed="false" customWidth="true" hidden="false" outlineLevel="0" max="12" min="11" style="1" width="11.99"/>
    <col collapsed="false" customWidth="true" hidden="false" outlineLevel="0" max="13" min="13" style="1" width="12.28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2" t="str">
        <f aca="false">+Model!D2</f>
        <v>For informational purposes only - Not to be construed as approval/disapproval by the Economic Analysis Dept.</v>
      </c>
      <c r="B1" s="2"/>
    </row>
    <row r="2" customFormat="false" ht="12" hidden="false" customHeight="false" outlineLevel="0" collapsed="false">
      <c r="A2" s="2"/>
      <c r="B2" s="2"/>
      <c r="C2" s="2"/>
    </row>
    <row r="3" customFormat="false" ht="11.25" hidden="false" customHeight="false" outlineLevel="0" collapsed="false">
      <c r="A3" s="2" t="str">
        <f aca="false">+'Input Sheet'!B1</f>
        <v>Project Name:</v>
      </c>
      <c r="B3" s="2" t="str">
        <f aca="false">+'Input Sheet'!C1</f>
        <v>TW Compressor Monetization</v>
      </c>
      <c r="D3" s="210" t="s">
        <v>206</v>
      </c>
      <c r="E3" s="211"/>
      <c r="F3" s="212" t="n">
        <v>0.025</v>
      </c>
    </row>
    <row r="4" customFormat="false" ht="4.5" hidden="false" customHeight="true" outlineLevel="0" collapsed="false">
      <c r="A4" s="2"/>
      <c r="B4" s="2"/>
      <c r="C4" s="2"/>
      <c r="D4" s="213"/>
      <c r="E4" s="47"/>
      <c r="F4" s="214"/>
    </row>
    <row r="5" customFormat="false" ht="12" hidden="false" customHeight="false" outlineLevel="0" collapsed="false">
      <c r="D5" s="215" t="s">
        <v>207</v>
      </c>
      <c r="E5" s="216" t="n">
        <f aca="false">+B47</f>
        <v>0.0821689918531451</v>
      </c>
      <c r="F5" s="56"/>
    </row>
    <row r="7" customFormat="false" ht="11.25" hidden="false" customHeight="false" outlineLevel="0" collapsed="false">
      <c r="A7" s="2" t="s">
        <v>208</v>
      </c>
      <c r="B7" s="217" t="n">
        <v>14800000</v>
      </c>
      <c r="D7" s="2" t="s">
        <v>208</v>
      </c>
      <c r="E7" s="218" t="n">
        <f aca="false">+B7</f>
        <v>14800000</v>
      </c>
    </row>
    <row r="8" customFormat="false" ht="11.25" hidden="false" customHeight="false" outlineLevel="0" collapsed="false">
      <c r="A8" s="2" t="s">
        <v>209</v>
      </c>
      <c r="B8" s="219" t="n">
        <v>11444593</v>
      </c>
      <c r="D8" s="2" t="s">
        <v>210</v>
      </c>
      <c r="E8" s="218" t="n">
        <v>4441997.2672</v>
      </c>
    </row>
    <row r="9" customFormat="false" ht="11.25" hidden="false" customHeight="false" outlineLevel="0" collapsed="false">
      <c r="A9" s="2" t="s">
        <v>211</v>
      </c>
      <c r="B9" s="219" t="n">
        <v>160000</v>
      </c>
      <c r="D9" s="2" t="s">
        <v>212</v>
      </c>
      <c r="E9" s="218" t="n">
        <f aca="false">+B9</f>
        <v>160000</v>
      </c>
    </row>
    <row r="10" customFormat="false" ht="11.25" hidden="false" customHeight="false" outlineLevel="0" collapsed="false">
      <c r="A10" s="98" t="s">
        <v>213</v>
      </c>
      <c r="B10" s="220" t="n">
        <f aca="false">+B7-B8-B9</f>
        <v>3195407</v>
      </c>
      <c r="D10" s="2" t="s">
        <v>214</v>
      </c>
      <c r="E10" s="220" t="n">
        <f aca="false">+E7-E8-E9</f>
        <v>10198002.7328</v>
      </c>
    </row>
    <row r="11" customFormat="false" ht="12" hidden="false" customHeight="false" outlineLevel="0" collapsed="false">
      <c r="D11" s="2" t="s">
        <v>215</v>
      </c>
      <c r="E11" s="217" t="n">
        <f aca="false">+E10*0.3888</f>
        <v>3964983.46251264</v>
      </c>
    </row>
    <row r="12" customFormat="false" ht="12" hidden="false" customHeight="false" outlineLevel="0" collapsed="false">
      <c r="A12" s="221" t="s">
        <v>216</v>
      </c>
      <c r="B12" s="51"/>
    </row>
    <row r="13" customFormat="false" ht="11.25" hidden="false" customHeight="false" outlineLevel="0" collapsed="false">
      <c r="A13" s="2" t="s">
        <v>217</v>
      </c>
      <c r="B13" s="222" t="n">
        <f aca="false">+'Input Sheet'!D21</f>
        <v>14800000</v>
      </c>
    </row>
    <row r="14" customFormat="false" ht="11.25" hidden="false" customHeight="false" outlineLevel="0" collapsed="false">
      <c r="A14" s="2" t="s">
        <v>218</v>
      </c>
      <c r="B14" s="217" t="n">
        <f aca="false">+'Input Sheet'!D5</f>
        <v>10461191</v>
      </c>
      <c r="C14" s="1" t="s">
        <v>219</v>
      </c>
    </row>
    <row r="15" customFormat="false" ht="11.25" hidden="false" customHeight="false" outlineLevel="0" collapsed="false">
      <c r="A15" s="2" t="s">
        <v>220</v>
      </c>
      <c r="B15" s="223" t="n">
        <v>0.39</v>
      </c>
    </row>
    <row r="16" customFormat="false" ht="12" hidden="false" customHeight="false" outlineLevel="0" collapsed="false">
      <c r="A16" s="2"/>
      <c r="B16" s="2"/>
      <c r="C16" s="224"/>
    </row>
    <row r="17" customFormat="false" ht="11.25" hidden="false" customHeight="false" outlineLevel="0" collapsed="false">
      <c r="A17" s="225" t="s">
        <v>221</v>
      </c>
      <c r="B17" s="226" t="str">
        <f aca="false">+Model!A23</f>
        <v>DEBT</v>
      </c>
      <c r="C17" s="227" t="n">
        <v>0.9</v>
      </c>
    </row>
    <row r="18" customFormat="false" ht="12" hidden="false" customHeight="false" outlineLevel="0" collapsed="false">
      <c r="B18" s="228" t="str">
        <f aca="false">+Model!A24</f>
        <v>EQUITY</v>
      </c>
      <c r="C18" s="229" t="n">
        <v>0.1</v>
      </c>
    </row>
    <row r="19" customFormat="false" ht="12" hidden="false" customHeight="false" outlineLevel="0" collapsed="false">
      <c r="B19" s="230"/>
      <c r="C19" s="231"/>
    </row>
    <row r="20" customFormat="false" ht="11.25" hidden="false" customHeight="false" outlineLevel="0" collapsed="false">
      <c r="A20" s="2" t="s">
        <v>222</v>
      </c>
      <c r="B20" s="232" t="s">
        <v>223</v>
      </c>
      <c r="C20" s="233" t="n">
        <f aca="false">+B7*C18</f>
        <v>1480000</v>
      </c>
    </row>
    <row r="21" customFormat="false" ht="11.25" hidden="false" customHeight="false" outlineLevel="0" collapsed="false">
      <c r="A21" s="2"/>
      <c r="B21" s="234" t="s">
        <v>224</v>
      </c>
      <c r="C21" s="235" t="n">
        <f aca="false">+B7-C20</f>
        <v>13320000</v>
      </c>
    </row>
    <row r="22" customFormat="false" ht="11.25" hidden="false" customHeight="false" outlineLevel="0" collapsed="false">
      <c r="A22" s="2"/>
      <c r="B22" s="234" t="s">
        <v>225</v>
      </c>
      <c r="C22" s="236" t="n">
        <v>7</v>
      </c>
    </row>
    <row r="23" customFormat="false" ht="11.25" hidden="false" customHeight="false" outlineLevel="0" collapsed="false">
      <c r="B23" s="237" t="s">
        <v>12</v>
      </c>
      <c r="C23" s="238" t="n">
        <v>0.0732</v>
      </c>
    </row>
    <row r="24" customFormat="false" ht="11.25" hidden="false" customHeight="false" outlineLevel="0" collapsed="false">
      <c r="B24" s="237" t="s">
        <v>226</v>
      </c>
      <c r="C24" s="235" t="n">
        <f aca="false">+Model!D96</f>
        <v>1302153.13613048</v>
      </c>
    </row>
    <row r="25" customFormat="false" ht="12" hidden="false" customHeight="false" outlineLevel="0" collapsed="false">
      <c r="B25" s="239" t="s">
        <v>227</v>
      </c>
      <c r="C25" s="240" t="n">
        <f aca="false">+Model!J65</f>
        <v>10960999.0086941</v>
      </c>
    </row>
    <row r="26" customFormat="false" ht="12" hidden="false" customHeight="false" outlineLevel="0" collapsed="false"/>
    <row r="27" customFormat="false" ht="12" hidden="false" customHeight="false" outlineLevel="0" collapsed="false">
      <c r="A27" s="241" t="s">
        <v>228</v>
      </c>
      <c r="B27" s="242" t="s">
        <v>140</v>
      </c>
      <c r="D27" s="243" t="n">
        <v>2001</v>
      </c>
      <c r="E27" s="243" t="n">
        <v>2002</v>
      </c>
      <c r="F27" s="243" t="n">
        <v>2003</v>
      </c>
      <c r="G27" s="243" t="n">
        <v>2004</v>
      </c>
      <c r="H27" s="243" t="n">
        <v>2005</v>
      </c>
      <c r="I27" s="243" t="n">
        <v>2006</v>
      </c>
      <c r="J27" s="243" t="n">
        <v>2007</v>
      </c>
    </row>
    <row r="28" customFormat="false" ht="11.25" hidden="false" customHeight="false" outlineLevel="0" collapsed="false">
      <c r="A28" s="1" t="s">
        <v>229</v>
      </c>
      <c r="B28" s="244" t="n">
        <f aca="false">SUM(D28:J28)</f>
        <v>351046.672454936</v>
      </c>
      <c r="D28" s="244" t="n">
        <f aca="false">+D33-D29-D30-D31-D32</f>
        <v>-17969.7021428572</v>
      </c>
      <c r="E28" s="244" t="n">
        <f aca="false">+E33-E29-E30-E31-E32</f>
        <v>351.463371893624</v>
      </c>
      <c r="F28" s="244" t="n">
        <f aca="false">+F33-F29-F30-F31-F32</f>
        <v>19290.9091915245</v>
      </c>
      <c r="G28" s="244" t="n">
        <f aca="false">+G33-G29-G30-G31-G32</f>
        <v>42184.3815086279</v>
      </c>
      <c r="H28" s="244" t="n">
        <f aca="false">+H33-H29-H30-H31-H32</f>
        <v>69358.4872910238</v>
      </c>
      <c r="I28" s="244" t="n">
        <f aca="false">+I33-I29-I30-I31-I32</f>
        <v>100971.588094522</v>
      </c>
      <c r="J28" s="244" t="n">
        <f aca="false">+J33-J29-J30-J31-J32</f>
        <v>136859.545140201</v>
      </c>
    </row>
    <row r="29" customFormat="false" ht="11.25" hidden="false" customHeight="false" outlineLevel="0" collapsed="false">
      <c r="A29" s="1" t="s">
        <v>230</v>
      </c>
      <c r="B29" s="244" t="n">
        <f aca="false">SUM(D29:J29)</f>
        <v>4338809</v>
      </c>
      <c r="D29" s="206" t="n">
        <f aca="false">(B7-B14)/7</f>
        <v>619829.857142857</v>
      </c>
      <c r="E29" s="206" t="n">
        <f aca="false">+D29</f>
        <v>619829.857142857</v>
      </c>
      <c r="F29" s="206" t="n">
        <f aca="false">+E29</f>
        <v>619829.857142857</v>
      </c>
      <c r="G29" s="206" t="n">
        <f aca="false">+F29</f>
        <v>619829.857142857</v>
      </c>
      <c r="H29" s="206" t="n">
        <f aca="false">+G29</f>
        <v>619829.857142857</v>
      </c>
      <c r="I29" s="206" t="n">
        <f aca="false">+H29</f>
        <v>619829.857142857</v>
      </c>
      <c r="J29" s="206" t="n">
        <f aca="false">+I29</f>
        <v>619829.857142857</v>
      </c>
    </row>
    <row r="30" customFormat="false" ht="11.25" hidden="false" customHeight="false" outlineLevel="0" collapsed="false">
      <c r="A30" s="1" t="s">
        <v>231</v>
      </c>
      <c r="B30" s="244" t="n">
        <f aca="false">SUM(D30:J30)</f>
        <v>1147302.94</v>
      </c>
      <c r="D30" s="245" t="n">
        <v>163900.42</v>
      </c>
      <c r="E30" s="245" t="n">
        <f aca="false">+D30</f>
        <v>163900.42</v>
      </c>
      <c r="F30" s="245" t="n">
        <f aca="false">+E30</f>
        <v>163900.42</v>
      </c>
      <c r="G30" s="245" t="n">
        <f aca="false">+F30</f>
        <v>163900.42</v>
      </c>
      <c r="H30" s="245" t="n">
        <f aca="false">+G30</f>
        <v>163900.42</v>
      </c>
      <c r="I30" s="245" t="n">
        <f aca="false">+H30</f>
        <v>163900.42</v>
      </c>
      <c r="J30" s="245" t="n">
        <f aca="false">+I30</f>
        <v>163900.42</v>
      </c>
    </row>
    <row r="31" customFormat="false" ht="11.25" hidden="false" customHeight="false" outlineLevel="0" collapsed="false">
      <c r="A31" s="1" t="s">
        <v>162</v>
      </c>
      <c r="B31" s="244" t="n">
        <f aca="false">SUM(D31:J31)</f>
        <v>8325468.9</v>
      </c>
      <c r="D31" s="206" t="n">
        <f aca="false">+'Input Sheet'!D76</f>
        <v>1189352.7</v>
      </c>
      <c r="E31" s="206" t="n">
        <f aca="false">+'Input Sheet'!E76</f>
        <v>1189352.7</v>
      </c>
      <c r="F31" s="206" t="n">
        <f aca="false">+'Input Sheet'!F76</f>
        <v>1189352.7</v>
      </c>
      <c r="G31" s="206" t="n">
        <f aca="false">+'Input Sheet'!G76</f>
        <v>1189352.7</v>
      </c>
      <c r="H31" s="206" t="n">
        <f aca="false">+'Input Sheet'!H76</f>
        <v>1189352.7</v>
      </c>
      <c r="I31" s="206" t="n">
        <f aca="false">+'Input Sheet'!I76</f>
        <v>1189352.7</v>
      </c>
      <c r="J31" s="206" t="n">
        <f aca="false">+'Input Sheet'!J76</f>
        <v>1189352.7</v>
      </c>
    </row>
    <row r="32" customFormat="false" ht="11.25" hidden="false" customHeight="false" outlineLevel="0" collapsed="false">
      <c r="A32" s="1" t="s">
        <v>232</v>
      </c>
      <c r="B32" s="244" t="n">
        <f aca="false">SUM(D32:J32)</f>
        <v>6256262.95291333</v>
      </c>
      <c r="D32" s="246" t="n">
        <f aca="false">+Model!D54</f>
        <v>975024</v>
      </c>
      <c r="E32" s="246" t="n">
        <f aca="false">+Model!E54</f>
        <v>951078.147235249</v>
      </c>
      <c r="F32" s="246" t="n">
        <f aca="false">+Model!F54</f>
        <v>925379.458048119</v>
      </c>
      <c r="G32" s="246" t="n">
        <f aca="false">+Model!G54</f>
        <v>897799.62481249</v>
      </c>
      <c r="H32" s="246" t="n">
        <f aca="false">+Model!H54</f>
        <v>868200.947784014</v>
      </c>
      <c r="I32" s="246" t="n">
        <f aca="false">+Model!I54</f>
        <v>836435.647597053</v>
      </c>
      <c r="J32" s="246" t="n">
        <f aca="false">+Model!J54</f>
        <v>802345.127436406</v>
      </c>
    </row>
    <row r="33" customFormat="false" ht="12" hidden="false" customHeight="false" outlineLevel="0" collapsed="false">
      <c r="A33" s="2" t="s">
        <v>233</v>
      </c>
      <c r="B33" s="247" t="n">
        <f aca="false">SUM(D33:J33)</f>
        <v>20418890.4653683</v>
      </c>
      <c r="D33" s="248" t="n">
        <f aca="false">+D92*(1-$B$98)</f>
        <v>2930137.275</v>
      </c>
      <c r="E33" s="248" t="n">
        <f aca="false">+E92*(1-$B$98)</f>
        <v>2924512.58775</v>
      </c>
      <c r="F33" s="248" t="n">
        <f aca="false">+F92*(1-$B$98)</f>
        <v>2917753.3443825</v>
      </c>
      <c r="G33" s="248" t="n">
        <f aca="false">+G92*(1-$B$98)</f>
        <v>2913066.98346398</v>
      </c>
      <c r="H33" s="248" t="n">
        <f aca="false">+H92*(1-$B$98)</f>
        <v>2910642.41221789</v>
      </c>
      <c r="I33" s="248" t="n">
        <f aca="false">+I92*(1-$B$98)</f>
        <v>2910490.21283443</v>
      </c>
      <c r="J33" s="248" t="n">
        <f aca="false">+J92*(1-$B$98)</f>
        <v>2912287.64971946</v>
      </c>
    </row>
    <row r="34" customFormat="false" ht="12" hidden="false" customHeight="false" outlineLevel="0" collapsed="false">
      <c r="B34" s="246"/>
    </row>
    <row r="35" customFormat="false" ht="11.25" hidden="false" customHeight="false" outlineLevel="0" collapsed="false">
      <c r="A35" s="249" t="s">
        <v>234</v>
      </c>
      <c r="B35" s="250"/>
      <c r="C35" s="251"/>
      <c r="D35" s="251"/>
      <c r="E35" s="251"/>
      <c r="F35" s="251"/>
      <c r="G35" s="47"/>
    </row>
    <row r="36" customFormat="false" ht="12" hidden="false" customHeight="false" outlineLevel="0" collapsed="false">
      <c r="A36" s="225"/>
      <c r="B36" s="51"/>
      <c r="C36" s="47"/>
      <c r="D36" s="47"/>
      <c r="E36" s="47"/>
      <c r="F36" s="47"/>
      <c r="G36" s="47"/>
    </row>
    <row r="37" customFormat="false" ht="12" hidden="false" customHeight="false" outlineLevel="0" collapsed="false">
      <c r="A37" s="252" t="s">
        <v>235</v>
      </c>
      <c r="B37" s="253" t="s">
        <v>114</v>
      </c>
      <c r="C37" s="254" t="n">
        <v>2000</v>
      </c>
      <c r="D37" s="243" t="n">
        <v>2001</v>
      </c>
      <c r="E37" s="243" t="n">
        <v>2002</v>
      </c>
      <c r="F37" s="243" t="n">
        <v>2003</v>
      </c>
      <c r="G37" s="243" t="n">
        <v>2004</v>
      </c>
      <c r="H37" s="243" t="n">
        <v>2005</v>
      </c>
      <c r="I37" s="243" t="n">
        <v>2006</v>
      </c>
      <c r="J37" s="243" t="n">
        <v>2007</v>
      </c>
    </row>
    <row r="38" customFormat="false" ht="11.25" hidden="false" customHeight="false" outlineLevel="0" collapsed="false">
      <c r="A38" s="225" t="s">
        <v>236</v>
      </c>
      <c r="B38" s="255" t="n">
        <f aca="false">+C38</f>
        <v>-1480000</v>
      </c>
      <c r="C38" s="206" t="n">
        <f aca="false">+Model!C66</f>
        <v>-1480000</v>
      </c>
      <c r="D38" s="47"/>
      <c r="E38" s="47"/>
      <c r="F38" s="47"/>
      <c r="G38" s="47"/>
      <c r="H38" s="47"/>
    </row>
    <row r="39" customFormat="false" ht="11.25" hidden="false" customHeight="false" outlineLevel="0" collapsed="false">
      <c r="A39" s="225" t="s">
        <v>237</v>
      </c>
      <c r="B39" s="256" t="n">
        <f aca="false">NPV(0.095,D39:J39)</f>
        <v>14443808.5142782</v>
      </c>
      <c r="C39" s="206"/>
      <c r="D39" s="257" t="n">
        <f aca="false">+D33</f>
        <v>2930137.275</v>
      </c>
      <c r="E39" s="257" t="n">
        <f aca="false">+E33</f>
        <v>2924512.58775</v>
      </c>
      <c r="F39" s="257" t="n">
        <f aca="false">+F33</f>
        <v>2917753.3443825</v>
      </c>
      <c r="G39" s="257" t="n">
        <f aca="false">+G33</f>
        <v>2913066.98346398</v>
      </c>
      <c r="H39" s="257" t="n">
        <f aca="false">+H33</f>
        <v>2910642.41221789</v>
      </c>
      <c r="I39" s="257" t="n">
        <f aca="false">+I33</f>
        <v>2910490.21283443</v>
      </c>
      <c r="J39" s="257" t="n">
        <f aca="false">+J33</f>
        <v>2912287.64971946</v>
      </c>
    </row>
    <row r="40" customFormat="false" ht="11.25" hidden="false" customHeight="false" outlineLevel="0" collapsed="false">
      <c r="A40" s="225" t="s">
        <v>231</v>
      </c>
      <c r="B40" s="256" t="n">
        <f aca="false">NPV(0.095,D40:J40)</f>
        <v>-811243.520932543</v>
      </c>
      <c r="C40" s="258"/>
      <c r="D40" s="258" t="n">
        <f aca="false">-D30</f>
        <v>-163900.42</v>
      </c>
      <c r="E40" s="258" t="n">
        <f aca="false">-E30</f>
        <v>-163900.42</v>
      </c>
      <c r="F40" s="258" t="n">
        <f aca="false">-F30</f>
        <v>-163900.42</v>
      </c>
      <c r="G40" s="258" t="n">
        <f aca="false">-G30</f>
        <v>-163900.42</v>
      </c>
      <c r="H40" s="258" t="n">
        <f aca="false">-H30</f>
        <v>-163900.42</v>
      </c>
      <c r="I40" s="258" t="n">
        <f aca="false">-I30</f>
        <v>-163900.42</v>
      </c>
      <c r="J40" s="258" t="n">
        <f aca="false">-J30</f>
        <v>-163900.42</v>
      </c>
    </row>
    <row r="41" customFormat="false" ht="11.25" hidden="false" customHeight="false" outlineLevel="0" collapsed="false">
      <c r="A41" s="225" t="s">
        <v>162</v>
      </c>
      <c r="B41" s="256" t="n">
        <f aca="false">NPV(0.095,D41:J41)</f>
        <v>-5886834.65227622</v>
      </c>
      <c r="C41" s="51"/>
      <c r="D41" s="257" t="n">
        <f aca="false">-D31</f>
        <v>-1189352.7</v>
      </c>
      <c r="E41" s="257" t="n">
        <f aca="false">-E31</f>
        <v>-1189352.7</v>
      </c>
      <c r="F41" s="257" t="n">
        <f aca="false">-F31</f>
        <v>-1189352.7</v>
      </c>
      <c r="G41" s="257" t="n">
        <f aca="false">-G31</f>
        <v>-1189352.7</v>
      </c>
      <c r="H41" s="257" t="n">
        <f aca="false">-H31</f>
        <v>-1189352.7</v>
      </c>
      <c r="I41" s="257" t="n">
        <f aca="false">-I31</f>
        <v>-1189352.7</v>
      </c>
      <c r="J41" s="257" t="n">
        <f aca="false">-J31</f>
        <v>-1189352.7</v>
      </c>
    </row>
    <row r="42" customFormat="false" ht="11.25" hidden="false" customHeight="false" outlineLevel="0" collapsed="false">
      <c r="A42" s="225" t="s">
        <v>238</v>
      </c>
      <c r="B42" s="256" t="n">
        <f aca="false">NPV(0.095,D42:J42)</f>
        <v>-11987354.3865795</v>
      </c>
      <c r="C42" s="51"/>
      <c r="D42" s="257" t="n">
        <f aca="false">-Model!D96</f>
        <v>-1302153.13613048</v>
      </c>
      <c r="E42" s="257" t="n">
        <f aca="false">-Model!E96</f>
        <v>-1302153.13613048</v>
      </c>
      <c r="F42" s="257" t="n">
        <f aca="false">-Model!F96</f>
        <v>-1302153.13613048</v>
      </c>
      <c r="G42" s="257" t="n">
        <f aca="false">-Model!G96</f>
        <v>-1302153.13613048</v>
      </c>
      <c r="H42" s="257" t="n">
        <f aca="false">-Model!H96</f>
        <v>-1302153.13613048</v>
      </c>
      <c r="I42" s="257" t="n">
        <f aca="false">-Model!I96</f>
        <v>-1302153.13613048</v>
      </c>
      <c r="J42" s="257" t="n">
        <f aca="false">-Model!J96</f>
        <v>-11763344.1361305</v>
      </c>
    </row>
    <row r="43" customFormat="false" ht="11.25" hidden="false" customHeight="false" outlineLevel="0" collapsed="false">
      <c r="A43" s="225" t="s">
        <v>239</v>
      </c>
      <c r="B43" s="256" t="n">
        <f aca="false">NPV(0.095,D43:J43)</f>
        <v>146659.804681587</v>
      </c>
      <c r="C43" s="51"/>
      <c r="D43" s="259" t="n">
        <f aca="false">-Model!D64</f>
        <v>53874.5395500001</v>
      </c>
      <c r="E43" s="259" t="n">
        <f aca="false">-Model!E64</f>
        <v>306469.284999247</v>
      </c>
      <c r="F43" s="259" t="n">
        <f aca="false">-Model!F64</f>
        <v>244248.901129591</v>
      </c>
      <c r="G43" s="259" t="n">
        <f aca="false">-Model!G64</f>
        <v>186258.446925921</v>
      </c>
      <c r="H43" s="259" t="n">
        <f aca="false">-Model!H64</f>
        <v>131216.145670786</v>
      </c>
      <c r="I43" s="259" t="n">
        <f aca="false">-Model!I64</f>
        <v>78483.0363574222</v>
      </c>
      <c r="J43" s="259" t="n">
        <f aca="false">-Model!J64</f>
        <v>-1137458.55689039</v>
      </c>
    </row>
    <row r="44" customFormat="false" ht="11.25" hidden="false" customHeight="false" outlineLevel="0" collapsed="false">
      <c r="A44" s="225" t="s">
        <v>240</v>
      </c>
      <c r="B44" s="256" t="n">
        <f aca="false">NPV(0.095,D44:J44)</f>
        <v>9553599.08675799</v>
      </c>
      <c r="C44" s="51"/>
      <c r="D44" s="47"/>
      <c r="E44" s="47"/>
      <c r="F44" s="47"/>
      <c r="G44" s="47"/>
      <c r="H44" s="47"/>
      <c r="J44" s="141" t="n">
        <f aca="false">Model!J49</f>
        <v>10461191</v>
      </c>
    </row>
    <row r="45" customFormat="false" ht="12" hidden="false" customHeight="false" outlineLevel="0" collapsed="false">
      <c r="A45" s="98" t="s">
        <v>241</v>
      </c>
      <c r="B45" s="260" t="n">
        <f aca="false">NPV(0.095,D45:J45)+C45</f>
        <v>-32762.9230930987</v>
      </c>
      <c r="C45" s="261" t="n">
        <f aca="false">SUM(C38:C44)</f>
        <v>-1480000</v>
      </c>
      <c r="D45" s="261" t="n">
        <f aca="false">SUM(D38:D44)</f>
        <v>328605.558419524</v>
      </c>
      <c r="E45" s="261" t="n">
        <f aca="false">SUM(E38:E44)</f>
        <v>575575.616618772</v>
      </c>
      <c r="F45" s="261" t="n">
        <f aca="false">SUM(F38:F44)</f>
        <v>506595.989381616</v>
      </c>
      <c r="G45" s="261" t="n">
        <f aca="false">SUM(G38:G44)</f>
        <v>443919.17425942</v>
      </c>
      <c r="H45" s="261" t="n">
        <f aca="false">SUM(H38:H44)</f>
        <v>386452.301758205</v>
      </c>
      <c r="I45" s="261" t="n">
        <f aca="false">SUM(I38:I44)</f>
        <v>333566.993061378</v>
      </c>
      <c r="J45" s="261" t="n">
        <f aca="false">SUM(J38:J44)</f>
        <v>-880577.163301405</v>
      </c>
    </row>
    <row r="46" customFormat="false" ht="12" hidden="false" customHeight="false" outlineLevel="0" collapsed="false">
      <c r="A46" s="225"/>
      <c r="B46" s="262"/>
      <c r="C46" s="262"/>
      <c r="D46" s="262"/>
      <c r="E46" s="262"/>
      <c r="F46" s="262"/>
      <c r="G46" s="262"/>
      <c r="H46" s="262"/>
      <c r="I46" s="262"/>
    </row>
    <row r="47" customFormat="false" ht="12" hidden="false" customHeight="false" outlineLevel="0" collapsed="false">
      <c r="A47" s="225" t="s">
        <v>242</v>
      </c>
      <c r="B47" s="263" t="n">
        <f aca="false">IRR(C45:J45)</f>
        <v>0.0821689918531451</v>
      </c>
      <c r="C47" s="47"/>
      <c r="D47" s="47"/>
      <c r="E47" s="47"/>
      <c r="F47" s="47"/>
      <c r="G47" s="47"/>
      <c r="I47" s="141"/>
    </row>
    <row r="48" customFormat="false" ht="12" hidden="false" customHeight="false" outlineLevel="0" collapsed="false">
      <c r="A48" s="225" t="s">
        <v>242</v>
      </c>
      <c r="B48" s="263" t="n">
        <f aca="false">+Model!B9</f>
        <v>0.0821689918531453</v>
      </c>
    </row>
    <row r="50" customFormat="false" ht="12.75" hidden="false" customHeight="true" outlineLevel="0" collapsed="false">
      <c r="C50" s="264"/>
    </row>
    <row r="51" customFormat="false" ht="12" hidden="false" customHeight="false" outlineLevel="0" collapsed="false">
      <c r="A51" s="221" t="s">
        <v>243</v>
      </c>
      <c r="C51" s="206"/>
      <c r="D51" s="206"/>
      <c r="E51" s="206"/>
      <c r="F51" s="206"/>
    </row>
    <row r="52" customFormat="false" ht="11.25" hidden="false" customHeight="false" outlineLevel="0" collapsed="false">
      <c r="D52" s="122"/>
    </row>
    <row r="53" customFormat="false" ht="12" hidden="false" customHeight="false" outlineLevel="0" collapsed="false">
      <c r="A53" s="265" t="s">
        <v>244</v>
      </c>
    </row>
    <row r="54" customFormat="false" ht="11.25" hidden="false" customHeight="false" outlineLevel="0" collapsed="false">
      <c r="B54" s="266" t="s">
        <v>114</v>
      </c>
      <c r="C54" s="243" t="n">
        <v>2000</v>
      </c>
      <c r="D54" s="243" t="n">
        <v>2001</v>
      </c>
      <c r="E54" s="243" t="n">
        <v>2002</v>
      </c>
      <c r="F54" s="243" t="n">
        <v>2003</v>
      </c>
      <c r="G54" s="243" t="n">
        <v>2004</v>
      </c>
      <c r="H54" s="243" t="n">
        <v>2005</v>
      </c>
      <c r="I54" s="243" t="n">
        <v>2006</v>
      </c>
      <c r="J54" s="243" t="n">
        <v>2007</v>
      </c>
    </row>
    <row r="55" customFormat="false" ht="11.25" hidden="false" customHeight="false" outlineLevel="0" collapsed="false">
      <c r="A55" s="267" t="s">
        <v>245</v>
      </c>
      <c r="B55" s="268" t="n">
        <f aca="false">NPV(0.095,D55:J55)</f>
        <v>14814162.5787469</v>
      </c>
      <c r="D55" s="244" t="n">
        <f aca="false">+D65</f>
        <v>3005269</v>
      </c>
      <c r="E55" s="244" t="n">
        <f aca="false">+E65</f>
        <v>2999500.09</v>
      </c>
      <c r="F55" s="244" t="n">
        <f aca="false">+F65</f>
        <v>2992567.5327</v>
      </c>
      <c r="G55" s="244" t="n">
        <f aca="false">+G65</f>
        <v>2987761.008681</v>
      </c>
      <c r="H55" s="244" t="n">
        <f aca="false">+H65</f>
        <v>2985274.26894143</v>
      </c>
      <c r="I55" s="244" t="n">
        <f aca="false">+I65</f>
        <v>2985118.16700967</v>
      </c>
      <c r="J55" s="244" t="n">
        <f aca="false">+J65</f>
        <v>2986961.69201996</v>
      </c>
    </row>
    <row r="56" customFormat="false" ht="11.25" hidden="false" customHeight="false" outlineLevel="0" collapsed="false">
      <c r="A56" s="1" t="s">
        <v>231</v>
      </c>
      <c r="B56" s="268" t="n">
        <f aca="false">NPV(0.095,D56:J56)</f>
        <v>-811230.456676348</v>
      </c>
      <c r="D56" s="245" t="n">
        <v>-163900.42</v>
      </c>
      <c r="E56" s="245" t="n">
        <v>-163899.42</v>
      </c>
      <c r="F56" s="245" t="n">
        <v>-163898.42</v>
      </c>
      <c r="G56" s="245" t="n">
        <v>-163897.42</v>
      </c>
      <c r="H56" s="245" t="n">
        <v>-163896.42</v>
      </c>
      <c r="I56" s="245" t="n">
        <v>-163895.42</v>
      </c>
      <c r="J56" s="245" t="n">
        <v>-163894.42</v>
      </c>
    </row>
    <row r="57" customFormat="false" ht="11.25" hidden="false" customHeight="false" outlineLevel="0" collapsed="false">
      <c r="A57" s="1" t="s">
        <v>246</v>
      </c>
      <c r="B57" s="268" t="n">
        <f aca="false">NPV(0.095,D57:J57)</f>
        <v>-7083845.91357499</v>
      </c>
      <c r="D57" s="206" t="n">
        <f aca="false">-D91</f>
        <v>-1321503</v>
      </c>
      <c r="E57" s="206" t="n">
        <f aca="false">-E91</f>
        <v>-1361148.09</v>
      </c>
      <c r="F57" s="206" t="n">
        <f aca="false">-F91</f>
        <v>-1401982.5327</v>
      </c>
      <c r="G57" s="206" t="n">
        <f aca="false">-G91</f>
        <v>-1444042.008681</v>
      </c>
      <c r="H57" s="206" t="n">
        <f aca="false">-H91</f>
        <v>-1487363.26894143</v>
      </c>
      <c r="I57" s="206" t="n">
        <f aca="false">-I91</f>
        <v>-1531984.16700967</v>
      </c>
      <c r="J57" s="206" t="n">
        <f aca="false">-J91</f>
        <v>-1577943.69201996</v>
      </c>
    </row>
    <row r="58" customFormat="false" ht="11.25" hidden="false" customHeight="false" outlineLevel="0" collapsed="false">
      <c r="A58" s="1" t="s">
        <v>239</v>
      </c>
      <c r="B58" s="268" t="n">
        <f aca="false">NPV(0.095,D58:J58)</f>
        <v>-829212.980325485</v>
      </c>
      <c r="D58" s="244" t="n">
        <f aca="false">-(D55+D56+D57-16390042*0.059)*0.3888</f>
        <v>-214949.2860576</v>
      </c>
      <c r="E58" s="244" t="n">
        <f aca="false">-(E55+E56+E57-16390042*0.059)*0.3888</f>
        <v>-197292.7116576</v>
      </c>
      <c r="F58" s="244" t="n">
        <f aca="false">-(F55+F56+F57-16390042*0.059)*0.3888</f>
        <v>-178721.2908576</v>
      </c>
      <c r="G58" s="244" t="n">
        <f aca="false">-(G55+G56+G57-16390042*0.059)*0.3888</f>
        <v>-160500.1788576</v>
      </c>
      <c r="H58" s="244" t="n">
        <f aca="false">-(H55+H56+H57-16390042*0.059)*0.3888</f>
        <v>-142690.4172576</v>
      </c>
      <c r="I58" s="244" t="n">
        <f aca="false">-(I55+I56+I57-16390042*0.059)*0.3888</f>
        <v>-125281.5084576</v>
      </c>
      <c r="J58" s="244" t="n">
        <f aca="false">-(J55+J56+J57-16390042*0.059)*0.3888</f>
        <v>-108129.5964576</v>
      </c>
    </row>
    <row r="59" customFormat="false" ht="12" hidden="false" customHeight="false" outlineLevel="0" collapsed="false">
      <c r="A59" s="1" t="s">
        <v>241</v>
      </c>
      <c r="B59" s="269" t="n">
        <f aca="false">NPV(0.095,D59:J59)</f>
        <v>6089873.22817005</v>
      </c>
      <c r="C59" s="247" t="n">
        <f aca="false">SUM(C55:C58)</f>
        <v>0</v>
      </c>
      <c r="D59" s="247" t="n">
        <f aca="false">SUM(D55:D58)</f>
        <v>1304916.2939424</v>
      </c>
      <c r="E59" s="247" t="n">
        <f aca="false">SUM(E55:E58)</f>
        <v>1277159.8683424</v>
      </c>
      <c r="F59" s="247" t="n">
        <f aca="false">SUM(F55:F58)</f>
        <v>1247965.2891424</v>
      </c>
      <c r="G59" s="247" t="n">
        <f aca="false">SUM(G55:G58)</f>
        <v>1219321.4011424</v>
      </c>
      <c r="H59" s="247" t="n">
        <f aca="false">SUM(H55:H58)</f>
        <v>1191324.1627424</v>
      </c>
      <c r="I59" s="247" t="n">
        <f aca="false">SUM(I55:I58)</f>
        <v>1163957.0715424</v>
      </c>
      <c r="J59" s="247" t="n">
        <f aca="false">SUM(J55:J58)</f>
        <v>1136993.9835424</v>
      </c>
    </row>
    <row r="60" customFormat="false" ht="12" hidden="false" customHeight="false" outlineLevel="0" collapsed="false"/>
    <row r="61" customFormat="false" ht="12" hidden="false" customHeight="false" outlineLevel="0" collapsed="false">
      <c r="A61" s="265" t="s">
        <v>247</v>
      </c>
      <c r="B61" s="266" t="s">
        <v>114</v>
      </c>
      <c r="C61" s="243" t="n">
        <v>2000</v>
      </c>
      <c r="D61" s="243" t="n">
        <v>2001</v>
      </c>
      <c r="E61" s="243" t="n">
        <v>2002</v>
      </c>
      <c r="F61" s="243" t="n">
        <v>2003</v>
      </c>
      <c r="G61" s="243" t="n">
        <v>2004</v>
      </c>
      <c r="H61" s="243" t="n">
        <v>2005</v>
      </c>
      <c r="I61" s="243" t="n">
        <v>2006</v>
      </c>
      <c r="J61" s="243" t="n">
        <v>2007</v>
      </c>
      <c r="K61" s="244"/>
      <c r="L61" s="244"/>
    </row>
    <row r="62" customFormat="false" ht="11.25" hidden="false" customHeight="false" outlineLevel="0" collapsed="false">
      <c r="A62" s="1" t="s">
        <v>208</v>
      </c>
      <c r="B62" s="122" t="n">
        <f aca="false">+C62</f>
        <v>14800000</v>
      </c>
      <c r="C62" s="122" t="n">
        <f aca="false">+B7</f>
        <v>14800000</v>
      </c>
      <c r="K62" s="244"/>
    </row>
    <row r="63" customFormat="false" ht="11.25" hidden="false" customHeight="false" outlineLevel="0" collapsed="false">
      <c r="A63" s="1" t="s">
        <v>212</v>
      </c>
      <c r="B63" s="122" t="n">
        <f aca="false">+C63</f>
        <v>-160000</v>
      </c>
      <c r="C63" s="122" t="n">
        <v>-160000</v>
      </c>
      <c r="K63" s="244"/>
    </row>
    <row r="64" customFormat="false" ht="11.25" hidden="false" customHeight="false" outlineLevel="0" collapsed="false">
      <c r="A64" s="267" t="s">
        <v>248</v>
      </c>
      <c r="B64" s="268" t="n">
        <f aca="false">NPV(0.095,D64:J64)</f>
        <v>6852193.87393184</v>
      </c>
      <c r="D64" s="206" t="n">
        <f aca="false">-FV(0.095/12,12,,($B$62+$B$63)-$E$11)-($B$62+$B$63-$E$11)</f>
        <v>1059469.60137042</v>
      </c>
      <c r="E64" s="206" t="n">
        <f aca="false">-FV(0.095/12,12,,$B$62+$B$63-$E$11+D64)-($B$62+$B$63-$E$11+D64)</f>
        <v>1164619.39971371</v>
      </c>
      <c r="F64" s="206" t="n">
        <f aca="false">-FV(0.095/12,12,,$B$62+$B$63-$E$11+$E$64+$D$64)-($B$62+$B$63-$E$11+$E$64+$D$64)</f>
        <v>1280205.06150917</v>
      </c>
      <c r="G64" s="206" t="n">
        <f aca="false">-FV(0.095/12,12,,$B$62+$B$63-$E$11+$E$64+$D$64+$F$64)-($B$62+$B$63-$E$11+$E$64+$D$64+$F$64)</f>
        <v>1407262.32099223</v>
      </c>
      <c r="H64" s="206" t="n">
        <f aca="false">-FV(0.095/12,12,,$B$62+$B$63-$E$11+$E$64+$D$64+$F$64+$G$64)-($B$62+$B$63-$E$11+$E$64+$D$64+$F$64+$G$64)</f>
        <v>1546929.70651894</v>
      </c>
      <c r="I64" s="206" t="n">
        <f aca="false">-FV(0.095/12,12,,$B$62+$B$63-$E$11+$E$64+$D$64+$F$64+$G$64+$H$64)-($B$62+$B$63-$E$11+$E$64+$D$64+$F$64+$G$64+$H$64)</f>
        <v>1700458.74263408</v>
      </c>
      <c r="J64" s="206" t="n">
        <f aca="false">-FV(0.095/12,12,,$B$62+$B$63-$E$11+$E$64+$D$64+$F$64+$G$64+$H$64+$I$64)-($B$62+$B$63-$E$11+$E$64+$D$64+$F$64+$G$64+$H$64+$I$64)</f>
        <v>1869225.16466995</v>
      </c>
    </row>
    <row r="65" customFormat="false" ht="11.25" hidden="false" customHeight="false" outlineLevel="0" collapsed="false">
      <c r="A65" s="267" t="s">
        <v>245</v>
      </c>
      <c r="B65" s="268" t="n">
        <f aca="false">NPV(0.095,D65:J65)</f>
        <v>14814162.5787469</v>
      </c>
      <c r="D65" s="206" t="n">
        <f aca="false">+D92</f>
        <v>3005269</v>
      </c>
      <c r="E65" s="206" t="n">
        <f aca="false">+E92</f>
        <v>2999500.09</v>
      </c>
      <c r="F65" s="206" t="n">
        <f aca="false">+F92</f>
        <v>2992567.5327</v>
      </c>
      <c r="G65" s="206" t="n">
        <f aca="false">+G92</f>
        <v>2987761.008681</v>
      </c>
      <c r="H65" s="206" t="n">
        <f aca="false">+H92</f>
        <v>2985274.26894143</v>
      </c>
      <c r="I65" s="206" t="n">
        <f aca="false">+I92</f>
        <v>2985118.16700967</v>
      </c>
      <c r="J65" s="206" t="n">
        <f aca="false">+J92</f>
        <v>2986961.69201996</v>
      </c>
    </row>
    <row r="66" customFormat="false" ht="11.25" hidden="false" customHeight="false" outlineLevel="0" collapsed="false">
      <c r="A66" s="1" t="s">
        <v>249</v>
      </c>
      <c r="B66" s="268" t="n">
        <f aca="false">NPV(0.095,D66:J66)</f>
        <v>-14443808.5142782</v>
      </c>
      <c r="D66" s="244" t="n">
        <f aca="false">-D33</f>
        <v>-2930137.275</v>
      </c>
      <c r="E66" s="244" t="n">
        <f aca="false">-E33</f>
        <v>-2924512.58775</v>
      </c>
      <c r="F66" s="244" t="n">
        <f aca="false">-F33</f>
        <v>-2917753.3443825</v>
      </c>
      <c r="G66" s="244" t="n">
        <f aca="false">-G33</f>
        <v>-2913066.98346398</v>
      </c>
      <c r="H66" s="244" t="n">
        <f aca="false">-H33</f>
        <v>-2910642.41221789</v>
      </c>
      <c r="I66" s="244" t="n">
        <f aca="false">-I33</f>
        <v>-2910490.21283443</v>
      </c>
      <c r="J66" s="244" t="n">
        <f aca="false">-J33</f>
        <v>-2912287.64971946</v>
      </c>
    </row>
    <row r="67" customFormat="false" ht="11.25" hidden="false" customHeight="false" outlineLevel="0" collapsed="false">
      <c r="A67" s="1" t="s">
        <v>250</v>
      </c>
      <c r="B67" s="268" t="n">
        <f aca="false">NPV(0.095,D67:J67)+C67</f>
        <v>-8500158.63845012</v>
      </c>
      <c r="C67" s="206" t="n">
        <f aca="false">-(C62+C63)*0.3888</f>
        <v>-5692032</v>
      </c>
      <c r="D67" s="244" t="n">
        <f aca="false">-(+D64+D65+D66)*0.3888</f>
        <v>-441132.995692821</v>
      </c>
      <c r="E67" s="244" t="n">
        <f aca="false">-(+E62+E63+E64+E65+E66)*0.3888</f>
        <v>-481959.163483489</v>
      </c>
      <c r="F67" s="244" t="n">
        <f aca="false">-(+F62+F63+F64+F65+F66)*0.3888</f>
        <v>-526831.484332608</v>
      </c>
      <c r="G67" s="244" t="n">
        <f aca="false">-(+G62+G63+G64+G65+G66)*0.3888</f>
        <v>-576184.627406157</v>
      </c>
      <c r="H67" s="244" t="n">
        <f aca="false">-(+H62+H63+H64+H65+H66)*0.3888</f>
        <v>-630463.135788673</v>
      </c>
      <c r="I67" s="244" t="n">
        <f aca="false">-(+I62+I63+I64+I65+I66)*0.3888</f>
        <v>-690153.707719466</v>
      </c>
      <c r="J67" s="244" t="n">
        <f aca="false">-(+J62+J63+J64+J65+J66)*0.3888</f>
        <v>-755788.011670109</v>
      </c>
    </row>
    <row r="68" customFormat="false" ht="11.25" hidden="false" customHeight="false" outlineLevel="0" collapsed="false">
      <c r="A68" s="1" t="s">
        <v>251</v>
      </c>
      <c r="B68" s="268" t="n">
        <f aca="false">NPV(0.095,D68:J68)</f>
        <v>-9553599.08675799</v>
      </c>
      <c r="D68" s="244"/>
      <c r="E68" s="244"/>
      <c r="F68" s="244"/>
      <c r="G68" s="244"/>
      <c r="H68" s="244"/>
      <c r="I68" s="244"/>
      <c r="J68" s="244" t="n">
        <f aca="false">-B14</f>
        <v>-10461191</v>
      </c>
    </row>
    <row r="69" customFormat="false" ht="12" hidden="false" customHeight="false" outlineLevel="0" collapsed="false">
      <c r="A69" s="1" t="s">
        <v>241</v>
      </c>
      <c r="B69" s="269" t="n">
        <f aca="false">NPV(0.095,D69:J69)+C69</f>
        <v>7820187.98221505</v>
      </c>
      <c r="C69" s="270" t="n">
        <f aca="false">SUM(C62:C68)</f>
        <v>8947968</v>
      </c>
      <c r="D69" s="270" t="n">
        <f aca="false">SUM(D62:D68)</f>
        <v>693468.330677603</v>
      </c>
      <c r="E69" s="270" t="n">
        <f aca="false">SUM(E64:E68)</f>
        <v>757647.738480217</v>
      </c>
      <c r="F69" s="270" t="n">
        <f aca="false">SUM(F64:F68)</f>
        <v>828187.765494058</v>
      </c>
      <c r="G69" s="270" t="n">
        <f aca="false">SUM(G64:G68)</f>
        <v>905771.718803095</v>
      </c>
      <c r="H69" s="270" t="n">
        <f aca="false">SUM(H64:H68)</f>
        <v>991098.427453799</v>
      </c>
      <c r="I69" s="270" t="n">
        <f aca="false">SUM(I64:I68)</f>
        <v>1084932.98908986</v>
      </c>
      <c r="J69" s="270" t="n">
        <f aca="false">SUM(J64:J68)</f>
        <v>-9273079.80469966</v>
      </c>
    </row>
    <row r="70" customFormat="false" ht="12.75" hidden="false" customHeight="false" outlineLevel="0" collapsed="false">
      <c r="A70" s="271"/>
      <c r="B70" s="268"/>
      <c r="I70" s="268"/>
    </row>
    <row r="71" customFormat="false" ht="12" hidden="false" customHeight="false" outlineLevel="0" collapsed="false">
      <c r="A71" s="221" t="s">
        <v>252</v>
      </c>
      <c r="B71" s="243" t="s">
        <v>140</v>
      </c>
      <c r="C71" s="243" t="n">
        <v>2000</v>
      </c>
      <c r="D71" s="243" t="n">
        <v>2001</v>
      </c>
      <c r="E71" s="243" t="n">
        <v>2002</v>
      </c>
      <c r="F71" s="243" t="n">
        <v>2003</v>
      </c>
      <c r="G71" s="243" t="n">
        <v>2004</v>
      </c>
      <c r="H71" s="243" t="n">
        <v>2005</v>
      </c>
      <c r="I71" s="243" t="n">
        <v>2006</v>
      </c>
      <c r="J71" s="243" t="n">
        <v>2007</v>
      </c>
    </row>
    <row r="72" customFormat="false" ht="6" hidden="false" customHeight="true" outlineLevel="0" collapsed="false">
      <c r="A72" s="51"/>
      <c r="B72" s="272"/>
      <c r="D72" s="272"/>
      <c r="E72" s="272"/>
      <c r="F72" s="272"/>
      <c r="G72" s="272"/>
      <c r="H72" s="272"/>
      <c r="I72" s="272"/>
      <c r="J72" s="272"/>
    </row>
    <row r="73" customFormat="false" ht="11.25" hidden="false" customHeight="false" outlineLevel="0" collapsed="false">
      <c r="A73" s="51" t="s">
        <v>253</v>
      </c>
      <c r="B73" s="273" t="n">
        <f aca="false">+C73</f>
        <v>3195407</v>
      </c>
      <c r="C73" s="273" t="n">
        <f aca="false">+C62+C63-B8</f>
        <v>3195407</v>
      </c>
      <c r="E73" s="272"/>
      <c r="F73" s="272"/>
      <c r="G73" s="272"/>
      <c r="H73" s="272"/>
      <c r="I73" s="272"/>
      <c r="J73" s="272"/>
    </row>
    <row r="74" customFormat="false" ht="4.5" hidden="false" customHeight="true" outlineLevel="0" collapsed="false">
      <c r="A74" s="51"/>
      <c r="B74" s="272"/>
      <c r="D74" s="272"/>
      <c r="E74" s="272"/>
      <c r="F74" s="272"/>
      <c r="G74" s="272"/>
      <c r="H74" s="272"/>
      <c r="I74" s="272"/>
      <c r="J74" s="272"/>
    </row>
    <row r="75" customFormat="false" ht="11.25" hidden="false" customHeight="false" outlineLevel="0" collapsed="false">
      <c r="A75" s="2" t="s">
        <v>254</v>
      </c>
      <c r="B75" s="244" t="n">
        <f aca="false">SUM(D75:J75)</f>
        <v>-20418890.4653683</v>
      </c>
      <c r="C75" s="1" t="n">
        <v>0</v>
      </c>
      <c r="D75" s="244" t="n">
        <f aca="false">-D33</f>
        <v>-2930137.275</v>
      </c>
      <c r="E75" s="244" t="n">
        <f aca="false">-E33</f>
        <v>-2924512.58775</v>
      </c>
      <c r="F75" s="244" t="n">
        <f aca="false">-F33</f>
        <v>-2917753.3443825</v>
      </c>
      <c r="G75" s="244" t="n">
        <f aca="false">-G33</f>
        <v>-2913066.98346398</v>
      </c>
      <c r="H75" s="244" t="n">
        <f aca="false">-H33</f>
        <v>-2910642.41221789</v>
      </c>
      <c r="I75" s="244" t="n">
        <f aca="false">-I33</f>
        <v>-2910490.21283443</v>
      </c>
      <c r="J75" s="244" t="n">
        <f aca="false">-J33</f>
        <v>-2912287.64971946</v>
      </c>
    </row>
    <row r="76" customFormat="false" ht="3.75" hidden="false" customHeight="true" outlineLevel="0" collapsed="false"/>
    <row r="77" customFormat="false" ht="11.25" hidden="false" customHeight="false" outlineLevel="0" collapsed="false">
      <c r="A77" s="274" t="s">
        <v>255</v>
      </c>
    </row>
    <row r="78" customFormat="false" ht="11.25" hidden="false" customHeight="false" outlineLevel="0" collapsed="false">
      <c r="A78" s="1" t="s">
        <v>230</v>
      </c>
      <c r="B78" s="244" t="n">
        <f aca="false">SUM(D78:J78)</f>
        <v>1376767</v>
      </c>
      <c r="D78" s="206" t="n">
        <v>196681</v>
      </c>
      <c r="E78" s="244" t="n">
        <f aca="false">+D78</f>
        <v>196681</v>
      </c>
      <c r="F78" s="244" t="n">
        <f aca="false">+E78</f>
        <v>196681</v>
      </c>
      <c r="G78" s="244" t="n">
        <f aca="false">+F78</f>
        <v>196681</v>
      </c>
      <c r="H78" s="244" t="n">
        <f aca="false">+G78</f>
        <v>196681</v>
      </c>
      <c r="I78" s="244" t="n">
        <f aca="false">+H78</f>
        <v>196681</v>
      </c>
      <c r="J78" s="244" t="n">
        <f aca="false">+I78</f>
        <v>196681</v>
      </c>
    </row>
    <row r="79" customFormat="false" ht="11.25" hidden="false" customHeight="false" outlineLevel="0" collapsed="false">
      <c r="A79" s="1" t="s">
        <v>231</v>
      </c>
      <c r="B79" s="244" t="n">
        <f aca="false">SUM(D79:J79)</f>
        <v>1147300</v>
      </c>
      <c r="D79" s="206" t="n">
        <v>163900</v>
      </c>
      <c r="E79" s="244" t="n">
        <f aca="false">+D79</f>
        <v>163900</v>
      </c>
      <c r="F79" s="244" t="n">
        <f aca="false">+E79</f>
        <v>163900</v>
      </c>
      <c r="G79" s="244" t="n">
        <f aca="false">+F79</f>
        <v>163900</v>
      </c>
      <c r="H79" s="244" t="n">
        <f aca="false">+G79</f>
        <v>163900</v>
      </c>
      <c r="I79" s="244" t="n">
        <f aca="false">+H79</f>
        <v>163900</v>
      </c>
      <c r="J79" s="244" t="n">
        <f aca="false">+I79</f>
        <v>163900</v>
      </c>
    </row>
    <row r="80" customFormat="false" ht="11.25" hidden="false" customHeight="false" outlineLevel="0" collapsed="false">
      <c r="A80" s="1" t="s">
        <v>162</v>
      </c>
      <c r="B80" s="275" t="n">
        <f aca="false">SUM(D80:J80)</f>
        <v>10125966.7593521</v>
      </c>
      <c r="C80" s="276"/>
      <c r="D80" s="275" t="n">
        <v>1321503</v>
      </c>
      <c r="E80" s="277" t="n">
        <f aca="false">+E91</f>
        <v>1361148.09</v>
      </c>
      <c r="F80" s="277" t="n">
        <f aca="false">+F91</f>
        <v>1401982.5327</v>
      </c>
      <c r="G80" s="277" t="n">
        <f aca="false">+G91</f>
        <v>1444042.008681</v>
      </c>
      <c r="H80" s="277" t="n">
        <f aca="false">+H91</f>
        <v>1487363.26894143</v>
      </c>
      <c r="I80" s="277" t="n">
        <f aca="false">+I91</f>
        <v>1531984.16700967</v>
      </c>
      <c r="J80" s="277" t="n">
        <f aca="false">+J91</f>
        <v>1577943.69201996</v>
      </c>
    </row>
    <row r="81" customFormat="false" ht="11.25" hidden="false" customHeight="false" outlineLevel="0" collapsed="false">
      <c r="A81" s="278" t="s">
        <v>256</v>
      </c>
      <c r="B81" s="244" t="n">
        <f aca="false">SUM(D81:J81)</f>
        <v>12650033.7593521</v>
      </c>
      <c r="C81" s="244" t="n">
        <f aca="false">SUM(C78:C80)</f>
        <v>0</v>
      </c>
      <c r="D81" s="244" t="n">
        <f aca="false">SUM(D78:D80)</f>
        <v>1682084</v>
      </c>
      <c r="E81" s="244" t="n">
        <f aca="false">SUM(E78:E80)</f>
        <v>1721729.09</v>
      </c>
      <c r="F81" s="244" t="n">
        <f aca="false">SUM(F78:F80)</f>
        <v>1762563.5327</v>
      </c>
      <c r="G81" s="244" t="n">
        <f aca="false">SUM(G78:G80)</f>
        <v>1804623.008681</v>
      </c>
      <c r="H81" s="244" t="n">
        <f aca="false">SUM(H78:H80)</f>
        <v>1847944.26894143</v>
      </c>
      <c r="I81" s="244" t="n">
        <f aca="false">SUM(I78:I80)</f>
        <v>1892565.16700967</v>
      </c>
      <c r="J81" s="244" t="n">
        <f aca="false">SUM(J78:J80)</f>
        <v>1938524.69201996</v>
      </c>
    </row>
    <row r="82" customFormat="false" ht="7.5" hidden="false" customHeight="true" outlineLevel="0" collapsed="false">
      <c r="B82" s="276"/>
      <c r="C82" s="276"/>
      <c r="D82" s="276"/>
      <c r="E82" s="276"/>
      <c r="F82" s="276"/>
      <c r="G82" s="276"/>
      <c r="H82" s="276"/>
      <c r="I82" s="276"/>
      <c r="J82" s="276"/>
      <c r="K82" s="47"/>
      <c r="L82" s="47"/>
      <c r="M82" s="47"/>
    </row>
    <row r="83" customFormat="false" ht="11.25" hidden="false" customHeight="false" outlineLevel="0" collapsed="false">
      <c r="A83" s="2" t="s">
        <v>257</v>
      </c>
      <c r="B83" s="257" t="n">
        <f aca="false">+B73+B75+B81</f>
        <v>-4573449.7060162</v>
      </c>
      <c r="C83" s="257" t="n">
        <f aca="false">+C73+C75+C81</f>
        <v>3195407</v>
      </c>
      <c r="D83" s="257" t="n">
        <f aca="false">+D73+D75+D81</f>
        <v>-1248053.275</v>
      </c>
      <c r="E83" s="257" t="n">
        <f aca="false">+E73+E75+E81</f>
        <v>-1202783.49775</v>
      </c>
      <c r="F83" s="257" t="n">
        <f aca="false">+F73+F75+F81</f>
        <v>-1155189.8116825</v>
      </c>
      <c r="G83" s="257" t="n">
        <f aca="false">+G73+G75+G81</f>
        <v>-1108443.97478298</v>
      </c>
      <c r="H83" s="257" t="n">
        <f aca="false">+H73+H75+H81</f>
        <v>-1062698.14327646</v>
      </c>
      <c r="I83" s="257" t="n">
        <f aca="false">+I73+I75+I81</f>
        <v>-1017925.04582476</v>
      </c>
      <c r="J83" s="257" t="n">
        <f aca="false">+J73+J75+J81</f>
        <v>-973762.957699501</v>
      </c>
      <c r="K83" s="47"/>
      <c r="L83" s="47"/>
      <c r="M83" s="47"/>
    </row>
    <row r="84" customFormat="false" ht="11.25" hidden="false" customHeight="false" outlineLevel="0" collapsed="false">
      <c r="A84" s="2"/>
      <c r="B84" s="257"/>
      <c r="C84" s="257"/>
      <c r="D84" s="257"/>
      <c r="E84" s="257"/>
      <c r="F84" s="257"/>
      <c r="G84" s="257"/>
      <c r="H84" s="257"/>
      <c r="I84" s="257"/>
      <c r="J84" s="257"/>
    </row>
    <row r="85" customFormat="false" ht="12.75" hidden="false" customHeight="true" outlineLevel="0" collapsed="false">
      <c r="A85" s="2" t="s">
        <v>258</v>
      </c>
      <c r="B85" s="244" t="n">
        <f aca="false">SUM(D85:J85)</f>
        <v>10028169.9974085</v>
      </c>
      <c r="C85" s="279" t="n">
        <v>0</v>
      </c>
      <c r="D85" s="206" t="n">
        <f aca="false">-FV(0.095/12,12,,($E$7-$E$9-$E$11))-($E$7-$E$9-$E$11)</f>
        <v>1059469.60137042</v>
      </c>
      <c r="E85" s="206" t="n">
        <f aca="false">-FV(0.095/12,12,,($E$7-$E$9-$E$11+$D$85))-($E$7-$E$9-$E$11+$D$85)</f>
        <v>1164619.39971371</v>
      </c>
      <c r="F85" s="206" t="n">
        <f aca="false">-FV(0.095/12,12,,($E$7-$E$9-$E$11+$D$85+$E$85))-($E$7-$E$9-$E$11+$D$85+$E$85)</f>
        <v>1280205.06150917</v>
      </c>
      <c r="G85" s="206" t="n">
        <f aca="false">-FV(0.095/12,12,,($E$7-$E$9-$E$11+$D$85+$E$85+$F$85))-($E$7-$E$9-$E$11+$D$85+$E$85+$F$85)</f>
        <v>1407262.32099223</v>
      </c>
      <c r="H85" s="206" t="n">
        <f aca="false">-FV(0.095/12,12,,($E$7-$E$9-$E$11+$D$85+$E$85+$F$85+$G$85))-($E$7-$E$9-$E$11+$D$85+$E$85+$F$85+$G$85)</f>
        <v>1546929.70651894</v>
      </c>
      <c r="I85" s="206" t="n">
        <f aca="false">-FV(0.095/12,12,,($E$7-$E$9-$E$11+$D$85+$E$85+$F$85+$G$85+$H$85))-($E$7-$E$9-$E$11+$D$85+$E$85+$F$85+$G$85+$H$85)</f>
        <v>1700458.74263408</v>
      </c>
      <c r="J85" s="206" t="n">
        <f aca="false">-FV(0.095/12,12,,($E$7-$E$9-$E$11+$D$85+$E$85+$F$85+$G$85+$H$85+$I$85))-($E$7-$E$9-$E$11+$D$85+$E$85+$F$85+$G$85+$H$85+$I$85)</f>
        <v>1869225.16466995</v>
      </c>
    </row>
    <row r="86" customFormat="false" ht="12.75" hidden="false" customHeight="true" outlineLevel="0" collapsed="false">
      <c r="A86" s="2"/>
      <c r="B86" s="244"/>
      <c r="D86" s="244"/>
      <c r="E86" s="244"/>
      <c r="F86" s="244"/>
      <c r="G86" s="244"/>
      <c r="H86" s="244"/>
      <c r="I86" s="244"/>
      <c r="J86" s="244"/>
    </row>
    <row r="87" customFormat="false" ht="12" hidden="false" customHeight="false" outlineLevel="0" collapsed="false">
      <c r="A87" s="2" t="s">
        <v>259</v>
      </c>
      <c r="B87" s="247" t="n">
        <f aca="false">+B83+B85</f>
        <v>5454720.29139229</v>
      </c>
      <c r="C87" s="247" t="n">
        <f aca="false">+C83+C85</f>
        <v>3195407</v>
      </c>
      <c r="D87" s="247" t="n">
        <f aca="false">+D83+D85</f>
        <v>-188583.673629576</v>
      </c>
      <c r="E87" s="247" t="n">
        <f aca="false">+E83+E85</f>
        <v>-38164.0980362936</v>
      </c>
      <c r="F87" s="247" t="n">
        <f aca="false">+F83+F85</f>
        <v>125015.249826666</v>
      </c>
      <c r="G87" s="247" t="n">
        <f aca="false">+G83+G85</f>
        <v>298818.346209253</v>
      </c>
      <c r="H87" s="247" t="n">
        <f aca="false">+H83+H85</f>
        <v>484231.563242473</v>
      </c>
      <c r="I87" s="247" t="n">
        <f aca="false">+I83+I85</f>
        <v>682533.696809326</v>
      </c>
      <c r="J87" s="247" t="n">
        <f aca="false">+J83+J85</f>
        <v>895462.206970445</v>
      </c>
    </row>
    <row r="88" customFormat="false" ht="12" hidden="false" customHeight="false" outlineLevel="0" collapsed="false">
      <c r="B88" s="257"/>
    </row>
    <row r="89" customFormat="false" ht="11.25" hidden="false" customHeight="false" outlineLevel="0" collapsed="false">
      <c r="A89" s="280" t="s">
        <v>260</v>
      </c>
      <c r="D89" s="243" t="n">
        <v>2001</v>
      </c>
      <c r="E89" s="243" t="n">
        <v>2002</v>
      </c>
      <c r="F89" s="243" t="n">
        <v>2003</v>
      </c>
      <c r="G89" s="243" t="n">
        <v>2004</v>
      </c>
      <c r="H89" s="243" t="n">
        <v>2005</v>
      </c>
      <c r="I89" s="243" t="n">
        <v>2006</v>
      </c>
      <c r="J89" s="281" t="n">
        <v>2007</v>
      </c>
    </row>
    <row r="90" customFormat="false" ht="11.25" hidden="false" customHeight="false" outlineLevel="0" collapsed="false">
      <c r="A90" s="25" t="s">
        <v>261</v>
      </c>
      <c r="D90" s="282" t="n">
        <v>1683766</v>
      </c>
      <c r="E90" s="282" t="n">
        <v>1638352</v>
      </c>
      <c r="F90" s="282" t="n">
        <v>1590585</v>
      </c>
      <c r="G90" s="282" t="n">
        <v>1543719</v>
      </c>
      <c r="H90" s="282" t="n">
        <v>1497911</v>
      </c>
      <c r="I90" s="282" t="n">
        <v>1453134</v>
      </c>
      <c r="J90" s="282" t="n">
        <v>1409018</v>
      </c>
    </row>
    <row r="91" customFormat="false" ht="11.25" hidden="false" customHeight="false" outlineLevel="0" collapsed="false">
      <c r="A91" s="25" t="s">
        <v>162</v>
      </c>
      <c r="D91" s="283" t="n">
        <v>1321503</v>
      </c>
      <c r="E91" s="283" t="n">
        <f aca="false">+D91*1.03</f>
        <v>1361148.09</v>
      </c>
      <c r="F91" s="283" t="n">
        <f aca="false">+E91*1.03</f>
        <v>1401982.5327</v>
      </c>
      <c r="G91" s="283" t="n">
        <f aca="false">+F91*1.03</f>
        <v>1444042.008681</v>
      </c>
      <c r="H91" s="283" t="n">
        <f aca="false">+G91*1.03</f>
        <v>1487363.26894143</v>
      </c>
      <c r="I91" s="283" t="n">
        <f aca="false">+H91*1.03</f>
        <v>1531984.16700967</v>
      </c>
      <c r="J91" s="283" t="n">
        <f aca="false">+I91*1.03</f>
        <v>1577943.69201996</v>
      </c>
    </row>
    <row r="92" customFormat="false" ht="11.25" hidden="false" customHeight="false" outlineLevel="0" collapsed="false">
      <c r="A92" s="2" t="s">
        <v>262</v>
      </c>
      <c r="D92" s="282" t="n">
        <f aca="false">SUM(D90:D91)</f>
        <v>3005269</v>
      </c>
      <c r="E92" s="282" t="n">
        <f aca="false">SUM(E90:E91)</f>
        <v>2999500.09</v>
      </c>
      <c r="F92" s="282" t="n">
        <f aca="false">SUM(F90:F91)</f>
        <v>2992567.5327</v>
      </c>
      <c r="G92" s="282" t="n">
        <f aca="false">SUM(G90:G91)</f>
        <v>2987761.008681</v>
      </c>
      <c r="H92" s="282" t="n">
        <f aca="false">SUM(H90:H91)</f>
        <v>2985274.26894143</v>
      </c>
      <c r="I92" s="282" t="n">
        <f aca="false">SUM(I90:I91)</f>
        <v>2985118.16700967</v>
      </c>
      <c r="J92" s="282" t="n">
        <f aca="false">SUM(J90:J91)</f>
        <v>2986961.69201996</v>
      </c>
    </row>
    <row r="93" customFormat="false" ht="5.25" hidden="false" customHeight="true" outlineLevel="0" collapsed="false">
      <c r="A93" s="25"/>
      <c r="B93" s="25"/>
      <c r="C93" s="282"/>
      <c r="D93" s="282"/>
      <c r="E93" s="282"/>
      <c r="F93" s="282"/>
      <c r="G93" s="282"/>
      <c r="H93" s="282"/>
      <c r="I93" s="282"/>
      <c r="J93" s="284"/>
      <c r="K93" s="268"/>
      <c r="L93" s="122"/>
      <c r="M93" s="264"/>
    </row>
    <row r="94" customFormat="false" ht="11.25" hidden="false" customHeight="false" outlineLevel="0" collapsed="false">
      <c r="A94" s="2" t="s">
        <v>254</v>
      </c>
      <c r="D94" s="285" t="n">
        <f aca="false">+D33</f>
        <v>2930137.275</v>
      </c>
      <c r="E94" s="285" t="n">
        <f aca="false">+E33</f>
        <v>2924512.58775</v>
      </c>
      <c r="F94" s="285" t="n">
        <f aca="false">+F33</f>
        <v>2917753.3443825</v>
      </c>
      <c r="G94" s="285" t="n">
        <f aca="false">+G33</f>
        <v>2913066.98346398</v>
      </c>
      <c r="H94" s="285" t="n">
        <f aca="false">+H33</f>
        <v>2910642.41221789</v>
      </c>
      <c r="I94" s="285" t="n">
        <f aca="false">+I33</f>
        <v>2910490.21283443</v>
      </c>
      <c r="J94" s="285" t="n">
        <f aca="false">+J33</f>
        <v>2912287.64971946</v>
      </c>
      <c r="K94" s="268"/>
      <c r="L94" s="122"/>
      <c r="M94" s="264"/>
    </row>
    <row r="95" customFormat="false" ht="5.25" hidden="false" customHeight="true" outlineLevel="0" collapsed="false">
      <c r="A95" s="2"/>
      <c r="D95" s="286"/>
      <c r="E95" s="286"/>
      <c r="F95" s="286"/>
      <c r="G95" s="286"/>
      <c r="H95" s="286"/>
      <c r="I95" s="286"/>
      <c r="J95" s="286"/>
      <c r="K95" s="268"/>
      <c r="L95" s="122"/>
      <c r="M95" s="264"/>
    </row>
    <row r="96" customFormat="false" ht="12" hidden="false" customHeight="false" outlineLevel="0" collapsed="false">
      <c r="A96" s="2" t="s">
        <v>263</v>
      </c>
      <c r="B96" s="25"/>
      <c r="C96" s="282"/>
      <c r="D96" s="287" t="n">
        <f aca="false">+D92-D94</f>
        <v>75131.7250000001</v>
      </c>
      <c r="E96" s="287" t="n">
        <f aca="false">+E92-E94</f>
        <v>74987.5022499999</v>
      </c>
      <c r="F96" s="287" t="n">
        <f aca="false">+F92-F94</f>
        <v>74814.1883175001</v>
      </c>
      <c r="G96" s="287" t="n">
        <f aca="false">+G92-G94</f>
        <v>74694.0252170251</v>
      </c>
      <c r="H96" s="287" t="n">
        <f aca="false">+H92-H94</f>
        <v>74631.8567235358</v>
      </c>
      <c r="I96" s="287" t="n">
        <f aca="false">+I92-I94</f>
        <v>74627.9541752418</v>
      </c>
      <c r="J96" s="287" t="n">
        <f aca="false">+J92-J94</f>
        <v>74674.042300499</v>
      </c>
      <c r="K96" s="268"/>
      <c r="L96" s="122"/>
      <c r="M96" s="264"/>
    </row>
    <row r="97" customFormat="false" ht="12" hidden="false" customHeight="false" outlineLevel="0" collapsed="false">
      <c r="A97" s="47"/>
      <c r="B97" s="47"/>
      <c r="C97" s="47"/>
      <c r="D97" s="206"/>
      <c r="E97" s="206"/>
      <c r="F97" s="206"/>
      <c r="G97" s="206"/>
      <c r="H97" s="206"/>
      <c r="I97" s="206"/>
      <c r="J97" s="206"/>
      <c r="K97" s="206"/>
      <c r="L97" s="206"/>
      <c r="M97" s="288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  <c r="IV97" s="47"/>
      <c r="IW97" s="47"/>
    </row>
    <row r="98" customFormat="false" ht="12" hidden="false" customHeight="false" outlineLevel="0" collapsed="false">
      <c r="A98" s="51" t="s">
        <v>206</v>
      </c>
      <c r="B98" s="289" t="n">
        <f aca="false">+F3</f>
        <v>0.025</v>
      </c>
      <c r="C98" s="47"/>
      <c r="D98" s="206"/>
      <c r="E98" s="206"/>
      <c r="F98" s="206"/>
      <c r="G98" s="206"/>
      <c r="H98" s="206"/>
      <c r="I98" s="206"/>
      <c r="J98" s="206"/>
      <c r="K98" s="206"/>
      <c r="L98" s="206"/>
      <c r="M98" s="288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</row>
    <row r="99" customFormat="false" ht="13.5" hidden="false" customHeight="true" outlineLevel="0" collapsed="false">
      <c r="D99" s="290" t="s">
        <v>264</v>
      </c>
      <c r="E99" s="290"/>
      <c r="F99" s="290"/>
    </row>
    <row r="102" customFormat="false" ht="11.25" hidden="false" customHeight="false" outlineLevel="0" collapsed="false">
      <c r="B102" s="291" t="n">
        <f aca="false">+B48</f>
        <v>0.0821689918531453</v>
      </c>
    </row>
  </sheetData>
  <mergeCells count="1">
    <mergeCell ref="D99:F99"/>
  </mergeCells>
  <printOptions headings="false" gridLines="false" gridLinesSet="true" horizontalCentered="true" verticalCentered="false"/>
  <pageMargins left="0.25" right="0.25" top="0.320138888888889" bottom="0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1999-11-24T13:35:57Z</dcterms:created>
  <dc:creator>Enron</dc:creator>
  <dc:description/>
  <dc:language>en-US</dc:language>
  <cp:lastModifiedBy>Enron</cp:lastModifiedBy>
  <cp:lastPrinted>2000-03-08T13:34:06Z</cp:lastPrinted>
  <cp:revision>0</cp:revision>
  <dc:subject/>
  <dc:title/>
</cp:coreProperties>
</file>