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" sheetId="1" state="visible" r:id="rId3"/>
    <sheet name="Margin" sheetId="2" state="visible" r:id="rId4"/>
    <sheet name="TSPT_COT" sheetId="3" state="visible" r:id="rId5"/>
    <sheet name="SLS_COS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function="false" hidden="false" localSheetId="1" name="_xlnm.Print_Area" vbProcedure="false">Margin!$A$14:$AC$173</definedName>
    <definedName function="false" hidden="false" localSheetId="1" name="_xlnm.Print_Titles" vbProcedure="false">Margin!$1:$11</definedName>
    <definedName function="false" hidden="false" localSheetId="3" name="_xlnm.Print_Area" vbProcedure="false">SLS_COS!$D$1:$AZ$46</definedName>
    <definedName function="false" hidden="false" localSheetId="3" name="_xlnm.Print_Titles" vbProcedure="false">SLS_COS!$A:$C</definedName>
    <definedName function="false" hidden="false" localSheetId="2" name="_xlnm.Print_Area" vbProcedure="false">TSPT_COT!$96:$173</definedName>
    <definedName function="false" hidden="false" localSheetId="2" name="_xlnm.Print_Titles" vbProcedure="false">TSPT_COT!$1:$10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<sst xmlns="http://schemas.openxmlformats.org/spreadsheetml/2006/main" count="518" uniqueCount="210">
  <si>
    <t xml:space="preserve">Management </t>
  </si>
  <si>
    <t xml:space="preserve">Current Month</t>
  </si>
  <si>
    <t xml:space="preserve">Year to Date</t>
  </si>
  <si>
    <t xml:space="preserve">Report</t>
  </si>
  <si>
    <t xml:space="preserve">Variance</t>
  </si>
  <si>
    <t xml:space="preserve">Form 11</t>
  </si>
  <si>
    <t xml:space="preserve"> </t>
  </si>
  <si>
    <t xml:space="preserve">MMBTU/</t>
  </si>
  <si>
    <t xml:space="preserve">Sur</t>
  </si>
  <si>
    <t xml:space="preserve">Total</t>
  </si>
  <si>
    <t xml:space="preserve">Rounded</t>
  </si>
  <si>
    <t xml:space="preserve">MMBTU</t>
  </si>
  <si>
    <t xml:space="preserve">Day</t>
  </si>
  <si>
    <t xml:space="preserve">Rate</t>
  </si>
  <si>
    <t xml:space="preserve">Commodity</t>
  </si>
  <si>
    <t xml:space="preserve">Charges</t>
  </si>
  <si>
    <t xml:space="preserve">Invoice</t>
  </si>
  <si>
    <t xml:space="preserve">Amount</t>
  </si>
  <si>
    <t xml:space="preserve">SALES MARGIN:</t>
  </si>
  <si>
    <t xml:space="preserve">SALES REVENUE</t>
  </si>
  <si>
    <t xml:space="preserve">LESS: COST OF SALES</t>
  </si>
  <si>
    <t xml:space="preserve">  SALES MARGIN</t>
  </si>
  <si>
    <t xml:space="preserve">TRANSPORT MARGIN:</t>
  </si>
  <si>
    <t xml:space="preserve">WEST-DELIVERY</t>
  </si>
  <si>
    <t xml:space="preserve">   DEMAND</t>
  </si>
  <si>
    <t xml:space="preserve">   IT-SAN JUAN</t>
  </si>
  <si>
    <t xml:space="preserve">   FT-SAN JUAN</t>
  </si>
  <si>
    <t xml:space="preserve">   FTR-SAN JUAN</t>
  </si>
  <si>
    <t xml:space="preserve">     SUB-TOTAL</t>
  </si>
  <si>
    <t xml:space="preserve">   IT-THOREAU</t>
  </si>
  <si>
    <t xml:space="preserve">   FT-THOREAU</t>
  </si>
  <si>
    <t xml:space="preserve">   FTR-THOREAU</t>
  </si>
  <si>
    <t xml:space="preserve">   Demand</t>
  </si>
  <si>
    <t xml:space="preserve">   FT-Ignacio</t>
  </si>
  <si>
    <t xml:space="preserve">   FR-Ignacio</t>
  </si>
  <si>
    <t xml:space="preserve">   LFT-Ignacio</t>
  </si>
  <si>
    <t xml:space="preserve">   IT-Ignacio</t>
  </si>
  <si>
    <t xml:space="preserve">     Sub-Total</t>
  </si>
  <si>
    <t xml:space="preserve">   IT-EAST OF THOREAU</t>
  </si>
  <si>
    <t xml:space="preserve">   FT-EAST OF THOREAU</t>
  </si>
  <si>
    <t xml:space="preserve">   FTR-EAST OF THOREAU</t>
  </si>
  <si>
    <t xml:space="preserve">   IT-WEST OF THOREAU</t>
  </si>
  <si>
    <t xml:space="preserve">   FT-WEST OF THOREAU</t>
  </si>
  <si>
    <t xml:space="preserve">   FTR-WEST OF THOREAU</t>
  </si>
  <si>
    <t xml:space="preserve">     TOTAL WEST</t>
  </si>
  <si>
    <t xml:space="preserve">EAST</t>
  </si>
  <si>
    <t xml:space="preserve">   FT-SAN JUAN/MRDN/55</t>
  </si>
  <si>
    <t xml:space="preserve">   FT-San Juan</t>
  </si>
  <si>
    <t xml:space="preserve">   FR-San Jaun</t>
  </si>
  <si>
    <t xml:space="preserve">   LFT-San Jaun</t>
  </si>
  <si>
    <t xml:space="preserve">   IT-San Jaun</t>
  </si>
  <si>
    <t xml:space="preserve">   FT-Thoreau</t>
  </si>
  <si>
    <t xml:space="preserve">   FT-Thoreau/Meridian/45</t>
  </si>
  <si>
    <t xml:space="preserve">   FR-Thoreau</t>
  </si>
  <si>
    <t xml:space="preserve">   IT-Thoreau</t>
  </si>
  <si>
    <t xml:space="preserve">     TOTAL EAST</t>
  </si>
  <si>
    <t xml:space="preserve">IGNACIO TO BLANCO</t>
  </si>
  <si>
    <t xml:space="preserve">   IT</t>
  </si>
  <si>
    <t xml:space="preserve">   FT</t>
  </si>
  <si>
    <t xml:space="preserve">   FTR</t>
  </si>
  <si>
    <t xml:space="preserve">     TOTAL IGNACIO TO BLANCO</t>
  </si>
  <si>
    <t xml:space="preserve">SAN JUAN</t>
  </si>
  <si>
    <t xml:space="preserve">     TOTAL SAN JUAN</t>
  </si>
  <si>
    <t xml:space="preserve">THOREAU</t>
  </si>
  <si>
    <t xml:space="preserve">     TOTAL THOREAU</t>
  </si>
  <si>
    <t xml:space="preserve">I/B Link</t>
  </si>
  <si>
    <t xml:space="preserve">   IT-San Juan 2</t>
  </si>
  <si>
    <t xml:space="preserve">   FT-San Juan 2</t>
  </si>
  <si>
    <t xml:space="preserve">   FTR-San Jaun 2</t>
  </si>
  <si>
    <t xml:space="preserve">     Total I/B Link</t>
  </si>
  <si>
    <t xml:space="preserve">   FAS/P&amp;G</t>
  </si>
  <si>
    <t xml:space="preserve">   MISC</t>
  </si>
  <si>
    <t xml:space="preserve">TOTAL TRANSPORT REVENUE</t>
  </si>
  <si>
    <t xml:space="preserve">LESS COST OF TRANSPORT</t>
  </si>
  <si>
    <t xml:space="preserve">TRANSPORT MARGIN</t>
  </si>
  <si>
    <t xml:space="preserve">OTHER OPERATING REVENUE</t>
  </si>
  <si>
    <t xml:space="preserve">Other Operating Revenue</t>
  </si>
  <si>
    <t xml:space="preserve">TOTAL MARGIN</t>
  </si>
  <si>
    <t xml:space="preserve">Total Margin</t>
  </si>
  <si>
    <t xml:space="preserve">SCS SURCHARGE</t>
  </si>
  <si>
    <t xml:space="preserve">SCS Surcharge</t>
  </si>
  <si>
    <t xml:space="preserve">Form 11 Information:</t>
  </si>
  <si>
    <t xml:space="preserve">Res</t>
  </si>
  <si>
    <t xml:space="preserve">Fts1</t>
  </si>
  <si>
    <t xml:space="preserve">LFT</t>
  </si>
  <si>
    <t xml:space="preserve">Fts2</t>
  </si>
  <si>
    <t xml:space="preserve">Its</t>
  </si>
  <si>
    <t xml:space="preserve">Less:</t>
  </si>
  <si>
    <t xml:space="preserve">Fts1 - Santa Fe </t>
  </si>
  <si>
    <t xml:space="preserve">Res-Engage Fuel Hedge Recls</t>
  </si>
  <si>
    <t xml:space="preserve">Misc</t>
  </si>
  <si>
    <t xml:space="preserve">Adjusted Form 11 Information:</t>
  </si>
  <si>
    <t xml:space="preserve">Transportation/Cost of Transportation</t>
  </si>
  <si>
    <t xml:space="preserve">.</t>
  </si>
  <si>
    <t xml:space="preserve">Transport Revenue:</t>
  </si>
  <si>
    <t xml:space="preserve">*</t>
  </si>
  <si>
    <t xml:space="preserve">   LFT-Thoreau</t>
  </si>
  <si>
    <t xml:space="preserve">   FT-East of Thoreau</t>
  </si>
  <si>
    <t xml:space="preserve">   FR-East of Thoreau</t>
  </si>
  <si>
    <t xml:space="preserve">   LFT-East of Thoreau</t>
  </si>
  <si>
    <t xml:space="preserve">   IT-East of Thoreau</t>
  </si>
  <si>
    <t xml:space="preserve">   FR-San Juan</t>
  </si>
  <si>
    <t xml:space="preserve">   LFT-San Juan</t>
  </si>
  <si>
    <t xml:space="preserve">   IT-San Juan</t>
  </si>
  <si>
    <t xml:space="preserve">   FT-West of Thoreau</t>
  </si>
  <si>
    <t xml:space="preserve">   FR-West of Thoreau</t>
  </si>
  <si>
    <t xml:space="preserve">   LFT-West of Thoreau</t>
  </si>
  <si>
    <t xml:space="preserve">   IT-West of Thoreau</t>
  </si>
  <si>
    <t xml:space="preserve">     Total West</t>
  </si>
  <si>
    <t xml:space="preserve">East</t>
  </si>
  <si>
    <t xml:space="preserve">   FT-West of Thoreau/Window Rock</t>
  </si>
  <si>
    <t xml:space="preserve">   FR-West of Thoreau/Window Rock</t>
  </si>
  <si>
    <t xml:space="preserve">   LFT-West of Thoreau/Window Rock</t>
  </si>
  <si>
    <t xml:space="preserve">   IT-West of Thoreau/Window Rock</t>
  </si>
  <si>
    <t xml:space="preserve">   PNR-East of Thoreau</t>
  </si>
  <si>
    <t xml:space="preserve">   Demand(W of Th/Th)</t>
  </si>
  <si>
    <t xml:space="preserve">   FT(W of Th/Th)</t>
  </si>
  <si>
    <t xml:space="preserve">   FR(W of Th/Th)</t>
  </si>
  <si>
    <t xml:space="preserve">   LFT(W of Th/Th)</t>
  </si>
  <si>
    <t xml:space="preserve">   IT(W of Th/Th)</t>
  </si>
  <si>
    <t xml:space="preserve">     Total East</t>
  </si>
  <si>
    <t xml:space="preserve">Ignacio to Blanco(I/B LINK-500545 DEL)</t>
  </si>
  <si>
    <t xml:space="preserve">   Demand(SJ2)</t>
  </si>
  <si>
    <t xml:space="preserve">   FT(SJ2)</t>
  </si>
  <si>
    <t xml:space="preserve">   FR(SJ2)</t>
  </si>
  <si>
    <t xml:space="preserve">   LFT(SJ2)</t>
  </si>
  <si>
    <t xml:space="preserve">   IT(SJ2)</t>
  </si>
  <si>
    <t xml:space="preserve">     Sub-Total Ignacio to Blanco</t>
  </si>
  <si>
    <t xml:space="preserve">Ignacio to El Paso Blanco</t>
  </si>
  <si>
    <t xml:space="preserve">   FR</t>
  </si>
  <si>
    <t xml:space="preserve">   LFT</t>
  </si>
  <si>
    <t xml:space="preserve">     Sub-Total Ignacio to El Paso Blanco</t>
  </si>
  <si>
    <t xml:space="preserve">San Juan</t>
  </si>
  <si>
    <t xml:space="preserve">   FTR-East of Thoreau</t>
  </si>
  <si>
    <t xml:space="preserve">     Total San Juan</t>
  </si>
  <si>
    <t xml:space="preserve">Thoreau</t>
  </si>
  <si>
    <t xml:space="preserve">     Total Thoreau</t>
  </si>
  <si>
    <t xml:space="preserve">   LFT-San Juan 2</t>
  </si>
  <si>
    <t xml:space="preserve">   Fuel Hedge Retention Revenue</t>
  </si>
  <si>
    <t xml:space="preserve">   MISC/RES. IGNACIO/SANTA FE</t>
  </si>
  <si>
    <t xml:space="preserve">Total Transportation Revenue</t>
  </si>
  <si>
    <t xml:space="preserve">Cos to Cot</t>
  </si>
  <si>
    <t xml:space="preserve">TCR Amortization</t>
  </si>
  <si>
    <t xml:space="preserve">UAF</t>
  </si>
  <si>
    <t xml:space="preserve">GRI</t>
  </si>
  <si>
    <t xml:space="preserve">ACA</t>
  </si>
  <si>
    <t xml:space="preserve">PGAR Amortization</t>
  </si>
  <si>
    <t xml:space="preserve">Fuel Use</t>
  </si>
  <si>
    <t xml:space="preserve">Fuel Use-Swap</t>
  </si>
  <si>
    <t xml:space="preserve">Fuel Retained</t>
  </si>
  <si>
    <t xml:space="preserve">Fuel Retained-Swap Revenue</t>
  </si>
  <si>
    <t xml:space="preserve">Other Expense(Minisettlement/Extra Enviro/Sever)</t>
  </si>
  <si>
    <t xml:space="preserve">Other Expense(Uncollectable)</t>
  </si>
  <si>
    <t xml:space="preserve">Other Expense(Yate Pre Int)</t>
  </si>
  <si>
    <t xml:space="preserve">Other Expense(FERC Audit)</t>
  </si>
  <si>
    <t xml:space="preserve">South Georgia</t>
  </si>
  <si>
    <t xml:space="preserve">Regulatory Amortization-TT&amp;S</t>
  </si>
  <si>
    <t xml:space="preserve">Regulatory Commission</t>
  </si>
  <si>
    <t xml:space="preserve">Revaluations-Linepack &amp; Volumetric OBA</t>
  </si>
  <si>
    <t xml:space="preserve">Total Cost of Transportation</t>
  </si>
  <si>
    <t xml:space="preserve">Transport Margin</t>
  </si>
  <si>
    <t xml:space="preserve">Transwestern Pipeline Company</t>
  </si>
  <si>
    <t xml:space="preserve">Month</t>
  </si>
  <si>
    <t xml:space="preserve">Current</t>
  </si>
  <si>
    <t xml:space="preserve">December</t>
  </si>
  <si>
    <t xml:space="preserve">Sales/Cost of Sales </t>
  </si>
  <si>
    <t xml:space="preserve">Previous</t>
  </si>
  <si>
    <t xml:space="preserve">November</t>
  </si>
  <si>
    <t xml:space="preserve">December, 2001</t>
  </si>
  <si>
    <t xml:space="preserve">Prior Avg</t>
  </si>
  <si>
    <t xml:space="preserve">November, 2001</t>
  </si>
  <si>
    <t xml:space="preserve">November, 2001 Reversal</t>
  </si>
  <si>
    <t xml:space="preserve">Prior Periods</t>
  </si>
  <si>
    <t xml:space="preserve">Accounting Month Total</t>
  </si>
  <si>
    <t xml:space="preserve">SAP</t>
  </si>
  <si>
    <t xml:space="preserve">  </t>
  </si>
  <si>
    <t xml:space="preserve">Major</t>
  </si>
  <si>
    <t xml:space="preserve">Stat</t>
  </si>
  <si>
    <t xml:space="preserve">Sales:</t>
  </si>
  <si>
    <t xml:space="preserve">LinePack </t>
  </si>
  <si>
    <t xml:space="preserve">Hedge</t>
  </si>
  <si>
    <t xml:space="preserve">Hedge Reserve</t>
  </si>
  <si>
    <t xml:space="preserve">Farmtaps</t>
  </si>
  <si>
    <t xml:space="preserve">40001000, 40004000</t>
  </si>
  <si>
    <t xml:space="preserve">500001780, 500001792, 500001793</t>
  </si>
  <si>
    <t xml:space="preserve">Condensate</t>
  </si>
  <si>
    <t xml:space="preserve">40015000</t>
  </si>
  <si>
    <t xml:space="preserve">Shortfall Rebate-Sale</t>
  </si>
  <si>
    <t xml:space="preserve">Total Sales</t>
  </si>
  <si>
    <t xml:space="preserve">Cost of Sales:</t>
  </si>
  <si>
    <t xml:space="preserve">Strge Exp/3rd Party tspt</t>
  </si>
  <si>
    <t xml:space="preserve">Index Differentail</t>
  </si>
  <si>
    <t xml:space="preserve">Imbalance</t>
  </si>
  <si>
    <t xml:space="preserve">Imbalance Settlements</t>
  </si>
  <si>
    <t xml:space="preserve">Gain/Loss Settlements</t>
  </si>
  <si>
    <t xml:space="preserve">Fuel Used</t>
  </si>
  <si>
    <t xml:space="preserve">50001070, 50001090</t>
  </si>
  <si>
    <t xml:space="preserve">500001883, 500001888</t>
  </si>
  <si>
    <t xml:space="preserve">Swap Fuel Use</t>
  </si>
  <si>
    <t xml:space="preserve">Shortfall Rebate-Use</t>
  </si>
  <si>
    <t xml:space="preserve">LinePack</t>
  </si>
  <si>
    <t xml:space="preserve">LinePack Revalue</t>
  </si>
  <si>
    <t xml:space="preserve">Volume OBA Revalue</t>
  </si>
  <si>
    <t xml:space="preserve">Liquids Cost</t>
  </si>
  <si>
    <t xml:space="preserve">Total Cost of Sales</t>
  </si>
  <si>
    <t xml:space="preserve">Sales Margin</t>
  </si>
  <si>
    <t xml:space="preserve">ENA HEDGE</t>
  </si>
  <si>
    <t xml:space="preserve">Variance between estimate &amp; actuals</t>
  </si>
  <si>
    <t xml:space="preserve">Linepack revalue</t>
  </si>
  <si>
    <t xml:space="preserve">Net Loss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</si>
</sst>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[$-409]mmm\-yy"/>
    <numFmt numFmtId="166" formatCode="[$-409]#,##0_);\(#,##0\)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_(\$* #,##0_);_(\$* \(#,##0\);_(\$* \-??_);_(@_)"/>
    <numFmt numFmtId="171" formatCode="[$-409]#,##0_);[RED]\(#,##0\)"/>
    <numFmt numFmtId="172" formatCode="\$#,##0.00_);[RED]&quot;($&quot;#,##0.00\)"/>
    <numFmt numFmtId="173" formatCode="[$-409]#,##0.00_);[RED]\(#,##0.00\)"/>
    <numFmt numFmtId="174" formatCode="[$-409]#,##0.00_);\(#,##0.00\)"/>
    <numFmt numFmtId="175" formatCode="\$#,##0.0000_);&quot;($&quot;#,##0.0000\)"/>
    <numFmt numFmtId="176" formatCode="\$#,##0_);&quot;($&quot;#,##0\)"/>
    <numFmt numFmtId="177" formatCode="\$#,##0.00_);&quot;($&quot;#,##0.00\)"/>
    <numFmt numFmtId="178" formatCode="_(\$* #,##0.0000_);_(\$* \(#,##0.0000\);_(\$* \-??_);_(@_)"/>
    <numFmt numFmtId="179" formatCode="0"/>
    <numFmt numFmtId="180" formatCode="#,##0.0000_);\(#,##0.0000\)"/>
    <numFmt numFmtId="181" formatCode="#,##0.000000000_);\(#,##0.000000000\)"/>
    <numFmt numFmtId="182" formatCode="0.0000_)"/>
    <numFmt numFmtId="183" formatCode="#,##0.00"/>
    <numFmt numFmtId="184" formatCode="\$#,##0.0000_);[RED]&quot;($&quot;#,##0.0000\)"/>
    <numFmt numFmtId="185" formatCode="\$#,##0_);[RED]&quot;($&quot;#,##0\)"/>
    <numFmt numFmtId="186" formatCode="#,##0"/>
    <numFmt numFmtId="187" formatCode="_(\$* #,##0.000_);_(\$* \(#,##0.0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MT"/>
      <family val="0"/>
    </font>
    <font>
      <b val="true"/>
      <sz val="10"/>
      <name val="Arial MT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u val="single"/>
      <sz val="10"/>
      <name val="Arial MT"/>
      <family val="0"/>
    </font>
    <font>
      <sz val="10"/>
      <color rgb="FF0000FF"/>
      <name val="Arial MT"/>
      <family val="0"/>
    </font>
    <font>
      <sz val="10"/>
      <color rgb="FF0000FF"/>
      <name val="Arial"/>
      <family val="0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0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externalLink" Target="externalLinks/externalLink9.xml"/><Relationship Id="rId16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2.xml"/><Relationship Id="rId1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0101/0101MGMT(a)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0901/0901MGMT(A)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1001/1001MGMT(A)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1101/1101MGMT(A)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0201/0201MGMT(a)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0301/0301MGMT(a)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FORM_2/2001/2001FRM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0401/0401MGMT(a)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0501/0501MGMT(A)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0601/0601MGMT(A)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0701/0701MGMT(A)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FIN/Gas%20Accounting/TW/CLOSE/2001/0801/0801MGMT(A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LS_COS"/>
      <sheetName val="Margin"/>
      <sheetName val="Y-T-D"/>
      <sheetName val="TSPT_COT"/>
    </sheetNames>
    <sheetDataSet>
      <sheetData sheetId="0"/>
      <sheetData sheetId="1"/>
      <sheetData sheetId="2">
        <row r="161">
          <cell r="C161">
            <v>55579061</v>
          </cell>
        </row>
        <row r="161">
          <cell r="Q161">
            <v>55579061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argin"/>
      <sheetName val="TSPT_COT"/>
      <sheetName val="SLS_COS"/>
    </sheetNames>
    <sheetDataSet>
      <sheetData sheetId="0">
        <row r="161">
          <cell r="C161">
            <v>54007256</v>
          </cell>
        </row>
        <row r="161">
          <cell r="Q161">
            <v>508652781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rgin"/>
      <sheetName val="TSPT_COT"/>
      <sheetName val="SLS_COS"/>
    </sheetNames>
    <sheetDataSet>
      <sheetData sheetId="0">
        <row r="161">
          <cell r="C161">
            <v>56260392</v>
          </cell>
        </row>
        <row r="161">
          <cell r="Q161">
            <v>564913173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rgin"/>
      <sheetName val="TSPT_COT"/>
      <sheetName val="SLS_COS"/>
    </sheetNames>
    <sheetDataSet>
      <sheetData sheetId="0">
        <row r="161">
          <cell r="C161">
            <v>53272832</v>
          </cell>
        </row>
        <row r="161">
          <cell r="Q161">
            <v>618186005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LS_COS"/>
      <sheetName val="Margin"/>
      <sheetName val="Y-T-D"/>
      <sheetName val="TSPT_COT"/>
    </sheetNames>
    <sheetDataSet>
      <sheetData sheetId="0"/>
      <sheetData sheetId="1"/>
      <sheetData sheetId="2">
        <row r="161">
          <cell r="C161">
            <v>50424929</v>
          </cell>
        </row>
        <row r="161">
          <cell r="Q161">
            <v>106003990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LS_COS"/>
      <sheetName val="Margin"/>
      <sheetName val="Y-T-D"/>
      <sheetName val="TSPT_COT"/>
    </sheetNames>
    <sheetDataSet>
      <sheetData sheetId="0"/>
      <sheetData sheetId="1"/>
      <sheetData sheetId="2">
        <row r="161">
          <cell r="C161">
            <v>55169258</v>
          </cell>
        </row>
        <row r="161">
          <cell r="Q161">
            <v>161173248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ST-4TH"/>
      <sheetName val="Sheet3"/>
      <sheetName val="Sheet1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38">
          <cell r="B38">
            <v>161173.248</v>
          </cell>
        </row>
        <row r="38">
          <cell r="I38">
            <v>179548.874</v>
          </cell>
        </row>
        <row r="38">
          <cell r="P38">
            <v>167930.659</v>
          </cell>
        </row>
        <row r="38">
          <cell r="W38">
            <v>161829.224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LS_COS"/>
      <sheetName val="Margin"/>
      <sheetName val="Y-T-D"/>
      <sheetName val="TSPT_COT"/>
    </sheetNames>
    <sheetDataSet>
      <sheetData sheetId="0"/>
      <sheetData sheetId="1"/>
      <sheetData sheetId="2">
        <row r="161">
          <cell r="C161">
            <v>60576297</v>
          </cell>
        </row>
        <row r="161">
          <cell r="Q161">
            <v>221749545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LS_COS"/>
      <sheetName val="Margin"/>
      <sheetName val="Y-T-D"/>
      <sheetName val="TSPT_COT"/>
    </sheetNames>
    <sheetDataSet>
      <sheetData sheetId="0"/>
      <sheetData sheetId="1"/>
      <sheetData sheetId="2">
        <row r="161">
          <cell r="C161">
            <v>61068725</v>
          </cell>
        </row>
        <row r="161">
          <cell r="Q161">
            <v>282818270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rgin"/>
      <sheetName val="TSPT_COT"/>
      <sheetName val="SLS_COS"/>
    </sheetNames>
    <sheetDataSet>
      <sheetData sheetId="0">
        <row r="161">
          <cell r="C161">
            <v>57903852</v>
          </cell>
        </row>
        <row r="161">
          <cell r="Q161">
            <v>340722122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rgin"/>
      <sheetName val="TSPT_COT"/>
      <sheetName val="SLS_COS"/>
    </sheetNames>
    <sheetDataSet>
      <sheetData sheetId="0">
        <row r="161">
          <cell r="C161">
            <v>56786610</v>
          </cell>
        </row>
        <row r="161">
          <cell r="Q161">
            <v>397508732</v>
          </cell>
        </row>
      </sheetData>
      <sheetData sheetId="1"/>
      <sheetData sheetId="2">
        <row r="26">
          <cell r="AX2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rgin"/>
      <sheetName val="TSPT_COT"/>
      <sheetName val="SLS_COS"/>
    </sheetNames>
    <sheetDataSet>
      <sheetData sheetId="0">
        <row r="161">
          <cell r="C161">
            <v>57136793</v>
          </cell>
        </row>
        <row r="161">
          <cell r="Q161">
            <v>454645525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12.7"/>
    <col collapsed="false" customWidth="true" hidden="false" outlineLevel="0" max="4" min="3" style="0" width="11.7"/>
    <col collapsed="false" customWidth="true" hidden="false" outlineLevel="0" max="5" min="5" style="0" width="9.7"/>
    <col collapsed="false" customWidth="true" hidden="false" outlineLevel="0" max="6" min="6" style="0" width="8.7"/>
  </cols>
  <sheetData>
    <row r="1" customFormat="false" ht="12.75" hidden="false" customHeight="false" outlineLevel="0" collapsed="false">
      <c r="D1" s="0" t="s">
        <v>0</v>
      </c>
    </row>
    <row r="2" customFormat="false" ht="12.75" hidden="false" customHeight="false" outlineLevel="0" collapsed="false"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</row>
    <row r="3" customFormat="false" ht="12.75" hidden="false" customHeight="false" outlineLevel="0" collapsed="false">
      <c r="A3" s="1" t="n">
        <v>36892</v>
      </c>
      <c r="B3" s="2" t="n">
        <f aca="false">+[1]Margin!$C$161</f>
        <v>55579061</v>
      </c>
      <c r="C3" s="2" t="n">
        <f aca="false">+[1]Margin!$Q$161</f>
        <v>55579061</v>
      </c>
      <c r="D3" s="2" t="n">
        <f aca="false">+[1]Margin!$Q$161</f>
        <v>55579061</v>
      </c>
      <c r="E3" s="2" t="n">
        <f aca="false">+C3-D3</f>
        <v>0</v>
      </c>
    </row>
    <row r="4" customFormat="false" ht="12.75" hidden="false" customHeight="false" outlineLevel="0" collapsed="false">
      <c r="A4" s="1" t="n">
        <v>36923</v>
      </c>
      <c r="B4" s="2" t="n">
        <f aca="false">+[2]Margin!$C$161</f>
        <v>50424929</v>
      </c>
      <c r="C4" s="2" t="n">
        <f aca="false">+C3+B4</f>
        <v>106003990</v>
      </c>
      <c r="D4" s="2" t="n">
        <f aca="false">+[2]Margin!$Q$161</f>
        <v>106003990</v>
      </c>
      <c r="E4" s="2" t="n">
        <f aca="false">+C4-D4</f>
        <v>0</v>
      </c>
    </row>
    <row r="5" customFormat="false" ht="12.75" hidden="false" customHeight="false" outlineLevel="0" collapsed="false">
      <c r="A5" s="1" t="n">
        <v>36951</v>
      </c>
      <c r="B5" s="2" t="n">
        <f aca="false">+[3]Margin!$C$161</f>
        <v>55169258</v>
      </c>
      <c r="C5" s="2" t="n">
        <f aca="false">+C4+B5</f>
        <v>161173248</v>
      </c>
      <c r="D5" s="2" t="n">
        <f aca="false">+[3]Margin!$Q$161</f>
        <v>161173248</v>
      </c>
      <c r="E5" s="2" t="n">
        <f aca="false">+C5-D5</f>
        <v>0</v>
      </c>
      <c r="F5" s="3" t="n">
        <f aca="false">+'[4]1ST-4TH'!$B$38</f>
        <v>161173.248</v>
      </c>
    </row>
    <row r="6" customFormat="false" ht="12.75" hidden="false" customHeight="false" outlineLevel="0" collapsed="false">
      <c r="A6" s="1" t="n">
        <v>36982</v>
      </c>
      <c r="B6" s="2" t="n">
        <f aca="false">+[5]Margin!$C$161</f>
        <v>60576297</v>
      </c>
      <c r="C6" s="2" t="n">
        <f aca="false">+C5+B6</f>
        <v>221749545</v>
      </c>
      <c r="D6" s="2" t="n">
        <f aca="false">+[5]Margin!$Q$161</f>
        <v>221749545</v>
      </c>
      <c r="E6" s="2" t="n">
        <f aca="false">+C6-D6</f>
        <v>0</v>
      </c>
    </row>
    <row r="7" customFormat="false" ht="12.75" hidden="false" customHeight="false" outlineLevel="0" collapsed="false">
      <c r="A7" s="1" t="n">
        <v>37012</v>
      </c>
      <c r="B7" s="2" t="n">
        <f aca="false">+[6]Margin!$C$161</f>
        <v>61068725</v>
      </c>
      <c r="C7" s="2" t="n">
        <f aca="false">+C6+B7</f>
        <v>282818270</v>
      </c>
      <c r="D7" s="2" t="n">
        <f aca="false">+[6]Margin!$Q$161</f>
        <v>282818270</v>
      </c>
      <c r="E7" s="2" t="n">
        <f aca="false">+C7-D7</f>
        <v>0</v>
      </c>
    </row>
    <row r="8" customFormat="false" ht="12.75" hidden="false" customHeight="false" outlineLevel="0" collapsed="false">
      <c r="A8" s="1" t="n">
        <v>37043</v>
      </c>
      <c r="B8" s="2" t="n">
        <f aca="false">+[7]Margin!$C$161</f>
        <v>57903852</v>
      </c>
      <c r="C8" s="2" t="n">
        <f aca="false">+C7+B8</f>
        <v>340722122</v>
      </c>
      <c r="D8" s="2" t="n">
        <f aca="false">+[7]Margin!$Q$161</f>
        <v>340722122</v>
      </c>
      <c r="E8" s="2" t="n">
        <f aca="false">+C8-D8</f>
        <v>0</v>
      </c>
      <c r="F8" s="3" t="n">
        <f aca="false">+'[4]1ST-4TH'!$B$38+'[4]1ST-4TH'!$I$38</f>
        <v>340722.122</v>
      </c>
    </row>
    <row r="9" customFormat="false" ht="12.75" hidden="false" customHeight="false" outlineLevel="0" collapsed="false">
      <c r="A9" s="1" t="n">
        <v>37073</v>
      </c>
      <c r="B9" s="2" t="n">
        <f aca="false">+[8]Margin!$C$161</f>
        <v>56786610</v>
      </c>
      <c r="C9" s="2" t="n">
        <f aca="false">+C8+B9</f>
        <v>397508732</v>
      </c>
      <c r="D9" s="2" t="n">
        <f aca="false">+[8]Margin!$Q$161</f>
        <v>397508732</v>
      </c>
      <c r="E9" s="2" t="n">
        <f aca="false">+C9-D9</f>
        <v>0</v>
      </c>
    </row>
    <row r="10" customFormat="false" ht="12.75" hidden="false" customHeight="false" outlineLevel="0" collapsed="false">
      <c r="A10" s="1" t="n">
        <v>37104</v>
      </c>
      <c r="B10" s="2" t="n">
        <f aca="false">+[9]Margin!$C$161</f>
        <v>57136793</v>
      </c>
      <c r="C10" s="2" t="n">
        <f aca="false">+C9+B10</f>
        <v>454645525</v>
      </c>
      <c r="D10" s="2" t="n">
        <f aca="false">+[9]Margin!$Q$161</f>
        <v>454645525</v>
      </c>
      <c r="E10" s="2" t="n">
        <f aca="false">+C10-D10</f>
        <v>0</v>
      </c>
    </row>
    <row r="11" customFormat="false" ht="12.75" hidden="false" customHeight="false" outlineLevel="0" collapsed="false">
      <c r="A11" s="1" t="n">
        <v>37135</v>
      </c>
      <c r="B11" s="2" t="n">
        <f aca="false">+[10]Margin!$C$161</f>
        <v>54007256</v>
      </c>
      <c r="C11" s="2" t="n">
        <f aca="false">+C10+B11</f>
        <v>508652781</v>
      </c>
      <c r="D11" s="2" t="n">
        <f aca="false">+[10]Margin!$Q$161</f>
        <v>508652781</v>
      </c>
      <c r="E11" s="2" t="n">
        <f aca="false">+C11-D11</f>
        <v>0</v>
      </c>
      <c r="F11" s="3" t="n">
        <f aca="false">+'[4]1ST-4TH'!$B$38+'[4]1ST-4TH'!$I$38+'[4]1ST-4TH'!$P$38</f>
        <v>508652.781</v>
      </c>
    </row>
    <row r="12" customFormat="false" ht="12.75" hidden="false" customHeight="false" outlineLevel="0" collapsed="false">
      <c r="A12" s="1" t="n">
        <v>37165</v>
      </c>
      <c r="B12" s="2" t="n">
        <f aca="false">+[11]Margin!$C$161</f>
        <v>56260392</v>
      </c>
      <c r="C12" s="2" t="n">
        <f aca="false">+C11+B12</f>
        <v>564913173</v>
      </c>
      <c r="D12" s="2" t="n">
        <f aca="false">+[11]Margin!$Q$161</f>
        <v>564913173</v>
      </c>
      <c r="E12" s="2" t="n">
        <f aca="false">+C12-D12</f>
        <v>0</v>
      </c>
    </row>
    <row r="13" customFormat="false" ht="12.75" hidden="false" customHeight="false" outlineLevel="0" collapsed="false">
      <c r="A13" s="1" t="n">
        <v>37196</v>
      </c>
      <c r="B13" s="2" t="n">
        <f aca="false">+[12]Margin!$C$161</f>
        <v>53272832</v>
      </c>
      <c r="C13" s="2" t="n">
        <f aca="false">+C12+B13</f>
        <v>618186005</v>
      </c>
      <c r="D13" s="2" t="n">
        <f aca="false">+[12]Margin!$Q$161</f>
        <v>618186005</v>
      </c>
      <c r="E13" s="2" t="n">
        <f aca="false">+C13-D13</f>
        <v>0</v>
      </c>
    </row>
    <row r="14" customFormat="false" ht="12.75" hidden="false" customHeight="false" outlineLevel="0" collapsed="false">
      <c r="A14" s="1" t="n">
        <v>37226</v>
      </c>
      <c r="B14" s="2" t="n">
        <f aca="false">+Margin!C161</f>
        <v>52295758</v>
      </c>
      <c r="C14" s="2" t="n">
        <f aca="false">+C13+B14</f>
        <v>670481763</v>
      </c>
      <c r="D14" s="2" t="n">
        <f aca="false">+Margin!Q161</f>
        <v>670480763</v>
      </c>
      <c r="E14" s="2" t="n">
        <f aca="false">+C14-D14</f>
        <v>1000</v>
      </c>
      <c r="F14" s="3" t="n">
        <f aca="false">+'[4]1ST-4TH'!$B$38+'[4]1ST-4TH'!$I$38+'[4]1ST-4TH'!$P$38+'[4]1ST-4TH'!$W$38</f>
        <v>670482.005</v>
      </c>
    </row>
    <row r="15" customFormat="false" ht="12.75" hidden="false" customHeight="false" outlineLevel="0" collapsed="false">
      <c r="F1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V198"/>
  <sheetViews>
    <sheetView showFormulas="false" showGridLines="true" showRowColHeaders="true" showZeros="true" rightToLeft="false" tabSelected="true" showOutlineSymbols="true" defaultGridColor="true" view="normal" topLeftCell="A158" colorId="64" zoomScale="100" zoomScaleNormal="100" zoomScalePageLayoutView="100" workbookViewId="0">
      <pane xSplit="1" ySplit="0" topLeftCell="V1" activePane="topRight" state="frozen"/>
      <selection pane="topLeft" activeCell="A158" activeCellId="0" sqref="A158"/>
      <selection pane="topRight" activeCell="AC158" activeCellId="0" sqref="AC1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1.7"/>
    <col collapsed="false" customWidth="true" hidden="false" outlineLevel="0" max="3" min="3" style="0" width="12.28"/>
    <col collapsed="false" customWidth="true" hidden="false" outlineLevel="0" max="4" min="4" style="0" width="1.7"/>
    <col collapsed="false" customWidth="true" hidden="false" outlineLevel="0" max="5" min="5" style="0" width="11.7"/>
    <col collapsed="false" customWidth="true" hidden="false" outlineLevel="0" max="6" min="6" style="0" width="1.7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5" width="16.7"/>
    <col collapsed="false" customWidth="true" hidden="false" outlineLevel="0" max="10" min="10" style="5" width="1.7"/>
    <col collapsed="false" customWidth="true" hidden="false" outlineLevel="0" max="11" min="11" style="5" width="14.7"/>
    <col collapsed="false" customWidth="true" hidden="false" outlineLevel="0" max="12" min="12" style="5" width="1.7"/>
    <col collapsed="false" customWidth="true" hidden="false" outlineLevel="0" max="13" min="13" style="5" width="16.7"/>
    <col collapsed="false" customWidth="true" hidden="false" outlineLevel="0" max="14" min="14" style="0" width="1.7"/>
    <col collapsed="false" customWidth="true" hidden="false" outlineLevel="0" max="15" min="15" style="0" width="14.85"/>
    <col collapsed="false" customWidth="true" hidden="false" outlineLevel="0" max="16" min="16" style="0" width="1.7"/>
    <col collapsed="false" customWidth="true" hidden="false" outlineLevel="0" max="17" min="17" style="0" width="12.7"/>
    <col collapsed="false" customWidth="true" hidden="false" outlineLevel="0" max="18" min="18" style="0" width="1.7"/>
    <col collapsed="false" customWidth="true" hidden="false" outlineLevel="0" max="19" min="19" style="0" width="10.71"/>
    <col collapsed="false" customWidth="true" hidden="false" outlineLevel="0" max="20" min="20" style="0" width="1.7"/>
    <col collapsed="false" customWidth="true" hidden="false" outlineLevel="0" max="21" min="21" style="0" width="12.7"/>
    <col collapsed="false" customWidth="true" hidden="false" outlineLevel="0" max="22" min="22" style="0" width="1.7"/>
    <col collapsed="false" customWidth="true" hidden="false" outlineLevel="0" max="23" min="23" style="5" width="16.7"/>
    <col collapsed="false" customWidth="true" hidden="false" outlineLevel="0" max="24" min="24" style="5" width="1.7"/>
    <col collapsed="false" customWidth="true" hidden="false" outlineLevel="0" max="25" min="25" style="5" width="16.7"/>
    <col collapsed="false" customWidth="true" hidden="false" outlineLevel="0" max="26" min="26" style="5" width="1.7"/>
    <col collapsed="false" customWidth="true" hidden="false" outlineLevel="0" max="27" min="27" style="5" width="16.7"/>
    <col collapsed="false" customWidth="true" hidden="false" outlineLevel="0" max="28" min="28" style="0" width="1.7"/>
    <col collapsed="false" customWidth="true" hidden="false" outlineLevel="0" max="29" min="29" style="6" width="12.28"/>
    <col collapsed="false" customWidth="true" hidden="false" outlineLevel="0" max="73" min="73" style="0" width="29.85"/>
    <col collapsed="false" customWidth="true" hidden="false" outlineLevel="0" max="74" min="74" style="0" width="14.85"/>
    <col collapsed="false" customWidth="true" hidden="false" outlineLevel="0" max="76" min="76" style="0" width="13.85"/>
    <col collapsed="false" customWidth="true" hidden="false" outlineLevel="0" max="78" min="78" style="0" width="8.14"/>
    <col collapsed="false" customWidth="true" hidden="false" outlineLevel="0" max="80" min="80" style="0" width="14.85"/>
    <col collapsed="false" customWidth="true" hidden="false" outlineLevel="0" max="82" min="82" style="0" width="14.85"/>
    <col collapsed="false" customWidth="true" hidden="false" outlineLevel="0" max="84" min="84" style="5" width="14.85"/>
    <col collapsed="false" customWidth="true" hidden="false" outlineLevel="0" max="86" min="86" style="0" width="11.28"/>
  </cols>
  <sheetData>
    <row r="1" customFormat="false" ht="12.75" hidden="false" customHeight="false" outlineLevel="0" collapsed="false">
      <c r="A1" s="7"/>
      <c r="B1" s="8"/>
      <c r="C1" s="9"/>
      <c r="D1" s="8"/>
      <c r="E1" s="10"/>
      <c r="F1" s="8"/>
      <c r="G1" s="8"/>
      <c r="H1" s="8"/>
      <c r="I1" s="11"/>
      <c r="J1" s="11"/>
      <c r="K1" s="11"/>
      <c r="L1" s="11"/>
      <c r="M1" s="11"/>
      <c r="N1" s="8"/>
      <c r="O1" s="8"/>
      <c r="P1" s="8"/>
      <c r="Q1" s="10"/>
      <c r="R1" s="8"/>
      <c r="S1" s="8"/>
      <c r="T1" s="12" t="s">
        <v>6</v>
      </c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4"/>
      <c r="AV1" s="13"/>
      <c r="AW1" s="15"/>
      <c r="AX1" s="13"/>
      <c r="AY1" s="15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6"/>
      <c r="BN1" s="13"/>
      <c r="BO1" s="13"/>
      <c r="BP1" s="13"/>
      <c r="BQ1" s="13"/>
      <c r="BR1" s="13"/>
      <c r="BS1" s="13"/>
      <c r="BT1" s="13"/>
      <c r="BU1" s="17"/>
      <c r="BV1" s="13"/>
      <c r="BW1" s="17"/>
      <c r="BX1" s="17"/>
      <c r="BY1" s="13"/>
      <c r="BZ1" s="13"/>
      <c r="CA1" s="18"/>
      <c r="CB1" s="19"/>
      <c r="CC1" s="19"/>
      <c r="CD1" s="19"/>
      <c r="CE1" s="19"/>
      <c r="CF1" s="20"/>
      <c r="CG1" s="21"/>
      <c r="CH1" s="19"/>
    </row>
    <row r="2" customFormat="false" ht="12.75" hidden="false" customHeight="false" outlineLevel="0" collapsed="false">
      <c r="A2" s="7"/>
      <c r="B2" s="8"/>
      <c r="C2" s="9"/>
      <c r="D2" s="8"/>
      <c r="E2" s="10"/>
      <c r="F2" s="8"/>
      <c r="G2" s="8"/>
      <c r="H2" s="8"/>
      <c r="I2" s="11"/>
      <c r="J2" s="11"/>
      <c r="K2" s="11"/>
      <c r="L2" s="11"/>
      <c r="M2" s="11"/>
      <c r="N2" s="8"/>
      <c r="O2" s="8"/>
      <c r="P2" s="8"/>
      <c r="Q2" s="10"/>
      <c r="R2" s="8"/>
      <c r="S2" s="8"/>
      <c r="T2" s="8"/>
      <c r="U2" s="8"/>
      <c r="V2" s="8"/>
      <c r="W2" s="11"/>
      <c r="X2" s="11"/>
      <c r="Y2" s="11"/>
      <c r="Z2" s="11"/>
      <c r="AA2" s="11"/>
      <c r="AB2" s="8"/>
      <c r="AC2" s="22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4"/>
      <c r="AV2" s="13"/>
      <c r="AW2" s="15"/>
      <c r="AX2" s="13"/>
      <c r="AY2" s="15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6"/>
      <c r="BN2" s="13"/>
      <c r="BO2" s="13"/>
      <c r="BP2" s="13"/>
      <c r="BQ2" s="13"/>
      <c r="BR2" s="13"/>
      <c r="BS2" s="13"/>
      <c r="BT2" s="13"/>
      <c r="BU2" s="17"/>
      <c r="BV2" s="13"/>
      <c r="BW2" s="17"/>
      <c r="BX2" s="13"/>
      <c r="BY2" s="17"/>
      <c r="BZ2" s="13"/>
      <c r="CA2" s="17"/>
      <c r="CB2" s="19"/>
      <c r="CC2" s="23"/>
      <c r="CD2" s="19"/>
      <c r="CE2" s="23"/>
      <c r="CF2" s="20"/>
      <c r="CG2" s="21"/>
      <c r="CH2" s="19"/>
    </row>
    <row r="3" customFormat="false" ht="12.75" hidden="false" customHeight="false" outlineLevel="0" collapsed="false">
      <c r="A3" s="7"/>
      <c r="B3" s="8"/>
      <c r="C3" s="9"/>
      <c r="D3" s="8"/>
      <c r="E3" s="10"/>
      <c r="F3" s="8"/>
      <c r="G3" s="8"/>
      <c r="H3" s="8"/>
      <c r="I3" s="11"/>
      <c r="J3" s="11"/>
      <c r="K3" s="11"/>
      <c r="L3" s="11"/>
      <c r="M3" s="11"/>
      <c r="N3" s="8"/>
      <c r="O3" s="8"/>
      <c r="P3" s="8"/>
      <c r="Q3" s="10"/>
      <c r="R3" s="8"/>
      <c r="S3" s="8"/>
      <c r="T3" s="8"/>
      <c r="U3" s="8"/>
      <c r="V3" s="8"/>
      <c r="W3" s="11"/>
      <c r="X3" s="11"/>
      <c r="Y3" s="11"/>
      <c r="Z3" s="11"/>
      <c r="AA3" s="11"/>
      <c r="AB3" s="8"/>
      <c r="AC3" s="22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4"/>
      <c r="AV3" s="13"/>
      <c r="AW3" s="15"/>
      <c r="AX3" s="13"/>
      <c r="AY3" s="15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6"/>
      <c r="BN3" s="13"/>
      <c r="BO3" s="13"/>
      <c r="BP3" s="13"/>
      <c r="BQ3" s="13"/>
      <c r="BR3" s="13"/>
      <c r="BS3" s="13"/>
      <c r="BT3" s="13"/>
      <c r="BU3" s="17"/>
      <c r="BV3" s="13"/>
      <c r="BW3" s="17"/>
      <c r="BX3" s="13"/>
      <c r="BY3" s="17"/>
      <c r="BZ3" s="13"/>
      <c r="CA3" s="17"/>
      <c r="CB3" s="19"/>
      <c r="CC3" s="23"/>
      <c r="CD3" s="19"/>
      <c r="CE3" s="23"/>
      <c r="CF3" s="20"/>
      <c r="CG3" s="21"/>
      <c r="CH3" s="19"/>
    </row>
    <row r="4" customFormat="false" ht="12.75" hidden="false" customHeight="false" outlineLevel="0" collapsed="false">
      <c r="A4" s="24"/>
      <c r="B4" s="13"/>
      <c r="C4" s="25"/>
      <c r="D4" s="13"/>
      <c r="E4" s="26"/>
      <c r="F4" s="13"/>
      <c r="G4" s="13"/>
      <c r="H4" s="13"/>
      <c r="I4" s="20"/>
      <c r="J4" s="20"/>
      <c r="K4" s="20"/>
      <c r="L4" s="20"/>
      <c r="M4" s="20"/>
      <c r="N4" s="13"/>
      <c r="O4" s="13"/>
      <c r="P4" s="13"/>
      <c r="Q4" s="26"/>
      <c r="R4" s="13"/>
      <c r="S4" s="13"/>
      <c r="T4" s="13"/>
      <c r="U4" s="13"/>
      <c r="V4" s="13"/>
      <c r="W4" s="20"/>
      <c r="X4" s="20"/>
      <c r="Y4" s="20"/>
      <c r="Z4" s="20"/>
      <c r="AA4" s="20"/>
      <c r="AB4" s="13"/>
      <c r="AC4" s="27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4"/>
      <c r="AV4" s="13"/>
      <c r="AW4" s="15"/>
      <c r="AX4" s="13"/>
      <c r="AY4" s="15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6"/>
      <c r="BN4" s="13"/>
      <c r="BO4" s="13"/>
      <c r="BP4" s="13"/>
      <c r="BQ4" s="13"/>
      <c r="BR4" s="13"/>
      <c r="BS4" s="13"/>
      <c r="BT4" s="13"/>
      <c r="BU4" s="17"/>
      <c r="BV4" s="13"/>
      <c r="BW4" s="17"/>
      <c r="BX4" s="13"/>
      <c r="BY4" s="17"/>
      <c r="BZ4" s="13"/>
      <c r="CA4" s="17"/>
      <c r="CB4" s="19"/>
      <c r="CC4" s="23"/>
      <c r="CD4" s="19"/>
      <c r="CE4" s="19"/>
      <c r="CF4" s="20"/>
      <c r="CG4" s="21"/>
      <c r="CH4" s="19"/>
    </row>
    <row r="5" customFormat="false" ht="12.75" hidden="false" customHeight="false" outlineLevel="0" collapsed="false">
      <c r="A5" s="28"/>
      <c r="B5" s="8"/>
      <c r="C5" s="9"/>
      <c r="D5" s="8"/>
      <c r="E5" s="10"/>
      <c r="F5" s="8"/>
      <c r="G5" s="8"/>
      <c r="H5" s="8"/>
      <c r="I5" s="11" t="s">
        <v>6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J5" s="13"/>
      <c r="AU5" s="29"/>
      <c r="AW5" s="30"/>
      <c r="AY5" s="30"/>
      <c r="BM5" s="31"/>
      <c r="BS5" s="13"/>
      <c r="BU5" s="32"/>
      <c r="BW5" s="32"/>
      <c r="BY5" s="32"/>
      <c r="CA5" s="32"/>
      <c r="CB5" s="33"/>
      <c r="CC5" s="34"/>
      <c r="CD5" s="33"/>
      <c r="CE5" s="34"/>
      <c r="CG5" s="2"/>
      <c r="CH5" s="33"/>
    </row>
    <row r="6" customFormat="false" ht="12.75" hidden="false" customHeight="false" outlineLevel="0" collapsed="false">
      <c r="A6" s="28"/>
      <c r="B6" s="8"/>
      <c r="C6" s="9"/>
      <c r="D6" s="8"/>
      <c r="E6" s="10"/>
      <c r="F6" s="8"/>
      <c r="G6" s="8"/>
      <c r="H6" s="8"/>
      <c r="I6" s="11"/>
      <c r="J6" s="11"/>
      <c r="K6" s="11"/>
      <c r="L6" s="11"/>
      <c r="M6" s="11"/>
      <c r="N6" s="8"/>
      <c r="O6" s="8"/>
      <c r="P6" s="8"/>
      <c r="Q6" s="10"/>
      <c r="R6" s="8"/>
      <c r="S6" s="8"/>
      <c r="T6" s="8"/>
      <c r="U6" s="8"/>
      <c r="V6" s="8"/>
      <c r="W6" s="11"/>
      <c r="X6" s="11"/>
      <c r="Y6" s="11"/>
      <c r="Z6" s="11"/>
      <c r="AA6" s="11"/>
      <c r="AB6" s="8"/>
      <c r="AC6" s="22"/>
      <c r="AU6" s="29"/>
      <c r="AW6" s="30"/>
      <c r="AY6" s="30"/>
      <c r="BM6" s="31"/>
      <c r="BU6" s="35"/>
      <c r="BW6" s="35"/>
      <c r="BY6" s="35"/>
      <c r="CA6" s="35"/>
      <c r="CB6" s="33"/>
      <c r="CC6" s="36"/>
      <c r="CD6" s="33"/>
      <c r="CE6" s="37"/>
      <c r="CG6" s="2"/>
      <c r="CH6" s="33"/>
    </row>
    <row r="7" customFormat="false" ht="12.75" hidden="false" customHeight="false" outlineLevel="0" collapsed="false">
      <c r="A7" s="28"/>
      <c r="B7" s="8"/>
      <c r="C7" s="9"/>
      <c r="D7" s="8"/>
      <c r="E7" s="10"/>
      <c r="F7" s="8"/>
      <c r="G7" s="8"/>
      <c r="H7" s="8"/>
      <c r="I7" s="11"/>
      <c r="J7" s="11"/>
      <c r="K7" s="11"/>
      <c r="L7" s="11"/>
      <c r="M7" s="11"/>
      <c r="N7" s="8"/>
      <c r="O7" s="8"/>
      <c r="P7" s="8"/>
      <c r="Q7" s="10"/>
      <c r="R7" s="8"/>
      <c r="S7" s="8"/>
      <c r="T7" s="8"/>
      <c r="U7" s="8"/>
      <c r="V7" s="8"/>
      <c r="W7" s="11"/>
      <c r="X7" s="11"/>
      <c r="Y7" s="11"/>
      <c r="Z7" s="11"/>
      <c r="AA7" s="11"/>
      <c r="AB7" s="8"/>
      <c r="AC7" s="22"/>
      <c r="AU7" s="29"/>
      <c r="AW7" s="30"/>
      <c r="AY7" s="30"/>
      <c r="BM7" s="31"/>
      <c r="CA7" s="38"/>
      <c r="CB7" s="33"/>
      <c r="CC7" s="33"/>
      <c r="CD7" s="33"/>
      <c r="CE7" s="33"/>
      <c r="CG7" s="2"/>
      <c r="CH7" s="33"/>
    </row>
    <row r="8" customFormat="false" ht="12.75" hidden="false" customHeight="false" outlineLevel="0" collapsed="false">
      <c r="A8" s="28"/>
      <c r="C8" s="9" t="s">
        <v>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Q8" s="39" t="s">
        <v>2</v>
      </c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U8" s="29"/>
      <c r="AW8" s="30"/>
      <c r="AY8" s="30"/>
      <c r="BM8" s="31"/>
      <c r="BS8" s="13"/>
      <c r="CA8" s="38"/>
      <c r="CB8" s="33"/>
      <c r="CC8" s="33"/>
      <c r="CD8" s="33"/>
      <c r="CE8" s="33"/>
      <c r="CG8" s="2"/>
      <c r="CH8" s="33"/>
    </row>
    <row r="9" customFormat="false" ht="12.75" hidden="false" customHeight="false" outlineLevel="0" collapsed="false">
      <c r="A9" s="28"/>
      <c r="C9" s="40"/>
      <c r="E9" s="41"/>
      <c r="Q9" s="41"/>
      <c r="AU9" s="29"/>
      <c r="AW9" s="30"/>
      <c r="AY9" s="30"/>
      <c r="BM9" s="31"/>
      <c r="BS9" s="13"/>
      <c r="BU9" s="32"/>
      <c r="BW9" s="32"/>
      <c r="BX9" s="32"/>
      <c r="BY9" s="32"/>
      <c r="BZ9" s="32"/>
      <c r="CA9" s="32"/>
      <c r="CB9" s="34"/>
      <c r="CC9" s="34"/>
      <c r="CD9" s="33"/>
      <c r="CE9" s="34"/>
      <c r="CG9" s="2"/>
      <c r="CH9" s="33"/>
    </row>
    <row r="10" customFormat="false" ht="12.75" hidden="false" customHeight="false" outlineLevel="0" collapsed="false">
      <c r="A10" s="28"/>
      <c r="C10" s="9"/>
      <c r="E10" s="10" t="s">
        <v>7</v>
      </c>
      <c r="G10" s="42"/>
      <c r="K10" s="11" t="s">
        <v>8</v>
      </c>
      <c r="L10" s="11"/>
      <c r="M10" s="11" t="s">
        <v>9</v>
      </c>
      <c r="O10" s="8" t="s">
        <v>10</v>
      </c>
      <c r="Q10" s="10"/>
      <c r="S10" s="8" t="s">
        <v>7</v>
      </c>
      <c r="U10" s="42"/>
      <c r="Y10" s="11" t="s">
        <v>8</v>
      </c>
      <c r="Z10" s="11"/>
      <c r="AA10" s="11" t="s">
        <v>9</v>
      </c>
      <c r="AC10" s="22" t="s">
        <v>10</v>
      </c>
      <c r="AE10" s="8"/>
      <c r="AG10" s="8"/>
      <c r="AU10" s="29"/>
      <c r="AW10" s="30"/>
      <c r="AY10" s="30"/>
      <c r="BM10" s="31"/>
      <c r="BS10" s="13"/>
      <c r="BU10" s="32"/>
      <c r="BW10" s="32"/>
      <c r="BX10" s="32"/>
      <c r="BY10" s="32"/>
      <c r="BZ10" s="32"/>
      <c r="CA10" s="32"/>
      <c r="CB10" s="34"/>
      <c r="CC10" s="34"/>
      <c r="CD10" s="33"/>
      <c r="CE10" s="34"/>
      <c r="CG10" s="2"/>
      <c r="CH10" s="33"/>
    </row>
    <row r="11" customFormat="false" ht="12.75" hidden="false" customHeight="false" outlineLevel="0" collapsed="false">
      <c r="A11" s="28"/>
      <c r="C11" s="43" t="s">
        <v>11</v>
      </c>
      <c r="E11" s="44" t="s">
        <v>12</v>
      </c>
      <c r="G11" s="45" t="s">
        <v>13</v>
      </c>
      <c r="I11" s="46" t="s">
        <v>14</v>
      </c>
      <c r="J11" s="11"/>
      <c r="K11" s="46" t="s">
        <v>15</v>
      </c>
      <c r="L11" s="11"/>
      <c r="M11" s="46" t="s">
        <v>16</v>
      </c>
      <c r="O11" s="45" t="s">
        <v>17</v>
      </c>
      <c r="Q11" s="44" t="s">
        <v>11</v>
      </c>
      <c r="S11" s="45" t="s">
        <v>12</v>
      </c>
      <c r="U11" s="45" t="s">
        <v>13</v>
      </c>
      <c r="W11" s="46" t="s">
        <v>14</v>
      </c>
      <c r="X11" s="11"/>
      <c r="Y11" s="46" t="s">
        <v>15</v>
      </c>
      <c r="Z11" s="11"/>
      <c r="AA11" s="46" t="s">
        <v>16</v>
      </c>
      <c r="AC11" s="47" t="s">
        <v>17</v>
      </c>
      <c r="AU11" s="29"/>
      <c r="AW11" s="30"/>
      <c r="AY11" s="30"/>
      <c r="BM11" s="31"/>
      <c r="BS11" s="13"/>
      <c r="BU11" s="32"/>
      <c r="BW11" s="32"/>
      <c r="BX11" s="32"/>
      <c r="BY11" s="32"/>
      <c r="BZ11" s="32"/>
      <c r="CA11" s="32"/>
      <c r="CB11" s="34"/>
      <c r="CC11" s="34"/>
      <c r="CD11" s="33"/>
      <c r="CE11" s="34"/>
      <c r="CG11" s="2"/>
      <c r="CH11" s="33"/>
    </row>
    <row r="12" customFormat="false" ht="12.75" hidden="false" customHeight="false" outlineLevel="0" collapsed="false">
      <c r="A12" s="28"/>
      <c r="C12" s="48"/>
      <c r="E12" s="49"/>
      <c r="G12" s="50"/>
      <c r="I12" s="51"/>
      <c r="J12" s="51"/>
      <c r="K12" s="51"/>
      <c r="L12" s="51"/>
      <c r="M12" s="51"/>
      <c r="O12" s="50"/>
      <c r="Q12" s="49"/>
      <c r="S12" s="50"/>
      <c r="U12" s="50"/>
      <c r="W12" s="51"/>
      <c r="X12" s="51"/>
      <c r="Y12" s="51"/>
      <c r="Z12" s="51"/>
      <c r="AA12" s="51"/>
      <c r="AC12" s="52"/>
      <c r="AU12" s="29"/>
      <c r="AW12" s="30"/>
      <c r="AY12" s="30"/>
      <c r="BM12" s="31"/>
      <c r="BS12" s="13"/>
      <c r="BU12" s="32"/>
      <c r="BW12" s="32"/>
      <c r="BX12" s="32"/>
      <c r="BY12" s="32"/>
      <c r="BZ12" s="32"/>
      <c r="CA12" s="32"/>
      <c r="CB12" s="34"/>
      <c r="CC12" s="34"/>
      <c r="CD12" s="33"/>
      <c r="CE12" s="34"/>
      <c r="CG12" s="2"/>
      <c r="CH12" s="33"/>
    </row>
    <row r="13" customFormat="false" ht="12.75" hidden="false" customHeight="false" outlineLevel="0" collapsed="false">
      <c r="A13" s="28"/>
      <c r="C13" s="40"/>
      <c r="E13" s="53"/>
      <c r="G13" s="42"/>
      <c r="O13" s="54"/>
      <c r="Q13" s="41"/>
      <c r="U13" s="42"/>
      <c r="AU13" s="29"/>
      <c r="AW13" s="30"/>
      <c r="AY13" s="30"/>
      <c r="BM13" s="31"/>
      <c r="BO13" s="13"/>
      <c r="BS13" s="13"/>
      <c r="BU13" s="32"/>
      <c r="BW13" s="32"/>
      <c r="BX13" s="32"/>
      <c r="BY13" s="32"/>
      <c r="BZ13" s="32"/>
      <c r="CA13" s="32"/>
      <c r="CB13" s="34"/>
      <c r="CC13" s="34"/>
      <c r="CD13" s="33"/>
      <c r="CE13" s="34"/>
      <c r="CG13" s="2"/>
      <c r="CH13" s="33"/>
    </row>
    <row r="14" customFormat="false" ht="12.75" hidden="false" customHeight="false" outlineLevel="0" collapsed="false">
      <c r="A14" s="24" t="s">
        <v>18</v>
      </c>
      <c r="C14" s="40"/>
      <c r="E14" s="53"/>
      <c r="Q14" s="41"/>
      <c r="AU14" s="29"/>
      <c r="AW14" s="30"/>
      <c r="AY14" s="30"/>
      <c r="BM14" s="31"/>
      <c r="BO14" s="13"/>
      <c r="BS14" s="13"/>
      <c r="BU14" s="24" t="s">
        <v>18</v>
      </c>
      <c r="BW14" s="32"/>
      <c r="BX14" s="32"/>
      <c r="BY14" s="32"/>
      <c r="BZ14" s="32"/>
      <c r="CA14" s="32"/>
      <c r="CB14" s="34"/>
      <c r="CC14" s="34"/>
      <c r="CD14" s="33"/>
      <c r="CE14" s="34"/>
      <c r="CG14" s="2"/>
      <c r="CH14" s="33"/>
    </row>
    <row r="15" customFormat="false" ht="12.75" hidden="false" customHeight="false" outlineLevel="0" collapsed="false">
      <c r="A15" s="24" t="s">
        <v>19</v>
      </c>
      <c r="C15" s="40" t="n">
        <f aca="false">+SLS_COS!AR17</f>
        <v>994797</v>
      </c>
      <c r="E15" s="53" t="n">
        <f aca="false">+SLS_COS!AT17</f>
        <v>32972</v>
      </c>
      <c r="G15" s="42" t="n">
        <f aca="false">ROUND(I15/C15,4)</f>
        <v>2.3455</v>
      </c>
      <c r="I15" s="5" t="n">
        <f aca="false">+SLS_COS!AX17</f>
        <v>2333320.13</v>
      </c>
      <c r="K15" s="5" t="n">
        <v>0</v>
      </c>
      <c r="M15" s="5" t="n">
        <f aca="false">+I15</f>
        <v>2333320.13</v>
      </c>
      <c r="O15" s="54" t="n">
        <f aca="false">+I15/1000</f>
        <v>2333.32013</v>
      </c>
      <c r="Q15" s="53" t="n">
        <f aca="false">+BV15+C15</f>
        <v>10345849</v>
      </c>
      <c r="S15" s="32" t="n">
        <f aca="false">ROUND(Q15/SLS_COS!$AZ$3,0)</f>
        <v>28345</v>
      </c>
      <c r="U15" s="42" t="n">
        <f aca="false">ROUND(W15/Q15,4)</f>
        <v>3.4992</v>
      </c>
      <c r="W15" s="5" t="n">
        <f aca="false">+CB15+I15</f>
        <v>36202543.08</v>
      </c>
      <c r="Y15" s="5" t="n">
        <v>0</v>
      </c>
      <c r="AA15" s="5" t="n">
        <f aca="false">+CF15+M15</f>
        <v>36202543.08</v>
      </c>
      <c r="AC15" s="6" t="n">
        <f aca="false">ROUND(AA15/1000,0)</f>
        <v>36203</v>
      </c>
      <c r="AE15" s="32"/>
      <c r="AF15" s="32"/>
      <c r="AG15" s="32"/>
      <c r="AH15" s="32"/>
      <c r="AU15" s="29"/>
      <c r="AW15" s="30"/>
      <c r="AY15" s="30"/>
      <c r="BM15" s="31"/>
      <c r="BO15" s="13"/>
      <c r="BS15" s="13"/>
      <c r="BU15" s="24" t="s">
        <v>19</v>
      </c>
      <c r="BV15" s="32" t="n">
        <v>9351052</v>
      </c>
      <c r="BX15" s="32" t="n">
        <v>27997</v>
      </c>
      <c r="BZ15" s="32" t="n">
        <v>3.6221</v>
      </c>
      <c r="CB15" s="32" t="n">
        <f aca="false">33870431.07-1208.12</f>
        <v>33869222.95</v>
      </c>
      <c r="CC15" s="33"/>
      <c r="CD15" s="32" t="n">
        <v>0</v>
      </c>
      <c r="CE15" s="34"/>
      <c r="CF15" s="32" t="n">
        <f aca="false">33870431.07-1208.12</f>
        <v>33869222.95</v>
      </c>
      <c r="CG15" s="2"/>
      <c r="CH15" s="32" t="n">
        <v>31683</v>
      </c>
    </row>
    <row r="16" customFormat="false" ht="12.75" hidden="false" customHeight="false" outlineLevel="0" collapsed="false">
      <c r="A16" s="24" t="s">
        <v>20</v>
      </c>
      <c r="C16" s="40" t="n">
        <f aca="false">+SLS_COS!AR35</f>
        <v>994797</v>
      </c>
      <c r="E16" s="53" t="n">
        <f aca="false">+SLS_COS!AT35</f>
        <v>31535</v>
      </c>
      <c r="G16" s="42" t="n">
        <f aca="false">ROUND(I16/C16,4)</f>
        <v>0</v>
      </c>
      <c r="I16" s="5" t="n">
        <f aca="false">+SLS_COS!AX35</f>
        <v>0</v>
      </c>
      <c r="K16" s="5" t="n">
        <v>0</v>
      </c>
      <c r="M16" s="5" t="n">
        <f aca="false">+I16</f>
        <v>0</v>
      </c>
      <c r="O16" s="54" t="n">
        <f aca="false">+I16/1000</f>
        <v>0</v>
      </c>
      <c r="Q16" s="53" t="n">
        <f aca="false">+BV16+C16</f>
        <v>7412754</v>
      </c>
      <c r="S16" s="32" t="n">
        <f aca="false">ROUND(Q16/SLS_COS!$AZ$3,0)</f>
        <v>20309</v>
      </c>
      <c r="U16" s="42" t="n">
        <f aca="false">ROUND(W16/Q16,4)</f>
        <v>0</v>
      </c>
      <c r="W16" s="5" t="n">
        <f aca="false">+CB16+I16</f>
        <v>0</v>
      </c>
      <c r="Y16" s="5" t="n">
        <v>0</v>
      </c>
      <c r="AA16" s="5" t="n">
        <f aca="false">+CF16+M16</f>
        <v>0</v>
      </c>
      <c r="AC16" s="6" t="n">
        <f aca="false">ROUND(AA16/1000,0)</f>
        <v>0</v>
      </c>
      <c r="AE16" s="32"/>
      <c r="AF16" s="32"/>
      <c r="AG16" s="32"/>
      <c r="AH16" s="32"/>
      <c r="AU16" s="29"/>
      <c r="AW16" s="30"/>
      <c r="AY16" s="30"/>
      <c r="BM16" s="31"/>
      <c r="BS16" s="13"/>
      <c r="BU16" s="24" t="s">
        <v>20</v>
      </c>
      <c r="BV16" s="32" t="n">
        <v>6417957</v>
      </c>
      <c r="BX16" s="32" t="n">
        <v>19215</v>
      </c>
      <c r="BZ16" s="32" t="n">
        <v>0</v>
      </c>
      <c r="CB16" s="32" t="n">
        <v>0</v>
      </c>
      <c r="CC16" s="33"/>
      <c r="CD16" s="32" t="n">
        <v>0</v>
      </c>
      <c r="CE16" s="34"/>
      <c r="CF16" s="32" t="n">
        <v>0</v>
      </c>
      <c r="CG16" s="2"/>
      <c r="CH16" s="32" t="n">
        <v>0</v>
      </c>
    </row>
    <row r="17" customFormat="false" ht="12.75" hidden="false" customHeight="false" outlineLevel="0" collapsed="false">
      <c r="A17" s="28"/>
      <c r="C17" s="48"/>
      <c r="E17" s="55"/>
      <c r="G17" s="56"/>
      <c r="I17" s="51"/>
      <c r="J17" s="51"/>
      <c r="K17" s="51"/>
      <c r="L17" s="51"/>
      <c r="M17" s="51"/>
      <c r="O17" s="50"/>
      <c r="Q17" s="55"/>
      <c r="S17" s="35"/>
      <c r="U17" s="56"/>
      <c r="W17" s="51"/>
      <c r="X17" s="51"/>
      <c r="Y17" s="51"/>
      <c r="Z17" s="51"/>
      <c r="AA17" s="51"/>
      <c r="AC17" s="52"/>
      <c r="AE17" s="32"/>
      <c r="AF17" s="32"/>
      <c r="AG17" s="32"/>
      <c r="AH17" s="32"/>
      <c r="AU17" s="29"/>
      <c r="AW17" s="30"/>
      <c r="AY17" s="30"/>
      <c r="BM17" s="31"/>
      <c r="BO17" s="13"/>
      <c r="BS17" s="13"/>
      <c r="BU17" s="28"/>
      <c r="BV17" s="35"/>
      <c r="BX17" s="35"/>
      <c r="BZ17" s="35"/>
      <c r="CB17" s="35"/>
      <c r="CC17" s="33"/>
      <c r="CD17" s="35"/>
      <c r="CE17" s="34"/>
      <c r="CF17" s="35"/>
      <c r="CG17" s="2"/>
      <c r="CH17" s="35"/>
    </row>
    <row r="18" customFormat="false" ht="12.75" hidden="false" customHeight="false" outlineLevel="0" collapsed="false">
      <c r="A18" s="24" t="s">
        <v>21</v>
      </c>
      <c r="C18" s="57" t="n">
        <f aca="false">C15-C16</f>
        <v>0</v>
      </c>
      <c r="E18" s="58" t="n">
        <f aca="false">E15-E16</f>
        <v>1437</v>
      </c>
      <c r="G18" s="59" t="n">
        <f aca="false">G15-G16</f>
        <v>2.3455</v>
      </c>
      <c r="I18" s="60" t="n">
        <f aca="false">I15-I16</f>
        <v>2333320.13</v>
      </c>
      <c r="K18" s="60"/>
      <c r="M18" s="60" t="n">
        <f aca="false">M15-M16</f>
        <v>2333320.13</v>
      </c>
      <c r="O18" s="61" t="n">
        <f aca="false">O15-O16</f>
        <v>2333.32013</v>
      </c>
      <c r="Q18" s="58" t="n">
        <f aca="false">Q15-Q16</f>
        <v>2933095</v>
      </c>
      <c r="S18" s="62" t="n">
        <f aca="false">S15-S16</f>
        <v>8036</v>
      </c>
      <c r="U18" s="59" t="n">
        <f aca="false">U15-U16</f>
        <v>3.4992</v>
      </c>
      <c r="W18" s="60" t="n">
        <f aca="false">W15-W16</f>
        <v>36202543.08</v>
      </c>
      <c r="Y18" s="60"/>
      <c r="AA18" s="60" t="n">
        <f aca="false">AA15-AA16</f>
        <v>36202543.08</v>
      </c>
      <c r="AC18" s="63" t="n">
        <f aca="false">AC15-AC16</f>
        <v>36203</v>
      </c>
      <c r="AE18" s="32"/>
      <c r="AF18" s="32"/>
      <c r="AG18" s="32"/>
      <c r="AH18" s="32"/>
      <c r="AU18" s="29"/>
      <c r="AW18" s="30"/>
      <c r="AY18" s="30"/>
      <c r="BM18" s="31"/>
      <c r="BS18" s="13"/>
      <c r="BU18" s="24" t="s">
        <v>21</v>
      </c>
      <c r="BV18" s="32" t="n">
        <v>2933095</v>
      </c>
      <c r="BX18" s="32" t="n">
        <v>8782</v>
      </c>
      <c r="BZ18" s="32" t="n">
        <v>3.6221</v>
      </c>
      <c r="CB18" s="32" t="n">
        <f aca="false">+CB15-CB16</f>
        <v>33869222.95</v>
      </c>
      <c r="CC18" s="33"/>
      <c r="CD18" s="32"/>
      <c r="CE18" s="34"/>
      <c r="CF18" s="32" t="n">
        <f aca="false">+CF15-CF16</f>
        <v>33869222.95</v>
      </c>
      <c r="CG18" s="2"/>
      <c r="CH18" s="32" t="n">
        <v>31683</v>
      </c>
    </row>
    <row r="19" customFormat="false" ht="12.75" hidden="false" customHeight="false" outlineLevel="0" collapsed="false">
      <c r="A19" s="28"/>
      <c r="C19" s="48"/>
      <c r="E19" s="55"/>
      <c r="G19" s="56"/>
      <c r="I19" s="51"/>
      <c r="J19" s="51"/>
      <c r="K19" s="51"/>
      <c r="L19" s="51"/>
      <c r="M19" s="51"/>
      <c r="O19" s="50"/>
      <c r="Q19" s="55"/>
      <c r="S19" s="35"/>
      <c r="U19" s="56"/>
      <c r="W19" s="51"/>
      <c r="X19" s="51"/>
      <c r="Y19" s="51"/>
      <c r="Z19" s="51"/>
      <c r="AA19" s="51"/>
      <c r="AC19" s="52"/>
      <c r="AE19" s="32"/>
      <c r="AF19" s="32"/>
      <c r="AG19" s="32"/>
      <c r="AH19" s="32"/>
      <c r="AU19" s="29"/>
      <c r="AW19" s="30"/>
      <c r="AY19" s="30"/>
      <c r="BM19" s="31"/>
      <c r="BS19" s="13"/>
      <c r="BU19" s="28"/>
      <c r="BV19" s="35"/>
      <c r="BX19" s="35"/>
      <c r="BZ19" s="35"/>
      <c r="CB19" s="35"/>
      <c r="CC19" s="33"/>
      <c r="CD19" s="35"/>
      <c r="CE19" s="34"/>
      <c r="CF19" s="35"/>
      <c r="CG19" s="2"/>
      <c r="CH19" s="35"/>
    </row>
    <row r="20" customFormat="false" ht="12.75" hidden="false" customHeight="false" outlineLevel="0" collapsed="false">
      <c r="A20" s="28"/>
      <c r="C20" s="40"/>
      <c r="E20" s="41"/>
      <c r="G20" s="42"/>
      <c r="Q20" s="41"/>
      <c r="U20" s="42"/>
      <c r="AE20" s="32"/>
      <c r="AF20" s="32"/>
      <c r="AG20" s="32"/>
      <c r="AH20" s="32"/>
      <c r="AU20" s="29"/>
      <c r="AW20" s="30"/>
      <c r="AY20" s="30"/>
      <c r="BM20" s="31"/>
      <c r="BO20" s="13"/>
      <c r="BS20" s="13"/>
      <c r="BU20" s="28"/>
      <c r="BW20" s="32"/>
      <c r="BY20" s="32"/>
      <c r="CA20" s="32"/>
      <c r="CC20" s="34"/>
      <c r="CE20" s="34"/>
      <c r="CF20" s="0"/>
      <c r="CG20" s="2"/>
    </row>
    <row r="21" customFormat="false" ht="12.75" hidden="false" customHeight="false" outlineLevel="0" collapsed="false">
      <c r="A21" s="24" t="s">
        <v>22</v>
      </c>
      <c r="C21" s="40"/>
      <c r="E21" s="53"/>
      <c r="G21" s="42"/>
      <c r="O21" s="54"/>
      <c r="Q21" s="41"/>
      <c r="U21" s="42"/>
      <c r="AE21" s="32"/>
      <c r="AF21" s="32"/>
      <c r="AG21" s="32"/>
      <c r="AH21" s="32"/>
      <c r="AU21" s="29"/>
      <c r="AW21" s="30"/>
      <c r="AY21" s="30"/>
      <c r="BM21" s="31"/>
      <c r="BO21" s="13"/>
      <c r="BS21" s="13"/>
      <c r="BU21" s="24" t="s">
        <v>22</v>
      </c>
      <c r="BW21" s="32"/>
      <c r="BY21" s="32"/>
      <c r="CA21" s="32"/>
      <c r="CC21" s="34"/>
      <c r="CE21" s="34"/>
      <c r="CF21" s="0"/>
      <c r="CG21" s="2"/>
    </row>
    <row r="22" customFormat="false" ht="12.75" hidden="false" customHeight="false" outlineLevel="0" collapsed="false">
      <c r="A22" s="64" t="str">
        <f aca="false">+TSPT_COT!A12</f>
        <v> </v>
      </c>
      <c r="C22" s="40"/>
      <c r="E22" s="53"/>
      <c r="G22" s="42"/>
      <c r="O22" s="54"/>
      <c r="Q22" s="41"/>
      <c r="U22" s="42"/>
      <c r="AE22" s="32"/>
      <c r="AF22" s="32"/>
      <c r="AG22" s="32"/>
      <c r="AH22" s="32"/>
      <c r="AU22" s="29"/>
      <c r="AW22" s="30"/>
      <c r="AY22" s="30"/>
      <c r="BM22" s="31"/>
      <c r="BO22" s="13"/>
      <c r="BS22" s="13"/>
      <c r="BU22" s="24" t="s">
        <v>23</v>
      </c>
      <c r="BW22" s="32"/>
      <c r="BY22" s="32"/>
      <c r="CA22" s="32"/>
      <c r="CC22" s="34"/>
      <c r="CE22" s="34"/>
      <c r="CF22" s="0"/>
      <c r="CG22" s="2"/>
    </row>
    <row r="23" customFormat="false" ht="12.75" hidden="false" customHeight="false" outlineLevel="0" collapsed="false">
      <c r="A23" s="24" t="str">
        <f aca="false">+TSPT_COT!A13</f>
        <v>   Demand</v>
      </c>
      <c r="C23" s="40" t="n">
        <f aca="false">TSPT_COT!AS13</f>
        <v>8215000</v>
      </c>
      <c r="E23" s="53" t="n">
        <f aca="false">TSPT_COT!AU13</f>
        <v>265000</v>
      </c>
      <c r="G23" s="42" t="n">
        <f aca="false">IF(I23=0,0,I23/C23)</f>
        <v>0.26279622763238</v>
      </c>
      <c r="I23" s="65" t="n">
        <f aca="false">TSPT_COT!AY13</f>
        <v>2158871.01</v>
      </c>
      <c r="K23" s="65" t="n">
        <f aca="false">TSPT_COT!BA13</f>
        <v>63100.5</v>
      </c>
      <c r="M23" s="65" t="n">
        <f aca="false">TSPT_COT!BC13</f>
        <v>2221971.51</v>
      </c>
      <c r="O23" s="54" t="n">
        <f aca="false">TSPT_COT!BE13</f>
        <v>2222</v>
      </c>
      <c r="Q23" s="41" t="n">
        <f aca="false">+C23+BV23</f>
        <v>95175000</v>
      </c>
      <c r="S23" s="32" t="n">
        <f aca="false">ROUND(Q23/SLS_COS!$AZ$3,0)</f>
        <v>260753</v>
      </c>
      <c r="U23" s="42" t="n">
        <f aca="false">IF(W23=0,0,W23/Q23)</f>
        <v>0.249966231258209</v>
      </c>
      <c r="W23" s="5" t="n">
        <f aca="false">+I23+CB23</f>
        <v>23790536.06</v>
      </c>
      <c r="Y23" s="5" t="n">
        <f aca="false">+K23+CD23</f>
        <v>5091955.08</v>
      </c>
      <c r="AA23" s="5" t="n">
        <f aca="false">+M23+CF23</f>
        <v>28882491.14</v>
      </c>
      <c r="AC23" s="6" t="n">
        <f aca="false">ROUND(AA23/1000,0)</f>
        <v>28882</v>
      </c>
      <c r="AE23" s="32"/>
      <c r="AF23" s="32"/>
      <c r="AG23" s="32"/>
      <c r="AH23" s="32"/>
      <c r="AU23" s="29"/>
      <c r="AW23" s="30"/>
      <c r="AY23" s="30"/>
      <c r="BM23" s="31"/>
      <c r="BO23" s="13"/>
      <c r="BS23" s="13"/>
      <c r="BU23" s="24" t="s">
        <v>24</v>
      </c>
      <c r="BV23" s="0" t="n">
        <v>86960000</v>
      </c>
      <c r="BW23" s="32"/>
      <c r="BX23" s="0" t="n">
        <v>272934</v>
      </c>
      <c r="BY23" s="32"/>
      <c r="BZ23" s="0" t="n">
        <v>0.237280677161036</v>
      </c>
      <c r="CA23" s="32"/>
      <c r="CB23" s="0" t="n">
        <f aca="false">21630506.53+1158.52</f>
        <v>21631665.05</v>
      </c>
      <c r="CC23" s="34"/>
      <c r="CD23" s="0" t="n">
        <v>5028854.58</v>
      </c>
      <c r="CE23" s="34"/>
      <c r="CF23" s="0" t="n">
        <f aca="false">26659361.11+1158.52</f>
        <v>26660519.63</v>
      </c>
      <c r="CG23" s="2"/>
      <c r="CH23" s="0" t="n">
        <v>24552</v>
      </c>
    </row>
    <row r="24" customFormat="false" ht="12.75" hidden="false" customHeight="false" outlineLevel="0" collapsed="false">
      <c r="A24" s="24" t="str">
        <f aca="false">+TSPT_COT!A14</f>
        <v>   FT-Thoreau</v>
      </c>
      <c r="C24" s="40" t="n">
        <f aca="false">TSPT_COT!AS14</f>
        <v>13864544</v>
      </c>
      <c r="E24" s="53" t="n">
        <f aca="false">TSPT_COT!AU14</f>
        <v>447243</v>
      </c>
      <c r="G24" s="42" t="n">
        <f aca="false">IF(I24=0,0,I24/C24)</f>
        <v>0.0198290120468441</v>
      </c>
      <c r="I24" s="65" t="n">
        <f aca="false">TSPT_COT!AY14</f>
        <v>274920.21</v>
      </c>
      <c r="K24" s="65" t="n">
        <f aca="false">TSPT_COT!BA14</f>
        <v>121851.68</v>
      </c>
      <c r="M24" s="65" t="n">
        <f aca="false">TSPT_COT!BC14</f>
        <v>396771.89</v>
      </c>
      <c r="O24" s="54" t="n">
        <f aca="false">TSPT_COT!BE14</f>
        <v>397</v>
      </c>
      <c r="Q24" s="41" t="n">
        <f aca="false">+C24+BV24</f>
        <v>131956524</v>
      </c>
      <c r="S24" s="32" t="n">
        <f aca="false">ROUND(Q24/SLS_COS!$AZ$3,0)</f>
        <v>361525</v>
      </c>
      <c r="U24" s="42" t="n">
        <f aca="false">IF(W24=0,0,W24/Q24)</f>
        <v>0.0194413552451564</v>
      </c>
      <c r="W24" s="5" t="n">
        <f aca="false">+I24+CB24</f>
        <v>2565413.66</v>
      </c>
      <c r="Y24" s="5" t="n">
        <f aca="false">+K24+CD24</f>
        <v>1145119.3</v>
      </c>
      <c r="AA24" s="5" t="n">
        <f aca="false">+M24+CF24</f>
        <v>3710532.96</v>
      </c>
      <c r="AC24" s="6" t="n">
        <f aca="false">ROUND(AA24/1000,0)</f>
        <v>3711</v>
      </c>
      <c r="AE24" s="32"/>
      <c r="AF24" s="32"/>
      <c r="AG24" s="32"/>
      <c r="AH24" s="32"/>
      <c r="AU24" s="29"/>
      <c r="AW24" s="30"/>
      <c r="AY24" s="30"/>
      <c r="BM24" s="31"/>
      <c r="BO24" s="13"/>
      <c r="BS24" s="13"/>
      <c r="BU24" s="24" t="s">
        <v>25</v>
      </c>
      <c r="BV24" s="0" t="n">
        <f aca="false">118092980-1000</f>
        <v>118091980</v>
      </c>
      <c r="BW24" s="32"/>
      <c r="BX24" s="0" t="n">
        <f aca="false">340997-1000</f>
        <v>339997</v>
      </c>
      <c r="BY24" s="32"/>
      <c r="BZ24" s="0" t="n">
        <v>0.0201109273811257</v>
      </c>
      <c r="CA24" s="32"/>
      <c r="CB24" s="0" t="n">
        <v>2290493.45</v>
      </c>
      <c r="CC24" s="34"/>
      <c r="CD24" s="0" t="n">
        <v>1023267.62</v>
      </c>
      <c r="CE24" s="34"/>
      <c r="CF24" s="0" t="n">
        <v>3313761.07</v>
      </c>
      <c r="CG24" s="2"/>
      <c r="CH24" s="0" t="n">
        <v>2949</v>
      </c>
    </row>
    <row r="25" customFormat="false" ht="12.75" hidden="false" customHeight="false" outlineLevel="0" collapsed="false">
      <c r="A25" s="24" t="str">
        <f aca="false">+TSPT_COT!A15</f>
        <v>   FR-Thoreau</v>
      </c>
      <c r="C25" s="40" t="n">
        <f aca="false">TSPT_COT!AS15</f>
        <v>0</v>
      </c>
      <c r="E25" s="53" t="n">
        <f aca="false">TSPT_COT!AU15</f>
        <v>0</v>
      </c>
      <c r="G25" s="42" t="n">
        <f aca="false">IF(I25=0,0,I25/C25)</f>
        <v>0</v>
      </c>
      <c r="I25" s="65" t="n">
        <f aca="false">TSPT_COT!AY15</f>
        <v>0</v>
      </c>
      <c r="K25" s="65" t="n">
        <f aca="false">TSPT_COT!BA15</f>
        <v>0</v>
      </c>
      <c r="M25" s="65" t="n">
        <f aca="false">TSPT_COT!BC15</f>
        <v>0</v>
      </c>
      <c r="O25" s="54" t="n">
        <f aca="false">TSPT_COT!BE15</f>
        <v>0</v>
      </c>
      <c r="Q25" s="41" t="n">
        <f aca="false">+C25+BV25</f>
        <v>25474999</v>
      </c>
      <c r="S25" s="32" t="n">
        <f aca="false">ROUND(Q25/SLS_COS!$AZ$3,0)</f>
        <v>69795</v>
      </c>
      <c r="U25" s="42" t="n">
        <f aca="false">IF(W25=0,0,W25/Q25)</f>
        <v>0.0171596010661276</v>
      </c>
      <c r="W25" s="5" t="n">
        <f aca="false">+I25+CB25</f>
        <v>437140.82</v>
      </c>
      <c r="Y25" s="5" t="n">
        <f aca="false">+K25+CD25</f>
        <v>195039.54</v>
      </c>
      <c r="AA25" s="5" t="n">
        <f aca="false">+M25+CF25</f>
        <v>632180.36</v>
      </c>
      <c r="AC25" s="6" t="n">
        <f aca="false">ROUND(AA25/1000,0)</f>
        <v>632</v>
      </c>
      <c r="AE25" s="32"/>
      <c r="AF25" s="32"/>
      <c r="AG25" s="32"/>
      <c r="AH25" s="32"/>
      <c r="AU25" s="29"/>
      <c r="AW25" s="30"/>
      <c r="AY25" s="30"/>
      <c r="BM25" s="31"/>
      <c r="BO25" s="13"/>
      <c r="BS25" s="13"/>
      <c r="BU25" s="24" t="s">
        <v>26</v>
      </c>
      <c r="BV25" s="0" t="n">
        <v>25474999</v>
      </c>
      <c r="BW25" s="32"/>
      <c r="BX25" s="0" t="n">
        <v>76272</v>
      </c>
      <c r="BY25" s="32"/>
      <c r="BZ25" s="0" t="n">
        <v>0.0171596010661276</v>
      </c>
      <c r="CA25" s="32"/>
      <c r="CB25" s="0" t="n">
        <v>437140.82</v>
      </c>
      <c r="CC25" s="34"/>
      <c r="CD25" s="0" t="n">
        <v>195039.54</v>
      </c>
      <c r="CE25" s="34"/>
      <c r="CF25" s="0" t="n">
        <v>632180.36</v>
      </c>
      <c r="CG25" s="2"/>
      <c r="CH25" s="0" t="n">
        <v>625</v>
      </c>
    </row>
    <row r="26" customFormat="false" ht="12.75" hidden="false" customHeight="false" outlineLevel="0" collapsed="false">
      <c r="A26" s="24" t="str">
        <f aca="false">+TSPT_COT!A16</f>
        <v>   LFT-Thoreau</v>
      </c>
      <c r="C26" s="40" t="n">
        <f aca="false">TSPT_COT!AS16</f>
        <v>0</v>
      </c>
      <c r="E26" s="53" t="n">
        <f aca="false">TSPT_COT!AU16</f>
        <v>0</v>
      </c>
      <c r="G26" s="42" t="n">
        <f aca="false">IF(I26=0,0,I26/C26)</f>
        <v>0</v>
      </c>
      <c r="I26" s="65" t="n">
        <f aca="false">TSPT_COT!AY16</f>
        <v>0</v>
      </c>
      <c r="K26" s="65" t="n">
        <f aca="false">TSPT_COT!BA16</f>
        <v>0</v>
      </c>
      <c r="M26" s="65" t="n">
        <f aca="false">TSPT_COT!BC16</f>
        <v>0</v>
      </c>
      <c r="O26" s="54" t="n">
        <f aca="false">TSPT_COT!BE16</f>
        <v>0</v>
      </c>
      <c r="Q26" s="41" t="n">
        <f aca="false">+C26+BV26</f>
        <v>0</v>
      </c>
      <c r="S26" s="32" t="n">
        <f aca="false">ROUND(Q26/SLS_COS!$AZ$3,0)</f>
        <v>0</v>
      </c>
      <c r="U26" s="42" t="n">
        <f aca="false">IF(W26=0,0,W26/Q26)</f>
        <v>0</v>
      </c>
      <c r="W26" s="5" t="n">
        <f aca="false">+I26+CB26</f>
        <v>0</v>
      </c>
      <c r="Y26" s="5" t="n">
        <f aca="false">+K26+CD26</f>
        <v>0</v>
      </c>
      <c r="AA26" s="5" t="n">
        <f aca="false">+M26+CF26</f>
        <v>0</v>
      </c>
      <c r="AC26" s="6" t="n">
        <f aca="false">ROUND(AA26/1000,0)</f>
        <v>0</v>
      </c>
      <c r="AE26" s="32"/>
      <c r="AF26" s="32"/>
      <c r="AG26" s="32"/>
      <c r="AH26" s="32"/>
      <c r="AU26" s="29"/>
      <c r="AW26" s="30"/>
      <c r="AY26" s="30"/>
      <c r="BM26" s="31"/>
      <c r="BO26" s="13"/>
      <c r="BS26" s="13"/>
      <c r="BU26" s="24"/>
      <c r="BV26" s="0" t="n">
        <v>0</v>
      </c>
      <c r="BW26" s="32"/>
      <c r="BX26" s="0" t="n">
        <v>0</v>
      </c>
      <c r="BY26" s="32"/>
      <c r="BZ26" s="0" t="n">
        <v>0</v>
      </c>
      <c r="CA26" s="32"/>
      <c r="CB26" s="0" t="n">
        <v>0</v>
      </c>
      <c r="CC26" s="34"/>
      <c r="CD26" s="0" t="n">
        <v>0</v>
      </c>
      <c r="CE26" s="34"/>
      <c r="CF26" s="0" t="n">
        <v>0</v>
      </c>
      <c r="CG26" s="2"/>
      <c r="CH26" s="0" t="n">
        <v>0</v>
      </c>
    </row>
    <row r="27" customFormat="false" ht="12.75" hidden="false" customHeight="false" outlineLevel="0" collapsed="false">
      <c r="A27" s="24" t="str">
        <f aca="false">+TSPT_COT!A17</f>
        <v>   IT-Thoreau</v>
      </c>
      <c r="C27" s="40" t="n">
        <f aca="false">TSPT_COT!AS17</f>
        <v>0</v>
      </c>
      <c r="E27" s="66" t="n">
        <f aca="false">TSPT_COT!AU17</f>
        <v>0</v>
      </c>
      <c r="G27" s="42" t="n">
        <f aca="false">IF(I27=0,0,I27/C27)</f>
        <v>0</v>
      </c>
      <c r="I27" s="67" t="n">
        <f aca="false">TSPT_COT!AY17</f>
        <v>0</v>
      </c>
      <c r="K27" s="67" t="n">
        <f aca="false">TSPT_COT!BA17</f>
        <v>0</v>
      </c>
      <c r="M27" s="67" t="n">
        <f aca="false">TSPT_COT!BC17</f>
        <v>0</v>
      </c>
      <c r="O27" s="68" t="n">
        <f aca="false">TSPT_COT!BE17</f>
        <v>0</v>
      </c>
      <c r="Q27" s="41" t="n">
        <f aca="false">+C27+BV27</f>
        <v>63906</v>
      </c>
      <c r="S27" s="32" t="n">
        <f aca="false">ROUND(Q27/SLS_COS!$AZ$3,0)</f>
        <v>175</v>
      </c>
      <c r="U27" s="42" t="n">
        <f aca="false">IF(W27=0,0,W27/Q27)</f>
        <v>-0.00687275060244734</v>
      </c>
      <c r="W27" s="5" t="n">
        <f aca="false">+I27+CB27</f>
        <v>-439.21</v>
      </c>
      <c r="Y27" s="5" t="n">
        <f aca="false">+K27+CD27</f>
        <v>140.22</v>
      </c>
      <c r="AA27" s="5" t="n">
        <f aca="false">+M27+CF27</f>
        <v>-298.99</v>
      </c>
      <c r="AC27" s="6" t="n">
        <f aca="false">ROUND(AA27/1000,0)</f>
        <v>-0</v>
      </c>
      <c r="AE27" s="32"/>
      <c r="AF27" s="32"/>
      <c r="AG27" s="32"/>
      <c r="AH27" s="32"/>
      <c r="AU27" s="29"/>
      <c r="AW27" s="30"/>
      <c r="AY27" s="30"/>
      <c r="BM27" s="31"/>
      <c r="BO27" s="13"/>
      <c r="BS27" s="13"/>
      <c r="BU27" s="24" t="s">
        <v>27</v>
      </c>
      <c r="BV27" s="0" t="n">
        <v>63906</v>
      </c>
      <c r="BW27" s="32"/>
      <c r="BX27" s="0" t="n">
        <v>191</v>
      </c>
      <c r="BY27" s="32"/>
      <c r="BZ27" s="0" t="n">
        <v>-0.00687275060244734</v>
      </c>
      <c r="CA27" s="32"/>
      <c r="CB27" s="0" t="n">
        <v>-439.21</v>
      </c>
      <c r="CC27" s="34"/>
      <c r="CD27" s="0" t="n">
        <v>140.22</v>
      </c>
      <c r="CE27" s="34"/>
      <c r="CF27" s="0" t="n">
        <v>-298.99</v>
      </c>
      <c r="CG27" s="2"/>
      <c r="CH27" s="0" t="n">
        <v>0</v>
      </c>
    </row>
    <row r="28" customFormat="false" ht="12.75" hidden="false" customHeight="false" outlineLevel="0" collapsed="false">
      <c r="A28" s="64" t="str">
        <f aca="false">+TSPT_COT!A18</f>
        <v>     Sub-Total</v>
      </c>
      <c r="B28" s="69"/>
      <c r="C28" s="70" t="n">
        <f aca="false">TSPT_COT!AS18</f>
        <v>13864544</v>
      </c>
      <c r="E28" s="53" t="n">
        <f aca="false">TSPT_COT!AU18</f>
        <v>447243</v>
      </c>
      <c r="G28" s="71" t="n">
        <f aca="false">IF(I28=0,0,I28/C28)</f>
        <v>0.175540661128127</v>
      </c>
      <c r="I28" s="65" t="n">
        <f aca="false">TSPT_COT!AY18</f>
        <v>2433791.22</v>
      </c>
      <c r="K28" s="65" t="n">
        <f aca="false">TSPT_COT!BA18</f>
        <v>184952.18</v>
      </c>
      <c r="M28" s="65" t="n">
        <f aca="false">TSPT_COT!BC18</f>
        <v>2618743.4</v>
      </c>
      <c r="O28" s="54" t="n">
        <f aca="false">TSPT_COT!BE18</f>
        <v>2619</v>
      </c>
      <c r="P28" s="69"/>
      <c r="Q28" s="72" t="n">
        <f aca="false">SUM(Q24:Q27)</f>
        <v>157495429</v>
      </c>
      <c r="R28" s="69"/>
      <c r="S28" s="72" t="n">
        <f aca="false">SUM(S24:S27)</f>
        <v>431495</v>
      </c>
      <c r="T28" s="69"/>
      <c r="U28" s="71" t="n">
        <f aca="false">IF(W28=0,0,W28/Q28)</f>
        <v>0.17011700911015</v>
      </c>
      <c r="V28" s="69"/>
      <c r="W28" s="73" t="n">
        <f aca="false">SUM(W23:W27)</f>
        <v>26792651.33</v>
      </c>
      <c r="X28" s="74"/>
      <c r="Y28" s="73" t="n">
        <f aca="false">SUM(Y23:Y27)</f>
        <v>6432254.14</v>
      </c>
      <c r="Z28" s="74"/>
      <c r="AA28" s="73" t="n">
        <f aca="false">SUM(AA23:AA27)</f>
        <v>33224905.47</v>
      </c>
      <c r="AB28" s="69"/>
      <c r="AC28" s="75" t="n">
        <f aca="false">SUM(AC23:AC27)</f>
        <v>33225</v>
      </c>
      <c r="AD28" s="69"/>
      <c r="AE28" s="76"/>
      <c r="AF28" s="76"/>
      <c r="AG28" s="76"/>
      <c r="AH28" s="76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77"/>
      <c r="AV28" s="69"/>
      <c r="AW28" s="78"/>
      <c r="AX28" s="69"/>
      <c r="AY28" s="78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79"/>
      <c r="BN28" s="69"/>
      <c r="BO28" s="64"/>
      <c r="BP28" s="69"/>
      <c r="BQ28" s="69"/>
      <c r="BR28" s="69"/>
      <c r="BS28" s="64"/>
      <c r="BT28" s="69"/>
      <c r="BU28" s="64" t="s">
        <v>28</v>
      </c>
      <c r="BV28" s="0" t="n">
        <f aca="false">SUM(BV23:BV27)</f>
        <v>230590885</v>
      </c>
      <c r="BW28" s="76"/>
      <c r="BX28" s="0" t="n">
        <f aca="false">SUM(BX23:BX27)</f>
        <v>689394</v>
      </c>
      <c r="BY28" s="76"/>
      <c r="BZ28" s="0" t="n">
        <v>0.174692478624957</v>
      </c>
      <c r="CA28" s="76"/>
      <c r="CB28" s="0" t="n">
        <f aca="false">SUM(CB23:CB27)</f>
        <v>24358860.11</v>
      </c>
      <c r="CC28" s="80"/>
      <c r="CD28" s="0" t="n">
        <v>6247301.96</v>
      </c>
      <c r="CE28" s="80"/>
      <c r="CF28" s="0" t="n">
        <f aca="false">SUM(CF23:CF27)</f>
        <v>30606162.07</v>
      </c>
      <c r="CG28" s="81"/>
      <c r="CH28" s="0" t="n">
        <v>28126</v>
      </c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</row>
    <row r="29" customFormat="false" ht="12.75" hidden="false" customHeight="false" outlineLevel="0" collapsed="false">
      <c r="A29" s="24"/>
      <c r="C29" s="40"/>
      <c r="E29" s="53"/>
      <c r="G29" s="42"/>
      <c r="O29" s="54"/>
      <c r="Q29" s="41"/>
      <c r="S29" s="32"/>
      <c r="U29" s="42"/>
      <c r="AE29" s="32"/>
      <c r="AF29" s="32"/>
      <c r="AG29" s="32"/>
      <c r="AH29" s="32"/>
      <c r="AU29" s="29"/>
      <c r="AW29" s="30"/>
      <c r="AY29" s="30"/>
      <c r="BM29" s="31"/>
      <c r="BO29" s="13"/>
      <c r="BS29" s="13"/>
      <c r="BU29" s="24"/>
      <c r="BW29" s="32"/>
      <c r="BY29" s="32"/>
      <c r="CA29" s="32"/>
      <c r="CC29" s="34"/>
      <c r="CE29" s="34"/>
      <c r="CF29" s="0"/>
      <c r="CG29" s="2"/>
    </row>
    <row r="30" customFormat="false" ht="12.75" hidden="false" customHeight="false" outlineLevel="0" collapsed="false">
      <c r="A30" s="24" t="str">
        <f aca="false">+TSPT_COT!A20</f>
        <v>   Demand</v>
      </c>
      <c r="C30" s="40" t="n">
        <f aca="false">TSPT_COT!AS20</f>
        <v>17345623</v>
      </c>
      <c r="E30" s="53" t="n">
        <f aca="false">TSPT_COT!AU20</f>
        <v>559536</v>
      </c>
      <c r="G30" s="42" t="n">
        <f aca="false">IF(I30=0,0,I30/C30)</f>
        <v>0.247536751490563</v>
      </c>
      <c r="I30" s="65" t="n">
        <f aca="false">TSPT_COT!AY20</f>
        <v>4293679.17</v>
      </c>
      <c r="K30" s="65" t="n">
        <f aca="false">TSPT_COT!BA20</f>
        <v>86080.8</v>
      </c>
      <c r="M30" s="65" t="n">
        <f aca="false">TSPT_COT!BC20</f>
        <v>4379759.97</v>
      </c>
      <c r="O30" s="54" t="n">
        <f aca="false">TSPT_COT!BE20</f>
        <v>4380</v>
      </c>
      <c r="Q30" s="41" t="n">
        <f aca="false">+C30+BV30</f>
        <v>212657121</v>
      </c>
      <c r="S30" s="32" t="n">
        <f aca="false">ROUND(Q30/SLS_COS!$AZ$3,0)</f>
        <v>582622</v>
      </c>
      <c r="U30" s="42" t="n">
        <f aca="false">IF(W30=0,0,W30/Q30)</f>
        <v>0.230105134452563</v>
      </c>
      <c r="W30" s="5" t="n">
        <f aca="false">+I30+CB30</f>
        <v>48933495.42</v>
      </c>
      <c r="Y30" s="5" t="n">
        <f aca="false">+K30+CD30</f>
        <v>7405742.85</v>
      </c>
      <c r="AA30" s="5" t="n">
        <f aca="false">+M30+CF30</f>
        <v>56339238.27</v>
      </c>
      <c r="AC30" s="6" t="n">
        <f aca="false">ROUND(AA30/1000,0)</f>
        <v>56339</v>
      </c>
      <c r="AE30" s="32"/>
      <c r="AF30" s="32"/>
      <c r="AG30" s="32"/>
      <c r="AH30" s="32"/>
      <c r="AU30" s="29"/>
      <c r="AW30" s="30"/>
      <c r="AY30" s="30"/>
      <c r="BM30" s="31"/>
      <c r="BO30" s="13"/>
      <c r="BS30" s="13"/>
      <c r="BU30" s="24" t="s">
        <v>24</v>
      </c>
      <c r="BV30" s="0" t="n">
        <v>195311498</v>
      </c>
      <c r="BW30" s="32"/>
      <c r="BX30" s="0" t="n">
        <v>584765</v>
      </c>
      <c r="BY30" s="32"/>
      <c r="BZ30" s="0" t="n">
        <v>0.228557031752427</v>
      </c>
      <c r="CA30" s="32"/>
      <c r="CB30" s="0" t="n">
        <v>44639816.25</v>
      </c>
      <c r="CC30" s="34"/>
      <c r="CD30" s="0" t="n">
        <v>7319662.05</v>
      </c>
      <c r="CE30" s="34"/>
      <c r="CF30" s="0" t="n">
        <v>51959478.3</v>
      </c>
      <c r="CG30" s="2"/>
      <c r="CH30" s="0" t="n">
        <v>47709</v>
      </c>
    </row>
    <row r="31" customFormat="false" ht="12.75" hidden="false" customHeight="false" outlineLevel="0" collapsed="false">
      <c r="A31" s="24" t="str">
        <f aca="false">+TSPT_COT!A21</f>
        <v>   FT-East of Thoreau</v>
      </c>
      <c r="C31" s="40" t="n">
        <f aca="false">TSPT_COT!AS21</f>
        <v>9896509</v>
      </c>
      <c r="E31" s="53" t="n">
        <f aca="false">TSPT_COT!AU21</f>
        <v>319246</v>
      </c>
      <c r="G31" s="42" t="n">
        <f aca="false">IF(I31=0,0,I31/C31)</f>
        <v>0.0229676333341383</v>
      </c>
      <c r="I31" s="65" t="n">
        <f aca="false">TSPT_COT!AY21</f>
        <v>227299.39</v>
      </c>
      <c r="K31" s="65" t="n">
        <f aca="false">TSPT_COT!BA21</f>
        <v>47792.44</v>
      </c>
      <c r="M31" s="65" t="n">
        <f aca="false">TSPT_COT!BC21</f>
        <v>275091.83</v>
      </c>
      <c r="O31" s="54" t="n">
        <f aca="false">TSPT_COT!BE21</f>
        <v>275</v>
      </c>
      <c r="Q31" s="41" t="n">
        <f aca="false">+C31+BV31</f>
        <v>124530661</v>
      </c>
      <c r="S31" s="32" t="n">
        <f aca="false">ROUND(Q31/SLS_COS!$AZ$3,0)</f>
        <v>341180</v>
      </c>
      <c r="U31" s="42" t="n">
        <f aca="false">IF(W31=0,0,W31/Q31)</f>
        <v>0.0227592021694962</v>
      </c>
      <c r="W31" s="5" t="n">
        <f aca="false">+I31+CB31</f>
        <v>2834218.49</v>
      </c>
      <c r="Y31" s="5" t="n">
        <f aca="false">+K31+CD31</f>
        <v>588580.43</v>
      </c>
      <c r="AA31" s="5" t="n">
        <f aca="false">+M31+CF31</f>
        <v>3422798.92</v>
      </c>
      <c r="AC31" s="6" t="n">
        <f aca="false">ROUND(AA31/1000,0)</f>
        <v>3423</v>
      </c>
      <c r="AE31" s="32"/>
      <c r="AF31" s="32"/>
      <c r="AG31" s="32"/>
      <c r="AH31" s="32"/>
      <c r="AU31" s="29"/>
      <c r="AW31" s="30"/>
      <c r="AY31" s="30"/>
      <c r="BM31" s="31"/>
      <c r="BO31" s="13"/>
      <c r="BS31" s="13"/>
      <c r="BU31" s="24" t="s">
        <v>29</v>
      </c>
      <c r="BV31" s="0" t="n">
        <v>114634152</v>
      </c>
      <c r="BW31" s="32"/>
      <c r="BX31" s="0" t="n">
        <v>343216</v>
      </c>
      <c r="BY31" s="32"/>
      <c r="BZ31" s="0" t="n">
        <v>0.022741208047668</v>
      </c>
      <c r="CA31" s="32"/>
      <c r="CB31" s="0" t="n">
        <v>2606919.1</v>
      </c>
      <c r="CC31" s="34"/>
      <c r="CD31" s="0" t="n">
        <v>540787.99</v>
      </c>
      <c r="CE31" s="34"/>
      <c r="CF31" s="0" t="n">
        <v>3147707.09</v>
      </c>
      <c r="CG31" s="2"/>
      <c r="CH31" s="0" t="n">
        <v>2941</v>
      </c>
    </row>
    <row r="32" customFormat="false" ht="12.75" hidden="false" customHeight="false" outlineLevel="0" collapsed="false">
      <c r="A32" s="24" t="str">
        <f aca="false">+TSPT_COT!A22</f>
        <v>   FR-East of Thoreau</v>
      </c>
      <c r="C32" s="40" t="n">
        <f aca="false">TSPT_COT!AS22</f>
        <v>66504</v>
      </c>
      <c r="E32" s="53" t="n">
        <f aca="false">TSPT_COT!AU22</f>
        <v>2145</v>
      </c>
      <c r="G32" s="42" t="n">
        <f aca="false">IF(I32=0,0,I32/C32)</f>
        <v>0.0243000421027307</v>
      </c>
      <c r="I32" s="65" t="n">
        <f aca="false">TSPT_COT!AY22</f>
        <v>1616.05</v>
      </c>
      <c r="K32" s="65" t="n">
        <f aca="false">TSPT_COT!BA22</f>
        <v>605.19</v>
      </c>
      <c r="M32" s="65" t="n">
        <f aca="false">TSPT_COT!BC22</f>
        <v>2221.24</v>
      </c>
      <c r="O32" s="54" t="n">
        <f aca="false">TSPT_COT!BE22</f>
        <v>2</v>
      </c>
      <c r="Q32" s="41" t="n">
        <f aca="false">+C32+BV32</f>
        <v>2224429</v>
      </c>
      <c r="S32" s="32" t="n">
        <f aca="false">ROUND(Q32/SLS_COS!$AZ$3,0)</f>
        <v>6094</v>
      </c>
      <c r="U32" s="42" t="n">
        <f aca="false">IF(W32=0,0,W32/Q32)</f>
        <v>0.0246957893463896</v>
      </c>
      <c r="W32" s="5" t="n">
        <f aca="false">+I32+CB32</f>
        <v>54934.03</v>
      </c>
      <c r="Y32" s="5" t="n">
        <f aca="false">+K32+CD32</f>
        <v>18514.27</v>
      </c>
      <c r="AA32" s="5" t="n">
        <f aca="false">+M32+CF32</f>
        <v>73448.3</v>
      </c>
      <c r="AC32" s="6" t="n">
        <f aca="false">ROUND(AA32/1000,0)</f>
        <v>73</v>
      </c>
      <c r="AE32" s="32"/>
      <c r="AF32" s="32"/>
      <c r="AG32" s="32"/>
      <c r="AH32" s="32"/>
      <c r="AU32" s="29"/>
      <c r="AW32" s="30"/>
      <c r="AY32" s="30"/>
      <c r="BM32" s="31"/>
      <c r="BO32" s="13"/>
      <c r="BS32" s="13"/>
      <c r="BU32" s="24" t="s">
        <v>30</v>
      </c>
      <c r="BV32" s="0" t="n">
        <v>2157925</v>
      </c>
      <c r="BW32" s="32"/>
      <c r="BX32" s="0" t="n">
        <v>6461</v>
      </c>
      <c r="BY32" s="32"/>
      <c r="BZ32" s="0" t="n">
        <v>0.0247079856806886</v>
      </c>
      <c r="CA32" s="32"/>
      <c r="CB32" s="0" t="n">
        <v>53317.98</v>
      </c>
      <c r="CC32" s="34"/>
      <c r="CD32" s="0" t="n">
        <v>17909.08</v>
      </c>
      <c r="CE32" s="34"/>
      <c r="CF32" s="0" t="n">
        <v>71227.06</v>
      </c>
      <c r="CG32" s="2"/>
      <c r="CH32" s="0" t="n">
        <v>67</v>
      </c>
    </row>
    <row r="33" customFormat="false" ht="12.75" hidden="false" customHeight="false" outlineLevel="0" collapsed="false">
      <c r="A33" s="24" t="str">
        <f aca="false">+TSPT_COT!A23</f>
        <v>   LFT-East of Thoreau</v>
      </c>
      <c r="C33" s="40" t="n">
        <f aca="false">TSPT_COT!AS23</f>
        <v>0</v>
      </c>
      <c r="E33" s="53" t="n">
        <f aca="false">TSPT_COT!AU23</f>
        <v>0</v>
      </c>
      <c r="G33" s="42" t="n">
        <f aca="false">IF(I33=0,0,I33/C33)</f>
        <v>0</v>
      </c>
      <c r="I33" s="65" t="n">
        <f aca="false">TSPT_COT!AY23</f>
        <v>0</v>
      </c>
      <c r="K33" s="65" t="n">
        <f aca="false">TSPT_COT!BA23</f>
        <v>0</v>
      </c>
      <c r="M33" s="65" t="n">
        <f aca="false">TSPT_COT!BC23</f>
        <v>0</v>
      </c>
      <c r="O33" s="54" t="n">
        <f aca="false">TSPT_COT!BE23</f>
        <v>0</v>
      </c>
      <c r="Q33" s="41" t="n">
        <f aca="false">+C33+BV33</f>
        <v>1470944</v>
      </c>
      <c r="S33" s="32" t="n">
        <f aca="false">ROUND(Q33/SLS_COS!$AZ$3,0)</f>
        <v>4030</v>
      </c>
      <c r="U33" s="42" t="n">
        <f aca="false">IF(W33=0,0,W33/Q33)</f>
        <v>0.0304358017708356</v>
      </c>
      <c r="W33" s="5" t="n">
        <f aca="false">+I33+CB33</f>
        <v>44769.36</v>
      </c>
      <c r="Y33" s="5" t="n">
        <f aca="false">+K33+CD33</f>
        <v>1712.48</v>
      </c>
      <c r="AA33" s="5" t="n">
        <f aca="false">+M33+CF33</f>
        <v>46481.84</v>
      </c>
      <c r="AC33" s="6" t="n">
        <f aca="false">ROUND(AA33/1000,0)</f>
        <v>46</v>
      </c>
      <c r="AE33" s="32"/>
      <c r="AF33" s="32"/>
      <c r="AG33" s="32"/>
      <c r="AH33" s="32"/>
      <c r="AU33" s="29"/>
      <c r="AW33" s="30"/>
      <c r="AY33" s="30"/>
      <c r="BM33" s="31"/>
      <c r="BO33" s="13"/>
      <c r="BS33" s="13"/>
      <c r="BU33" s="24"/>
      <c r="BV33" s="0" t="n">
        <v>1470944</v>
      </c>
      <c r="BW33" s="32"/>
      <c r="BX33" s="0" t="n">
        <v>4404</v>
      </c>
      <c r="BY33" s="32"/>
      <c r="BZ33" s="0" t="n">
        <v>0.0304358017708356</v>
      </c>
      <c r="CA33" s="32"/>
      <c r="CB33" s="0" t="n">
        <v>44769.36</v>
      </c>
      <c r="CC33" s="34"/>
      <c r="CD33" s="0" t="n">
        <v>1712.48</v>
      </c>
      <c r="CE33" s="34"/>
      <c r="CF33" s="0" t="n">
        <v>46481.84</v>
      </c>
      <c r="CG33" s="2"/>
      <c r="CH33" s="0" t="n">
        <v>46</v>
      </c>
    </row>
    <row r="34" customFormat="false" ht="12.75" hidden="false" customHeight="false" outlineLevel="0" collapsed="false">
      <c r="A34" s="24" t="str">
        <f aca="false">+TSPT_COT!A24</f>
        <v>   IT-East of Thoreau</v>
      </c>
      <c r="C34" s="40" t="n">
        <f aca="false">TSPT_COT!AS24</f>
        <v>0</v>
      </c>
      <c r="E34" s="53" t="n">
        <f aca="false">TSPT_COT!AU24</f>
        <v>0</v>
      </c>
      <c r="G34" s="42" t="n">
        <f aca="false">IF(I34=0,0,I34/C34)</f>
        <v>0</v>
      </c>
      <c r="I34" s="65" t="n">
        <f aca="false">TSPT_COT!AY24</f>
        <v>0</v>
      </c>
      <c r="K34" s="65" t="n">
        <f aca="false">TSPT_COT!BA24</f>
        <v>0</v>
      </c>
      <c r="M34" s="65" t="n">
        <f aca="false">TSPT_COT!BC24</f>
        <v>0</v>
      </c>
      <c r="O34" s="54" t="n">
        <f aca="false">TSPT_COT!BE24</f>
        <v>0</v>
      </c>
      <c r="Q34" s="41" t="n">
        <f aca="false">+C34+BV34</f>
        <v>2776</v>
      </c>
      <c r="S34" s="32" t="n">
        <f aca="false">ROUND(Q34/SLS_COS!$AZ$3,0)</f>
        <v>8</v>
      </c>
      <c r="U34" s="42" t="n">
        <f aca="false">IF(W34=0,0,W34/Q34)</f>
        <v>0.376242795389049</v>
      </c>
      <c r="W34" s="5" t="n">
        <f aca="false">+I34+CB34</f>
        <v>1044.45</v>
      </c>
      <c r="Y34" s="5" t="n">
        <f aca="false">+K34+CD34</f>
        <v>0</v>
      </c>
      <c r="AA34" s="5" t="n">
        <f aca="false">+M34+CF34</f>
        <v>1044.45</v>
      </c>
      <c r="AC34" s="6" t="n">
        <f aca="false">ROUND(AA34/1000,0)</f>
        <v>1</v>
      </c>
      <c r="AE34" s="32"/>
      <c r="AF34" s="32"/>
      <c r="AG34" s="32"/>
      <c r="AH34" s="32"/>
      <c r="AU34" s="29"/>
      <c r="AW34" s="30"/>
      <c r="AY34" s="30"/>
      <c r="BM34" s="31"/>
      <c r="BO34" s="13"/>
      <c r="BS34" s="13"/>
      <c r="BU34" s="24" t="s">
        <v>31</v>
      </c>
      <c r="BV34" s="0" t="n">
        <v>2776</v>
      </c>
      <c r="BW34" s="32"/>
      <c r="BX34" s="0" t="n">
        <v>8</v>
      </c>
      <c r="BY34" s="32"/>
      <c r="BZ34" s="0" t="n">
        <v>0.376242795389049</v>
      </c>
      <c r="CA34" s="32"/>
      <c r="CB34" s="0" t="n">
        <v>1044.45</v>
      </c>
      <c r="CC34" s="34"/>
      <c r="CD34" s="0" t="n">
        <v>0</v>
      </c>
      <c r="CE34" s="34"/>
      <c r="CF34" s="0" t="n">
        <v>1044.45</v>
      </c>
      <c r="CG34" s="2"/>
      <c r="CH34" s="0" t="n">
        <v>1</v>
      </c>
    </row>
    <row r="35" customFormat="false" ht="12.75" hidden="false" customHeight="false" outlineLevel="0" collapsed="false">
      <c r="A35" s="64" t="str">
        <f aca="false">+TSPT_COT!A25</f>
        <v>     Sub-Total</v>
      </c>
      <c r="B35" s="69"/>
      <c r="C35" s="70" t="n">
        <f aca="false">TSPT_COT!AS25</f>
        <v>9963013</v>
      </c>
      <c r="E35" s="82" t="n">
        <f aca="false">TSPT_COT!AU25</f>
        <v>321391</v>
      </c>
      <c r="G35" s="71" t="n">
        <f aca="false">IF(I35=0,0,I35/C35)</f>
        <v>0.453938443119566</v>
      </c>
      <c r="I35" s="83" t="n">
        <f aca="false">TSPT_COT!AY25</f>
        <v>4522594.61</v>
      </c>
      <c r="K35" s="83" t="n">
        <f aca="false">TSPT_COT!BA25</f>
        <v>134478.43</v>
      </c>
      <c r="M35" s="83" t="n">
        <f aca="false">TSPT_COT!BC25</f>
        <v>4657073.04</v>
      </c>
      <c r="O35" s="84" t="n">
        <f aca="false">TSPT_COT!BE25</f>
        <v>4657</v>
      </c>
      <c r="P35" s="69"/>
      <c r="Q35" s="72" t="n">
        <f aca="false">SUM(Q31:Q34)</f>
        <v>128228810</v>
      </c>
      <c r="R35" s="69"/>
      <c r="S35" s="72" t="n">
        <f aca="false">SUM(S31:S34)</f>
        <v>351312</v>
      </c>
      <c r="T35" s="69"/>
      <c r="U35" s="71" t="n">
        <f aca="false">IF(W35=0,0,W35/Q35)</f>
        <v>0.404499283351378</v>
      </c>
      <c r="V35" s="69"/>
      <c r="W35" s="73" t="n">
        <f aca="false">SUM(W30:W34)</f>
        <v>51868461.75</v>
      </c>
      <c r="X35" s="74"/>
      <c r="Y35" s="73" t="n">
        <f aca="false">SUM(Y30:Y34)</f>
        <v>8014550.03</v>
      </c>
      <c r="Z35" s="74"/>
      <c r="AA35" s="73" t="n">
        <f aca="false">SUM(AA30:AA34)</f>
        <v>59883011.78</v>
      </c>
      <c r="AB35" s="69"/>
      <c r="AC35" s="75" t="n">
        <f aca="false">SUM(AC30:AC34)</f>
        <v>59882</v>
      </c>
      <c r="AD35" s="69"/>
      <c r="AE35" s="76"/>
      <c r="AF35" s="76"/>
      <c r="AG35" s="76"/>
      <c r="AH35" s="76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77"/>
      <c r="AV35" s="69"/>
      <c r="AW35" s="78"/>
      <c r="AX35" s="69"/>
      <c r="AY35" s="78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79"/>
      <c r="BN35" s="69"/>
      <c r="BO35" s="64"/>
      <c r="BP35" s="69"/>
      <c r="BQ35" s="69"/>
      <c r="BR35" s="69"/>
      <c r="BS35" s="64"/>
      <c r="BT35" s="69"/>
      <c r="BU35" s="64" t="s">
        <v>28</v>
      </c>
      <c r="BV35" s="0" t="n">
        <v>118265797</v>
      </c>
      <c r="BW35" s="76"/>
      <c r="BX35" s="0" t="n">
        <v>354089</v>
      </c>
      <c r="BY35" s="76"/>
      <c r="BZ35" s="0" t="n">
        <v>0.400334402177157</v>
      </c>
      <c r="CA35" s="76"/>
      <c r="CB35" s="0" t="n">
        <v>47345867.14</v>
      </c>
      <c r="CC35" s="80"/>
      <c r="CD35" s="0" t="n">
        <v>7880071.6</v>
      </c>
      <c r="CE35" s="80"/>
      <c r="CF35" s="0" t="n">
        <v>55225938.74</v>
      </c>
      <c r="CG35" s="81"/>
      <c r="CH35" s="0" t="n">
        <v>50764</v>
      </c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</row>
    <row r="36" customFormat="false" ht="12.75" hidden="false" customHeight="false" outlineLevel="0" collapsed="false">
      <c r="A36" s="24"/>
      <c r="C36" s="40"/>
      <c r="E36" s="53"/>
      <c r="G36" s="42"/>
      <c r="O36" s="54"/>
      <c r="Q36" s="41"/>
      <c r="S36" s="32"/>
      <c r="U36" s="42"/>
      <c r="AE36" s="32"/>
      <c r="AF36" s="32"/>
      <c r="AG36" s="32"/>
      <c r="AH36" s="32"/>
      <c r="AU36" s="29"/>
      <c r="AW36" s="30"/>
      <c r="AY36" s="30"/>
      <c r="BM36" s="31"/>
      <c r="BO36" s="13"/>
      <c r="BS36" s="13"/>
      <c r="BU36" s="24"/>
      <c r="BW36" s="32"/>
      <c r="BY36" s="32"/>
      <c r="CA36" s="32"/>
      <c r="CC36" s="34"/>
      <c r="CE36" s="34"/>
      <c r="CF36" s="0"/>
      <c r="CG36" s="2"/>
    </row>
    <row r="37" customFormat="false" ht="12.75" hidden="false" customHeight="false" outlineLevel="0" collapsed="false">
      <c r="A37" s="24" t="s">
        <v>32</v>
      </c>
      <c r="C37" s="40" t="n">
        <f aca="false">+TSPT_COT!AS27</f>
        <v>1860000</v>
      </c>
      <c r="E37" s="40" t="n">
        <f aca="false">+TSPT_COT!AU27</f>
        <v>60000</v>
      </c>
      <c r="G37" s="42" t="n">
        <f aca="false">IF(I37=0,0,I37/C37)</f>
        <v>0.161500537634409</v>
      </c>
      <c r="I37" s="5" t="n">
        <f aca="false">+TSPT_COT!AY27</f>
        <v>300391</v>
      </c>
      <c r="K37" s="5" t="n">
        <f aca="false">+TSPT_COT!BA27</f>
        <v>0</v>
      </c>
      <c r="M37" s="5" t="n">
        <f aca="false">+TSPT_COT!BC27</f>
        <v>300391</v>
      </c>
      <c r="O37" s="6" t="n">
        <f aca="false">+TSPT_COT!BE27</f>
        <v>300</v>
      </c>
      <c r="Q37" s="41" t="n">
        <f aca="false">+C37+BV37</f>
        <v>21660000</v>
      </c>
      <c r="S37" s="41" t="n">
        <f aca="false">+E37+BX37</f>
        <v>712000</v>
      </c>
      <c r="U37" s="42" t="n">
        <f aca="false">IF(W37=0,0,W37/Q37)</f>
        <v>0.1580791611265</v>
      </c>
      <c r="W37" s="5" t="n">
        <f aca="false">+I37+CB37</f>
        <v>3423994.63</v>
      </c>
      <c r="Y37" s="5" t="n">
        <f aca="false">+K37+CD37</f>
        <v>0</v>
      </c>
      <c r="AA37" s="5" t="n">
        <f aca="false">+M37+CF37</f>
        <v>3423994.63</v>
      </c>
      <c r="AC37" s="6" t="n">
        <f aca="false">+O37+CH37</f>
        <v>3140</v>
      </c>
      <c r="AE37" s="32"/>
      <c r="AF37" s="32"/>
      <c r="AG37" s="32"/>
      <c r="AH37" s="32"/>
      <c r="AU37" s="29"/>
      <c r="AW37" s="30"/>
      <c r="AY37" s="30"/>
      <c r="BM37" s="31"/>
      <c r="BO37" s="13"/>
      <c r="BS37" s="13"/>
      <c r="BU37" s="24"/>
      <c r="BV37" s="0" t="n">
        <v>19800000</v>
      </c>
      <c r="BW37" s="32"/>
      <c r="BX37" s="0" t="n">
        <v>652000</v>
      </c>
      <c r="BY37" s="32"/>
      <c r="BZ37" s="0" t="n">
        <v>0.157757759090909</v>
      </c>
      <c r="CA37" s="32"/>
      <c r="CB37" s="0" t="n">
        <v>3123603.63</v>
      </c>
      <c r="CC37" s="34"/>
      <c r="CD37" s="0" t="n">
        <v>0</v>
      </c>
      <c r="CE37" s="34"/>
      <c r="CF37" s="0" t="n">
        <v>3123603.63</v>
      </c>
      <c r="CG37" s="2"/>
      <c r="CH37" s="0" t="n">
        <v>2840</v>
      </c>
    </row>
    <row r="38" customFormat="false" ht="12.75" hidden="false" customHeight="false" outlineLevel="0" collapsed="false">
      <c r="A38" s="24" t="s">
        <v>33</v>
      </c>
      <c r="C38" s="40" t="n">
        <f aca="false">+TSPT_COT!AS28</f>
        <v>1859946</v>
      </c>
      <c r="E38" s="40" t="n">
        <f aca="false">+TSPT_COT!AU28</f>
        <v>59998</v>
      </c>
      <c r="G38" s="42" t="n">
        <f aca="false">IF(I38=0,0,I38/C38)</f>
        <v>0.01849999946235</v>
      </c>
      <c r="I38" s="5" t="n">
        <f aca="false">+TSPT_COT!AY28</f>
        <v>34409</v>
      </c>
      <c r="K38" s="5" t="n">
        <f aca="false">+TSPT_COT!BA28</f>
        <v>0</v>
      </c>
      <c r="M38" s="5" t="n">
        <f aca="false">+TSPT_COT!BC28</f>
        <v>34409</v>
      </c>
      <c r="O38" s="6" t="n">
        <f aca="false">+TSPT_COT!BE28</f>
        <v>34</v>
      </c>
      <c r="Q38" s="41" t="n">
        <f aca="false">+C38+BV38</f>
        <v>20734046</v>
      </c>
      <c r="S38" s="41" t="n">
        <f aca="false">+E38+BX38</f>
        <v>681432</v>
      </c>
      <c r="U38" s="42" t="n">
        <f aca="false">IF(W38=0,0,W38/Q38)</f>
        <v>0.0185735755578048</v>
      </c>
      <c r="W38" s="5" t="n">
        <f aca="false">+I38+CB38</f>
        <v>385105.37</v>
      </c>
      <c r="Y38" s="5" t="n">
        <f aca="false">+K38+CD38</f>
        <v>0</v>
      </c>
      <c r="AA38" s="5" t="n">
        <f aca="false">+M38+CF38</f>
        <v>385105.37</v>
      </c>
      <c r="AC38" s="6" t="n">
        <f aca="false">+O38+CH38</f>
        <v>352</v>
      </c>
      <c r="AE38" s="32"/>
      <c r="AF38" s="32"/>
      <c r="AG38" s="32"/>
      <c r="AH38" s="32"/>
      <c r="AU38" s="29"/>
      <c r="AW38" s="30"/>
      <c r="AY38" s="30"/>
      <c r="BM38" s="31"/>
      <c r="BO38" s="13"/>
      <c r="BS38" s="13"/>
      <c r="BU38" s="24"/>
      <c r="BV38" s="0" t="n">
        <v>18874100</v>
      </c>
      <c r="BW38" s="32"/>
      <c r="BX38" s="0" t="n">
        <v>621434</v>
      </c>
      <c r="BY38" s="32"/>
      <c r="BZ38" s="0" t="n">
        <v>0.0185808261056156</v>
      </c>
      <c r="CA38" s="32"/>
      <c r="CB38" s="0" t="n">
        <v>350696.37</v>
      </c>
      <c r="CC38" s="34"/>
      <c r="CD38" s="0" t="n">
        <v>0</v>
      </c>
      <c r="CE38" s="34"/>
      <c r="CF38" s="0" t="n">
        <v>350696.37</v>
      </c>
      <c r="CG38" s="2"/>
      <c r="CH38" s="0" t="n">
        <v>318</v>
      </c>
    </row>
    <row r="39" customFormat="false" ht="12.75" hidden="false" customHeight="false" outlineLevel="0" collapsed="false">
      <c r="A39" s="24" t="s">
        <v>34</v>
      </c>
      <c r="C39" s="40" t="n">
        <f aca="false">+TSPT_COT!AS29</f>
        <v>0</v>
      </c>
      <c r="E39" s="40" t="n">
        <f aca="false">+TSPT_COT!AU29</f>
        <v>0</v>
      </c>
      <c r="G39" s="42" t="n">
        <f aca="false">IF(I39=0,0,I39/C39)</f>
        <v>0</v>
      </c>
      <c r="I39" s="5" t="n">
        <f aca="false">+TSPT_COT!AY29</f>
        <v>0</v>
      </c>
      <c r="K39" s="5" t="n">
        <f aca="false">+TSPT_COT!BA29</f>
        <v>0</v>
      </c>
      <c r="M39" s="5" t="n">
        <f aca="false">+TSPT_COT!BC29</f>
        <v>0</v>
      </c>
      <c r="O39" s="6" t="n">
        <f aca="false">+TSPT_COT!BE29</f>
        <v>0</v>
      </c>
      <c r="Q39" s="41" t="n">
        <f aca="false">+C39+BV39</f>
        <v>0</v>
      </c>
      <c r="S39" s="41" t="n">
        <f aca="false">+E39+BX39</f>
        <v>0</v>
      </c>
      <c r="U39" s="42" t="n">
        <f aca="false">IF(W39=0,0,W39/Q39)</f>
        <v>0</v>
      </c>
      <c r="W39" s="5" t="n">
        <f aca="false">+I39+CB39</f>
        <v>0</v>
      </c>
      <c r="Y39" s="5" t="n">
        <f aca="false">+K39+CD39</f>
        <v>0</v>
      </c>
      <c r="AA39" s="5" t="n">
        <f aca="false">+M39+CF39</f>
        <v>0</v>
      </c>
      <c r="AC39" s="6" t="n">
        <f aca="false">+O39+CH39</f>
        <v>0</v>
      </c>
      <c r="AE39" s="32"/>
      <c r="AF39" s="32"/>
      <c r="AG39" s="32"/>
      <c r="AH39" s="32"/>
      <c r="AU39" s="29"/>
      <c r="AW39" s="30"/>
      <c r="AY39" s="30"/>
      <c r="BM39" s="31"/>
      <c r="BO39" s="13"/>
      <c r="BS39" s="13"/>
      <c r="BU39" s="24"/>
      <c r="BV39" s="0" t="n">
        <v>0</v>
      </c>
      <c r="BW39" s="32"/>
      <c r="BX39" s="0" t="n">
        <v>0</v>
      </c>
      <c r="BY39" s="32"/>
      <c r="BZ39" s="0" t="n">
        <v>0</v>
      </c>
      <c r="CA39" s="32"/>
      <c r="CB39" s="0" t="n">
        <v>0</v>
      </c>
      <c r="CC39" s="34"/>
      <c r="CD39" s="0" t="n">
        <v>0</v>
      </c>
      <c r="CE39" s="34"/>
      <c r="CF39" s="0" t="n">
        <v>0</v>
      </c>
      <c r="CG39" s="2"/>
      <c r="CH39" s="0" t="n">
        <v>0</v>
      </c>
    </row>
    <row r="40" customFormat="false" ht="12.75" hidden="false" customHeight="false" outlineLevel="0" collapsed="false">
      <c r="A40" s="24" t="s">
        <v>35</v>
      </c>
      <c r="C40" s="40" t="n">
        <f aca="false">+TSPT_COT!AS30</f>
        <v>0</v>
      </c>
      <c r="E40" s="40" t="n">
        <f aca="false">+TSPT_COT!AU30</f>
        <v>0</v>
      </c>
      <c r="G40" s="42" t="n">
        <f aca="false">IF(I40=0,0,I40/C40)</f>
        <v>0</v>
      </c>
      <c r="I40" s="5" t="n">
        <f aca="false">+TSPT_COT!AY30</f>
        <v>0</v>
      </c>
      <c r="K40" s="5" t="n">
        <f aca="false">+TSPT_COT!BA30</f>
        <v>0</v>
      </c>
      <c r="M40" s="5" t="n">
        <f aca="false">+TSPT_COT!BC30</f>
        <v>0</v>
      </c>
      <c r="O40" s="6" t="n">
        <f aca="false">+TSPT_COT!BE30</f>
        <v>0</v>
      </c>
      <c r="Q40" s="41" t="n">
        <f aca="false">+C40+BV40</f>
        <v>0</v>
      </c>
      <c r="S40" s="41" t="n">
        <f aca="false">+E40+BX40</f>
        <v>0</v>
      </c>
      <c r="U40" s="42" t="n">
        <f aca="false">IF(W40=0,0,W40/Q40)</f>
        <v>0</v>
      </c>
      <c r="W40" s="5" t="n">
        <f aca="false">+I40+CB40</f>
        <v>0</v>
      </c>
      <c r="Y40" s="5" t="n">
        <f aca="false">+K40+CD40</f>
        <v>0</v>
      </c>
      <c r="AA40" s="5" t="n">
        <f aca="false">+M40+CF40</f>
        <v>0</v>
      </c>
      <c r="AC40" s="6" t="n">
        <f aca="false">+O40+CH40</f>
        <v>0</v>
      </c>
      <c r="AE40" s="32"/>
      <c r="AF40" s="32"/>
      <c r="AG40" s="32"/>
      <c r="AH40" s="32"/>
      <c r="AU40" s="29"/>
      <c r="AW40" s="30"/>
      <c r="AY40" s="30"/>
      <c r="BM40" s="31"/>
      <c r="BO40" s="13"/>
      <c r="BS40" s="13"/>
      <c r="BU40" s="24"/>
      <c r="BV40" s="0" t="n">
        <v>0</v>
      </c>
      <c r="BW40" s="32"/>
      <c r="BX40" s="0" t="n">
        <v>0</v>
      </c>
      <c r="BY40" s="32"/>
      <c r="BZ40" s="0" t="n">
        <v>0</v>
      </c>
      <c r="CA40" s="32"/>
      <c r="CB40" s="0" t="n">
        <v>0</v>
      </c>
      <c r="CC40" s="34"/>
      <c r="CD40" s="0" t="n">
        <v>0</v>
      </c>
      <c r="CE40" s="34"/>
      <c r="CF40" s="0" t="n">
        <v>0</v>
      </c>
      <c r="CG40" s="2"/>
      <c r="CH40" s="0" t="n">
        <v>0</v>
      </c>
    </row>
    <row r="41" customFormat="false" ht="12.75" hidden="false" customHeight="false" outlineLevel="0" collapsed="false">
      <c r="A41" s="24" t="s">
        <v>36</v>
      </c>
      <c r="C41" s="40" t="n">
        <f aca="false">+TSPT_COT!AS31</f>
        <v>0</v>
      </c>
      <c r="E41" s="40" t="n">
        <f aca="false">+TSPT_COT!AU31</f>
        <v>0</v>
      </c>
      <c r="G41" s="42" t="n">
        <f aca="false">IF(I41=0,0,I41/C41)</f>
        <v>0</v>
      </c>
      <c r="I41" s="5" t="n">
        <f aca="false">+TSPT_COT!AY31</f>
        <v>0</v>
      </c>
      <c r="K41" s="5" t="n">
        <f aca="false">+TSPT_COT!BA31</f>
        <v>0</v>
      </c>
      <c r="M41" s="5" t="n">
        <f aca="false">+TSPT_COT!BC31</f>
        <v>0</v>
      </c>
      <c r="O41" s="6" t="n">
        <f aca="false">+TSPT_COT!BE31</f>
        <v>0</v>
      </c>
      <c r="Q41" s="41" t="n">
        <f aca="false">+C41+BV41</f>
        <v>0</v>
      </c>
      <c r="S41" s="41" t="n">
        <f aca="false">+E41+BX41</f>
        <v>0</v>
      </c>
      <c r="U41" s="42" t="n">
        <f aca="false">IF(W41=0,0,W41/Q41)</f>
        <v>0</v>
      </c>
      <c r="W41" s="5" t="n">
        <f aca="false">+I41+CB41</f>
        <v>0</v>
      </c>
      <c r="Y41" s="5" t="n">
        <f aca="false">+K41+CD41</f>
        <v>0</v>
      </c>
      <c r="AA41" s="5" t="n">
        <f aca="false">+M41+CF41</f>
        <v>0</v>
      </c>
      <c r="AC41" s="6" t="n">
        <f aca="false">+O41+CH41</f>
        <v>0</v>
      </c>
      <c r="AE41" s="32"/>
      <c r="AF41" s="32"/>
      <c r="AG41" s="32"/>
      <c r="AH41" s="32"/>
      <c r="AU41" s="29"/>
      <c r="AW41" s="30"/>
      <c r="AY41" s="30"/>
      <c r="BM41" s="31"/>
      <c r="BO41" s="13"/>
      <c r="BS41" s="13"/>
      <c r="BU41" s="24"/>
      <c r="BV41" s="0" t="n">
        <v>0</v>
      </c>
      <c r="BW41" s="32"/>
      <c r="BX41" s="0" t="n">
        <v>0</v>
      </c>
      <c r="BY41" s="32"/>
      <c r="BZ41" s="0" t="n">
        <v>0</v>
      </c>
      <c r="CA41" s="32"/>
      <c r="CB41" s="0" t="n">
        <v>0</v>
      </c>
      <c r="CC41" s="34"/>
      <c r="CD41" s="0" t="n">
        <v>0</v>
      </c>
      <c r="CE41" s="34"/>
      <c r="CF41" s="0" t="n">
        <v>0</v>
      </c>
      <c r="CG41" s="2"/>
      <c r="CH41" s="0" t="n">
        <v>0</v>
      </c>
    </row>
    <row r="42" customFormat="false" ht="12.75" hidden="false" customHeight="false" outlineLevel="0" collapsed="false">
      <c r="A42" s="64" t="s">
        <v>37</v>
      </c>
      <c r="B42" s="85"/>
      <c r="C42" s="86" t="n">
        <f aca="false">+TSPT_COT!AS32</f>
        <v>1859946</v>
      </c>
      <c r="D42" s="85"/>
      <c r="E42" s="86" t="n">
        <f aca="false">+TSPT_COT!AU32</f>
        <v>59998</v>
      </c>
      <c r="F42" s="85"/>
      <c r="G42" s="71" t="n">
        <f aca="false">IF(I42=0,0,I42/C42)</f>
        <v>0.180005225958173</v>
      </c>
      <c r="H42" s="85"/>
      <c r="I42" s="87" t="n">
        <f aca="false">+TSPT_COT!AY32</f>
        <v>334800</v>
      </c>
      <c r="J42" s="88"/>
      <c r="K42" s="89" t="n">
        <f aca="false">+TSPT_COT!BA32</f>
        <v>0</v>
      </c>
      <c r="L42" s="88"/>
      <c r="M42" s="87" t="n">
        <f aca="false">+TSPT_COT!BC32</f>
        <v>334800</v>
      </c>
      <c r="N42" s="85"/>
      <c r="O42" s="90" t="n">
        <f aca="false">+TSPT_COT!BE32</f>
        <v>334</v>
      </c>
      <c r="P42" s="85"/>
      <c r="Q42" s="91" t="n">
        <f aca="false">SUM(Q38:Q41)</f>
        <v>20734046</v>
      </c>
      <c r="R42" s="85"/>
      <c r="S42" s="91" t="n">
        <f aca="false">SUM(S38:S41)</f>
        <v>681432</v>
      </c>
      <c r="T42" s="85"/>
      <c r="U42" s="71" t="n">
        <f aca="false">IF(W42=0,0,W42/Q42)</f>
        <v>0.183712334775374</v>
      </c>
      <c r="V42" s="85"/>
      <c r="W42" s="87" t="n">
        <f aca="false">SUM(W37:W41)</f>
        <v>3809100</v>
      </c>
      <c r="X42" s="88"/>
      <c r="Y42" s="87" t="n">
        <f aca="false">SUM(Y37:Y41)</f>
        <v>0</v>
      </c>
      <c r="Z42" s="88"/>
      <c r="AA42" s="87" t="n">
        <f aca="false">SUM(AA37:AA41)</f>
        <v>3809100</v>
      </c>
      <c r="AB42" s="85"/>
      <c r="AC42" s="90" t="n">
        <f aca="false">SUM(AC37:AC41)</f>
        <v>3492</v>
      </c>
      <c r="AD42" s="85"/>
      <c r="AE42" s="92"/>
      <c r="AF42" s="92"/>
      <c r="AG42" s="92"/>
      <c r="AH42" s="92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93"/>
      <c r="AV42" s="85"/>
      <c r="AW42" s="94"/>
      <c r="AX42" s="85"/>
      <c r="AY42" s="94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95"/>
      <c r="BN42" s="85"/>
      <c r="BO42" s="96"/>
      <c r="BP42" s="85"/>
      <c r="BQ42" s="85"/>
      <c r="BR42" s="85"/>
      <c r="BS42" s="96"/>
      <c r="BT42" s="85"/>
      <c r="BU42" s="64"/>
      <c r="BV42" s="0" t="n">
        <v>18874100</v>
      </c>
      <c r="BW42" s="92"/>
      <c r="BX42" s="0" t="n">
        <v>621434</v>
      </c>
      <c r="BY42" s="92"/>
      <c r="BZ42" s="0" t="n">
        <v>0.184077651384702</v>
      </c>
      <c r="CA42" s="92"/>
      <c r="CB42" s="0" t="n">
        <v>3474300</v>
      </c>
      <c r="CC42" s="97"/>
      <c r="CD42" s="0" t="n">
        <v>0</v>
      </c>
      <c r="CE42" s="97"/>
      <c r="CF42" s="0" t="n">
        <v>3474300</v>
      </c>
      <c r="CG42" s="98"/>
      <c r="CH42" s="0" t="n">
        <v>3158</v>
      </c>
    </row>
    <row r="43" customFormat="false" ht="12.75" hidden="false" customHeight="false" outlineLevel="0" collapsed="false">
      <c r="A43" s="24"/>
      <c r="C43" s="40"/>
      <c r="E43" s="53"/>
      <c r="G43" s="42"/>
      <c r="O43" s="54"/>
      <c r="Q43" s="41"/>
      <c r="S43" s="32"/>
      <c r="U43" s="42"/>
      <c r="AE43" s="32"/>
      <c r="AF43" s="32"/>
      <c r="AG43" s="32"/>
      <c r="AH43" s="32"/>
      <c r="AU43" s="29"/>
      <c r="AW43" s="30"/>
      <c r="AY43" s="30"/>
      <c r="BM43" s="31"/>
      <c r="BO43" s="13"/>
      <c r="BS43" s="13"/>
      <c r="BU43" s="24"/>
      <c r="BW43" s="32"/>
      <c r="BY43" s="32"/>
      <c r="CA43" s="32"/>
      <c r="CC43" s="34"/>
      <c r="CE43" s="34"/>
      <c r="CF43" s="0"/>
      <c r="CG43" s="2"/>
    </row>
    <row r="44" customFormat="false" ht="12.75" hidden="false" customHeight="false" outlineLevel="0" collapsed="false">
      <c r="A44" s="24" t="str">
        <f aca="false">+TSPT_COT!A34</f>
        <v>   Demand</v>
      </c>
      <c r="C44" s="40" t="n">
        <f aca="false">TSPT_COT!AS34</f>
        <v>6730100</v>
      </c>
      <c r="E44" s="53" t="n">
        <f aca="false">TSPT_COT!AU34</f>
        <v>217100</v>
      </c>
      <c r="G44" s="42" t="n">
        <f aca="false">IF(I44=0,0,I44/C44)</f>
        <v>0.161867355611358</v>
      </c>
      <c r="I44" s="65" t="n">
        <f aca="false">TSPT_COT!AY34</f>
        <v>1089383.49</v>
      </c>
      <c r="K44" s="65" t="n">
        <f aca="false">TSPT_COT!BA34</f>
        <v>0</v>
      </c>
      <c r="M44" s="65" t="n">
        <f aca="false">TSPT_COT!BC34</f>
        <v>1089383.49</v>
      </c>
      <c r="O44" s="54" t="n">
        <f aca="false">TSPT_COT!BE34</f>
        <v>1089</v>
      </c>
      <c r="Q44" s="41" t="n">
        <f aca="false">+C44+BV44</f>
        <v>69122000</v>
      </c>
      <c r="S44" s="32" t="n">
        <f aca="false">ROUND(Q44/SLS_COS!$AZ$3,0)</f>
        <v>189375</v>
      </c>
      <c r="U44" s="42" t="n">
        <f aca="false">IF(W44=0,0,W44/Q44)</f>
        <v>0.209630792222447</v>
      </c>
      <c r="W44" s="5" t="n">
        <f aca="false">+I44+CB44</f>
        <v>14490099.62</v>
      </c>
      <c r="Y44" s="5" t="n">
        <f aca="false">+K44+CD44</f>
        <v>1740</v>
      </c>
      <c r="AA44" s="5" t="n">
        <f aca="false">+M44+CF44</f>
        <v>14491839.62</v>
      </c>
      <c r="AC44" s="6" t="n">
        <f aca="false">ROUND(AA44/1000,0)</f>
        <v>14492</v>
      </c>
      <c r="AE44" s="32"/>
      <c r="AF44" s="32"/>
      <c r="AG44" s="32"/>
      <c r="AH44" s="32"/>
      <c r="AU44" s="29"/>
      <c r="AW44" s="30"/>
      <c r="AY44" s="30"/>
      <c r="BM44" s="31"/>
      <c r="BO44" s="13"/>
      <c r="BS44" s="13"/>
      <c r="BU44" s="24" t="s">
        <v>24</v>
      </c>
      <c r="BV44" s="0" t="n">
        <v>62391900</v>
      </c>
      <c r="BW44" s="32"/>
      <c r="BX44" s="0" t="n">
        <v>186802</v>
      </c>
      <c r="BY44" s="32"/>
      <c r="BZ44" s="0" t="n">
        <v>0.214782946664551</v>
      </c>
      <c r="CA44" s="32"/>
      <c r="CB44" s="0" t="n">
        <v>13400716.13</v>
      </c>
      <c r="CC44" s="34"/>
      <c r="CD44" s="0" t="n">
        <v>1740</v>
      </c>
      <c r="CE44" s="34"/>
      <c r="CF44" s="0" t="n">
        <v>13402456.13</v>
      </c>
      <c r="CG44" s="2"/>
      <c r="CH44" s="0" t="n">
        <v>12439</v>
      </c>
    </row>
    <row r="45" customFormat="false" ht="12.75" hidden="false" customHeight="false" outlineLevel="0" collapsed="false">
      <c r="A45" s="24" t="str">
        <f aca="false">+TSPT_COT!A35</f>
        <v>   FT-San Juan</v>
      </c>
      <c r="C45" s="40" t="n">
        <f aca="false">TSPT_COT!AS35</f>
        <v>5996588</v>
      </c>
      <c r="E45" s="53" t="n">
        <f aca="false">TSPT_COT!AU35</f>
        <v>193438</v>
      </c>
      <c r="G45" s="42" t="n">
        <f aca="false">IF(I45=0,0,I45/C45)</f>
        <v>0.0155473129052721</v>
      </c>
      <c r="I45" s="65" t="n">
        <f aca="false">TSPT_COT!AY35</f>
        <v>93230.83</v>
      </c>
      <c r="K45" s="65" t="n">
        <f aca="false">TSPT_COT!BA35</f>
        <v>20608.88</v>
      </c>
      <c r="M45" s="65" t="n">
        <f aca="false">TSPT_COT!BC35</f>
        <v>113839.71</v>
      </c>
      <c r="O45" s="54" t="n">
        <f aca="false">TSPT_COT!BE35</f>
        <v>114</v>
      </c>
      <c r="Q45" s="41" t="n">
        <f aca="false">+C45+BV45</f>
        <v>64622632</v>
      </c>
      <c r="S45" s="32" t="n">
        <f aca="false">ROUND(Q45/SLS_COS!$AZ$3,0)</f>
        <v>177048</v>
      </c>
      <c r="U45" s="42" t="n">
        <f aca="false">IF(W45=0,0,W45/Q45)</f>
        <v>0.0161957408358112</v>
      </c>
      <c r="W45" s="5" t="n">
        <f aca="false">+I45+CB45</f>
        <v>1046611.4</v>
      </c>
      <c r="Y45" s="5" t="n">
        <f aca="false">+K45+CD45</f>
        <v>193598.32</v>
      </c>
      <c r="AA45" s="5" t="n">
        <f aca="false">+M45+CF45</f>
        <v>1240209.72</v>
      </c>
      <c r="AC45" s="6" t="n">
        <f aca="false">ROUND(AA45/1000,0)</f>
        <v>1240</v>
      </c>
      <c r="AE45" s="32"/>
      <c r="AF45" s="32"/>
      <c r="AG45" s="32"/>
      <c r="AH45" s="32"/>
      <c r="AU45" s="29"/>
      <c r="AW45" s="30"/>
      <c r="AY45" s="30"/>
      <c r="BM45" s="31"/>
      <c r="BO45" s="13"/>
      <c r="BS45" s="13"/>
      <c r="BU45" s="24" t="s">
        <v>38</v>
      </c>
      <c r="BV45" s="0" t="n">
        <v>58626044</v>
      </c>
      <c r="BW45" s="32"/>
      <c r="BX45" s="0" t="n">
        <v>175527</v>
      </c>
      <c r="BY45" s="32"/>
      <c r="BZ45" s="0" t="n">
        <v>0.0162620655420652</v>
      </c>
      <c r="CA45" s="32"/>
      <c r="CB45" s="0" t="n">
        <v>953380.57</v>
      </c>
      <c r="CC45" s="34"/>
      <c r="CD45" s="0" t="n">
        <v>172989.44</v>
      </c>
      <c r="CE45" s="34"/>
      <c r="CF45" s="0" t="n">
        <v>1126370.01</v>
      </c>
      <c r="CG45" s="2"/>
      <c r="CH45" s="0" t="n">
        <v>1031</v>
      </c>
    </row>
    <row r="46" customFormat="false" ht="12.75" hidden="false" customHeight="false" outlineLevel="0" collapsed="false">
      <c r="A46" s="24" t="str">
        <f aca="false">+TSPT_COT!A36</f>
        <v>   FR-San Juan</v>
      </c>
      <c r="C46" s="40" t="n">
        <f aca="false">TSPT_COT!AS36</f>
        <v>0</v>
      </c>
      <c r="E46" s="53" t="n">
        <f aca="false">TSPT_COT!AU36</f>
        <v>0</v>
      </c>
      <c r="G46" s="42" t="n">
        <f aca="false">IF(I46=0,0,I46/C46)</f>
        <v>0</v>
      </c>
      <c r="I46" s="65" t="n">
        <f aca="false">TSPT_COT!AY36</f>
        <v>0</v>
      </c>
      <c r="K46" s="65" t="n">
        <f aca="false">TSPT_COT!BA36</f>
        <v>0</v>
      </c>
      <c r="M46" s="65" t="n">
        <f aca="false">TSPT_COT!BC36</f>
        <v>0</v>
      </c>
      <c r="O46" s="54" t="n">
        <f aca="false">TSPT_COT!BE36</f>
        <v>0</v>
      </c>
      <c r="Q46" s="41" t="n">
        <f aca="false">+C46+BV46</f>
        <v>0</v>
      </c>
      <c r="S46" s="32" t="n">
        <f aca="false">ROUND(Q46/SLS_COS!$AZ$3,0)</f>
        <v>0</v>
      </c>
      <c r="U46" s="42" t="n">
        <f aca="false">IF(W46=0,0,W46/Q46)</f>
        <v>0</v>
      </c>
      <c r="W46" s="5" t="n">
        <f aca="false">+I46+CB46</f>
        <v>0</v>
      </c>
      <c r="Y46" s="5" t="n">
        <f aca="false">+K46+CD46</f>
        <v>0</v>
      </c>
      <c r="AA46" s="5" t="n">
        <f aca="false">+M46+CF46</f>
        <v>0</v>
      </c>
      <c r="AC46" s="6" t="n">
        <f aca="false">ROUND(AA46/1000,0)</f>
        <v>0</v>
      </c>
      <c r="AE46" s="32"/>
      <c r="AF46" s="32"/>
      <c r="AG46" s="32"/>
      <c r="AH46" s="32"/>
      <c r="AU46" s="29"/>
      <c r="AW46" s="30"/>
      <c r="AY46" s="30"/>
      <c r="BM46" s="31"/>
      <c r="BO46" s="13"/>
      <c r="BS46" s="13"/>
      <c r="BU46" s="24" t="s">
        <v>39</v>
      </c>
      <c r="BV46" s="0" t="n">
        <v>0</v>
      </c>
      <c r="BW46" s="32"/>
      <c r="BX46" s="0" t="n">
        <v>0</v>
      </c>
      <c r="BY46" s="32"/>
      <c r="BZ46" s="0" t="n">
        <v>0</v>
      </c>
      <c r="CA46" s="32"/>
      <c r="CB46" s="0" t="n">
        <v>0</v>
      </c>
      <c r="CC46" s="34"/>
      <c r="CD46" s="0" t="n">
        <v>0</v>
      </c>
      <c r="CE46" s="34"/>
      <c r="CF46" s="0" t="n">
        <v>0</v>
      </c>
      <c r="CG46" s="2"/>
      <c r="CH46" s="0" t="n">
        <v>0</v>
      </c>
    </row>
    <row r="47" customFormat="false" ht="12.75" hidden="false" customHeight="false" outlineLevel="0" collapsed="false">
      <c r="A47" s="24" t="str">
        <f aca="false">+TSPT_COT!A37</f>
        <v>   LFT-San Juan</v>
      </c>
      <c r="C47" s="40" t="n">
        <f aca="false">TSPT_COT!AS37</f>
        <v>574922</v>
      </c>
      <c r="E47" s="53" t="n">
        <f aca="false">TSPT_COT!AU37</f>
        <v>18546</v>
      </c>
      <c r="G47" s="42" t="n">
        <f aca="false">IF(I47=0,0,I47/C47)</f>
        <v>0.0185000052180992</v>
      </c>
      <c r="I47" s="65" t="n">
        <f aca="false">TSPT_COT!AY37</f>
        <v>10636.06</v>
      </c>
      <c r="K47" s="65" t="n">
        <f aca="false">TSPT_COT!BA37</f>
        <v>0</v>
      </c>
      <c r="M47" s="65" t="n">
        <f aca="false">TSPT_COT!BC37</f>
        <v>10636.06</v>
      </c>
      <c r="O47" s="54" t="n">
        <f aca="false">TSPT_COT!BE37</f>
        <v>11</v>
      </c>
      <c r="Q47" s="41" t="n">
        <f aca="false">+C47+BV47</f>
        <v>1269974</v>
      </c>
      <c r="S47" s="32" t="n">
        <f aca="false">ROUND(Q47/SLS_COS!$AZ$3,0)</f>
        <v>3479</v>
      </c>
      <c r="U47" s="42" t="n">
        <f aca="false">IF(W47=0,0,W47/Q47)</f>
        <v>0.017419947180021</v>
      </c>
      <c r="W47" s="5" t="n">
        <f aca="false">+I47+CB47</f>
        <v>22122.88</v>
      </c>
      <c r="Y47" s="5" t="n">
        <f aca="false">+K47+CD47</f>
        <v>3510.64</v>
      </c>
      <c r="AA47" s="5" t="n">
        <f aca="false">+M47+CF47</f>
        <v>25633.52</v>
      </c>
      <c r="AC47" s="6" t="n">
        <f aca="false">ROUND(AA47/1000,0)</f>
        <v>26</v>
      </c>
      <c r="AE47" s="32"/>
      <c r="AF47" s="32"/>
      <c r="AG47" s="32"/>
      <c r="AH47" s="32"/>
      <c r="AU47" s="29"/>
      <c r="AW47" s="30"/>
      <c r="AY47" s="30"/>
      <c r="BM47" s="31"/>
      <c r="BO47" s="13"/>
      <c r="BS47" s="13"/>
      <c r="BU47" s="24"/>
      <c r="BV47" s="0" t="n">
        <v>695052</v>
      </c>
      <c r="BW47" s="32"/>
      <c r="BX47" s="0" t="n">
        <v>2081</v>
      </c>
      <c r="BY47" s="32"/>
      <c r="BZ47" s="0" t="n">
        <v>0.0165265620414012</v>
      </c>
      <c r="CA47" s="32"/>
      <c r="CB47" s="0" t="n">
        <v>11486.82</v>
      </c>
      <c r="CC47" s="34"/>
      <c r="CD47" s="0" t="n">
        <v>3510.64</v>
      </c>
      <c r="CE47" s="34"/>
      <c r="CF47" s="0" t="n">
        <v>14997.46</v>
      </c>
      <c r="CG47" s="2"/>
      <c r="CH47" s="0" t="n">
        <v>9</v>
      </c>
    </row>
    <row r="48" customFormat="false" ht="12.75" hidden="false" customHeight="false" outlineLevel="0" collapsed="false">
      <c r="A48" s="24" t="str">
        <f aca="false">+TSPT_COT!A38</f>
        <v>   IT-San Juan</v>
      </c>
      <c r="C48" s="40" t="n">
        <f aca="false">TSPT_COT!AS38</f>
        <v>33171</v>
      </c>
      <c r="E48" s="53" t="n">
        <f aca="false">TSPT_COT!AU38</f>
        <v>1070</v>
      </c>
      <c r="G48" s="42" t="n">
        <f aca="false">IF(I48=0,0,I48/C48)</f>
        <v>0.0978999728678665</v>
      </c>
      <c r="I48" s="65" t="n">
        <f aca="false">TSPT_COT!AY38</f>
        <v>3247.44</v>
      </c>
      <c r="K48" s="65" t="n">
        <f aca="false">TSPT_COT!BA38</f>
        <v>69.66</v>
      </c>
      <c r="M48" s="65" t="n">
        <f aca="false">TSPT_COT!BC38</f>
        <v>3317.1</v>
      </c>
      <c r="O48" s="54" t="n">
        <f aca="false">TSPT_COT!BE38</f>
        <v>3</v>
      </c>
      <c r="Q48" s="41" t="n">
        <f aca="false">+C48+BV48</f>
        <v>-209431</v>
      </c>
      <c r="S48" s="32" t="n">
        <f aca="false">ROUND(Q48/SLS_COS!$AZ$3,0)</f>
        <v>-574</v>
      </c>
      <c r="U48" s="42" t="n">
        <f aca="false">IF(W48=0,0,W48/Q48)</f>
        <v>-0.0517794404839782</v>
      </c>
      <c r="W48" s="5" t="n">
        <f aca="false">+I48+CB48</f>
        <v>10844.22</v>
      </c>
      <c r="Y48" s="5" t="n">
        <f aca="false">+K48+CD48</f>
        <v>126.51</v>
      </c>
      <c r="AA48" s="5" t="n">
        <f aca="false">+M48+CF48</f>
        <v>10970.73</v>
      </c>
      <c r="AC48" s="6" t="n">
        <f aca="false">ROUND(AA48/1000,0)</f>
        <v>11</v>
      </c>
      <c r="AE48" s="32"/>
      <c r="AF48" s="32"/>
      <c r="AG48" s="32"/>
      <c r="AH48" s="32"/>
      <c r="AU48" s="29"/>
      <c r="AW48" s="30"/>
      <c r="AY48" s="30"/>
      <c r="BM48" s="31"/>
      <c r="BO48" s="13"/>
      <c r="BS48" s="13"/>
      <c r="BU48" s="24" t="s">
        <v>40</v>
      </c>
      <c r="BV48" s="0" t="n">
        <v>-242602</v>
      </c>
      <c r="BW48" s="32"/>
      <c r="BX48" s="0" t="n">
        <v>-726</v>
      </c>
      <c r="BY48" s="32"/>
      <c r="BZ48" s="0" t="n">
        <v>-0.0313137566879087</v>
      </c>
      <c r="CA48" s="32"/>
      <c r="CB48" s="0" t="n">
        <v>7596.78000000003</v>
      </c>
      <c r="CC48" s="34"/>
      <c r="CD48" s="0" t="n">
        <v>56.85</v>
      </c>
      <c r="CE48" s="34"/>
      <c r="CF48" s="0" t="n">
        <v>7653.63000000003</v>
      </c>
      <c r="CG48" s="2"/>
      <c r="CH48" s="0" t="n">
        <v>8</v>
      </c>
    </row>
    <row r="49" customFormat="false" ht="12.75" hidden="false" customHeight="false" outlineLevel="0" collapsed="false">
      <c r="A49" s="64" t="str">
        <f aca="false">+TSPT_COT!A39</f>
        <v>     Sub-Total</v>
      </c>
      <c r="B49" s="69"/>
      <c r="C49" s="70" t="n">
        <f aca="false">TSPT_COT!AS39</f>
        <v>6604681</v>
      </c>
      <c r="E49" s="82" t="n">
        <f aca="false">TSPT_COT!AU39</f>
        <v>213054</v>
      </c>
      <c r="G49" s="71" t="n">
        <f aca="false">IF(I49=0,0,I49/C49)</f>
        <v>0.18115906279198</v>
      </c>
      <c r="I49" s="83" t="n">
        <f aca="false">TSPT_COT!AY39</f>
        <v>1196497.82</v>
      </c>
      <c r="K49" s="83" t="n">
        <f aca="false">TSPT_COT!BA39</f>
        <v>20678.54</v>
      </c>
      <c r="M49" s="83" t="n">
        <f aca="false">TSPT_COT!BC39</f>
        <v>1217176.36</v>
      </c>
      <c r="O49" s="84" t="n">
        <f aca="false">TSPT_COT!BE39</f>
        <v>1217</v>
      </c>
      <c r="P49" s="69"/>
      <c r="Q49" s="72" t="n">
        <f aca="false">SUM(Q45:Q48)</f>
        <v>65683175</v>
      </c>
      <c r="R49" s="69"/>
      <c r="S49" s="72" t="n">
        <f aca="false">SUM(S45:S48)</f>
        <v>179953</v>
      </c>
      <c r="T49" s="69"/>
      <c r="U49" s="71" t="n">
        <f aca="false">IF(W49=0,0,W49/Q49)</f>
        <v>0.237042105836084</v>
      </c>
      <c r="V49" s="69"/>
      <c r="W49" s="73" t="n">
        <f aca="false">SUM(W44:W48)</f>
        <v>15569678.12</v>
      </c>
      <c r="X49" s="74"/>
      <c r="Y49" s="73" t="n">
        <f aca="false">SUM(Y44:Y48)</f>
        <v>198975.47</v>
      </c>
      <c r="Z49" s="74"/>
      <c r="AA49" s="73" t="n">
        <f aca="false">SUM(AA44:AA48)</f>
        <v>15768653.59</v>
      </c>
      <c r="AB49" s="69"/>
      <c r="AC49" s="75" t="n">
        <f aca="false">SUM(AC44:AC48)</f>
        <v>15769</v>
      </c>
      <c r="AD49" s="69"/>
      <c r="AE49" s="76"/>
      <c r="AF49" s="76"/>
      <c r="AG49" s="76"/>
      <c r="AH49" s="76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77"/>
      <c r="AV49" s="69"/>
      <c r="AW49" s="78"/>
      <c r="AX49" s="69"/>
      <c r="AY49" s="78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79"/>
      <c r="BN49" s="69"/>
      <c r="BO49" s="64"/>
      <c r="BP49" s="69"/>
      <c r="BQ49" s="69"/>
      <c r="BR49" s="69"/>
      <c r="BS49" s="64"/>
      <c r="BT49" s="69"/>
      <c r="BU49" s="64" t="s">
        <v>28</v>
      </c>
      <c r="BV49" s="0" t="n">
        <v>59078494</v>
      </c>
      <c r="BW49" s="76"/>
      <c r="BX49" s="0" t="n">
        <v>176882</v>
      </c>
      <c r="BY49" s="76"/>
      <c r="BZ49" s="0" t="n">
        <v>0.243289551355185</v>
      </c>
      <c r="CA49" s="76"/>
      <c r="CB49" s="0" t="n">
        <v>14373180.3</v>
      </c>
      <c r="CC49" s="80"/>
      <c r="CD49" s="0" t="n">
        <v>178296.93</v>
      </c>
      <c r="CE49" s="80"/>
      <c r="CF49" s="0" t="n">
        <v>14551477.23</v>
      </c>
      <c r="CG49" s="81"/>
      <c r="CH49" s="0" t="n">
        <v>13487</v>
      </c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</row>
    <row r="50" customFormat="false" ht="12.75" hidden="false" customHeight="false" outlineLevel="0" collapsed="false">
      <c r="A50" s="24"/>
      <c r="C50" s="40"/>
      <c r="E50" s="53"/>
      <c r="G50" s="42"/>
      <c r="O50" s="54"/>
      <c r="Q50" s="41"/>
      <c r="S50" s="32"/>
      <c r="U50" s="42"/>
      <c r="AE50" s="32"/>
      <c r="AF50" s="32"/>
      <c r="AG50" s="32"/>
      <c r="AH50" s="32"/>
      <c r="AU50" s="29"/>
      <c r="AW50" s="30"/>
      <c r="AY50" s="30"/>
      <c r="BM50" s="31"/>
      <c r="BO50" s="13"/>
      <c r="BS50" s="13"/>
      <c r="BU50" s="24"/>
      <c r="BW50" s="32"/>
      <c r="BY50" s="32"/>
      <c r="CA50" s="32"/>
      <c r="CC50" s="34"/>
      <c r="CE50" s="34"/>
      <c r="CF50" s="0"/>
      <c r="CG50" s="2"/>
    </row>
    <row r="51" customFormat="false" ht="12.75" hidden="false" customHeight="false" outlineLevel="0" collapsed="false">
      <c r="A51" s="24" t="str">
        <f aca="false">+TSPT_COT!A41</f>
        <v>   Demand</v>
      </c>
      <c r="C51" s="40" t="n">
        <f aca="false">TSPT_COT!AS41</f>
        <v>40300</v>
      </c>
      <c r="E51" s="53" t="n">
        <f aca="false">TSPT_COT!AU41</f>
        <v>1300</v>
      </c>
      <c r="G51" s="42" t="n">
        <f aca="false">IF(I51=0,0,I51/C51)</f>
        <v>0.2289</v>
      </c>
      <c r="I51" s="65" t="n">
        <f aca="false">TSPT_COT!AY41</f>
        <v>9224.67</v>
      </c>
      <c r="K51" s="65" t="n">
        <f aca="false">TSPT_COT!BA41</f>
        <v>120.9</v>
      </c>
      <c r="M51" s="65" t="n">
        <f aca="false">TSPT_COT!BC41</f>
        <v>9345.57</v>
      </c>
      <c r="O51" s="54" t="n">
        <f aca="false">TSPT_COT!BE41</f>
        <v>9</v>
      </c>
      <c r="Q51" s="41" t="n">
        <f aca="false">+C51+BV51</f>
        <v>1388500</v>
      </c>
      <c r="S51" s="32" t="n">
        <f aca="false">ROUND(Q51/SLS_COS!$AZ$3,0)</f>
        <v>3804</v>
      </c>
      <c r="U51" s="42" t="n">
        <f aca="false">IF(W51=0,0,W51/Q51)</f>
        <v>0.0819549801944545</v>
      </c>
      <c r="W51" s="5" t="n">
        <f aca="false">+I51+CB51</f>
        <v>113794.49</v>
      </c>
      <c r="Y51" s="5" t="n">
        <f aca="false">+K51+CD51</f>
        <v>40287.9</v>
      </c>
      <c r="AA51" s="5" t="n">
        <f aca="false">+M51+CF51</f>
        <v>154082.39</v>
      </c>
      <c r="AC51" s="6" t="n">
        <f aca="false">ROUND(AA51/1000,0)</f>
        <v>154</v>
      </c>
      <c r="AE51" s="32"/>
      <c r="AF51" s="32"/>
      <c r="AG51" s="32"/>
      <c r="AH51" s="32"/>
      <c r="AU51" s="29"/>
      <c r="AW51" s="30"/>
      <c r="AY51" s="30"/>
      <c r="BM51" s="31"/>
      <c r="BO51" s="13"/>
      <c r="BS51" s="13"/>
      <c r="BU51" s="24" t="s">
        <v>24</v>
      </c>
      <c r="BV51" s="0" t="n">
        <v>1348200</v>
      </c>
      <c r="BW51" s="32"/>
      <c r="BX51" s="0" t="n">
        <v>4037</v>
      </c>
      <c r="BY51" s="32"/>
      <c r="BZ51" s="0" t="n">
        <v>0.0775625426494585</v>
      </c>
      <c r="CA51" s="32"/>
      <c r="CB51" s="0" t="n">
        <v>104569.82</v>
      </c>
      <c r="CC51" s="34"/>
      <c r="CD51" s="0" t="n">
        <v>40167</v>
      </c>
      <c r="CE51" s="34"/>
      <c r="CF51" s="0" t="n">
        <v>144736.82</v>
      </c>
      <c r="CG51" s="2"/>
      <c r="CH51" s="0" t="n">
        <v>114</v>
      </c>
    </row>
    <row r="52" customFormat="false" ht="12.75" hidden="false" customHeight="false" outlineLevel="0" collapsed="false">
      <c r="A52" s="24" t="str">
        <f aca="false">+TSPT_COT!A42</f>
        <v>   FT-West of Thoreau</v>
      </c>
      <c r="C52" s="40" t="n">
        <f aca="false">TSPT_COT!AS42</f>
        <v>40300</v>
      </c>
      <c r="E52" s="53" t="n">
        <f aca="false">TSPT_COT!AU42</f>
        <v>1300</v>
      </c>
      <c r="G52" s="42" t="n">
        <f aca="false">IF(I52=0,0,I52/C52)</f>
        <v>0.0153</v>
      </c>
      <c r="I52" s="65" t="n">
        <f aca="false">TSPT_COT!AY42</f>
        <v>616.59</v>
      </c>
      <c r="K52" s="65" t="n">
        <f aca="false">TSPT_COT!BA42</f>
        <v>366.73</v>
      </c>
      <c r="M52" s="65" t="n">
        <f aca="false">TSPT_COT!BC42</f>
        <v>983.32</v>
      </c>
      <c r="O52" s="54" t="n">
        <f aca="false">TSPT_COT!BE42</f>
        <v>1</v>
      </c>
      <c r="Q52" s="41" t="n">
        <f aca="false">+C52+BV52</f>
        <v>483054</v>
      </c>
      <c r="S52" s="32" t="n">
        <f aca="false">ROUND(Q52/SLS_COS!$AZ$3,0)</f>
        <v>1323</v>
      </c>
      <c r="U52" s="42" t="n">
        <f aca="false">IF(W52=0,0,W52/Q52)</f>
        <v>0.0153000285682346</v>
      </c>
      <c r="W52" s="5" t="n">
        <f aca="false">+I52+CB52</f>
        <v>7390.74</v>
      </c>
      <c r="Y52" s="5" t="n">
        <f aca="false">+K52+CD52</f>
        <v>2488.24</v>
      </c>
      <c r="AA52" s="5" t="n">
        <f aca="false">+M52+CF52</f>
        <v>9878.98</v>
      </c>
      <c r="AC52" s="6" t="n">
        <f aca="false">ROUND(AA52/1000,0)</f>
        <v>10</v>
      </c>
      <c r="AE52" s="32"/>
      <c r="AF52" s="32"/>
      <c r="AG52" s="32"/>
      <c r="AH52" s="32"/>
      <c r="AU52" s="29"/>
      <c r="AW52" s="30"/>
      <c r="AY52" s="30"/>
      <c r="BM52" s="31"/>
      <c r="BO52" s="13"/>
      <c r="BS52" s="13"/>
      <c r="BU52" s="24" t="s">
        <v>41</v>
      </c>
      <c r="BV52" s="0" t="n">
        <v>442754</v>
      </c>
      <c r="BW52" s="32"/>
      <c r="BX52" s="0" t="n">
        <v>1326</v>
      </c>
      <c r="BY52" s="32"/>
      <c r="BZ52" s="0" t="n">
        <v>0.0153000311685496</v>
      </c>
      <c r="CA52" s="32"/>
      <c r="CB52" s="0" t="n">
        <v>6774.15</v>
      </c>
      <c r="CC52" s="34"/>
      <c r="CD52" s="0" t="n">
        <v>2121.51</v>
      </c>
      <c r="CE52" s="34"/>
      <c r="CF52" s="0" t="n">
        <v>8895.66</v>
      </c>
      <c r="CG52" s="2"/>
      <c r="CH52" s="0" t="n">
        <v>7</v>
      </c>
    </row>
    <row r="53" customFormat="false" ht="12.75" hidden="false" customHeight="false" outlineLevel="0" collapsed="false">
      <c r="A53" s="24" t="str">
        <f aca="false">+TSPT_COT!A43</f>
        <v>   FR-West of Thoreau</v>
      </c>
      <c r="C53" s="40" t="n">
        <f aca="false">TSPT_COT!AS43</f>
        <v>0</v>
      </c>
      <c r="E53" s="53" t="n">
        <f aca="false">TSPT_COT!AU43</f>
        <v>0</v>
      </c>
      <c r="G53" s="42" t="n">
        <f aca="false">IF(I53=0,0,I53/C53)</f>
        <v>0</v>
      </c>
      <c r="I53" s="65" t="n">
        <f aca="false">TSPT_COT!AY43</f>
        <v>0</v>
      </c>
      <c r="K53" s="65" t="n">
        <f aca="false">TSPT_COT!BA43</f>
        <v>0</v>
      </c>
      <c r="M53" s="65" t="n">
        <f aca="false">TSPT_COT!BC43</f>
        <v>0</v>
      </c>
      <c r="O53" s="54" t="n">
        <f aca="false">TSPT_COT!BE43</f>
        <v>0</v>
      </c>
      <c r="Q53" s="41" t="n">
        <f aca="false">+C53+BV53</f>
        <v>0</v>
      </c>
      <c r="S53" s="32" t="n">
        <f aca="false">ROUND(Q53/SLS_COS!$AZ$3,0)</f>
        <v>0</v>
      </c>
      <c r="U53" s="42" t="n">
        <f aca="false">IF(W53=0,0,W53/Q53)</f>
        <v>0</v>
      </c>
      <c r="W53" s="5" t="n">
        <f aca="false">+I53+CB53</f>
        <v>0</v>
      </c>
      <c r="Y53" s="5" t="n">
        <f aca="false">+K53+CD53</f>
        <v>0</v>
      </c>
      <c r="AA53" s="5" t="n">
        <f aca="false">+M53+CF53</f>
        <v>0</v>
      </c>
      <c r="AC53" s="6" t="n">
        <f aca="false">ROUND(AA53/1000,0)</f>
        <v>0</v>
      </c>
      <c r="AE53" s="32"/>
      <c r="AF53" s="32"/>
      <c r="AG53" s="32"/>
      <c r="AH53" s="32"/>
      <c r="AU53" s="29"/>
      <c r="AW53" s="30"/>
      <c r="AY53" s="30"/>
      <c r="BM53" s="31"/>
      <c r="BO53" s="13"/>
      <c r="BS53" s="13"/>
      <c r="BU53" s="24" t="s">
        <v>42</v>
      </c>
      <c r="BV53" s="0" t="n">
        <v>0</v>
      </c>
      <c r="BW53" s="32"/>
      <c r="BX53" s="0" t="n">
        <v>0</v>
      </c>
      <c r="BY53" s="32"/>
      <c r="BZ53" s="0" t="n">
        <v>0</v>
      </c>
      <c r="CA53" s="32"/>
      <c r="CB53" s="0" t="n">
        <v>0</v>
      </c>
      <c r="CC53" s="34"/>
      <c r="CD53" s="0" t="n">
        <v>0</v>
      </c>
      <c r="CE53" s="34"/>
      <c r="CF53" s="0" t="n">
        <v>0</v>
      </c>
      <c r="CG53" s="2"/>
      <c r="CH53" s="0" t="n">
        <v>0</v>
      </c>
    </row>
    <row r="54" customFormat="false" ht="12.75" hidden="false" customHeight="false" outlineLevel="0" collapsed="false">
      <c r="A54" s="24" t="str">
        <f aca="false">+TSPT_COT!A44</f>
        <v>   LFT-West of Thoreau</v>
      </c>
      <c r="C54" s="40" t="n">
        <f aca="false">TSPT_COT!AS44</f>
        <v>0</v>
      </c>
      <c r="E54" s="53" t="n">
        <f aca="false">TSPT_COT!AU44</f>
        <v>0</v>
      </c>
      <c r="G54" s="42" t="n">
        <f aca="false">IF(I54=0,0,I54/C54)</f>
        <v>0</v>
      </c>
      <c r="I54" s="65" t="n">
        <f aca="false">TSPT_COT!AY44</f>
        <v>0</v>
      </c>
      <c r="K54" s="65" t="n">
        <f aca="false">TSPT_COT!BA44</f>
        <v>0</v>
      </c>
      <c r="M54" s="65" t="n">
        <f aca="false">TSPT_COT!BC44</f>
        <v>0</v>
      </c>
      <c r="O54" s="54" t="n">
        <f aca="false">TSPT_COT!BE44</f>
        <v>0</v>
      </c>
      <c r="Q54" s="41" t="n">
        <f aca="false">+C54+BV54</f>
        <v>0</v>
      </c>
      <c r="S54" s="32" t="n">
        <f aca="false">ROUND(Q54/SLS_COS!$AZ$3,0)</f>
        <v>0</v>
      </c>
      <c r="U54" s="42" t="n">
        <f aca="false">IF(W54=0,0,W54/Q54)</f>
        <v>0</v>
      </c>
      <c r="W54" s="5" t="n">
        <f aca="false">+I54+CB54</f>
        <v>0</v>
      </c>
      <c r="Y54" s="5" t="n">
        <f aca="false">+K54+CD54</f>
        <v>0</v>
      </c>
      <c r="AA54" s="5" t="n">
        <f aca="false">+M54+CF54</f>
        <v>0</v>
      </c>
      <c r="AC54" s="6" t="n">
        <f aca="false">ROUND(AA54/1000,0)</f>
        <v>0</v>
      </c>
      <c r="AE54" s="32"/>
      <c r="AF54" s="32"/>
      <c r="AG54" s="32"/>
      <c r="AH54" s="32"/>
      <c r="AU54" s="29"/>
      <c r="AW54" s="30"/>
      <c r="AY54" s="30"/>
      <c r="BM54" s="31"/>
      <c r="BO54" s="13"/>
      <c r="BS54" s="13"/>
      <c r="BU54" s="24"/>
      <c r="BV54" s="0" t="n">
        <v>0</v>
      </c>
      <c r="BW54" s="32"/>
      <c r="BX54" s="0" t="n">
        <v>0</v>
      </c>
      <c r="BY54" s="32"/>
      <c r="BZ54" s="0" t="n">
        <v>0</v>
      </c>
      <c r="CA54" s="32"/>
      <c r="CB54" s="0" t="n">
        <v>0</v>
      </c>
      <c r="CC54" s="34"/>
      <c r="CD54" s="0" t="n">
        <v>0</v>
      </c>
      <c r="CE54" s="34"/>
      <c r="CF54" s="0" t="n">
        <v>0</v>
      </c>
      <c r="CG54" s="2"/>
      <c r="CH54" s="0" t="n">
        <v>0</v>
      </c>
    </row>
    <row r="55" customFormat="false" ht="12.75" hidden="false" customHeight="false" outlineLevel="0" collapsed="false">
      <c r="A55" s="24" t="str">
        <f aca="false">+TSPT_COT!A45</f>
        <v>   IT-West of Thoreau</v>
      </c>
      <c r="C55" s="99" t="n">
        <f aca="false">TSPT_COT!AS45</f>
        <v>151233</v>
      </c>
      <c r="E55" s="66" t="n">
        <f aca="false">TSPT_COT!AU45</f>
        <v>4878</v>
      </c>
      <c r="G55" s="42" t="n">
        <f aca="false">IF(I55=0,0,I55/C55)</f>
        <v>0.254387865082356</v>
      </c>
      <c r="I55" s="67" t="n">
        <f aca="false">TSPT_COT!AY45</f>
        <v>38471.84</v>
      </c>
      <c r="K55" s="67" t="n">
        <f aca="false">TSPT_COT!BA45</f>
        <v>1271.7</v>
      </c>
      <c r="M55" s="67" t="n">
        <f aca="false">TSPT_COT!BC45</f>
        <v>39743.54</v>
      </c>
      <c r="O55" s="68" t="n">
        <f aca="false">TSPT_COT!BE45</f>
        <v>40</v>
      </c>
      <c r="Q55" s="41" t="n">
        <f aca="false">+C55+BV55</f>
        <v>16112229</v>
      </c>
      <c r="S55" s="32" t="n">
        <f aca="false">ROUND(Q55/SLS_COS!$AZ$3,0)</f>
        <v>44143</v>
      </c>
      <c r="U55" s="42" t="n">
        <f aca="false">IF(W55=0,0,W55/Q55)</f>
        <v>0.349481878019484</v>
      </c>
      <c r="W55" s="5" t="n">
        <f aca="false">+I55+CB55</f>
        <v>5630932.05</v>
      </c>
      <c r="Y55" s="5" t="n">
        <f aca="false">+K55+CD55</f>
        <v>76582.35</v>
      </c>
      <c r="AA55" s="5" t="n">
        <f aca="false">+M55+CF55</f>
        <v>5707514.4</v>
      </c>
      <c r="AC55" s="6" t="n">
        <f aca="false">ROUND(AA55/1000,0)</f>
        <v>5708</v>
      </c>
      <c r="AE55" s="32"/>
      <c r="AF55" s="32"/>
      <c r="AG55" s="32"/>
      <c r="AH55" s="32"/>
      <c r="AU55" s="29"/>
      <c r="AW55" s="30"/>
      <c r="AY55" s="30"/>
      <c r="BM55" s="31"/>
      <c r="BO55" s="13"/>
      <c r="BS55" s="13"/>
      <c r="BU55" s="24" t="s">
        <v>43</v>
      </c>
      <c r="BV55" s="0" t="n">
        <v>15960996</v>
      </c>
      <c r="BW55" s="32"/>
      <c r="BX55" s="0" t="n">
        <v>47787</v>
      </c>
      <c r="BY55" s="32"/>
      <c r="BZ55" s="0" t="n">
        <v>0.350382909061565</v>
      </c>
      <c r="CA55" s="32"/>
      <c r="CB55" s="0" t="n">
        <v>5592460.21</v>
      </c>
      <c r="CC55" s="34"/>
      <c r="CD55" s="0" t="n">
        <v>75310.65</v>
      </c>
      <c r="CE55" s="34"/>
      <c r="CF55" s="0" t="n">
        <v>5667770.86</v>
      </c>
      <c r="CG55" s="2"/>
      <c r="CH55" s="0" t="n">
        <v>5586</v>
      </c>
    </row>
    <row r="56" customFormat="false" ht="12.75" hidden="false" customHeight="false" outlineLevel="0" collapsed="false">
      <c r="A56" s="64" t="str">
        <f aca="false">+TSPT_COT!A46</f>
        <v>     Sub-Total</v>
      </c>
      <c r="B56" s="69"/>
      <c r="C56" s="40" t="n">
        <f aca="false">TSPT_COT!AS46</f>
        <v>191533</v>
      </c>
      <c r="E56" s="53" t="n">
        <f aca="false">TSPT_COT!AU46</f>
        <v>6178</v>
      </c>
      <c r="G56" s="71" t="n">
        <f aca="false">IF(I56=0,0,I56/C56)</f>
        <v>0.252244260780127</v>
      </c>
      <c r="I56" s="65" t="n">
        <f aca="false">TSPT_COT!AY46</f>
        <v>48313.1</v>
      </c>
      <c r="K56" s="65" t="n">
        <f aca="false">TSPT_COT!BA46</f>
        <v>1759.33</v>
      </c>
      <c r="M56" s="65" t="n">
        <f aca="false">TSPT_COT!BC46</f>
        <v>50072.43</v>
      </c>
      <c r="O56" s="54" t="n">
        <f aca="false">TSPT_COT!BE46</f>
        <v>50</v>
      </c>
      <c r="P56" s="69"/>
      <c r="Q56" s="72" t="n">
        <f aca="false">SUM(Q52:Q55)</f>
        <v>16595283</v>
      </c>
      <c r="R56" s="69"/>
      <c r="S56" s="72" t="n">
        <f aca="false">SUM(S52:S55)</f>
        <v>45466</v>
      </c>
      <c r="T56" s="69"/>
      <c r="U56" s="71" t="n">
        <f aca="false">IF(W56=0,0,W56/Q56)</f>
        <v>0.34661158113423</v>
      </c>
      <c r="V56" s="69"/>
      <c r="W56" s="73" t="n">
        <f aca="false">SUM(W51:W55)</f>
        <v>5752117.28</v>
      </c>
      <c r="X56" s="74"/>
      <c r="Y56" s="73" t="n">
        <f aca="false">SUM(Y51:Y55)</f>
        <v>119358.49</v>
      </c>
      <c r="Z56" s="74"/>
      <c r="AA56" s="73" t="n">
        <f aca="false">SUM(AA51:AA55)</f>
        <v>5871475.77</v>
      </c>
      <c r="AB56" s="69"/>
      <c r="AC56" s="75" t="n">
        <f aca="false">SUM(AC51:AC55)</f>
        <v>5872</v>
      </c>
      <c r="AD56" s="69"/>
      <c r="AE56" s="76"/>
      <c r="AF56" s="76"/>
      <c r="AG56" s="76"/>
      <c r="AH56" s="76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77"/>
      <c r="AV56" s="69"/>
      <c r="AW56" s="78"/>
      <c r="AX56" s="69"/>
      <c r="AY56" s="78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79"/>
      <c r="BN56" s="69"/>
      <c r="BO56" s="64"/>
      <c r="BP56" s="69"/>
      <c r="BQ56" s="69"/>
      <c r="BR56" s="69"/>
      <c r="BS56" s="64"/>
      <c r="BT56" s="69"/>
      <c r="BU56" s="64" t="s">
        <v>28</v>
      </c>
      <c r="BV56" s="0" t="n">
        <v>16403750</v>
      </c>
      <c r="BW56" s="76"/>
      <c r="BX56" s="0" t="n">
        <v>49113</v>
      </c>
      <c r="BY56" s="76"/>
      <c r="BZ56" s="0" t="n">
        <v>0.347713430160786</v>
      </c>
      <c r="CA56" s="76"/>
      <c r="CB56" s="0" t="n">
        <v>5703804.18</v>
      </c>
      <c r="CC56" s="80"/>
      <c r="CD56" s="0" t="n">
        <v>117599.16</v>
      </c>
      <c r="CE56" s="80"/>
      <c r="CF56" s="0" t="n">
        <v>5821403.34</v>
      </c>
      <c r="CG56" s="81"/>
      <c r="CH56" s="0" t="n">
        <v>5707</v>
      </c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</row>
    <row r="57" customFormat="false" ht="12.75" hidden="false" customHeight="false" outlineLevel="0" collapsed="false">
      <c r="A57" s="64"/>
      <c r="B57" s="69"/>
      <c r="C57" s="40"/>
      <c r="D57" s="69"/>
      <c r="E57" s="100"/>
      <c r="F57" s="69"/>
      <c r="G57" s="101"/>
      <c r="H57" s="69"/>
      <c r="I57" s="67"/>
      <c r="N57" s="69"/>
      <c r="O57" s="102"/>
      <c r="P57" s="69"/>
      <c r="Q57" s="103"/>
      <c r="R57" s="69"/>
      <c r="S57" s="76"/>
      <c r="T57" s="69"/>
      <c r="U57" s="101"/>
      <c r="V57" s="69"/>
      <c r="W57" s="74"/>
      <c r="X57" s="74"/>
      <c r="Y57" s="74"/>
      <c r="Z57" s="74"/>
      <c r="AA57" s="74"/>
      <c r="AB57" s="69"/>
      <c r="AC57" s="104"/>
      <c r="AD57" s="69"/>
      <c r="AE57" s="76"/>
      <c r="AF57" s="76"/>
      <c r="AG57" s="76"/>
      <c r="AH57" s="76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77"/>
      <c r="AV57" s="69"/>
      <c r="AW57" s="78"/>
      <c r="AX57" s="69"/>
      <c r="AY57" s="78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79"/>
      <c r="BN57" s="69"/>
      <c r="BO57" s="64"/>
      <c r="BP57" s="69"/>
      <c r="BQ57" s="69"/>
      <c r="BR57" s="69"/>
      <c r="BS57" s="64"/>
      <c r="BT57" s="69"/>
      <c r="BU57" s="64"/>
      <c r="BW57" s="76"/>
      <c r="BY57" s="76"/>
      <c r="CA57" s="76"/>
      <c r="CC57" s="80"/>
      <c r="CE57" s="80"/>
      <c r="CF57" s="0"/>
      <c r="CG57" s="81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</row>
    <row r="58" customFormat="false" ht="12.75" hidden="false" customHeight="false" outlineLevel="0" collapsed="false">
      <c r="A58" s="64" t="str">
        <f aca="false">+TSPT_COT!A48</f>
        <v>     Total West</v>
      </c>
      <c r="B58" s="69"/>
      <c r="C58" s="105" t="n">
        <f aca="false">TSPT_COT!AS48</f>
        <v>32483717</v>
      </c>
      <c r="D58" s="69"/>
      <c r="E58" s="106" t="n">
        <f aca="false">TSPT_COT!AU48</f>
        <v>1047864</v>
      </c>
      <c r="F58" s="69"/>
      <c r="G58" s="107" t="n">
        <f aca="false">IF(I58=0,0,I58/C58)</f>
        <v>0.262777709521358</v>
      </c>
      <c r="H58" s="69"/>
      <c r="I58" s="108" t="n">
        <f aca="false">TSPT_COT!AY48</f>
        <v>8535996.75</v>
      </c>
      <c r="J58" s="74"/>
      <c r="K58" s="73" t="n">
        <f aca="false">TSPT_COT!BA48</f>
        <v>341868.48</v>
      </c>
      <c r="L58" s="74"/>
      <c r="M58" s="73" t="n">
        <f aca="false">TSPT_COT!BC48</f>
        <v>8877865.23</v>
      </c>
      <c r="N58" s="69"/>
      <c r="O58" s="75" t="n">
        <f aca="false">TSPT_COT!BE48</f>
        <v>8877</v>
      </c>
      <c r="P58" s="69"/>
      <c r="Q58" s="72" t="n">
        <f aca="false">+Q56+Q49+Q42+Q35+Q28</f>
        <v>388736743</v>
      </c>
      <c r="R58" s="69"/>
      <c r="S58" s="72" t="n">
        <f aca="false">+S56+S49+S42+S35+S28</f>
        <v>1689658</v>
      </c>
      <c r="T58" s="69"/>
      <c r="U58" s="107" t="n">
        <f aca="false">IF(W58=0,0,W58/Q58)</f>
        <v>0.266998194405307</v>
      </c>
      <c r="V58" s="69"/>
      <c r="W58" s="73" t="n">
        <f aca="false">+W56+W49+W42+W35+W28</f>
        <v>103792008.48</v>
      </c>
      <c r="X58" s="74"/>
      <c r="Y58" s="73" t="n">
        <f aca="false">+Y56+Y49+Y42+Y35+Y28</f>
        <v>14765138.13</v>
      </c>
      <c r="Z58" s="74"/>
      <c r="AA58" s="73" t="n">
        <f aca="false">+AA56+AA49+AA42+AA35+AA28</f>
        <v>118557146.61</v>
      </c>
      <c r="AB58" s="69"/>
      <c r="AC58" s="75" t="n">
        <f aca="false">+AC56+AC49+AC42+AC35+AC28</f>
        <v>118240</v>
      </c>
      <c r="AD58" s="69"/>
      <c r="AE58" s="76"/>
      <c r="AF58" s="76"/>
      <c r="AG58" s="76"/>
      <c r="AH58" s="76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77"/>
      <c r="AV58" s="69"/>
      <c r="AW58" s="78"/>
      <c r="AX58" s="69"/>
      <c r="AY58" s="78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79"/>
      <c r="BN58" s="69"/>
      <c r="BO58" s="64"/>
      <c r="BP58" s="69"/>
      <c r="BQ58" s="69"/>
      <c r="BR58" s="69"/>
      <c r="BS58" s="64"/>
      <c r="BT58" s="69"/>
      <c r="BU58" s="64" t="s">
        <v>44</v>
      </c>
      <c r="BV58" s="0" t="n">
        <v>352054026</v>
      </c>
      <c r="BW58" s="76"/>
      <c r="BX58" s="0" t="n">
        <v>1618978</v>
      </c>
      <c r="BY58" s="76"/>
      <c r="BZ58" s="0" t="n">
        <v>0.270568850730882</v>
      </c>
      <c r="CA58" s="76"/>
      <c r="CB58" s="0" t="n">
        <v>95254853.21</v>
      </c>
      <c r="CC58" s="80"/>
      <c r="CD58" s="0" t="n">
        <v>14423269.65</v>
      </c>
      <c r="CE58" s="80"/>
      <c r="CF58" s="0" t="n">
        <v>109678122.86</v>
      </c>
      <c r="CG58" s="81"/>
      <c r="CH58" s="0" t="n">
        <v>101242</v>
      </c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</row>
    <row r="59" customFormat="false" ht="12.75" hidden="false" customHeight="false" outlineLevel="0" collapsed="false">
      <c r="A59" s="24"/>
      <c r="C59" s="40"/>
      <c r="E59" s="53"/>
      <c r="G59" s="42"/>
      <c r="O59" s="54"/>
      <c r="Q59" s="41"/>
      <c r="S59" s="32"/>
      <c r="U59" s="42"/>
      <c r="AE59" s="32"/>
      <c r="AF59" s="32"/>
      <c r="AG59" s="32"/>
      <c r="AH59" s="32"/>
      <c r="AU59" s="29"/>
      <c r="AW59" s="30"/>
      <c r="AY59" s="30"/>
      <c r="BM59" s="31"/>
      <c r="BO59" s="13"/>
      <c r="BS59" s="13"/>
      <c r="BU59" s="24"/>
      <c r="BW59" s="32"/>
      <c r="BY59" s="32"/>
      <c r="CA59" s="32"/>
      <c r="CC59" s="34"/>
      <c r="CE59" s="34"/>
      <c r="CF59" s="0"/>
      <c r="CG59" s="2"/>
    </row>
    <row r="60" customFormat="false" ht="12.75" hidden="false" customHeight="false" outlineLevel="0" collapsed="false">
      <c r="A60" s="64" t="str">
        <f aca="false">+TSPT_COT!A50</f>
        <v>East</v>
      </c>
      <c r="C60" s="40"/>
      <c r="E60" s="53"/>
      <c r="G60" s="42"/>
      <c r="O60" s="54"/>
      <c r="Q60" s="41"/>
      <c r="S60" s="32"/>
      <c r="U60" s="42"/>
      <c r="AE60" s="32"/>
      <c r="AF60" s="32"/>
      <c r="AG60" s="32"/>
      <c r="AH60" s="32"/>
      <c r="AU60" s="29"/>
      <c r="AW60" s="30"/>
      <c r="AY60" s="30"/>
      <c r="BM60" s="31"/>
      <c r="BO60" s="13"/>
      <c r="BS60" s="13"/>
      <c r="BU60" s="24" t="s">
        <v>45</v>
      </c>
      <c r="BW60" s="32"/>
      <c r="BY60" s="32"/>
      <c r="CA60" s="32"/>
      <c r="CC60" s="34"/>
      <c r="CE60" s="34"/>
      <c r="CF60" s="0"/>
      <c r="CG60" s="2"/>
    </row>
    <row r="61" customFormat="false" ht="12.75" hidden="false" customHeight="false" outlineLevel="0" collapsed="false">
      <c r="A61" s="24" t="str">
        <f aca="false">+TSPT_COT!A51</f>
        <v>   Demand</v>
      </c>
      <c r="C61" s="40" t="n">
        <f aca="false">TSPT_COT!AS51</f>
        <v>2480000</v>
      </c>
      <c r="E61" s="53" t="n">
        <f aca="false">TSPT_COT!AU51</f>
        <v>80000</v>
      </c>
      <c r="G61" s="42" t="n">
        <f aca="false">IF(I61=0,0,I61/C61)</f>
        <v>0.025</v>
      </c>
      <c r="I61" s="65" t="n">
        <f aca="false">TSPT_COT!AY51</f>
        <v>62000</v>
      </c>
      <c r="K61" s="65" t="n">
        <f aca="false">TSPT_COT!BA51</f>
        <v>0</v>
      </c>
      <c r="M61" s="65" t="n">
        <f aca="false">TSPT_COT!BC51</f>
        <v>62000</v>
      </c>
      <c r="O61" s="54" t="n">
        <f aca="false">TSPT_COT!BE51</f>
        <v>62</v>
      </c>
      <c r="Q61" s="41" t="n">
        <f aca="false">+C61+BV61</f>
        <v>28960000</v>
      </c>
      <c r="S61" s="32" t="n">
        <f aca="false">ROUND(Q61/SLS_COS!$AZ$3,0)</f>
        <v>79342</v>
      </c>
      <c r="U61" s="42" t="n">
        <f aca="false">IF(W61=0,0,W61/Q61)</f>
        <v>0.0132084944751381</v>
      </c>
      <c r="W61" s="5" t="n">
        <f aca="false">+I61+CB61</f>
        <v>382518</v>
      </c>
      <c r="Y61" s="5" t="n">
        <f aca="false">+K61+CD61</f>
        <v>0</v>
      </c>
      <c r="AA61" s="5" t="n">
        <f aca="false">+M61+CF61</f>
        <v>382518</v>
      </c>
      <c r="AC61" s="6" t="n">
        <f aca="false">ROUND(AA61/1000,0)</f>
        <v>383</v>
      </c>
      <c r="AE61" s="32"/>
      <c r="AF61" s="32"/>
      <c r="AG61" s="32"/>
      <c r="AH61" s="32"/>
      <c r="AU61" s="29"/>
      <c r="AW61" s="30"/>
      <c r="AY61" s="30"/>
      <c r="BM61" s="31"/>
      <c r="BO61" s="13"/>
      <c r="BS61" s="13"/>
      <c r="BU61" s="24" t="s">
        <v>24</v>
      </c>
      <c r="BV61" s="0" t="n">
        <v>26480000</v>
      </c>
      <c r="BW61" s="32"/>
      <c r="BX61" s="0" t="n">
        <v>79281</v>
      </c>
      <c r="BY61" s="32"/>
      <c r="BZ61" s="0" t="n">
        <v>0.0121041540785499</v>
      </c>
      <c r="CA61" s="32"/>
      <c r="CB61" s="0" t="n">
        <v>320518</v>
      </c>
      <c r="CC61" s="34"/>
      <c r="CD61" s="0" t="n">
        <v>0</v>
      </c>
      <c r="CE61" s="34"/>
      <c r="CF61" s="0" t="n">
        <v>320518</v>
      </c>
      <c r="CG61" s="2"/>
      <c r="CH61" s="0" t="n">
        <v>261</v>
      </c>
    </row>
    <row r="62" customFormat="false" ht="12.75" hidden="false" customHeight="false" outlineLevel="0" collapsed="false">
      <c r="A62" s="24" t="str">
        <f aca="false">+TSPT_COT!A52</f>
        <v>   FT-West of Thoreau/Window Rock</v>
      </c>
      <c r="C62" s="40" t="n">
        <f aca="false">TSPT_COT!AS52</f>
        <v>0</v>
      </c>
      <c r="E62" s="53" t="n">
        <f aca="false">TSPT_COT!AU52</f>
        <v>0</v>
      </c>
      <c r="G62" s="42" t="n">
        <f aca="false">IF(I62=0,0,I62/C62)</f>
        <v>0</v>
      </c>
      <c r="I62" s="65" t="n">
        <f aca="false">TSPT_COT!AY52</f>
        <v>0</v>
      </c>
      <c r="K62" s="65" t="n">
        <f aca="false">TSPT_COT!BA52</f>
        <v>0</v>
      </c>
      <c r="M62" s="65" t="n">
        <f aca="false">TSPT_COT!BC52</f>
        <v>0</v>
      </c>
      <c r="O62" s="54" t="n">
        <f aca="false">TSPT_COT!BE52</f>
        <v>0</v>
      </c>
      <c r="Q62" s="41" t="n">
        <f aca="false">+C62+BV62</f>
        <v>0</v>
      </c>
      <c r="S62" s="32" t="n">
        <f aca="false">ROUND(Q62/SLS_COS!$AZ$3,0)</f>
        <v>0</v>
      </c>
      <c r="U62" s="42" t="n">
        <f aca="false">IF(W62=0,0,W62/Q62)</f>
        <v>0</v>
      </c>
      <c r="W62" s="5" t="n">
        <f aca="false">+I62+CB62</f>
        <v>0</v>
      </c>
      <c r="Y62" s="5" t="n">
        <f aca="false">+K62+CD62</f>
        <v>0</v>
      </c>
      <c r="AA62" s="5" t="n">
        <f aca="false">+M62+CF62</f>
        <v>0</v>
      </c>
      <c r="AC62" s="6" t="n">
        <f aca="false">ROUND(AA62/1000,0)</f>
        <v>0</v>
      </c>
      <c r="AE62" s="32"/>
      <c r="AF62" s="32"/>
      <c r="AG62" s="32"/>
      <c r="AH62" s="32"/>
      <c r="AU62" s="29"/>
      <c r="AW62" s="30"/>
      <c r="AY62" s="30"/>
      <c r="BM62" s="31"/>
      <c r="BO62" s="13"/>
      <c r="BS62" s="13"/>
      <c r="BU62" s="24" t="s">
        <v>25</v>
      </c>
      <c r="BV62" s="0" t="n">
        <v>0</v>
      </c>
      <c r="BW62" s="32"/>
      <c r="BX62" s="0" t="n">
        <v>0</v>
      </c>
      <c r="BY62" s="32"/>
      <c r="BZ62" s="0" t="n">
        <v>0</v>
      </c>
      <c r="CA62" s="32"/>
      <c r="CB62" s="0" t="n">
        <v>0</v>
      </c>
      <c r="CC62" s="34"/>
      <c r="CD62" s="0" t="n">
        <v>0</v>
      </c>
      <c r="CE62" s="34"/>
      <c r="CF62" s="0" t="n">
        <v>0</v>
      </c>
      <c r="CG62" s="2"/>
      <c r="CH62" s="0" t="n">
        <v>0</v>
      </c>
    </row>
    <row r="63" customFormat="false" ht="12.75" hidden="false" customHeight="false" outlineLevel="0" collapsed="false">
      <c r="A63" s="24" t="str">
        <f aca="false">+TSPT_COT!A53</f>
        <v>   FR-West of Thoreau/Window Rock</v>
      </c>
      <c r="C63" s="40" t="n">
        <f aca="false">TSPT_COT!AS53</f>
        <v>0</v>
      </c>
      <c r="E63" s="53" t="n">
        <f aca="false">TSPT_COT!AU53</f>
        <v>0</v>
      </c>
      <c r="G63" s="42" t="n">
        <f aca="false">IF(I63=0,0,I63/C63)</f>
        <v>0</v>
      </c>
      <c r="I63" s="65" t="n">
        <f aca="false">TSPT_COT!AY53</f>
        <v>0</v>
      </c>
      <c r="K63" s="65" t="n">
        <f aca="false">TSPT_COT!BA53</f>
        <v>0</v>
      </c>
      <c r="M63" s="65" t="n">
        <f aca="false">TSPT_COT!BC53</f>
        <v>0</v>
      </c>
      <c r="O63" s="54" t="n">
        <f aca="false">TSPT_COT!BE53</f>
        <v>0</v>
      </c>
      <c r="Q63" s="41" t="n">
        <f aca="false">+C63+BV63</f>
        <v>0</v>
      </c>
      <c r="S63" s="32" t="n">
        <f aca="false">ROUND(Q63/SLS_COS!$AZ$3,0)</f>
        <v>0</v>
      </c>
      <c r="U63" s="42" t="n">
        <f aca="false">IF(W63=0,0,W63/Q63)</f>
        <v>0</v>
      </c>
      <c r="W63" s="5" t="n">
        <f aca="false">+I63+CB63</f>
        <v>0</v>
      </c>
      <c r="Y63" s="5" t="n">
        <f aca="false">+K63+CD63</f>
        <v>0</v>
      </c>
      <c r="AA63" s="5" t="n">
        <f aca="false">+M63+CF63</f>
        <v>0</v>
      </c>
      <c r="AC63" s="6" t="n">
        <f aca="false">ROUND(AA63/1000,0)</f>
        <v>0</v>
      </c>
      <c r="AE63" s="32"/>
      <c r="AF63" s="32"/>
      <c r="AG63" s="32"/>
      <c r="AH63" s="32"/>
      <c r="AU63" s="29"/>
      <c r="AW63" s="30"/>
      <c r="AY63" s="30"/>
      <c r="BM63" s="31"/>
      <c r="BO63" s="13"/>
      <c r="BS63" s="13"/>
      <c r="BU63" s="24" t="s">
        <v>26</v>
      </c>
      <c r="BV63" s="0" t="n">
        <v>0</v>
      </c>
      <c r="BW63" s="32"/>
      <c r="BX63" s="0" t="n">
        <v>0</v>
      </c>
      <c r="BY63" s="32"/>
      <c r="BZ63" s="0" t="n">
        <v>0</v>
      </c>
      <c r="CA63" s="32"/>
      <c r="CB63" s="0" t="n">
        <v>0</v>
      </c>
      <c r="CC63" s="34"/>
      <c r="CD63" s="0" t="n">
        <v>0</v>
      </c>
      <c r="CE63" s="34"/>
      <c r="CF63" s="0" t="n">
        <v>0</v>
      </c>
      <c r="CG63" s="2"/>
      <c r="CH63" s="0" t="n">
        <v>0</v>
      </c>
    </row>
    <row r="64" customFormat="false" ht="12.75" hidden="false" customHeight="false" outlineLevel="0" collapsed="false">
      <c r="A64" s="24" t="str">
        <f aca="false">+TSPT_COT!A54</f>
        <v>   LFT-West of Thoreau/Window Rock</v>
      </c>
      <c r="C64" s="40" t="n">
        <f aca="false">TSPT_COT!AS54</f>
        <v>0</v>
      </c>
      <c r="E64" s="53" t="n">
        <f aca="false">TSPT_COT!AU54</f>
        <v>0</v>
      </c>
      <c r="G64" s="42" t="n">
        <f aca="false">IF(I64=0,0,I64/C64)</f>
        <v>0</v>
      </c>
      <c r="I64" s="65" t="n">
        <f aca="false">TSPT_COT!AY54</f>
        <v>0</v>
      </c>
      <c r="K64" s="65" t="n">
        <f aca="false">TSPT_COT!BA54</f>
        <v>0</v>
      </c>
      <c r="M64" s="65" t="n">
        <f aca="false">TSPT_COT!BC54</f>
        <v>0</v>
      </c>
      <c r="O64" s="54" t="n">
        <f aca="false">TSPT_COT!BE54</f>
        <v>0</v>
      </c>
      <c r="Q64" s="41" t="n">
        <f aca="false">+C64+BV64</f>
        <v>0</v>
      </c>
      <c r="S64" s="32" t="n">
        <f aca="false">ROUND(Q64/SLS_COS!$AZ$3,0)</f>
        <v>0</v>
      </c>
      <c r="U64" s="42" t="n">
        <f aca="false">IF(W64=0,0,W64/Q64)</f>
        <v>0</v>
      </c>
      <c r="W64" s="5" t="n">
        <f aca="false">+I64+CB64</f>
        <v>0</v>
      </c>
      <c r="Y64" s="5" t="n">
        <f aca="false">+K64+CD64</f>
        <v>0</v>
      </c>
      <c r="AA64" s="5" t="n">
        <f aca="false">+M64+CF64</f>
        <v>0</v>
      </c>
      <c r="AC64" s="6" t="n">
        <f aca="false">ROUND(AA64/1000,0)</f>
        <v>0</v>
      </c>
      <c r="AE64" s="32"/>
      <c r="AF64" s="32"/>
      <c r="AG64" s="32"/>
      <c r="AH64" s="32"/>
      <c r="AU64" s="29"/>
      <c r="AW64" s="30"/>
      <c r="AY64" s="30"/>
      <c r="BM64" s="31"/>
      <c r="BO64" s="13"/>
      <c r="BS64" s="13"/>
      <c r="BU64" s="24"/>
      <c r="BV64" s="0" t="n">
        <v>0</v>
      </c>
      <c r="BW64" s="32"/>
      <c r="BX64" s="0" t="n">
        <v>0</v>
      </c>
      <c r="BY64" s="32"/>
      <c r="BZ64" s="0" t="n">
        <v>0</v>
      </c>
      <c r="CA64" s="32"/>
      <c r="CB64" s="0" t="n">
        <v>0</v>
      </c>
      <c r="CC64" s="34"/>
      <c r="CD64" s="0" t="n">
        <v>0</v>
      </c>
      <c r="CE64" s="34"/>
      <c r="CF64" s="0" t="n">
        <v>0</v>
      </c>
      <c r="CG64" s="2"/>
      <c r="CH64" s="0" t="n">
        <v>0</v>
      </c>
    </row>
    <row r="65" customFormat="false" ht="12.75" hidden="false" customHeight="false" outlineLevel="0" collapsed="false">
      <c r="A65" s="24" t="str">
        <f aca="false">+TSPT_COT!A55</f>
        <v>   IT-West of Thoreau/Window Rock</v>
      </c>
      <c r="C65" s="40" t="n">
        <f aca="false">TSPT_COT!AS55</f>
        <v>0</v>
      </c>
      <c r="E65" s="53" t="n">
        <f aca="false">TSPT_COT!AU55</f>
        <v>0</v>
      </c>
      <c r="G65" s="42" t="n">
        <f aca="false">IF(I65=0,0,I65/C65)</f>
        <v>0</v>
      </c>
      <c r="I65" s="65" t="n">
        <f aca="false">TSPT_COT!AY55</f>
        <v>0</v>
      </c>
      <c r="K65" s="65" t="n">
        <f aca="false">TSPT_COT!BA55</f>
        <v>0</v>
      </c>
      <c r="M65" s="65" t="n">
        <f aca="false">TSPT_COT!BC55</f>
        <v>0</v>
      </c>
      <c r="O65" s="54" t="n">
        <f aca="false">TSPT_COT!BE55</f>
        <v>0</v>
      </c>
      <c r="Q65" s="41" t="n">
        <f aca="false">+C65+BV65</f>
        <v>563475</v>
      </c>
      <c r="S65" s="32" t="n">
        <f aca="false">ROUND(Q65/SLS_COS!$AZ$3,0)</f>
        <v>1544</v>
      </c>
      <c r="U65" s="42" t="n">
        <f aca="false">IF(W65=0,0,W65/Q65)</f>
        <v>0.202322658503039</v>
      </c>
      <c r="W65" s="5" t="n">
        <f aca="false">+I65+CB65</f>
        <v>114003.76</v>
      </c>
      <c r="Y65" s="5" t="n">
        <f aca="false">+K65+CD65</f>
        <v>2069.43</v>
      </c>
      <c r="AA65" s="5" t="n">
        <f aca="false">+M65+CF65</f>
        <v>116073.19</v>
      </c>
      <c r="AC65" s="6" t="n">
        <f aca="false">ROUND(W65/1000,0)</f>
        <v>114</v>
      </c>
      <c r="AE65" s="32"/>
      <c r="AF65" s="32"/>
      <c r="AG65" s="32"/>
      <c r="AH65" s="32"/>
      <c r="AU65" s="29"/>
      <c r="AW65" s="30"/>
      <c r="AY65" s="30"/>
      <c r="BM65" s="31"/>
      <c r="BO65" s="13"/>
      <c r="BS65" s="13"/>
      <c r="BU65" s="24" t="s">
        <v>46</v>
      </c>
      <c r="BV65" s="0" t="n">
        <v>563475</v>
      </c>
      <c r="BW65" s="32"/>
      <c r="BX65" s="0" t="n">
        <v>1687</v>
      </c>
      <c r="BY65" s="32"/>
      <c r="BZ65" s="0" t="n">
        <v>0.202322658503039</v>
      </c>
      <c r="CA65" s="32"/>
      <c r="CB65" s="0" t="n">
        <v>114003.76</v>
      </c>
      <c r="CC65" s="34"/>
      <c r="CD65" s="0" t="n">
        <v>2069.43</v>
      </c>
      <c r="CE65" s="34"/>
      <c r="CF65" s="0" t="n">
        <v>116073.19</v>
      </c>
      <c r="CG65" s="2"/>
      <c r="CH65" s="0" t="n">
        <v>70</v>
      </c>
    </row>
    <row r="66" customFormat="false" ht="12.75" hidden="false" customHeight="false" outlineLevel="0" collapsed="false">
      <c r="A66" s="64" t="str">
        <f aca="false">+TSPT_COT!A56</f>
        <v>     Sub-Total</v>
      </c>
      <c r="B66" s="69"/>
      <c r="C66" s="105" t="n">
        <f aca="false">TSPT_COT!AS56</f>
        <v>0</v>
      </c>
      <c r="D66" s="69"/>
      <c r="E66" s="105" t="n">
        <f aca="false">TSPT_COT!AU56</f>
        <v>0</v>
      </c>
      <c r="F66" s="69"/>
      <c r="G66" s="107" t="e">
        <f aca="false">IF(I66=0,0,I66/C66)</f>
        <v>#DIV/0!</v>
      </c>
      <c r="H66" s="69"/>
      <c r="I66" s="73" t="n">
        <f aca="false">SUM(I61:I65)</f>
        <v>62000</v>
      </c>
      <c r="J66" s="74"/>
      <c r="K66" s="73" t="n">
        <f aca="false">TSPT_COT!BA56</f>
        <v>0</v>
      </c>
      <c r="L66" s="74"/>
      <c r="M66" s="73" t="n">
        <f aca="false">TSPT_COT!BC56</f>
        <v>62000</v>
      </c>
      <c r="N66" s="69"/>
      <c r="O66" s="75" t="n">
        <f aca="false">TSPT_COT!BE56</f>
        <v>62</v>
      </c>
      <c r="P66" s="69"/>
      <c r="Q66" s="109" t="n">
        <f aca="false">SUM(Q62:Q65)</f>
        <v>563475</v>
      </c>
      <c r="R66" s="28"/>
      <c r="S66" s="109" t="n">
        <f aca="false">SUM(S62:S65)</f>
        <v>1544</v>
      </c>
      <c r="T66" s="28"/>
      <c r="U66" s="107" t="n">
        <f aca="false">IF(W66=0,0,W66/Q66)</f>
        <v>0.881177975952793</v>
      </c>
      <c r="V66" s="69"/>
      <c r="W66" s="73" t="n">
        <f aca="false">SUM(W61:W65)</f>
        <v>496521.76</v>
      </c>
      <c r="X66" s="74"/>
      <c r="Y66" s="73" t="n">
        <f aca="false">SUM(Y61:Y65)</f>
        <v>2069.43</v>
      </c>
      <c r="Z66" s="74"/>
      <c r="AA66" s="73" t="n">
        <f aca="false">SUM(AA61:AA65)</f>
        <v>498591.19</v>
      </c>
      <c r="AB66" s="69"/>
      <c r="AC66" s="75" t="n">
        <f aca="false">SUM(AC61:AC65)</f>
        <v>497</v>
      </c>
      <c r="AD66" s="69"/>
      <c r="AE66" s="76"/>
      <c r="AF66" s="76"/>
      <c r="AG66" s="76"/>
      <c r="AH66" s="76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77"/>
      <c r="AV66" s="69"/>
      <c r="AW66" s="78"/>
      <c r="AX66" s="69"/>
      <c r="AY66" s="78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79"/>
      <c r="BN66" s="69"/>
      <c r="BO66" s="64"/>
      <c r="BP66" s="69"/>
      <c r="BQ66" s="69"/>
      <c r="BR66" s="69"/>
      <c r="BS66" s="64"/>
      <c r="BT66" s="69"/>
      <c r="BU66" s="64" t="s">
        <v>28</v>
      </c>
      <c r="BV66" s="0" t="n">
        <v>563475</v>
      </c>
      <c r="BW66" s="76"/>
      <c r="BX66" s="0" t="n">
        <v>1687</v>
      </c>
      <c r="BY66" s="76"/>
      <c r="BZ66" s="0" t="n">
        <v>0.771146474998891</v>
      </c>
      <c r="CA66" s="76"/>
      <c r="CB66" s="0" t="n">
        <v>434521.76</v>
      </c>
      <c r="CC66" s="80"/>
      <c r="CD66" s="0" t="n">
        <v>2069.43</v>
      </c>
      <c r="CE66" s="80"/>
      <c r="CF66" s="0" t="n">
        <v>436591.19</v>
      </c>
      <c r="CG66" s="81"/>
      <c r="CH66" s="0" t="n">
        <v>331</v>
      </c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</row>
    <row r="67" customFormat="false" ht="12.75" hidden="false" customHeight="false" outlineLevel="0" collapsed="false">
      <c r="A67" s="24"/>
      <c r="C67" s="40"/>
      <c r="E67" s="53"/>
      <c r="G67" s="42"/>
      <c r="O67" s="54"/>
      <c r="Q67" s="41"/>
      <c r="S67" s="32"/>
      <c r="U67" s="42"/>
      <c r="AE67" s="32"/>
      <c r="AF67" s="32"/>
      <c r="AG67" s="32"/>
      <c r="AH67" s="32"/>
      <c r="AU67" s="29"/>
      <c r="AW67" s="30"/>
      <c r="AY67" s="30"/>
      <c r="BM67" s="31"/>
      <c r="BO67" s="13"/>
      <c r="BS67" s="13"/>
      <c r="BU67" s="24"/>
      <c r="BW67" s="32"/>
      <c r="BY67" s="32"/>
      <c r="CA67" s="32"/>
      <c r="CC67" s="34"/>
      <c r="CE67" s="34"/>
      <c r="CF67" s="0"/>
      <c r="CG67" s="2"/>
    </row>
    <row r="68" customFormat="false" ht="12.75" hidden="false" customHeight="false" outlineLevel="0" collapsed="false">
      <c r="A68" s="24" t="str">
        <f aca="false">+TSPT_COT!A58</f>
        <v>   Demand</v>
      </c>
      <c r="C68" s="40" t="n">
        <f aca="false">TSPT_COT!AS58</f>
        <v>19696418</v>
      </c>
      <c r="E68" s="53" t="n">
        <f aca="false">TSPT_COT!AU58</f>
        <v>635368</v>
      </c>
      <c r="G68" s="42" t="n">
        <f aca="false">IF(I68=0,0,I68/C68)</f>
        <v>0.0420783596286391</v>
      </c>
      <c r="I68" s="65" t="n">
        <f aca="false">TSPT_COT!AY58</f>
        <v>828792.96</v>
      </c>
      <c r="K68" s="65" t="n">
        <f aca="false">TSPT_COT!BA58</f>
        <v>3321.4</v>
      </c>
      <c r="M68" s="65" t="n">
        <f aca="false">TSPT_COT!BC58</f>
        <v>832114.36</v>
      </c>
      <c r="O68" s="54" t="n">
        <f aca="false">TSPT_COT!BE58</f>
        <v>832</v>
      </c>
      <c r="Q68" s="41" t="n">
        <f aca="false">+C68+BV68</f>
        <v>213070212</v>
      </c>
      <c r="S68" s="32" t="n">
        <f aca="false">ROUND(Q68/SLS_COS!$AZ$3,0)</f>
        <v>583754</v>
      </c>
      <c r="U68" s="42" t="n">
        <f aca="false">IF(W68=0,0,W68/Q68)</f>
        <v>0.0359099931340942</v>
      </c>
      <c r="W68" s="5" t="n">
        <f aca="false">+I68+CB68</f>
        <v>7651349.85</v>
      </c>
      <c r="Y68" s="5" t="n">
        <f aca="false">+K68+CD68</f>
        <v>36145.08</v>
      </c>
      <c r="AA68" s="5" t="n">
        <f aca="false">+M68+CF68</f>
        <v>7687494.93</v>
      </c>
      <c r="AC68" s="6" t="n">
        <f aca="false">ROUND(AA68/1000,0)</f>
        <v>7687</v>
      </c>
      <c r="AE68" s="32"/>
      <c r="AF68" s="32"/>
      <c r="AG68" s="32"/>
      <c r="AH68" s="32"/>
      <c r="AU68" s="29"/>
      <c r="AW68" s="30"/>
      <c r="AY68" s="30"/>
      <c r="BM68" s="31"/>
      <c r="BO68" s="13"/>
      <c r="BS68" s="13"/>
      <c r="BU68" s="24" t="s">
        <v>24</v>
      </c>
      <c r="BV68" s="0" t="n">
        <v>193373794</v>
      </c>
      <c r="BW68" s="32"/>
      <c r="BX68" s="0" t="n">
        <v>578963</v>
      </c>
      <c r="BY68" s="32"/>
      <c r="BZ68" s="0" t="n">
        <v>0.0352817036314652</v>
      </c>
      <c r="CA68" s="32"/>
      <c r="CB68" s="0" t="n">
        <v>6822556.89</v>
      </c>
      <c r="CC68" s="34"/>
      <c r="CD68" s="0" t="n">
        <v>32823.68</v>
      </c>
      <c r="CE68" s="34"/>
      <c r="CF68" s="0" t="n">
        <v>6855380.57</v>
      </c>
      <c r="CG68" s="2"/>
      <c r="CH68" s="0" t="n">
        <v>6086</v>
      </c>
    </row>
    <row r="69" customFormat="false" ht="12.75" hidden="false" customHeight="false" outlineLevel="0" collapsed="false">
      <c r="A69" s="24" t="str">
        <f aca="false">+TSPT_COT!A59</f>
        <v>   FT-East of Thoreau</v>
      </c>
      <c r="C69" s="40" t="n">
        <f aca="false">TSPT_COT!AS59</f>
        <v>8690754</v>
      </c>
      <c r="E69" s="53" t="n">
        <f aca="false">TSPT_COT!AU59</f>
        <v>280349</v>
      </c>
      <c r="G69" s="42" t="n">
        <f aca="false">IF(I69=0,0,I69/C69)</f>
        <v>0.00725571567208093</v>
      </c>
      <c r="I69" s="65" t="n">
        <f aca="false">TSPT_COT!AY59</f>
        <v>63057.64</v>
      </c>
      <c r="K69" s="65" t="n">
        <f aca="false">TSPT_COT!BA59</f>
        <v>19330.07</v>
      </c>
      <c r="M69" s="65" t="n">
        <f aca="false">TSPT_COT!BC59</f>
        <v>82387.71</v>
      </c>
      <c r="O69" s="54" t="n">
        <f aca="false">TSPT_COT!BE59</f>
        <v>82</v>
      </c>
      <c r="Q69" s="41" t="n">
        <f aca="false">+C69+BV69</f>
        <v>106875587</v>
      </c>
      <c r="S69" s="32" t="n">
        <f aca="false">ROUND(Q69/SLS_COS!$AZ$3,0)</f>
        <v>292810</v>
      </c>
      <c r="U69" s="42" t="n">
        <f aca="false">IF(W69=0,0,W69/Q69)</f>
        <v>0.0076365634370738</v>
      </c>
      <c r="W69" s="5" t="n">
        <f aca="false">+I69+CB69</f>
        <v>816162.2</v>
      </c>
      <c r="Y69" s="5" t="n">
        <f aca="false">+K69+CD69</f>
        <v>241401.56</v>
      </c>
      <c r="AA69" s="5" t="n">
        <f aca="false">+M69+CF69</f>
        <v>1057563.76</v>
      </c>
      <c r="AC69" s="6" t="n">
        <f aca="false">ROUND(AA69/1000,0)</f>
        <v>1058</v>
      </c>
      <c r="AE69" s="32"/>
      <c r="AF69" s="32"/>
      <c r="AG69" s="32"/>
      <c r="AH69" s="32"/>
      <c r="AU69" s="29"/>
      <c r="AW69" s="30"/>
      <c r="AY69" s="30"/>
      <c r="BM69" s="31"/>
      <c r="BO69" s="13"/>
      <c r="BS69" s="13"/>
      <c r="BU69" s="24" t="s">
        <v>38</v>
      </c>
      <c r="BV69" s="0" t="n">
        <v>98184833</v>
      </c>
      <c r="BW69" s="32"/>
      <c r="BX69" s="0" t="n">
        <v>293967</v>
      </c>
      <c r="BY69" s="32"/>
      <c r="BZ69" s="0" t="n">
        <v>0.00767027388028455</v>
      </c>
      <c r="CA69" s="32"/>
      <c r="CB69" s="0" t="n">
        <v>753104.56</v>
      </c>
      <c r="CC69" s="34"/>
      <c r="CD69" s="0" t="n">
        <v>222071.49</v>
      </c>
      <c r="CE69" s="34"/>
      <c r="CF69" s="0" t="n">
        <v>975176.05</v>
      </c>
      <c r="CG69" s="2"/>
      <c r="CH69" s="0" t="n">
        <v>862</v>
      </c>
    </row>
    <row r="70" customFormat="false" ht="12.75" hidden="false" customHeight="false" outlineLevel="0" collapsed="false">
      <c r="A70" s="24" t="str">
        <f aca="false">+TSPT_COT!A60</f>
        <v>   FR-East of Thoreau</v>
      </c>
      <c r="C70" s="40" t="n">
        <f aca="false">TSPT_COT!AS60</f>
        <v>0</v>
      </c>
      <c r="E70" s="53" t="n">
        <f aca="false">TSPT_COT!AU60</f>
        <v>0</v>
      </c>
      <c r="G70" s="42" t="n">
        <f aca="false">IF(I70=0,0,I70/C70)</f>
        <v>0</v>
      </c>
      <c r="I70" s="65" t="n">
        <f aca="false">TSPT_COT!AY60</f>
        <v>0</v>
      </c>
      <c r="K70" s="65" t="n">
        <f aca="false">TSPT_COT!BA60</f>
        <v>0</v>
      </c>
      <c r="M70" s="65" t="n">
        <f aca="false">TSPT_COT!BC60</f>
        <v>0</v>
      </c>
      <c r="O70" s="54" t="n">
        <f aca="false">TSPT_COT!BE60</f>
        <v>0</v>
      </c>
      <c r="Q70" s="41" t="n">
        <f aca="false">+C70+BV70</f>
        <v>0</v>
      </c>
      <c r="S70" s="32" t="n">
        <f aca="false">ROUND(Q70/SLS_COS!$AZ$3,0)</f>
        <v>0</v>
      </c>
      <c r="U70" s="42" t="n">
        <f aca="false">IF(W70=0,0,W70/Q70)</f>
        <v>0</v>
      </c>
      <c r="W70" s="5" t="n">
        <f aca="false">+I70+CB70</f>
        <v>0</v>
      </c>
      <c r="Y70" s="5" t="n">
        <f aca="false">+K70+CD70</f>
        <v>0</v>
      </c>
      <c r="AA70" s="5" t="n">
        <f aca="false">+M70+CF70</f>
        <v>0</v>
      </c>
      <c r="AC70" s="6" t="n">
        <f aca="false">ROUND(AA70/1000,0)</f>
        <v>0</v>
      </c>
      <c r="AE70" s="32"/>
      <c r="AF70" s="32"/>
      <c r="AG70" s="32"/>
      <c r="AH70" s="32"/>
      <c r="AU70" s="29"/>
      <c r="AW70" s="30"/>
      <c r="AY70" s="30"/>
      <c r="BM70" s="31"/>
      <c r="BO70" s="13"/>
      <c r="BS70" s="13"/>
      <c r="BU70" s="24" t="s">
        <v>39</v>
      </c>
      <c r="BV70" s="0" t="n">
        <v>0</v>
      </c>
      <c r="BW70" s="32"/>
      <c r="BX70" s="0" t="n">
        <v>0</v>
      </c>
      <c r="BY70" s="32"/>
      <c r="BZ70" s="0" t="n">
        <v>0</v>
      </c>
      <c r="CA70" s="32"/>
      <c r="CB70" s="0" t="n">
        <v>0</v>
      </c>
      <c r="CC70" s="34"/>
      <c r="CD70" s="0" t="n">
        <v>0</v>
      </c>
      <c r="CE70" s="34"/>
      <c r="CF70" s="0" t="n">
        <v>0</v>
      </c>
      <c r="CG70" s="2"/>
      <c r="CH70" s="0" t="n">
        <v>0</v>
      </c>
    </row>
    <row r="71" customFormat="false" ht="12.75" hidden="false" customHeight="false" outlineLevel="0" collapsed="false">
      <c r="A71" s="24" t="str">
        <f aca="false">+TSPT_COT!A61</f>
        <v>   LFT-East of Thoreau</v>
      </c>
      <c r="C71" s="40" t="n">
        <f aca="false">TSPT_COT!AS61</f>
        <v>0</v>
      </c>
      <c r="E71" s="53" t="n">
        <f aca="false">TSPT_COT!AU61</f>
        <v>0</v>
      </c>
      <c r="G71" s="42" t="n">
        <f aca="false">IF(I71=0,0,I71/C71)</f>
        <v>0</v>
      </c>
      <c r="I71" s="65" t="n">
        <f aca="false">TSPT_COT!AY61</f>
        <v>0</v>
      </c>
      <c r="K71" s="65" t="n">
        <f aca="false">TSPT_COT!BA61</f>
        <v>0</v>
      </c>
      <c r="M71" s="65" t="n">
        <f aca="false">TSPT_COT!BC61</f>
        <v>0</v>
      </c>
      <c r="O71" s="54" t="n">
        <f aca="false">TSPT_COT!BE61</f>
        <v>0</v>
      </c>
      <c r="Q71" s="41" t="n">
        <f aca="false">+C71+BV71</f>
        <v>0</v>
      </c>
      <c r="S71" s="32" t="n">
        <f aca="false">ROUND(Q71/SLS_COS!$AZ$3,0)</f>
        <v>0</v>
      </c>
      <c r="U71" s="42" t="n">
        <f aca="false">IF(W71=0,0,W71/Q71)</f>
        <v>0</v>
      </c>
      <c r="W71" s="5" t="n">
        <f aca="false">+I71+CB71</f>
        <v>0</v>
      </c>
      <c r="Y71" s="5" t="n">
        <f aca="false">+K71+CD71</f>
        <v>0</v>
      </c>
      <c r="AA71" s="5" t="n">
        <f aca="false">+M71+CF71</f>
        <v>0</v>
      </c>
      <c r="AC71" s="6" t="n">
        <f aca="false">ROUND(AA71/1000,0)</f>
        <v>0</v>
      </c>
      <c r="AE71" s="32"/>
      <c r="AF71" s="32"/>
      <c r="AG71" s="32"/>
      <c r="AH71" s="32"/>
      <c r="AU71" s="29"/>
      <c r="AW71" s="30"/>
      <c r="AY71" s="30"/>
      <c r="BM71" s="31"/>
      <c r="BO71" s="13"/>
      <c r="BS71" s="13"/>
      <c r="BU71" s="24"/>
      <c r="BV71" s="0" t="n">
        <v>0</v>
      </c>
      <c r="BW71" s="32"/>
      <c r="BX71" s="0" t="n">
        <v>0</v>
      </c>
      <c r="BY71" s="32"/>
      <c r="BZ71" s="0" t="n">
        <v>0</v>
      </c>
      <c r="CA71" s="32"/>
      <c r="CB71" s="0" t="n">
        <v>0</v>
      </c>
      <c r="CC71" s="34"/>
      <c r="CD71" s="0" t="n">
        <v>0</v>
      </c>
      <c r="CE71" s="34"/>
      <c r="CF71" s="0" t="n">
        <v>0</v>
      </c>
      <c r="CG71" s="2"/>
      <c r="CH71" s="0" t="n">
        <v>0</v>
      </c>
    </row>
    <row r="72" customFormat="false" ht="12.75" hidden="false" customHeight="false" outlineLevel="0" collapsed="false">
      <c r="A72" s="24" t="str">
        <f aca="false">+TSPT_COT!A62</f>
        <v>   IT-East of Thoreau</v>
      </c>
      <c r="C72" s="40" t="n">
        <f aca="false">TSPT_COT!AS62</f>
        <v>288090</v>
      </c>
      <c r="D72" s="31"/>
      <c r="E72" s="100" t="n">
        <f aca="false">TSPT_COT!AU62</f>
        <v>9293</v>
      </c>
      <c r="F72" s="31"/>
      <c r="G72" s="101" t="n">
        <f aca="false">IF(I72=0,0,I72/C72)</f>
        <v>0.053703148321705</v>
      </c>
      <c r="H72" s="31"/>
      <c r="I72" s="65" t="n">
        <f aca="false">TSPT_COT!AY62</f>
        <v>15471.34</v>
      </c>
      <c r="K72" s="65" t="n">
        <f aca="false">TSPT_COT!BA62</f>
        <v>558.02</v>
      </c>
      <c r="M72" s="65" t="n">
        <f aca="false">TSPT_COT!BC62</f>
        <v>16029.36</v>
      </c>
      <c r="N72" s="31"/>
      <c r="O72" s="102" t="n">
        <f aca="false">TSPT_COT!BE62</f>
        <v>16</v>
      </c>
      <c r="P72" s="31"/>
      <c r="Q72" s="110" t="n">
        <f aca="false">+C72+BV72</f>
        <v>8040124</v>
      </c>
      <c r="R72" s="31"/>
      <c r="S72" s="111" t="n">
        <f aca="false">ROUND(Q72/SLS_COS!$AZ$3,0)</f>
        <v>22028</v>
      </c>
      <c r="T72" s="31"/>
      <c r="U72" s="101" t="n">
        <f aca="false">IF(W72=0,0,W72/Q72)</f>
        <v>0.064581720381427</v>
      </c>
      <c r="V72" s="31"/>
      <c r="W72" s="5" t="n">
        <f aca="false">+I72+CB72</f>
        <v>519245.04</v>
      </c>
      <c r="Y72" s="5" t="n">
        <f aca="false">+K72+CD72</f>
        <v>19349.34</v>
      </c>
      <c r="AA72" s="5" t="n">
        <f aca="false">+M72+CF72</f>
        <v>538594.38</v>
      </c>
      <c r="AB72" s="31"/>
      <c r="AC72" s="6" t="n">
        <f aca="false">ROUND(AA72/1000,0)</f>
        <v>539</v>
      </c>
      <c r="AD72" s="31"/>
      <c r="AE72" s="111"/>
      <c r="AF72" s="111"/>
      <c r="AG72" s="111"/>
      <c r="AH72" s="11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112"/>
      <c r="AV72" s="31"/>
      <c r="AW72" s="113"/>
      <c r="AX72" s="31"/>
      <c r="AY72" s="30"/>
      <c r="BM72" s="31"/>
      <c r="BO72" s="13"/>
      <c r="BS72" s="13"/>
      <c r="BU72" s="24" t="s">
        <v>40</v>
      </c>
      <c r="BV72" s="0" t="n">
        <v>7752034</v>
      </c>
      <c r="BW72" s="32"/>
      <c r="BX72" s="0" t="n">
        <v>23210</v>
      </c>
      <c r="BY72" s="32"/>
      <c r="BZ72" s="0" t="n">
        <v>0.0649860023833745</v>
      </c>
      <c r="CA72" s="32"/>
      <c r="CB72" s="0" t="n">
        <v>503773.7</v>
      </c>
      <c r="CC72" s="34"/>
      <c r="CD72" s="0" t="n">
        <v>18791.32</v>
      </c>
      <c r="CE72" s="34"/>
      <c r="CF72" s="0" t="n">
        <v>522565.02</v>
      </c>
      <c r="CG72" s="2"/>
      <c r="CH72" s="0" t="n">
        <v>499</v>
      </c>
    </row>
    <row r="73" customFormat="false" ht="12.75" hidden="false" customHeight="false" outlineLevel="0" collapsed="false">
      <c r="A73" s="24" t="str">
        <f aca="false">+TSPT_COT!A63</f>
        <v>   PNR-East of Thoreau</v>
      </c>
      <c r="B73" s="69"/>
      <c r="C73" s="99" t="n">
        <f aca="false">TSPT_COT!AS63</f>
        <v>4793</v>
      </c>
      <c r="D73" s="31"/>
      <c r="E73" s="66" t="n">
        <f aca="false">TSPT_COT!AU63</f>
        <v>155</v>
      </c>
      <c r="F73" s="31"/>
      <c r="G73" s="114" t="n">
        <f aca="false">IF(I73=0,0,I73/C73)</f>
        <v>4.31334446067181</v>
      </c>
      <c r="H73" s="31"/>
      <c r="I73" s="67" t="n">
        <f aca="false">TSPT_COT!AY63</f>
        <v>20673.86</v>
      </c>
      <c r="K73" s="67" t="n">
        <f aca="false">TSPT_COT!BA63</f>
        <v>0</v>
      </c>
      <c r="M73" s="67" t="n">
        <f aca="false">TSPT_COT!BC63</f>
        <v>20673.86</v>
      </c>
      <c r="N73" s="31"/>
      <c r="O73" s="68" t="n">
        <f aca="false">TSPT_COT!BE63</f>
        <v>21</v>
      </c>
      <c r="P73" s="31"/>
      <c r="Q73" s="115" t="n">
        <f aca="false">+C73+BV73</f>
        <v>50419</v>
      </c>
      <c r="R73" s="31"/>
      <c r="S73" s="116" t="n">
        <f aca="false">ROUND(Q73/SLS_COS!$AZ$3,0)</f>
        <v>138</v>
      </c>
      <c r="T73" s="31"/>
      <c r="U73" s="114" t="n">
        <f aca="false">IF(W73=0,0,W73/Q73)</f>
        <v>0.959860965112358</v>
      </c>
      <c r="V73" s="31"/>
      <c r="W73" s="117" t="n">
        <f aca="false">+I73+CB73</f>
        <v>48395.23</v>
      </c>
      <c r="Y73" s="117" t="n">
        <f aca="false">+K73+CD73</f>
        <v>13193.25</v>
      </c>
      <c r="AA73" s="117" t="n">
        <f aca="false">+M73+CF73</f>
        <v>61588.48</v>
      </c>
      <c r="AB73" s="31"/>
      <c r="AC73" s="118" t="n">
        <f aca="false">ROUND(AA73/1000,0)</f>
        <v>62</v>
      </c>
      <c r="AD73" s="69"/>
      <c r="AE73" s="76"/>
      <c r="AF73" s="76"/>
      <c r="AG73" s="76"/>
      <c r="AH73" s="76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77"/>
      <c r="AV73" s="69"/>
      <c r="AW73" s="78"/>
      <c r="AX73" s="69"/>
      <c r="AY73" s="78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79"/>
      <c r="BN73" s="69"/>
      <c r="BO73" s="64"/>
      <c r="BP73" s="69"/>
      <c r="BQ73" s="69"/>
      <c r="BR73" s="69"/>
      <c r="BS73" s="64"/>
      <c r="BT73" s="69"/>
      <c r="BU73" s="64" t="s">
        <v>28</v>
      </c>
      <c r="BV73" s="0" t="n">
        <v>45626</v>
      </c>
      <c r="BW73" s="76"/>
      <c r="BX73" s="0" t="n">
        <v>137</v>
      </c>
      <c r="BY73" s="76"/>
      <c r="BZ73" s="0" t="n">
        <v>0.607578354447026</v>
      </c>
      <c r="CA73" s="76"/>
      <c r="CB73" s="0" t="n">
        <v>27721.37</v>
      </c>
      <c r="CC73" s="80"/>
      <c r="CD73" s="0" t="n">
        <v>13193.25</v>
      </c>
      <c r="CE73" s="80"/>
      <c r="CF73" s="0" t="n">
        <v>40914.62</v>
      </c>
      <c r="CG73" s="81"/>
      <c r="CH73" s="0" t="n">
        <v>41</v>
      </c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</row>
    <row r="74" customFormat="false" ht="12.75" hidden="false" customHeight="false" outlineLevel="0" collapsed="false">
      <c r="A74" s="64" t="str">
        <f aca="false">+TSPT_COT!A64</f>
        <v>     Sub-Total</v>
      </c>
      <c r="B74" s="69"/>
      <c r="C74" s="119" t="n">
        <f aca="false">TSPT_COT!AS64</f>
        <v>8983637</v>
      </c>
      <c r="D74" s="69"/>
      <c r="E74" s="120" t="n">
        <f aca="false">TSPT_COT!AU64</f>
        <v>289797</v>
      </c>
      <c r="F74" s="69"/>
      <c r="G74" s="121" t="n">
        <f aca="false">IF(I74=0,0,I74/C74)</f>
        <v>0.103298452508711</v>
      </c>
      <c r="H74" s="69"/>
      <c r="I74" s="122" t="n">
        <f aca="false">TSPT_COT!AY64</f>
        <v>927995.8</v>
      </c>
      <c r="J74" s="88"/>
      <c r="K74" s="122" t="n">
        <f aca="false">TSPT_COT!BA64</f>
        <v>23209.49</v>
      </c>
      <c r="L74" s="88"/>
      <c r="M74" s="122" t="n">
        <f aca="false">TSPT_COT!BC64</f>
        <v>951205.29</v>
      </c>
      <c r="N74" s="69"/>
      <c r="O74" s="123" t="n">
        <f aca="false">TSPT_COT!BE64</f>
        <v>951</v>
      </c>
      <c r="P74" s="95"/>
      <c r="Q74" s="124" t="n">
        <f aca="false">SUM(Q69:Q73)</f>
        <v>114966130</v>
      </c>
      <c r="R74" s="95"/>
      <c r="S74" s="125" t="n">
        <f aca="false">SUM(S69:S73)</f>
        <v>314976</v>
      </c>
      <c r="T74" s="95"/>
      <c r="U74" s="121" t="n">
        <f aca="false">IF(W74=0,0,W74/Q74)</f>
        <v>0.0785896882847148</v>
      </c>
      <c r="V74" s="95"/>
      <c r="W74" s="88" t="n">
        <f aca="false">+I74+CB74</f>
        <v>9035152.32</v>
      </c>
      <c r="X74" s="88"/>
      <c r="Y74" s="88" t="n">
        <f aca="false">+K74+CD74</f>
        <v>310089.23</v>
      </c>
      <c r="Z74" s="88"/>
      <c r="AA74" s="88" t="n">
        <f aca="false">+M74+CF74</f>
        <v>9345241.55</v>
      </c>
      <c r="AB74" s="95"/>
      <c r="AC74" s="126" t="n">
        <f aca="false">ROUND(AA74/1000,0)</f>
        <v>9345</v>
      </c>
      <c r="AD74" s="69"/>
      <c r="AE74" s="76"/>
      <c r="AF74" s="76"/>
      <c r="AG74" s="76"/>
      <c r="AH74" s="76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77"/>
      <c r="AV74" s="69"/>
      <c r="AW74" s="78"/>
      <c r="AX74" s="69"/>
      <c r="AY74" s="78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79"/>
      <c r="BN74" s="69"/>
      <c r="BO74" s="64"/>
      <c r="BP74" s="69"/>
      <c r="BQ74" s="69"/>
      <c r="BR74" s="69"/>
      <c r="BS74" s="64"/>
      <c r="BT74" s="69"/>
      <c r="BU74" s="64"/>
      <c r="BV74" s="85" t="n">
        <v>105982493</v>
      </c>
      <c r="BW74" s="76"/>
      <c r="BX74" s="85" t="n">
        <v>317314</v>
      </c>
      <c r="BY74" s="76"/>
      <c r="BZ74" s="85" t="n">
        <v>0.0764952426623896</v>
      </c>
      <c r="CA74" s="76"/>
      <c r="CB74" s="85" t="n">
        <v>8107156.52</v>
      </c>
      <c r="CC74" s="80"/>
      <c r="CD74" s="85" t="n">
        <v>286879.74</v>
      </c>
      <c r="CE74" s="80"/>
      <c r="CF74" s="85" t="n">
        <v>8394036.26</v>
      </c>
      <c r="CG74" s="81"/>
      <c r="CH74" s="85" t="n">
        <v>7489</v>
      </c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</row>
    <row r="75" customFormat="false" ht="12.75" hidden="false" customHeight="false" outlineLevel="0" collapsed="false">
      <c r="A75" s="24"/>
      <c r="C75" s="40"/>
      <c r="E75" s="53"/>
      <c r="G75" s="42"/>
      <c r="M75" s="65"/>
      <c r="O75" s="54"/>
      <c r="Q75" s="41"/>
      <c r="S75" s="32"/>
      <c r="U75" s="42"/>
      <c r="AE75" s="32"/>
      <c r="AF75" s="32"/>
      <c r="AG75" s="32"/>
      <c r="AH75" s="32"/>
      <c r="AU75" s="29"/>
      <c r="AW75" s="30"/>
      <c r="AY75" s="30"/>
      <c r="BM75" s="31"/>
      <c r="BO75" s="13"/>
      <c r="BS75" s="13"/>
      <c r="BU75" s="24"/>
      <c r="BW75" s="32"/>
      <c r="BY75" s="32"/>
      <c r="CA75" s="32"/>
      <c r="CC75" s="34"/>
      <c r="CE75" s="34"/>
      <c r="CF75" s="0"/>
      <c r="CG75" s="2"/>
    </row>
    <row r="76" customFormat="false" ht="12.75" hidden="false" customHeight="false" outlineLevel="0" collapsed="false">
      <c r="A76" s="24" t="s">
        <v>32</v>
      </c>
      <c r="C76" s="40" t="n">
        <f aca="false">+TSPT_COT!AS66</f>
        <v>1240000</v>
      </c>
      <c r="E76" s="40" t="n">
        <f aca="false">+TSPT_COT!AU66</f>
        <v>40000</v>
      </c>
      <c r="G76" s="42" t="n">
        <f aca="false">IF(I76=0,0,I76/C76)</f>
        <v>0.207</v>
      </c>
      <c r="I76" s="5" t="n">
        <f aca="false">+TSPT_COT!AY66</f>
        <v>256680</v>
      </c>
      <c r="K76" s="5" t="n">
        <f aca="false">+TSPT_COT!BA66</f>
        <v>0</v>
      </c>
      <c r="M76" s="5" t="n">
        <f aca="false">+TSPT_COT!BC66</f>
        <v>256680</v>
      </c>
      <c r="O76" s="6" t="n">
        <f aca="false">+TSPT_COT!BE66</f>
        <v>257</v>
      </c>
      <c r="Q76" s="41" t="n">
        <f aca="false">+C76+BV76</f>
        <v>14600000</v>
      </c>
      <c r="S76" s="41" t="n">
        <f aca="false">+E76+BX76</f>
        <v>480000</v>
      </c>
      <c r="U76" s="42" t="n">
        <f aca="false">IF(W76=0,0,W76/Q76)</f>
        <v>0.206864503424658</v>
      </c>
      <c r="W76" s="5" t="n">
        <f aca="false">+I76+CB76</f>
        <v>3020221.75</v>
      </c>
      <c r="Y76" s="5" t="n">
        <f aca="false">+K76+CD76</f>
        <v>0</v>
      </c>
      <c r="AA76" s="5" t="n">
        <f aca="false">+M76+CF76</f>
        <v>3020221.75</v>
      </c>
      <c r="AC76" s="6" t="n">
        <f aca="false">+O76+CH76</f>
        <v>2773</v>
      </c>
      <c r="AE76" s="32"/>
      <c r="AF76" s="32"/>
      <c r="AG76" s="32"/>
      <c r="AH76" s="32"/>
      <c r="AU76" s="29"/>
      <c r="AW76" s="30"/>
      <c r="AY76" s="30"/>
      <c r="BM76" s="31"/>
      <c r="BO76" s="13"/>
      <c r="BS76" s="13"/>
      <c r="BU76" s="24"/>
      <c r="BV76" s="0" t="n">
        <v>13360000</v>
      </c>
      <c r="BW76" s="32"/>
      <c r="BX76" s="0" t="n">
        <v>440000</v>
      </c>
      <c r="BY76" s="32"/>
      <c r="BZ76" s="0" t="n">
        <v>0.20685192739521</v>
      </c>
      <c r="CA76" s="32"/>
      <c r="CB76" s="0" t="n">
        <v>2763541.75</v>
      </c>
      <c r="CC76" s="34"/>
      <c r="CD76" s="0" t="n">
        <v>0</v>
      </c>
      <c r="CE76" s="34"/>
      <c r="CF76" s="0" t="n">
        <v>2763541.75</v>
      </c>
      <c r="CG76" s="2"/>
      <c r="CH76" s="0" t="n">
        <v>2516</v>
      </c>
    </row>
    <row r="77" customFormat="false" ht="12.75" hidden="false" customHeight="false" outlineLevel="0" collapsed="false">
      <c r="A77" s="24" t="s">
        <v>33</v>
      </c>
      <c r="C77" s="40" t="n">
        <f aca="false">+TSPT_COT!AS67</f>
        <v>0</v>
      </c>
      <c r="E77" s="40" t="n">
        <f aca="false">+TSPT_COT!AU67</f>
        <v>0</v>
      </c>
      <c r="G77" s="42" t="n">
        <f aca="false">IF(I77=0,0,I77/C77)</f>
        <v>0</v>
      </c>
      <c r="I77" s="5" t="n">
        <f aca="false">+TSPT_COT!AY67</f>
        <v>0</v>
      </c>
      <c r="K77" s="5" t="n">
        <f aca="false">+TSPT_COT!BA67</f>
        <v>0</v>
      </c>
      <c r="M77" s="5" t="n">
        <f aca="false">+TSPT_COT!BC67</f>
        <v>0</v>
      </c>
      <c r="O77" s="6" t="n">
        <f aca="false">+TSPT_COT!BE67</f>
        <v>0</v>
      </c>
      <c r="Q77" s="41" t="n">
        <f aca="false">+C77+BV77</f>
        <v>8511705</v>
      </c>
      <c r="S77" s="41" t="n">
        <f aca="false">+E77+BX77</f>
        <v>278946</v>
      </c>
      <c r="U77" s="42" t="n">
        <f aca="false">IF(W77=0,0,W77/Q77)</f>
        <v>0.0118766228387849</v>
      </c>
      <c r="W77" s="5" t="n">
        <f aca="false">+I77+CB77</f>
        <v>101090.31</v>
      </c>
      <c r="Y77" s="5" t="n">
        <f aca="false">+K77+CD77</f>
        <v>0</v>
      </c>
      <c r="AA77" s="5" t="n">
        <f aca="false">+M77+CF77</f>
        <v>101090.31</v>
      </c>
      <c r="AC77" s="6" t="n">
        <f aca="false">+O77+CH77</f>
        <v>97</v>
      </c>
      <c r="AE77" s="32"/>
      <c r="AF77" s="32"/>
      <c r="AG77" s="32"/>
      <c r="AH77" s="32"/>
      <c r="AU77" s="29"/>
      <c r="AW77" s="30"/>
      <c r="AY77" s="30"/>
      <c r="BM77" s="31"/>
      <c r="BO77" s="13"/>
      <c r="BS77" s="13"/>
      <c r="BU77" s="24"/>
      <c r="BV77" s="0" t="n">
        <v>8511705</v>
      </c>
      <c r="BW77" s="32"/>
      <c r="BX77" s="0" t="n">
        <v>278946</v>
      </c>
      <c r="BY77" s="32"/>
      <c r="BZ77" s="0" t="n">
        <v>0.0118766228387849</v>
      </c>
      <c r="CA77" s="32"/>
      <c r="CB77" s="0" t="n">
        <v>101090.31</v>
      </c>
      <c r="CC77" s="34"/>
      <c r="CD77" s="0" t="n">
        <v>0</v>
      </c>
      <c r="CE77" s="34"/>
      <c r="CF77" s="0" t="n">
        <v>101090.31</v>
      </c>
      <c r="CG77" s="2"/>
      <c r="CH77" s="0" t="n">
        <v>97</v>
      </c>
    </row>
    <row r="78" customFormat="false" ht="12.75" hidden="false" customHeight="false" outlineLevel="0" collapsed="false">
      <c r="A78" s="24" t="s">
        <v>34</v>
      </c>
      <c r="C78" s="40" t="n">
        <f aca="false">+TSPT_COT!AS68</f>
        <v>0</v>
      </c>
      <c r="E78" s="40" t="n">
        <f aca="false">+TSPT_COT!AU68</f>
        <v>0</v>
      </c>
      <c r="G78" s="42" t="n">
        <f aca="false">IF(I78=0,0,I78/C78)</f>
        <v>0</v>
      </c>
      <c r="I78" s="5" t="n">
        <f aca="false">+TSPT_COT!AY68</f>
        <v>0</v>
      </c>
      <c r="K78" s="5" t="n">
        <f aca="false">+TSPT_COT!BA68</f>
        <v>0</v>
      </c>
      <c r="M78" s="5" t="n">
        <f aca="false">+TSPT_COT!BC68</f>
        <v>0</v>
      </c>
      <c r="O78" s="6" t="n">
        <f aca="false">+TSPT_COT!BE68</f>
        <v>0</v>
      </c>
      <c r="Q78" s="41" t="n">
        <f aca="false">+C78+BV78</f>
        <v>0</v>
      </c>
      <c r="S78" s="41" t="n">
        <f aca="false">+E78+BX78</f>
        <v>0</v>
      </c>
      <c r="U78" s="42" t="n">
        <f aca="false">IF(W78=0,0,W78/Q78)</f>
        <v>0</v>
      </c>
      <c r="W78" s="5" t="n">
        <f aca="false">+I78+CB78</f>
        <v>0</v>
      </c>
      <c r="Y78" s="5" t="n">
        <f aca="false">+K78+CD78</f>
        <v>0</v>
      </c>
      <c r="AA78" s="5" t="n">
        <f aca="false">+M78+CF78</f>
        <v>0</v>
      </c>
      <c r="AC78" s="6" t="n">
        <f aca="false">+O78+CH78</f>
        <v>0</v>
      </c>
      <c r="AE78" s="32"/>
      <c r="AF78" s="32"/>
      <c r="AG78" s="32"/>
      <c r="AH78" s="32"/>
      <c r="AU78" s="29"/>
      <c r="AW78" s="30"/>
      <c r="AY78" s="30"/>
      <c r="BM78" s="31"/>
      <c r="BO78" s="13"/>
      <c r="BS78" s="13"/>
      <c r="BU78" s="24"/>
      <c r="BV78" s="0" t="n">
        <v>0</v>
      </c>
      <c r="BW78" s="32"/>
      <c r="BX78" s="0" t="n">
        <v>0</v>
      </c>
      <c r="BY78" s="32"/>
      <c r="BZ78" s="0" t="n">
        <v>0</v>
      </c>
      <c r="CA78" s="32"/>
      <c r="CB78" s="0" t="n">
        <v>0</v>
      </c>
      <c r="CC78" s="34"/>
      <c r="CD78" s="0" t="n">
        <v>0</v>
      </c>
      <c r="CE78" s="34"/>
      <c r="CF78" s="0" t="n">
        <v>0</v>
      </c>
      <c r="CG78" s="2"/>
      <c r="CH78" s="0" t="n">
        <v>0</v>
      </c>
    </row>
    <row r="79" customFormat="false" ht="12.75" hidden="false" customHeight="false" outlineLevel="0" collapsed="false">
      <c r="A79" s="24" t="s">
        <v>35</v>
      </c>
      <c r="C79" s="40" t="n">
        <f aca="false">+TSPT_COT!AS69</f>
        <v>0</v>
      </c>
      <c r="E79" s="40" t="n">
        <f aca="false">+TSPT_COT!AU69</f>
        <v>0</v>
      </c>
      <c r="G79" s="42" t="n">
        <f aca="false">IF(I79=0,0,I79/C79)</f>
        <v>0</v>
      </c>
      <c r="I79" s="5" t="n">
        <f aca="false">+TSPT_COT!AY69</f>
        <v>0</v>
      </c>
      <c r="K79" s="5" t="n">
        <f aca="false">+TSPT_COT!BA69</f>
        <v>0</v>
      </c>
      <c r="M79" s="5" t="n">
        <f aca="false">+TSPT_COT!BC69</f>
        <v>0</v>
      </c>
      <c r="O79" s="6" t="n">
        <f aca="false">+TSPT_COT!BE69</f>
        <v>0</v>
      </c>
      <c r="Q79" s="41" t="n">
        <f aca="false">+C79+BV79</f>
        <v>0</v>
      </c>
      <c r="S79" s="41" t="n">
        <f aca="false">+E79+BX79</f>
        <v>0</v>
      </c>
      <c r="U79" s="42" t="n">
        <f aca="false">IF(W79=0,0,W79/Q79)</f>
        <v>0</v>
      </c>
      <c r="W79" s="5" t="n">
        <f aca="false">+I79+CB79</f>
        <v>0</v>
      </c>
      <c r="Y79" s="5" t="n">
        <f aca="false">+K79+CD79</f>
        <v>0</v>
      </c>
      <c r="AA79" s="5" t="n">
        <f aca="false">+M79+CF79</f>
        <v>0</v>
      </c>
      <c r="AC79" s="6" t="n">
        <f aca="false">+O79+CH79</f>
        <v>0</v>
      </c>
      <c r="AE79" s="32"/>
      <c r="AF79" s="32"/>
      <c r="AG79" s="32"/>
      <c r="AH79" s="32"/>
      <c r="AU79" s="29"/>
      <c r="AW79" s="30"/>
      <c r="AY79" s="30"/>
      <c r="BM79" s="31"/>
      <c r="BO79" s="13"/>
      <c r="BS79" s="13"/>
      <c r="BU79" s="24"/>
      <c r="BV79" s="0" t="n">
        <v>0</v>
      </c>
      <c r="BW79" s="32"/>
      <c r="BX79" s="0" t="n">
        <v>0</v>
      </c>
      <c r="BY79" s="32"/>
      <c r="BZ79" s="0" t="n">
        <v>0</v>
      </c>
      <c r="CA79" s="32"/>
      <c r="CB79" s="0" t="n">
        <v>0</v>
      </c>
      <c r="CC79" s="34"/>
      <c r="CD79" s="0" t="n">
        <v>0</v>
      </c>
      <c r="CE79" s="34"/>
      <c r="CF79" s="0" t="n">
        <v>0</v>
      </c>
      <c r="CG79" s="2"/>
      <c r="CH79" s="0" t="n">
        <v>0</v>
      </c>
    </row>
    <row r="80" customFormat="false" ht="12.75" hidden="false" customHeight="false" outlineLevel="0" collapsed="false">
      <c r="A80" s="24" t="s">
        <v>36</v>
      </c>
      <c r="C80" s="40" t="n">
        <f aca="false">+TSPT_COT!AS70</f>
        <v>0</v>
      </c>
      <c r="E80" s="40" t="n">
        <f aca="false">+TSPT_COT!AU70</f>
        <v>0</v>
      </c>
      <c r="G80" s="42" t="n">
        <f aca="false">IF(I80=0,0,I80/C80)</f>
        <v>0</v>
      </c>
      <c r="I80" s="5" t="n">
        <f aca="false">+TSPT_COT!AY70</f>
        <v>0</v>
      </c>
      <c r="K80" s="5" t="n">
        <f aca="false">+TSPT_COT!BA70</f>
        <v>0</v>
      </c>
      <c r="M80" s="5" t="n">
        <f aca="false">+TSPT_COT!BC70</f>
        <v>0</v>
      </c>
      <c r="O80" s="6" t="n">
        <f aca="false">+TSPT_COT!BE70</f>
        <v>0</v>
      </c>
      <c r="Q80" s="41" t="n">
        <f aca="false">+C80+BV80</f>
        <v>499124</v>
      </c>
      <c r="S80" s="41" t="n">
        <f aca="false">+E80+BX80</f>
        <v>16447</v>
      </c>
      <c r="U80" s="42" t="n">
        <f aca="false">IF(W80=0,0,W80/Q80)</f>
        <v>0.222409601622042</v>
      </c>
      <c r="W80" s="5" t="n">
        <f aca="false">+I80+CB80</f>
        <v>111009.97</v>
      </c>
      <c r="Y80" s="5" t="n">
        <f aca="false">+K80+CD80</f>
        <v>0</v>
      </c>
      <c r="AA80" s="5" t="n">
        <f aca="false">+M80+CF80</f>
        <v>111009.97</v>
      </c>
      <c r="AC80" s="6" t="n">
        <f aca="false">+O80+CH80</f>
        <v>111</v>
      </c>
      <c r="AE80" s="32"/>
      <c r="AF80" s="32"/>
      <c r="AG80" s="32"/>
      <c r="AH80" s="32"/>
      <c r="AU80" s="29"/>
      <c r="AW80" s="30"/>
      <c r="AY80" s="30"/>
      <c r="BM80" s="31"/>
      <c r="BO80" s="13"/>
      <c r="BS80" s="13"/>
      <c r="BU80" s="24"/>
      <c r="BV80" s="0" t="n">
        <v>499124</v>
      </c>
      <c r="BW80" s="32"/>
      <c r="BX80" s="0" t="n">
        <v>16447</v>
      </c>
      <c r="BY80" s="32"/>
      <c r="BZ80" s="0" t="n">
        <v>0.222409601622042</v>
      </c>
      <c r="CA80" s="32"/>
      <c r="CB80" s="0" t="n">
        <v>111009.97</v>
      </c>
      <c r="CC80" s="34"/>
      <c r="CD80" s="0" t="n">
        <v>0</v>
      </c>
      <c r="CE80" s="34"/>
      <c r="CF80" s="0" t="n">
        <v>111009.97</v>
      </c>
      <c r="CG80" s="2"/>
      <c r="CH80" s="0" t="n">
        <v>111</v>
      </c>
    </row>
    <row r="81" customFormat="false" ht="12.75" hidden="false" customHeight="false" outlineLevel="0" collapsed="false">
      <c r="A81" s="64" t="s">
        <v>37</v>
      </c>
      <c r="C81" s="70" t="n">
        <f aca="false">+TSPT_COT!AS71</f>
        <v>0</v>
      </c>
      <c r="E81" s="70" t="n">
        <f aca="false">+TSPT_COT!AU71</f>
        <v>0</v>
      </c>
      <c r="G81" s="107" t="e">
        <f aca="false">IF(I81=0,0,I81/C81)</f>
        <v>#DIV/0!</v>
      </c>
      <c r="I81" s="127" t="n">
        <f aca="false">+TSPT_COT!AY71</f>
        <v>256680</v>
      </c>
      <c r="K81" s="127" t="n">
        <f aca="false">+TSPT_COT!BA71</f>
        <v>0</v>
      </c>
      <c r="M81" s="127" t="n">
        <f aca="false">+TSPT_COT!BC71</f>
        <v>256680</v>
      </c>
      <c r="O81" s="128" t="n">
        <f aca="false">+TSPT_COT!BE71</f>
        <v>257</v>
      </c>
      <c r="Q81" s="72" t="n">
        <f aca="false">SUM(Q77:Q80)</f>
        <v>9010829</v>
      </c>
      <c r="R81" s="69"/>
      <c r="S81" s="72" t="n">
        <f aca="false">SUM(S77:S80)</f>
        <v>295393</v>
      </c>
      <c r="T81" s="69"/>
      <c r="U81" s="107" t="n">
        <f aca="false">IF(W81=0,0,W81/Q81)</f>
        <v>0.358715278028248</v>
      </c>
      <c r="V81" s="69"/>
      <c r="W81" s="73" t="n">
        <f aca="false">SUM(W76:W80)</f>
        <v>3232322.03</v>
      </c>
      <c r="X81" s="74"/>
      <c r="Y81" s="73" t="n">
        <f aca="false">SUM(Y76:Y80)</f>
        <v>0</v>
      </c>
      <c r="Z81" s="74"/>
      <c r="AA81" s="73" t="n">
        <f aca="false">SUM(AA76:AA80)</f>
        <v>3232322.03</v>
      </c>
      <c r="AB81" s="69"/>
      <c r="AC81" s="75" t="n">
        <f aca="false">SUM(AC76:AC80)</f>
        <v>2981</v>
      </c>
      <c r="AE81" s="32"/>
      <c r="AF81" s="32"/>
      <c r="AG81" s="32"/>
      <c r="AH81" s="32"/>
      <c r="AU81" s="29"/>
      <c r="AW81" s="30"/>
      <c r="AY81" s="30"/>
      <c r="BM81" s="31"/>
      <c r="BO81" s="13"/>
      <c r="BS81" s="13"/>
      <c r="BU81" s="24"/>
      <c r="BV81" s="0" t="n">
        <v>9010829</v>
      </c>
      <c r="BW81" s="32"/>
      <c r="BX81" s="0" t="n">
        <v>295393</v>
      </c>
      <c r="BY81" s="32"/>
      <c r="BZ81" s="0" t="n">
        <v>0.330229552685996</v>
      </c>
      <c r="CA81" s="32"/>
      <c r="CB81" s="0" t="n">
        <v>2975642.03</v>
      </c>
      <c r="CC81" s="34"/>
      <c r="CD81" s="0" t="n">
        <v>0</v>
      </c>
      <c r="CE81" s="34"/>
      <c r="CF81" s="0" t="n">
        <v>2975642.03</v>
      </c>
      <c r="CG81" s="2"/>
      <c r="CH81" s="0" t="n">
        <v>2724</v>
      </c>
    </row>
    <row r="82" customFormat="false" ht="12.75" hidden="false" customHeight="false" outlineLevel="0" collapsed="false">
      <c r="A82" s="24"/>
      <c r="C82" s="40"/>
      <c r="E82" s="53"/>
      <c r="G82" s="42"/>
      <c r="O82" s="54"/>
      <c r="U82" s="42"/>
      <c r="W82" s="0"/>
      <c r="X82" s="0"/>
      <c r="Y82" s="0"/>
      <c r="Z82" s="0"/>
      <c r="AA82" s="0"/>
      <c r="AE82" s="32"/>
      <c r="AF82" s="32"/>
      <c r="AG82" s="32"/>
      <c r="AH82" s="32"/>
      <c r="AU82" s="29"/>
      <c r="AW82" s="30"/>
      <c r="AY82" s="30"/>
      <c r="BM82" s="31"/>
      <c r="BO82" s="13"/>
      <c r="BS82" s="13"/>
      <c r="BU82" s="24"/>
      <c r="BW82" s="32"/>
      <c r="BY82" s="32"/>
      <c r="CA82" s="32"/>
      <c r="CC82" s="34"/>
      <c r="CE82" s="34"/>
      <c r="CF82" s="0"/>
      <c r="CG82" s="2"/>
    </row>
    <row r="83" customFormat="false" ht="12.75" hidden="false" customHeight="false" outlineLevel="0" collapsed="false">
      <c r="A83" s="24" t="s">
        <v>32</v>
      </c>
      <c r="C83" s="40" t="n">
        <f aca="false">+TSPT_COT!AS73</f>
        <v>2480000</v>
      </c>
      <c r="E83" s="40" t="n">
        <f aca="false">+TSPT_COT!AU73</f>
        <v>80000</v>
      </c>
      <c r="G83" s="42" t="n">
        <f aca="false">IF(I83=0,0,I83/C83)</f>
        <v>0.133482657258065</v>
      </c>
      <c r="I83" s="129" t="n">
        <f aca="false">+TSPT_COT!AY73</f>
        <v>331036.99</v>
      </c>
      <c r="K83" s="129" t="n">
        <f aca="false">+TSPT_COT!BA73</f>
        <v>3720</v>
      </c>
      <c r="M83" s="129" t="n">
        <f aca="false">+TSPT_COT!BC73</f>
        <v>334756.99</v>
      </c>
      <c r="O83" s="6" t="n">
        <f aca="false">+TSPT_COT!BE73</f>
        <v>335</v>
      </c>
      <c r="Q83" s="41" t="n">
        <f aca="false">+C83+BV83</f>
        <v>36240000</v>
      </c>
      <c r="S83" s="41" t="n">
        <f aca="false">+E83+BX83</f>
        <v>1191667</v>
      </c>
      <c r="U83" s="42" t="n">
        <f aca="false">IF(W83=0,0,W83/Q83)</f>
        <v>0.143997184050773</v>
      </c>
      <c r="W83" s="129" t="n">
        <f aca="false">+I83+CB83</f>
        <v>5218457.95</v>
      </c>
      <c r="X83" s="0"/>
      <c r="Y83" s="129" t="n">
        <f aca="false">+K83+CD83</f>
        <v>64770</v>
      </c>
      <c r="Z83" s="0"/>
      <c r="AA83" s="129" t="n">
        <f aca="false">+M83+CF83</f>
        <v>5283227.95</v>
      </c>
      <c r="AC83" s="6" t="n">
        <f aca="false">+O83+CH83</f>
        <v>4831</v>
      </c>
      <c r="AE83" s="32"/>
      <c r="AF83" s="32"/>
      <c r="AG83" s="32"/>
      <c r="AH83" s="32"/>
      <c r="AU83" s="29"/>
      <c r="AW83" s="30"/>
      <c r="AY83" s="30"/>
      <c r="BM83" s="31"/>
      <c r="BO83" s="13"/>
      <c r="BS83" s="13"/>
      <c r="BU83" s="24"/>
      <c r="BV83" s="0" t="n">
        <v>33760000</v>
      </c>
      <c r="BW83" s="32"/>
      <c r="BX83" s="0" t="n">
        <v>1111667</v>
      </c>
      <c r="BY83" s="32"/>
      <c r="BZ83" s="0" t="n">
        <v>0.144769578199052</v>
      </c>
      <c r="CA83" s="32"/>
      <c r="CB83" s="0" t="n">
        <v>4887420.96</v>
      </c>
      <c r="CC83" s="34"/>
      <c r="CD83" s="0" t="n">
        <v>61050</v>
      </c>
      <c r="CE83" s="34"/>
      <c r="CF83" s="0" t="n">
        <v>4948470.96</v>
      </c>
      <c r="CG83" s="2"/>
      <c r="CH83" s="0" t="n">
        <v>4496</v>
      </c>
    </row>
    <row r="84" customFormat="false" ht="12.75" hidden="false" customHeight="false" outlineLevel="0" collapsed="false">
      <c r="A84" s="24" t="s">
        <v>47</v>
      </c>
      <c r="C84" s="40" t="n">
        <f aca="false">+TSPT_COT!AS74</f>
        <v>2499732</v>
      </c>
      <c r="E84" s="40" t="n">
        <f aca="false">+TSPT_COT!AU74</f>
        <v>80637</v>
      </c>
      <c r="G84" s="42" t="n">
        <f aca="false">IF(I84=0,0,I84/C84)</f>
        <v>0.00819999903989708</v>
      </c>
      <c r="I84" s="129" t="n">
        <f aca="false">+TSPT_COT!AY74</f>
        <v>20497.8</v>
      </c>
      <c r="K84" s="129" t="n">
        <f aca="false">+TSPT_COT!BA74</f>
        <v>5249.44</v>
      </c>
      <c r="M84" s="129" t="n">
        <f aca="false">+TSPT_COT!BC74</f>
        <v>25747.24</v>
      </c>
      <c r="O84" s="6" t="n">
        <f aca="false">+TSPT_COT!BE74</f>
        <v>26</v>
      </c>
      <c r="Q84" s="41" t="n">
        <f aca="false">+C84+BV84</f>
        <v>36292067</v>
      </c>
      <c r="S84" s="41" t="n">
        <f aca="false">+E84+BX84</f>
        <v>1192977</v>
      </c>
      <c r="U84" s="42" t="n">
        <f aca="false">IF(W84=0,0,W84/Q84)</f>
        <v>0.00735865251213165</v>
      </c>
      <c r="W84" s="129" t="n">
        <f aca="false">+I84+CB84</f>
        <v>267060.71</v>
      </c>
      <c r="X84" s="0"/>
      <c r="Y84" s="129" t="n">
        <f aca="false">+K84+CD84</f>
        <v>145122.68</v>
      </c>
      <c r="Z84" s="0"/>
      <c r="AA84" s="129" t="n">
        <f aca="false">+M84+CF84</f>
        <v>412183.39</v>
      </c>
      <c r="AC84" s="6" t="n">
        <f aca="false">+O84+CH84</f>
        <v>371</v>
      </c>
      <c r="AE84" s="32"/>
      <c r="AF84" s="32"/>
      <c r="AG84" s="32"/>
      <c r="AH84" s="32"/>
      <c r="AU84" s="29"/>
      <c r="AW84" s="30"/>
      <c r="AY84" s="30"/>
      <c r="BM84" s="31"/>
      <c r="BO84" s="13"/>
      <c r="BS84" s="13"/>
      <c r="BU84" s="24"/>
      <c r="BV84" s="0" t="n">
        <v>33792335</v>
      </c>
      <c r="BW84" s="32"/>
      <c r="BX84" s="0" t="n">
        <v>1112340</v>
      </c>
      <c r="BY84" s="32"/>
      <c r="BZ84" s="0" t="n">
        <v>0.0072964152965458</v>
      </c>
      <c r="CA84" s="32"/>
      <c r="CB84" s="0" t="n">
        <v>246562.91</v>
      </c>
      <c r="CC84" s="34"/>
      <c r="CD84" s="0" t="n">
        <v>139873.24</v>
      </c>
      <c r="CE84" s="34"/>
      <c r="CF84" s="0" t="n">
        <v>386436.15</v>
      </c>
      <c r="CG84" s="2"/>
      <c r="CH84" s="0" t="n">
        <v>345</v>
      </c>
    </row>
    <row r="85" customFormat="false" ht="12.75" hidden="false" customHeight="false" outlineLevel="0" collapsed="false">
      <c r="A85" s="24" t="s">
        <v>48</v>
      </c>
      <c r="C85" s="40" t="n">
        <f aca="false">+TSPT_COT!AS75</f>
        <v>0</v>
      </c>
      <c r="E85" s="40" t="n">
        <f aca="false">+TSPT_COT!AU75</f>
        <v>0</v>
      </c>
      <c r="G85" s="130" t="n">
        <f aca="false">IF(I85=0,0,I85/C85)</f>
        <v>0</v>
      </c>
      <c r="I85" s="129" t="n">
        <f aca="false">+TSPT_COT!AY75</f>
        <v>0</v>
      </c>
      <c r="K85" s="129" t="n">
        <f aca="false">+TSPT_COT!BA75</f>
        <v>0</v>
      </c>
      <c r="M85" s="129" t="n">
        <f aca="false">+TSPT_COT!BC75</f>
        <v>0</v>
      </c>
      <c r="O85" s="6" t="n">
        <f aca="false">+TSPT_COT!BE75</f>
        <v>0</v>
      </c>
      <c r="Q85" s="41" t="n">
        <f aca="false">+C85+BV85</f>
        <v>0</v>
      </c>
      <c r="S85" s="41" t="n">
        <f aca="false">+E85+BX85</f>
        <v>0</v>
      </c>
      <c r="U85" s="130" t="n">
        <f aca="false">IF(W85=0,0,W85/Q85)</f>
        <v>0</v>
      </c>
      <c r="W85" s="129" t="n">
        <f aca="false">+I85+CB85</f>
        <v>0</v>
      </c>
      <c r="X85" s="0"/>
      <c r="Y85" s="129" t="n">
        <f aca="false">+K85+CD85</f>
        <v>0</v>
      </c>
      <c r="Z85" s="0"/>
      <c r="AA85" s="129" t="n">
        <f aca="false">+M85+CF85</f>
        <v>0</v>
      </c>
      <c r="AC85" s="6" t="n">
        <f aca="false">+O85+CH85</f>
        <v>0</v>
      </c>
      <c r="AE85" s="32"/>
      <c r="AF85" s="32"/>
      <c r="AG85" s="32"/>
      <c r="AH85" s="32"/>
      <c r="AU85" s="29"/>
      <c r="AW85" s="30"/>
      <c r="AY85" s="30"/>
      <c r="BM85" s="31"/>
      <c r="BO85" s="13"/>
      <c r="BS85" s="13"/>
      <c r="BU85" s="24"/>
      <c r="BV85" s="0" t="n">
        <v>0</v>
      </c>
      <c r="BW85" s="32"/>
      <c r="BX85" s="0" t="n">
        <v>0</v>
      </c>
      <c r="BY85" s="32"/>
      <c r="BZ85" s="0" t="n">
        <v>0</v>
      </c>
      <c r="CA85" s="32"/>
      <c r="CB85" s="0" t="n">
        <v>0</v>
      </c>
      <c r="CC85" s="34"/>
      <c r="CD85" s="0" t="n">
        <v>0</v>
      </c>
      <c r="CE85" s="34"/>
      <c r="CF85" s="0" t="n">
        <v>0</v>
      </c>
      <c r="CG85" s="2"/>
      <c r="CH85" s="0" t="n">
        <v>0</v>
      </c>
    </row>
    <row r="86" customFormat="false" ht="12.75" hidden="false" customHeight="false" outlineLevel="0" collapsed="false">
      <c r="A86" s="24" t="s">
        <v>49</v>
      </c>
      <c r="C86" s="40" t="n">
        <f aca="false">+TSPT_COT!AS76</f>
        <v>0</v>
      </c>
      <c r="E86" s="40" t="n">
        <f aca="false">+TSPT_COT!AU76</f>
        <v>0</v>
      </c>
      <c r="G86" s="130" t="n">
        <f aca="false">IF(I86=0,0,I86/C86)</f>
        <v>0</v>
      </c>
      <c r="I86" s="129" t="n">
        <f aca="false">+TSPT_COT!AY76</f>
        <v>0</v>
      </c>
      <c r="K86" s="129" t="n">
        <f aca="false">+TSPT_COT!BA76</f>
        <v>0</v>
      </c>
      <c r="M86" s="129" t="n">
        <f aca="false">+TSPT_COT!BC76</f>
        <v>0</v>
      </c>
      <c r="O86" s="6" t="n">
        <f aca="false">+TSPT_COT!BE76</f>
        <v>0</v>
      </c>
      <c r="Q86" s="41" t="n">
        <f aca="false">+C86+BV86</f>
        <v>257209</v>
      </c>
      <c r="S86" s="41" t="n">
        <f aca="false">+E86+BX86</f>
        <v>0</v>
      </c>
      <c r="U86" s="130" t="n">
        <f aca="false">IF(W86=0,0,W86/Q86)</f>
        <v>0.0078579676449891</v>
      </c>
      <c r="W86" s="129" t="n">
        <f aca="false">+I86+CB86</f>
        <v>2021.14</v>
      </c>
      <c r="X86" s="0"/>
      <c r="Y86" s="129" t="n">
        <f aca="false">+K86+CD86</f>
        <v>2028.02</v>
      </c>
      <c r="Z86" s="0"/>
      <c r="AA86" s="129" t="n">
        <f aca="false">+M86+CF86</f>
        <v>4049.16</v>
      </c>
      <c r="AC86" s="6" t="n">
        <f aca="false">+O86+CH86</f>
        <v>4</v>
      </c>
      <c r="AE86" s="32"/>
      <c r="AF86" s="32"/>
      <c r="AG86" s="32"/>
      <c r="AH86" s="32"/>
      <c r="AU86" s="29"/>
      <c r="AW86" s="30"/>
      <c r="AY86" s="30"/>
      <c r="BM86" s="31"/>
      <c r="BO86" s="13"/>
      <c r="BS86" s="13"/>
      <c r="BU86" s="24"/>
      <c r="BV86" s="0" t="n">
        <v>257209</v>
      </c>
      <c r="BW86" s="32"/>
      <c r="BX86" s="0" t="n">
        <v>0</v>
      </c>
      <c r="BY86" s="32"/>
      <c r="BZ86" s="0" t="n">
        <v>0.00785796764498909</v>
      </c>
      <c r="CA86" s="32"/>
      <c r="CB86" s="0" t="n">
        <v>2021.14</v>
      </c>
      <c r="CC86" s="34"/>
      <c r="CD86" s="0" t="n">
        <v>2028.02</v>
      </c>
      <c r="CE86" s="34"/>
      <c r="CF86" s="0" t="n">
        <v>4049.16</v>
      </c>
      <c r="CG86" s="2"/>
      <c r="CH86" s="0" t="n">
        <v>4</v>
      </c>
    </row>
    <row r="87" customFormat="false" ht="12.75" hidden="false" customHeight="false" outlineLevel="0" collapsed="false">
      <c r="A87" s="24" t="s">
        <v>50</v>
      </c>
      <c r="C87" s="99" t="n">
        <f aca="false">+TSPT_COT!AS77</f>
        <v>0</v>
      </c>
      <c r="E87" s="99" t="n">
        <f aca="false">+TSPT_COT!AU77</f>
        <v>0</v>
      </c>
      <c r="G87" s="131" t="n">
        <f aca="false">IF(I87=0,0,I87/C87)</f>
        <v>0</v>
      </c>
      <c r="I87" s="132" t="n">
        <f aca="false">+TSPT_COT!AY77</f>
        <v>0</v>
      </c>
      <c r="K87" s="132" t="n">
        <f aca="false">+TSPT_COT!BA77</f>
        <v>0</v>
      </c>
      <c r="M87" s="132" t="n">
        <f aca="false">+TSPT_COT!BC77</f>
        <v>0</v>
      </c>
      <c r="O87" s="118" t="n">
        <f aca="false">+TSPT_COT!BE77</f>
        <v>0</v>
      </c>
      <c r="Q87" s="115" t="n">
        <f aca="false">+C87+BV87</f>
        <v>739398</v>
      </c>
      <c r="S87" s="115" t="n">
        <f aca="false">+E87+BX87</f>
        <v>24614</v>
      </c>
      <c r="U87" s="131" t="n">
        <f aca="false">IF(W87=0,0,W87/Q87)</f>
        <v>0.205308088471973</v>
      </c>
      <c r="W87" s="132" t="n">
        <f aca="false">+I87+CB87</f>
        <v>151804.39</v>
      </c>
      <c r="X87" s="0"/>
      <c r="Y87" s="132" t="n">
        <f aca="false">+K87+CD87</f>
        <v>6784.18</v>
      </c>
      <c r="Z87" s="0"/>
      <c r="AA87" s="132" t="n">
        <f aca="false">+M87+CF87</f>
        <v>158588.57</v>
      </c>
      <c r="AC87" s="118" t="n">
        <f aca="false">+O87+CH87</f>
        <v>159</v>
      </c>
      <c r="AE87" s="32"/>
      <c r="AF87" s="32"/>
      <c r="AG87" s="32"/>
      <c r="AH87" s="32"/>
      <c r="AU87" s="29"/>
      <c r="AW87" s="30"/>
      <c r="AY87" s="30"/>
      <c r="BM87" s="31"/>
      <c r="BO87" s="13"/>
      <c r="BS87" s="13"/>
      <c r="BU87" s="24"/>
      <c r="BV87" s="0" t="n">
        <v>739398</v>
      </c>
      <c r="BW87" s="32"/>
      <c r="BX87" s="0" t="n">
        <v>24614</v>
      </c>
      <c r="BY87" s="32"/>
      <c r="BZ87" s="0" t="n">
        <v>0.205308088471973</v>
      </c>
      <c r="CA87" s="32"/>
      <c r="CB87" s="0" t="n">
        <v>151804.39</v>
      </c>
      <c r="CC87" s="34"/>
      <c r="CD87" s="0" t="n">
        <v>6784.18</v>
      </c>
      <c r="CE87" s="34"/>
      <c r="CF87" s="0" t="n">
        <v>158588.57</v>
      </c>
      <c r="CG87" s="2"/>
      <c r="CH87" s="0" t="n">
        <v>159</v>
      </c>
    </row>
    <row r="88" customFormat="false" ht="12.75" hidden="false" customHeight="false" outlineLevel="0" collapsed="false">
      <c r="A88" s="64" t="s">
        <v>37</v>
      </c>
      <c r="B88" s="85"/>
      <c r="C88" s="119" t="n">
        <f aca="false">SUM(C84:C87)</f>
        <v>2499732</v>
      </c>
      <c r="D88" s="85"/>
      <c r="E88" s="119" t="n">
        <f aca="false">SUM(E84:E87)</f>
        <v>80637</v>
      </c>
      <c r="F88" s="85"/>
      <c r="G88" s="107" t="n">
        <f aca="false">IF(I88=0,0,I88/C88)</f>
        <v>0.140628991427881</v>
      </c>
      <c r="H88" s="85"/>
      <c r="I88" s="88" t="n">
        <f aca="false">SUM(I83:I87)</f>
        <v>351534.79</v>
      </c>
      <c r="J88" s="88"/>
      <c r="K88" s="88" t="n">
        <f aca="false">SUM(K83:K87)</f>
        <v>8969.44</v>
      </c>
      <c r="L88" s="88"/>
      <c r="M88" s="88" t="n">
        <f aca="false">SUM(M83:M87)</f>
        <v>360504.23</v>
      </c>
      <c r="N88" s="85"/>
      <c r="O88" s="126" t="n">
        <f aca="false">SUM(O83:O87)</f>
        <v>361</v>
      </c>
      <c r="P88" s="85"/>
      <c r="Q88" s="119" t="n">
        <f aca="false">SUM(Q84:Q87)</f>
        <v>37288674</v>
      </c>
      <c r="R88" s="85"/>
      <c r="S88" s="119" t="n">
        <f aca="false">SUM(S84:S87)</f>
        <v>1217591</v>
      </c>
      <c r="T88" s="85"/>
      <c r="U88" s="107" t="n">
        <f aca="false">IF(W88=0,0,W88/Q88)</f>
        <v>0.151234774130075</v>
      </c>
      <c r="V88" s="85"/>
      <c r="W88" s="88" t="n">
        <f aca="false">SUM(W83:W87)</f>
        <v>5639344.19</v>
      </c>
      <c r="X88" s="88"/>
      <c r="Y88" s="88" t="n">
        <f aca="false">SUM(Y83:Y87)</f>
        <v>218704.88</v>
      </c>
      <c r="Z88" s="88"/>
      <c r="AA88" s="88" t="n">
        <f aca="false">SUM(AA83:AA87)</f>
        <v>5858049.07</v>
      </c>
      <c r="AB88" s="85"/>
      <c r="AC88" s="126" t="n">
        <f aca="false">SUM(AC83:AC87)</f>
        <v>5365</v>
      </c>
      <c r="AD88" s="85"/>
      <c r="AE88" s="92"/>
      <c r="AF88" s="92"/>
      <c r="AG88" s="92"/>
      <c r="AH88" s="92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93"/>
      <c r="AV88" s="85"/>
      <c r="AW88" s="94"/>
      <c r="AX88" s="85"/>
      <c r="AY88" s="94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95"/>
      <c r="BN88" s="85"/>
      <c r="BO88" s="96"/>
      <c r="BP88" s="85"/>
      <c r="BQ88" s="85"/>
      <c r="BR88" s="85"/>
      <c r="BS88" s="96"/>
      <c r="BT88" s="85"/>
      <c r="BU88" s="64"/>
      <c r="BV88" s="85" t="n">
        <v>34788942</v>
      </c>
      <c r="BW88" s="92"/>
      <c r="BX88" s="85" t="n">
        <v>1136954</v>
      </c>
      <c r="BY88" s="92"/>
      <c r="BZ88" s="85" t="n">
        <v>0.151996844284601</v>
      </c>
      <c r="CA88" s="92"/>
      <c r="CB88" s="85" t="n">
        <v>5287809.4</v>
      </c>
      <c r="CC88" s="97"/>
      <c r="CD88" s="85" t="n">
        <v>209735.44</v>
      </c>
      <c r="CE88" s="97"/>
      <c r="CF88" s="85" t="n">
        <v>5497544.84</v>
      </c>
      <c r="CG88" s="98"/>
      <c r="CH88" s="85" t="n">
        <v>5004</v>
      </c>
    </row>
    <row r="89" customFormat="false" ht="12.75" hidden="false" customHeight="false" outlineLevel="0" collapsed="false">
      <c r="A89" s="64"/>
      <c r="C89" s="40"/>
      <c r="E89" s="40"/>
      <c r="G89" s="42"/>
      <c r="I89" s="65"/>
      <c r="K89" s="65"/>
      <c r="M89" s="129"/>
      <c r="O89" s="133"/>
      <c r="Q89" s="41"/>
      <c r="S89" s="32"/>
      <c r="U89" s="42"/>
      <c r="AE89" s="32"/>
      <c r="AF89" s="32"/>
      <c r="AG89" s="32"/>
      <c r="AH89" s="32"/>
      <c r="AU89" s="29"/>
      <c r="AW89" s="30"/>
      <c r="AY89" s="30"/>
      <c r="BM89" s="31"/>
      <c r="BO89" s="13"/>
      <c r="BS89" s="13"/>
      <c r="BU89" s="24" t="s">
        <v>24</v>
      </c>
      <c r="BW89" s="32"/>
      <c r="BY89" s="32"/>
      <c r="CA89" s="32"/>
      <c r="CC89" s="34"/>
      <c r="CE89" s="34"/>
      <c r="CF89" s="0"/>
      <c r="CG89" s="2"/>
    </row>
    <row r="90" customFormat="false" ht="12.75" hidden="false" customHeight="false" outlineLevel="0" collapsed="false">
      <c r="A90" s="24" t="str">
        <f aca="false">+TSPT_COT!A80</f>
        <v>   Demand</v>
      </c>
      <c r="C90" s="40" t="n">
        <f aca="false">TSPT_COT!AS80</f>
        <v>0</v>
      </c>
      <c r="E90" s="40" t="n">
        <f aca="false">TSPT_COT!AU80</f>
        <v>0</v>
      </c>
      <c r="G90" s="42" t="n">
        <f aca="false">IF(I90=0,0,I90/C90)</f>
        <v>0</v>
      </c>
      <c r="I90" s="65" t="n">
        <f aca="false">+TSPT_COT!AY80</f>
        <v>0</v>
      </c>
      <c r="K90" s="65" t="n">
        <f aca="false">+TSPT_COT!BA80</f>
        <v>0</v>
      </c>
      <c r="M90" s="65" t="n">
        <f aca="false">+TSPT_COT!BC80</f>
        <v>0</v>
      </c>
      <c r="O90" s="133" t="n">
        <f aca="false">+TSPT_COT!BE80</f>
        <v>0</v>
      </c>
      <c r="Q90" s="41" t="n">
        <f aca="false">+C90+BV90</f>
        <v>1200000</v>
      </c>
      <c r="S90" s="32" t="n">
        <f aca="false">ROUND(Q90/SLS_COS!$AZ$3,0)</f>
        <v>3288</v>
      </c>
      <c r="U90" s="42" t="n">
        <f aca="false">IF(W90=0,0,W90/Q90)</f>
        <v>0.03</v>
      </c>
      <c r="W90" s="5" t="n">
        <f aca="false">+I90+CB90</f>
        <v>36000</v>
      </c>
      <c r="Y90" s="5" t="n">
        <f aca="false">+K90+CD90</f>
        <v>0</v>
      </c>
      <c r="AA90" s="5" t="n">
        <f aca="false">+M90+CF90</f>
        <v>36000</v>
      </c>
      <c r="AC90" s="6" t="n">
        <f aca="false">ROUND(AA90/1000,0)</f>
        <v>36</v>
      </c>
      <c r="AE90" s="32"/>
      <c r="AF90" s="32"/>
      <c r="AG90" s="32"/>
      <c r="AH90" s="32"/>
      <c r="AU90" s="29"/>
      <c r="AW90" s="30"/>
      <c r="AY90" s="30"/>
      <c r="BM90" s="31"/>
      <c r="BO90" s="13"/>
      <c r="BS90" s="13"/>
      <c r="BU90" s="24" t="s">
        <v>51</v>
      </c>
      <c r="BV90" s="0" t="n">
        <v>1200000</v>
      </c>
      <c r="BW90" s="32"/>
      <c r="BX90" s="0" t="n">
        <v>3593</v>
      </c>
      <c r="BY90" s="32"/>
      <c r="BZ90" s="0" t="n">
        <v>0.03</v>
      </c>
      <c r="CA90" s="32"/>
      <c r="CB90" s="0" t="n">
        <v>36000</v>
      </c>
      <c r="CC90" s="34"/>
      <c r="CD90" s="0" t="n">
        <v>0</v>
      </c>
      <c r="CE90" s="34"/>
      <c r="CF90" s="0" t="n">
        <v>36000</v>
      </c>
      <c r="CG90" s="2"/>
      <c r="CH90" s="0" t="n">
        <v>36</v>
      </c>
    </row>
    <row r="91" customFormat="false" ht="12.75" hidden="false" customHeight="false" outlineLevel="0" collapsed="false">
      <c r="A91" s="24" t="str">
        <f aca="false">+TSPT_COT!A81</f>
        <v>   FT-Thoreau</v>
      </c>
      <c r="C91" s="40" t="n">
        <f aca="false">TSPT_COT!AS81</f>
        <v>0</v>
      </c>
      <c r="E91" s="40" t="n">
        <f aca="false">TSPT_COT!AU81</f>
        <v>0</v>
      </c>
      <c r="G91" s="42" t="n">
        <f aca="false">IF(I91=0,0,I91/C91)</f>
        <v>0</v>
      </c>
      <c r="I91" s="65" t="n">
        <f aca="false">+TSPT_COT!AY81</f>
        <v>0</v>
      </c>
      <c r="K91" s="65" t="n">
        <f aca="false">+TSPT_COT!BA81</f>
        <v>0</v>
      </c>
      <c r="M91" s="65" t="n">
        <f aca="false">+TSPT_COT!BC81</f>
        <v>0</v>
      </c>
      <c r="O91" s="133" t="n">
        <f aca="false">+TSPT_COT!BE81</f>
        <v>0</v>
      </c>
      <c r="Q91" s="41" t="n">
        <f aca="false">+C91+BV91</f>
        <v>2925189</v>
      </c>
      <c r="S91" s="32" t="n">
        <f aca="false">ROUND(Q91/SLS_COS!$AZ$3,0)</f>
        <v>8014</v>
      </c>
      <c r="U91" s="42" t="n">
        <f aca="false">IF(W91=0,0,W91/Q91)</f>
        <v>0.00687669753988546</v>
      </c>
      <c r="W91" s="5" t="n">
        <f aca="false">+I91+CB91</f>
        <v>20115.64</v>
      </c>
      <c r="Y91" s="5" t="n">
        <f aca="false">+K91+CD91</f>
        <v>12431.13</v>
      </c>
      <c r="AA91" s="5" t="n">
        <f aca="false">+M91+CF91</f>
        <v>32546.77</v>
      </c>
      <c r="AC91" s="6" t="n">
        <f aca="false">ROUND(AA91/1000,0)</f>
        <v>33</v>
      </c>
      <c r="AE91" s="32"/>
      <c r="AF91" s="32"/>
      <c r="AG91" s="32"/>
      <c r="AH91" s="32"/>
      <c r="AU91" s="29"/>
      <c r="AW91" s="30"/>
      <c r="AY91" s="30"/>
      <c r="BM91" s="31"/>
      <c r="BO91" s="13"/>
      <c r="BS91" s="13"/>
      <c r="BU91" s="24" t="s">
        <v>52</v>
      </c>
      <c r="BV91" s="0" t="n">
        <v>2925189</v>
      </c>
      <c r="BW91" s="32"/>
      <c r="BX91" s="0" t="n">
        <v>8758</v>
      </c>
      <c r="BY91" s="32"/>
      <c r="BZ91" s="0" t="n">
        <v>0.00687669753988546</v>
      </c>
      <c r="CA91" s="32"/>
      <c r="CB91" s="0" t="n">
        <v>20115.64</v>
      </c>
      <c r="CC91" s="34"/>
      <c r="CD91" s="0" t="n">
        <v>12431.13</v>
      </c>
      <c r="CE91" s="34"/>
      <c r="CF91" s="0" t="n">
        <v>32546.77</v>
      </c>
      <c r="CG91" s="2"/>
      <c r="CH91" s="0" t="n">
        <v>29</v>
      </c>
    </row>
    <row r="92" customFormat="false" ht="12.75" hidden="false" customHeight="false" outlineLevel="0" collapsed="false">
      <c r="A92" s="24" t="str">
        <f aca="false">+TSPT_COT!A82</f>
        <v>   FR-Thoreau</v>
      </c>
      <c r="C92" s="40" t="n">
        <f aca="false">TSPT_COT!AS82</f>
        <v>0</v>
      </c>
      <c r="E92" s="40" t="n">
        <f aca="false">TSPT_COT!AU82</f>
        <v>0</v>
      </c>
      <c r="G92" s="42" t="n">
        <f aca="false">IF(I92=0,0,I92/C92)</f>
        <v>0</v>
      </c>
      <c r="I92" s="65" t="n">
        <f aca="false">+TSPT_COT!AY82</f>
        <v>0</v>
      </c>
      <c r="K92" s="65" t="n">
        <f aca="false">+TSPT_COT!BA82</f>
        <v>0</v>
      </c>
      <c r="M92" s="65" t="n">
        <f aca="false">+TSPT_COT!BC82</f>
        <v>0</v>
      </c>
      <c r="O92" s="133" t="n">
        <f aca="false">+TSPT_COT!BE82</f>
        <v>0</v>
      </c>
      <c r="Q92" s="41" t="n">
        <f aca="false">+C92+BV92</f>
        <v>0</v>
      </c>
      <c r="S92" s="32" t="n">
        <f aca="false">ROUND(Q92/SLS_COS!$AZ$3,0)</f>
        <v>0</v>
      </c>
      <c r="U92" s="42" t="n">
        <f aca="false">IF(W92=0,0,W92/Q92)</f>
        <v>0</v>
      </c>
      <c r="W92" s="5" t="n">
        <f aca="false">+I92+CB92</f>
        <v>0</v>
      </c>
      <c r="Y92" s="5" t="n">
        <f aca="false">+K92+CD92</f>
        <v>0</v>
      </c>
      <c r="AA92" s="5" t="n">
        <f aca="false">+M92+CF92</f>
        <v>0</v>
      </c>
      <c r="AC92" s="6" t="n">
        <f aca="false">ROUND(AA92/1000,0)</f>
        <v>0</v>
      </c>
      <c r="AE92" s="32"/>
      <c r="AF92" s="32"/>
      <c r="AG92" s="32"/>
      <c r="AH92" s="32"/>
      <c r="AU92" s="29"/>
      <c r="AW92" s="30"/>
      <c r="AY92" s="30"/>
      <c r="BM92" s="31"/>
      <c r="BO92" s="13"/>
      <c r="BS92" s="13"/>
      <c r="BU92" s="24" t="s">
        <v>53</v>
      </c>
      <c r="BV92" s="0" t="n">
        <v>0</v>
      </c>
      <c r="BW92" s="32"/>
      <c r="BX92" s="0" t="n">
        <v>0</v>
      </c>
      <c r="BY92" s="32"/>
      <c r="BZ92" s="0" t="n">
        <v>0</v>
      </c>
      <c r="CA92" s="32"/>
      <c r="CB92" s="0" t="n">
        <v>0</v>
      </c>
      <c r="CC92" s="34"/>
      <c r="CD92" s="0" t="n">
        <v>0</v>
      </c>
      <c r="CE92" s="34"/>
      <c r="CF92" s="0" t="n">
        <v>0</v>
      </c>
      <c r="CG92" s="2"/>
      <c r="CH92" s="0" t="n">
        <v>0</v>
      </c>
    </row>
    <row r="93" customFormat="false" ht="12.75" hidden="false" customHeight="false" outlineLevel="0" collapsed="false">
      <c r="A93" s="24" t="str">
        <f aca="false">+TSPT_COT!A83</f>
        <v>   LFT-Thoreau</v>
      </c>
      <c r="C93" s="40" t="n">
        <f aca="false">TSPT_COT!AS83</f>
        <v>0</v>
      </c>
      <c r="E93" s="40" t="n">
        <f aca="false">TSPT_COT!AU83</f>
        <v>0</v>
      </c>
      <c r="G93" s="42" t="n">
        <f aca="false">IF(I93=0,0,I93/C93)</f>
        <v>0</v>
      </c>
      <c r="I93" s="65" t="n">
        <f aca="false">+TSPT_COT!AY83</f>
        <v>0</v>
      </c>
      <c r="K93" s="65" t="n">
        <f aca="false">+TSPT_COT!BA83</f>
        <v>0</v>
      </c>
      <c r="M93" s="65" t="n">
        <f aca="false">+TSPT_COT!BC83</f>
        <v>0</v>
      </c>
      <c r="O93" s="133" t="n">
        <f aca="false">+TSPT_COT!BE83</f>
        <v>0</v>
      </c>
      <c r="Q93" s="41" t="n">
        <f aca="false">+C93+BV93</f>
        <v>0</v>
      </c>
      <c r="S93" s="32" t="n">
        <f aca="false">ROUND(Q93/SLS_COS!$AZ$3,0)</f>
        <v>0</v>
      </c>
      <c r="U93" s="42" t="n">
        <f aca="false">IF(W93=0,0,W93/Q93)</f>
        <v>0</v>
      </c>
      <c r="W93" s="5" t="n">
        <f aca="false">+I93+CB93</f>
        <v>0</v>
      </c>
      <c r="Y93" s="5" t="n">
        <f aca="false">+K93+CD93</f>
        <v>0</v>
      </c>
      <c r="AA93" s="5" t="n">
        <f aca="false">+M93+CF93</f>
        <v>0</v>
      </c>
      <c r="AC93" s="6" t="n">
        <f aca="false">ROUND(AA93/1000,0)</f>
        <v>0</v>
      </c>
      <c r="AE93" s="32"/>
      <c r="AF93" s="32"/>
      <c r="AG93" s="32"/>
      <c r="AH93" s="32"/>
      <c r="AU93" s="29"/>
      <c r="AW93" s="30"/>
      <c r="AY93" s="30"/>
      <c r="BM93" s="31"/>
      <c r="BO93" s="13"/>
      <c r="BS93" s="13"/>
      <c r="BU93" s="24" t="s">
        <v>54</v>
      </c>
      <c r="BV93" s="0" t="n">
        <v>0</v>
      </c>
      <c r="BW93" s="32"/>
      <c r="BX93" s="0" t="n">
        <v>0</v>
      </c>
      <c r="BY93" s="32"/>
      <c r="BZ93" s="0" t="n">
        <v>0</v>
      </c>
      <c r="CA93" s="32"/>
      <c r="CB93" s="0" t="n">
        <v>0</v>
      </c>
      <c r="CC93" s="34"/>
      <c r="CD93" s="0" t="n">
        <v>0</v>
      </c>
      <c r="CE93" s="34"/>
      <c r="CF93" s="0" t="n">
        <v>0</v>
      </c>
      <c r="CG93" s="2"/>
      <c r="CH93" s="0" t="n">
        <v>0</v>
      </c>
    </row>
    <row r="94" customFormat="false" ht="12.75" hidden="false" customHeight="false" outlineLevel="0" collapsed="false">
      <c r="A94" s="24" t="str">
        <f aca="false">+TSPT_COT!A84</f>
        <v>   IT-Thoreau</v>
      </c>
      <c r="C94" s="40" t="n">
        <f aca="false">TSPT_COT!AS84</f>
        <v>0</v>
      </c>
      <c r="E94" s="40" t="n">
        <f aca="false">TSPT_COT!AU84</f>
        <v>0</v>
      </c>
      <c r="G94" s="42" t="n">
        <f aca="false">IF(I94=0,0,I94/C94)</f>
        <v>0</v>
      </c>
      <c r="I94" s="65" t="n">
        <f aca="false">+TSPT_COT!AY84</f>
        <v>0</v>
      </c>
      <c r="K94" s="65" t="n">
        <f aca="false">+TSPT_COT!BA84</f>
        <v>0</v>
      </c>
      <c r="M94" s="65" t="n">
        <f aca="false">+TSPT_COT!BC84</f>
        <v>0</v>
      </c>
      <c r="O94" s="133" t="n">
        <f aca="false">+TSPT_COT!BE84</f>
        <v>0</v>
      </c>
      <c r="Q94" s="41" t="n">
        <f aca="false">+C94+BV94</f>
        <v>2406</v>
      </c>
      <c r="S94" s="32" t="n">
        <f aca="false">ROUND(Q94/SLS_COS!$AZ$3,0)</f>
        <v>7</v>
      </c>
      <c r="U94" s="42" t="n">
        <f aca="false">IF(W94=0,0,W94/Q94)</f>
        <v>0.106716541978387</v>
      </c>
      <c r="W94" s="5" t="n">
        <f aca="false">+I94+CB94</f>
        <v>256.76</v>
      </c>
      <c r="Y94" s="5" t="n">
        <f aca="false">+K94+CD94</f>
        <v>16.34</v>
      </c>
      <c r="AA94" s="5" t="n">
        <f aca="false">+M94+CF94</f>
        <v>273.1</v>
      </c>
      <c r="AC94" s="6" t="n">
        <f aca="false">ROUND(AA94/1000,0)</f>
        <v>0</v>
      </c>
      <c r="AE94" s="32"/>
      <c r="AF94" s="32"/>
      <c r="AG94" s="32"/>
      <c r="AH94" s="32"/>
      <c r="AU94" s="29"/>
      <c r="AW94" s="30"/>
      <c r="AY94" s="30"/>
      <c r="BM94" s="31"/>
      <c r="BO94" s="13"/>
      <c r="BS94" s="13"/>
      <c r="BU94" s="24"/>
      <c r="BV94" s="0" t="n">
        <v>2406</v>
      </c>
      <c r="BW94" s="32"/>
      <c r="BX94" s="0" t="n">
        <v>7</v>
      </c>
      <c r="BY94" s="32"/>
      <c r="BZ94" s="0" t="n">
        <v>0.106716541978387</v>
      </c>
      <c r="CA94" s="32"/>
      <c r="CB94" s="0" t="n">
        <v>256.76</v>
      </c>
      <c r="CC94" s="34"/>
      <c r="CD94" s="0" t="n">
        <v>16.34</v>
      </c>
      <c r="CE94" s="34"/>
      <c r="CF94" s="0" t="n">
        <v>273.1</v>
      </c>
      <c r="CG94" s="2"/>
      <c r="CH94" s="0" t="n">
        <v>0</v>
      </c>
    </row>
    <row r="95" customFormat="false" ht="12.75" hidden="false" customHeight="false" outlineLevel="0" collapsed="false">
      <c r="A95" s="64" t="str">
        <f aca="false">+TSPT_COT!A85</f>
        <v>     Sub-Total</v>
      </c>
      <c r="B95" s="69"/>
      <c r="C95" s="105" t="n">
        <f aca="false">TSPT_COT!AS85</f>
        <v>0</v>
      </c>
      <c r="D95" s="69"/>
      <c r="E95" s="105" t="n">
        <f aca="false">TSPT_COT!AU85</f>
        <v>0</v>
      </c>
      <c r="F95" s="69"/>
      <c r="G95" s="107" t="n">
        <f aca="false">IF(I95=0,0,I95/C95)</f>
        <v>0</v>
      </c>
      <c r="H95" s="69"/>
      <c r="I95" s="73" t="n">
        <f aca="false">TSPT_COT!AY85</f>
        <v>0</v>
      </c>
      <c r="J95" s="74"/>
      <c r="K95" s="73" t="n">
        <f aca="false">TSPT_COT!BA85</f>
        <v>0</v>
      </c>
      <c r="L95" s="74"/>
      <c r="M95" s="73" t="n">
        <f aca="false">TSPT_COT!BC85</f>
        <v>0</v>
      </c>
      <c r="N95" s="69"/>
      <c r="O95" s="75" t="n">
        <f aca="false">TSPT_COT!BE85</f>
        <v>0</v>
      </c>
      <c r="P95" s="69"/>
      <c r="Q95" s="72" t="n">
        <f aca="false">SUM(Q91:Q94)</f>
        <v>2927595</v>
      </c>
      <c r="R95" s="69"/>
      <c r="S95" s="72" t="n">
        <f aca="false">SUM(S90:S93)</f>
        <v>11302</v>
      </c>
      <c r="T95" s="69"/>
      <c r="U95" s="107" t="n">
        <f aca="false">IF(W95=0,0,W95/Q95)</f>
        <v>0.0192555322713695</v>
      </c>
      <c r="V95" s="69"/>
      <c r="W95" s="73" t="n">
        <f aca="false">SUM(W90:W94)</f>
        <v>56372.4</v>
      </c>
      <c r="X95" s="74"/>
      <c r="Y95" s="73" t="n">
        <f aca="false">SUM(Y90:Y94)</f>
        <v>12447.47</v>
      </c>
      <c r="Z95" s="74"/>
      <c r="AA95" s="73" t="n">
        <f aca="false">SUM(AA90:AA94)</f>
        <v>68819.87</v>
      </c>
      <c r="AB95" s="69"/>
      <c r="AC95" s="75" t="n">
        <f aca="false">SUM(AC90:AC94)</f>
        <v>69</v>
      </c>
      <c r="AD95" s="69"/>
      <c r="AE95" s="76"/>
      <c r="AF95" s="76"/>
      <c r="AG95" s="76"/>
      <c r="AH95" s="76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77"/>
      <c r="AV95" s="69"/>
      <c r="AW95" s="78"/>
      <c r="AX95" s="69"/>
      <c r="AY95" s="78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79"/>
      <c r="BN95" s="69"/>
      <c r="BO95" s="64"/>
      <c r="BP95" s="69"/>
      <c r="BQ95" s="69"/>
      <c r="BR95" s="69"/>
      <c r="BS95" s="64"/>
      <c r="BT95" s="69"/>
      <c r="BU95" s="64" t="s">
        <v>28</v>
      </c>
      <c r="BV95" s="85" t="n">
        <v>2927595</v>
      </c>
      <c r="BW95" s="76"/>
      <c r="BX95" s="85" t="n">
        <v>12351</v>
      </c>
      <c r="BY95" s="76"/>
      <c r="BZ95" s="85" t="n">
        <v>0.0192555322713695</v>
      </c>
      <c r="CA95" s="76"/>
      <c r="CB95" s="85" t="n">
        <v>56372.4</v>
      </c>
      <c r="CC95" s="80"/>
      <c r="CD95" s="85" t="n">
        <v>12447.47</v>
      </c>
      <c r="CE95" s="80"/>
      <c r="CF95" s="85" t="n">
        <v>68819.87</v>
      </c>
      <c r="CG95" s="81"/>
      <c r="CH95" s="85" t="n">
        <v>65</v>
      </c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</row>
    <row r="96" customFormat="false" ht="12.75" hidden="false" customHeight="false" outlineLevel="0" collapsed="false">
      <c r="A96" s="64"/>
      <c r="C96" s="40"/>
      <c r="E96" s="53"/>
      <c r="G96" s="42"/>
      <c r="O96" s="54"/>
      <c r="Q96" s="41"/>
      <c r="S96" s="32"/>
      <c r="U96" s="42"/>
      <c r="AE96" s="32"/>
      <c r="AF96" s="32"/>
      <c r="AG96" s="32"/>
      <c r="AH96" s="32"/>
      <c r="AU96" s="29"/>
      <c r="AW96" s="30"/>
      <c r="AY96" s="30"/>
      <c r="BM96" s="31"/>
      <c r="BO96" s="13"/>
      <c r="BS96" s="13"/>
      <c r="BU96" s="24"/>
      <c r="BW96" s="32"/>
      <c r="BY96" s="32"/>
      <c r="CA96" s="32"/>
      <c r="CC96" s="34"/>
      <c r="CE96" s="34"/>
      <c r="CF96" s="0"/>
      <c r="CG96" s="2"/>
    </row>
    <row r="97" customFormat="false" ht="12.75" hidden="false" customHeight="false" outlineLevel="0" collapsed="false">
      <c r="A97" s="24"/>
      <c r="AE97" s="32"/>
      <c r="AF97" s="32"/>
      <c r="AG97" s="32"/>
      <c r="AH97" s="32"/>
      <c r="AU97" s="29"/>
      <c r="AW97" s="30"/>
      <c r="AY97" s="30"/>
      <c r="BM97" s="31"/>
      <c r="BO97" s="13"/>
      <c r="BS97" s="13"/>
      <c r="BU97" s="24"/>
      <c r="BW97" s="32"/>
      <c r="BY97" s="32"/>
      <c r="CA97" s="32"/>
      <c r="CC97" s="34"/>
      <c r="CE97" s="34"/>
      <c r="CF97" s="0"/>
      <c r="CG97" s="2"/>
    </row>
    <row r="98" customFormat="false" ht="12.75" hidden="false" customHeight="false" outlineLevel="0" collapsed="false">
      <c r="A98" s="24" t="str">
        <f aca="false">+TSPT_COT!A87</f>
        <v>   Demand(W of Th/Th)</v>
      </c>
      <c r="C98" s="40" t="n">
        <f aca="false">TSPT_COT!AS87</f>
        <v>0</v>
      </c>
      <c r="E98" s="40" t="n">
        <f aca="false">TSPT_COT!AU87</f>
        <v>0</v>
      </c>
      <c r="G98" s="42" t="n">
        <f aca="false">IF(I98=0,0,I98/C98)</f>
        <v>0</v>
      </c>
      <c r="I98" s="65" t="n">
        <f aca="false">TSPT_COT!AY87</f>
        <v>0</v>
      </c>
      <c r="K98" s="65" t="n">
        <f aca="false">TSPT_COT!BA87</f>
        <v>0</v>
      </c>
      <c r="M98" s="65" t="n">
        <f aca="false">TSPT_COT!BC87</f>
        <v>0</v>
      </c>
      <c r="O98" s="54" t="n">
        <f aca="false">TSPT_COT!BE87</f>
        <v>0</v>
      </c>
      <c r="Q98" s="41" t="n">
        <f aca="false">+C98+BV98</f>
        <v>0</v>
      </c>
      <c r="S98" s="32" t="n">
        <f aca="false">ROUND(Q98/SLS_COS!$AZ$3,0)</f>
        <v>0</v>
      </c>
      <c r="U98" s="42" t="n">
        <f aca="false">IF(W98=0,0,W98/Q98)</f>
        <v>0</v>
      </c>
      <c r="W98" s="5" t="n">
        <f aca="false">+I98+CB98</f>
        <v>0</v>
      </c>
      <c r="Y98" s="5" t="n">
        <f aca="false">+K98+CD98</f>
        <v>0</v>
      </c>
      <c r="AA98" s="5" t="n">
        <f aca="false">+M98+CF98</f>
        <v>0</v>
      </c>
      <c r="AC98" s="6" t="n">
        <f aca="false">ROUND(AA98/1000,0)</f>
        <v>0</v>
      </c>
      <c r="AE98" s="32"/>
      <c r="AF98" s="32"/>
      <c r="AG98" s="32"/>
      <c r="AH98" s="32"/>
      <c r="AU98" s="29"/>
      <c r="AW98" s="30"/>
      <c r="AY98" s="30"/>
      <c r="BM98" s="31"/>
      <c r="BO98" s="13"/>
      <c r="BS98" s="13"/>
      <c r="BU98" s="24"/>
      <c r="BV98" s="0" t="n">
        <v>0</v>
      </c>
      <c r="BW98" s="32"/>
      <c r="BX98" s="0" t="n">
        <v>0</v>
      </c>
      <c r="BY98" s="32"/>
      <c r="BZ98" s="0" t="n">
        <v>0</v>
      </c>
      <c r="CA98" s="32"/>
      <c r="CB98" s="0" t="n">
        <v>0</v>
      </c>
      <c r="CC98" s="34"/>
      <c r="CD98" s="0" t="n">
        <v>0</v>
      </c>
      <c r="CE98" s="34"/>
      <c r="CF98" s="0" t="n">
        <v>0</v>
      </c>
      <c r="CG98" s="2"/>
      <c r="CH98" s="0" t="n">
        <v>0</v>
      </c>
    </row>
    <row r="99" customFormat="false" ht="12.75" hidden="false" customHeight="false" outlineLevel="0" collapsed="false">
      <c r="A99" s="24" t="str">
        <f aca="false">+TSPT_COT!A88</f>
        <v>   FT(W of Th/Th)</v>
      </c>
      <c r="C99" s="40" t="n">
        <f aca="false">TSPT_COT!AS88</f>
        <v>0</v>
      </c>
      <c r="E99" s="40" t="n">
        <f aca="false">TSPT_COT!AU88</f>
        <v>0</v>
      </c>
      <c r="G99" s="42" t="n">
        <f aca="false">IF(I99=0,0,I99/C99)</f>
        <v>0</v>
      </c>
      <c r="I99" s="65" t="n">
        <f aca="false">TSPT_COT!AY88</f>
        <v>0</v>
      </c>
      <c r="K99" s="65" t="n">
        <f aca="false">TSPT_COT!BA88</f>
        <v>0</v>
      </c>
      <c r="M99" s="65" t="n">
        <f aca="false">TSPT_COT!BC88</f>
        <v>0</v>
      </c>
      <c r="O99" s="54" t="n">
        <f aca="false">TSPT_COT!BE88</f>
        <v>0</v>
      </c>
      <c r="Q99" s="41" t="n">
        <f aca="false">+C99+BV99</f>
        <v>0</v>
      </c>
      <c r="S99" s="32" t="n">
        <f aca="false">ROUND(Q99/SLS_COS!$AZ$3,0)</f>
        <v>0</v>
      </c>
      <c r="U99" s="42" t="n">
        <f aca="false">IF(W99=0,0,W99/Q99)</f>
        <v>0</v>
      </c>
      <c r="W99" s="5" t="n">
        <f aca="false">+I99+CB99</f>
        <v>0</v>
      </c>
      <c r="Y99" s="5" t="n">
        <f aca="false">+K99+CD99</f>
        <v>0</v>
      </c>
      <c r="AA99" s="5" t="n">
        <f aca="false">+M99+CF99</f>
        <v>0</v>
      </c>
      <c r="AC99" s="6" t="n">
        <f aca="false">ROUND(AA99/1000,0)</f>
        <v>0</v>
      </c>
      <c r="AE99" s="32"/>
      <c r="AF99" s="32"/>
      <c r="AG99" s="32"/>
      <c r="AH99" s="32"/>
      <c r="AU99" s="29"/>
      <c r="AW99" s="30"/>
      <c r="AY99" s="30"/>
      <c r="BM99" s="31"/>
      <c r="BO99" s="13"/>
      <c r="BS99" s="13"/>
      <c r="BU99" s="24"/>
      <c r="BV99" s="0" t="n">
        <v>0</v>
      </c>
      <c r="BW99" s="32"/>
      <c r="BX99" s="0" t="n">
        <v>0</v>
      </c>
      <c r="BY99" s="32"/>
      <c r="BZ99" s="0" t="n">
        <v>0</v>
      </c>
      <c r="CA99" s="32"/>
      <c r="CB99" s="0" t="n">
        <v>0</v>
      </c>
      <c r="CC99" s="34"/>
      <c r="CD99" s="0" t="n">
        <v>0</v>
      </c>
      <c r="CE99" s="34"/>
      <c r="CF99" s="0" t="n">
        <v>0</v>
      </c>
      <c r="CG99" s="2"/>
      <c r="CH99" s="0" t="n">
        <v>0</v>
      </c>
    </row>
    <row r="100" customFormat="false" ht="12.75" hidden="false" customHeight="false" outlineLevel="0" collapsed="false">
      <c r="A100" s="24" t="str">
        <f aca="false">+TSPT_COT!A89</f>
        <v>   FR(W of Th/Th)</v>
      </c>
      <c r="C100" s="40" t="n">
        <f aca="false">TSPT_COT!AS89</f>
        <v>0</v>
      </c>
      <c r="E100" s="40" t="n">
        <f aca="false">TSPT_COT!AU89</f>
        <v>0</v>
      </c>
      <c r="G100" s="42" t="n">
        <f aca="false">IF(I100=0,0,I100/C100)</f>
        <v>0</v>
      </c>
      <c r="I100" s="65" t="n">
        <f aca="false">TSPT_COT!AY89</f>
        <v>0</v>
      </c>
      <c r="K100" s="65" t="n">
        <f aca="false">TSPT_COT!BA89</f>
        <v>0</v>
      </c>
      <c r="M100" s="65" t="n">
        <f aca="false">TSPT_COT!BC89</f>
        <v>0</v>
      </c>
      <c r="O100" s="54" t="n">
        <f aca="false">TSPT_COT!BE89</f>
        <v>0</v>
      </c>
      <c r="Q100" s="41" t="n">
        <f aca="false">+C100+BV100</f>
        <v>0</v>
      </c>
      <c r="S100" s="32" t="n">
        <f aca="false">ROUND(Q100/SLS_COS!$AZ$3,0)</f>
        <v>0</v>
      </c>
      <c r="U100" s="42" t="n">
        <f aca="false">IF(W100=0,0,W100/Q100)</f>
        <v>0</v>
      </c>
      <c r="W100" s="5" t="n">
        <f aca="false">+I100+CB100</f>
        <v>0</v>
      </c>
      <c r="Y100" s="5" t="n">
        <f aca="false">+K100+CD100</f>
        <v>0</v>
      </c>
      <c r="AA100" s="5" t="n">
        <f aca="false">+M100+CF100</f>
        <v>0</v>
      </c>
      <c r="AC100" s="6" t="n">
        <f aca="false">ROUND(AA100/1000,0)</f>
        <v>0</v>
      </c>
      <c r="AE100" s="32"/>
      <c r="AF100" s="32"/>
      <c r="AG100" s="32"/>
      <c r="AH100" s="32"/>
      <c r="AU100" s="29"/>
      <c r="AW100" s="30"/>
      <c r="AY100" s="30"/>
      <c r="BM100" s="31"/>
      <c r="BO100" s="13"/>
      <c r="BS100" s="13"/>
      <c r="BU100" s="24"/>
      <c r="BV100" s="0" t="n">
        <v>0</v>
      </c>
      <c r="BW100" s="32"/>
      <c r="BX100" s="0" t="n">
        <v>0</v>
      </c>
      <c r="BY100" s="32"/>
      <c r="BZ100" s="0" t="n">
        <v>0</v>
      </c>
      <c r="CA100" s="32"/>
      <c r="CB100" s="0" t="n">
        <v>0</v>
      </c>
      <c r="CC100" s="34"/>
      <c r="CD100" s="0" t="n">
        <v>0</v>
      </c>
      <c r="CE100" s="34"/>
      <c r="CF100" s="0" t="n">
        <v>0</v>
      </c>
      <c r="CG100" s="2"/>
      <c r="CH100" s="0" t="n">
        <v>0</v>
      </c>
    </row>
    <row r="101" customFormat="false" ht="12.75" hidden="false" customHeight="false" outlineLevel="0" collapsed="false">
      <c r="A101" s="24" t="str">
        <f aca="false">+TSPT_COT!A90</f>
        <v>   LFT(W of Th/Th)</v>
      </c>
      <c r="C101" s="40" t="n">
        <f aca="false">TSPT_COT!AS90</f>
        <v>0</v>
      </c>
      <c r="E101" s="40" t="n">
        <f aca="false">TSPT_COT!AU90</f>
        <v>0</v>
      </c>
      <c r="G101" s="42" t="n">
        <f aca="false">IF(I101=0,0,I101/C101)</f>
        <v>0</v>
      </c>
      <c r="I101" s="65" t="n">
        <f aca="false">TSPT_COT!AY90</f>
        <v>0</v>
      </c>
      <c r="K101" s="65" t="n">
        <f aca="false">TSPT_COT!BA90</f>
        <v>0</v>
      </c>
      <c r="M101" s="65" t="n">
        <f aca="false">TSPT_COT!BC90</f>
        <v>0</v>
      </c>
      <c r="O101" s="54" t="n">
        <f aca="false">TSPT_COT!BE90</f>
        <v>0</v>
      </c>
      <c r="Q101" s="41" t="n">
        <f aca="false">+C101+BV101</f>
        <v>0</v>
      </c>
      <c r="S101" s="32" t="n">
        <f aca="false">ROUND(Q101/SLS_COS!$AZ$3,0)</f>
        <v>0</v>
      </c>
      <c r="U101" s="42" t="n">
        <f aca="false">IF(W101=0,0,W101/Q101)</f>
        <v>0</v>
      </c>
      <c r="W101" s="5" t="n">
        <f aca="false">+I101+CB101</f>
        <v>0</v>
      </c>
      <c r="Y101" s="5" t="n">
        <f aca="false">+K101+CD101</f>
        <v>0</v>
      </c>
      <c r="AA101" s="5" t="n">
        <f aca="false">+M101+CF101</f>
        <v>0</v>
      </c>
      <c r="AC101" s="6" t="n">
        <f aca="false">ROUND(AA101/1000,0)</f>
        <v>0</v>
      </c>
      <c r="AE101" s="32"/>
      <c r="AF101" s="32"/>
      <c r="AG101" s="32"/>
      <c r="AH101" s="32"/>
      <c r="AU101" s="29"/>
      <c r="AW101" s="30"/>
      <c r="AY101" s="30"/>
      <c r="BM101" s="31"/>
      <c r="BO101" s="13"/>
      <c r="BS101" s="13"/>
      <c r="BU101" s="24"/>
      <c r="BV101" s="0" t="n">
        <v>0</v>
      </c>
      <c r="BW101" s="32"/>
      <c r="BX101" s="0" t="n">
        <v>0</v>
      </c>
      <c r="BY101" s="32"/>
      <c r="BZ101" s="0" t="n">
        <v>0</v>
      </c>
      <c r="CA101" s="32"/>
      <c r="CB101" s="0" t="n">
        <v>0</v>
      </c>
      <c r="CC101" s="34"/>
      <c r="CD101" s="0" t="n">
        <v>0</v>
      </c>
      <c r="CE101" s="34"/>
      <c r="CF101" s="0" t="n">
        <v>0</v>
      </c>
      <c r="CG101" s="2"/>
      <c r="CH101" s="0" t="n">
        <v>0</v>
      </c>
    </row>
    <row r="102" customFormat="false" ht="12.75" hidden="false" customHeight="false" outlineLevel="0" collapsed="false">
      <c r="A102" s="24" t="str">
        <f aca="false">+TSPT_COT!A91</f>
        <v>   IT(W of Th/Th)</v>
      </c>
      <c r="B102" s="85"/>
      <c r="C102" s="40" t="n">
        <f aca="false">TSPT_COT!AS91</f>
        <v>0</v>
      </c>
      <c r="E102" s="40" t="n">
        <f aca="false">TSPT_COT!AU91</f>
        <v>0</v>
      </c>
      <c r="G102" s="42" t="n">
        <f aca="false">IF(I102=0,0,I102/C102)</f>
        <v>0</v>
      </c>
      <c r="I102" s="65" t="n">
        <f aca="false">TSPT_COT!AY91</f>
        <v>0</v>
      </c>
      <c r="K102" s="65" t="n">
        <f aca="false">TSPT_COT!BA91</f>
        <v>0</v>
      </c>
      <c r="M102" s="65" t="n">
        <f aca="false">TSPT_COT!BC91</f>
        <v>0</v>
      </c>
      <c r="O102" s="54" t="n">
        <f aca="false">TSPT_COT!BE91</f>
        <v>0</v>
      </c>
      <c r="Q102" s="41" t="n">
        <f aca="false">+C102+BV102</f>
        <v>0</v>
      </c>
      <c r="S102" s="32" t="n">
        <f aca="false">ROUND(Q102/SLS_COS!$AZ$3,0)</f>
        <v>0</v>
      </c>
      <c r="U102" s="42" t="n">
        <f aca="false">IF(W102=0,0,W102/Q102)</f>
        <v>0</v>
      </c>
      <c r="W102" s="5" t="n">
        <f aca="false">+I102+CB102</f>
        <v>0</v>
      </c>
      <c r="Y102" s="5" t="n">
        <f aca="false">+K102+CD102</f>
        <v>0</v>
      </c>
      <c r="AA102" s="5" t="n">
        <f aca="false">+M102+CF102</f>
        <v>0</v>
      </c>
      <c r="AC102" s="6" t="n">
        <f aca="false">ROUND(AA102/1000,0)</f>
        <v>0</v>
      </c>
      <c r="AD102" s="85"/>
      <c r="AE102" s="92"/>
      <c r="AF102" s="92"/>
      <c r="AG102" s="92"/>
      <c r="AH102" s="92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93"/>
      <c r="AV102" s="85"/>
      <c r="AW102" s="94"/>
      <c r="AX102" s="85"/>
      <c r="AY102" s="94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95"/>
      <c r="BN102" s="85"/>
      <c r="BO102" s="96"/>
      <c r="BP102" s="85"/>
      <c r="BQ102" s="85"/>
      <c r="BR102" s="85"/>
      <c r="BS102" s="96"/>
      <c r="BT102" s="85"/>
      <c r="BU102" s="64"/>
      <c r="BV102" s="0" t="n">
        <v>0</v>
      </c>
      <c r="BW102" s="92"/>
      <c r="BX102" s="0" t="n">
        <v>0</v>
      </c>
      <c r="BY102" s="92"/>
      <c r="BZ102" s="0" t="n">
        <v>0</v>
      </c>
      <c r="CA102" s="92"/>
      <c r="CB102" s="0" t="n">
        <v>0</v>
      </c>
      <c r="CC102" s="97"/>
      <c r="CD102" s="0" t="n">
        <v>0</v>
      </c>
      <c r="CE102" s="97"/>
      <c r="CF102" s="0" t="n">
        <v>0</v>
      </c>
      <c r="CG102" s="98"/>
      <c r="CH102" s="0" t="n">
        <v>0</v>
      </c>
    </row>
    <row r="103" customFormat="false" ht="12.75" hidden="false" customHeight="false" outlineLevel="0" collapsed="false">
      <c r="A103" s="64" t="str">
        <f aca="false">+TSPT_COT!A92</f>
        <v>     Sub-Total</v>
      </c>
      <c r="C103" s="86" t="n">
        <f aca="false">TSPT_COT!AS92</f>
        <v>0</v>
      </c>
      <c r="D103" s="85"/>
      <c r="E103" s="86" t="n">
        <f aca="false">TSPT_COT!AU92</f>
        <v>0</v>
      </c>
      <c r="F103" s="85"/>
      <c r="G103" s="71" t="n">
        <f aca="false">IF(I103=0,0,I103/C103)</f>
        <v>0</v>
      </c>
      <c r="H103" s="85"/>
      <c r="I103" s="87" t="n">
        <f aca="false">TSPT_COT!AY92</f>
        <v>0</v>
      </c>
      <c r="J103" s="88"/>
      <c r="K103" s="87" t="n">
        <f aca="false">TSPT_COT!BA92</f>
        <v>0</v>
      </c>
      <c r="L103" s="88"/>
      <c r="M103" s="87" t="n">
        <f aca="false">TSPT_COT!BC92</f>
        <v>0</v>
      </c>
      <c r="N103" s="85"/>
      <c r="O103" s="90" t="n">
        <f aca="false">TSPT_COT!BE92</f>
        <v>0</v>
      </c>
      <c r="P103" s="85"/>
      <c r="Q103" s="91" t="n">
        <f aca="false">SUM(Q99:Q102)</f>
        <v>0</v>
      </c>
      <c r="R103" s="85"/>
      <c r="S103" s="91" t="n">
        <f aca="false">SUM(S99:S102)</f>
        <v>0</v>
      </c>
      <c r="T103" s="85"/>
      <c r="U103" s="71" t="n">
        <f aca="false">IF(W103=0,0,W103/Q103)</f>
        <v>0</v>
      </c>
      <c r="V103" s="85"/>
      <c r="W103" s="87" t="n">
        <f aca="false">SUM(W98:W102)</f>
        <v>0</v>
      </c>
      <c r="X103" s="88"/>
      <c r="Y103" s="87" t="n">
        <f aca="false">SUM(Y98:Y102)</f>
        <v>0</v>
      </c>
      <c r="Z103" s="88"/>
      <c r="AA103" s="87" t="n">
        <f aca="false">SUM(AA98:AA102)</f>
        <v>0</v>
      </c>
      <c r="AB103" s="88"/>
      <c r="AC103" s="90" t="n">
        <f aca="false">ROUND(W103/1000,0)</f>
        <v>0</v>
      </c>
      <c r="AE103" s="32"/>
      <c r="AF103" s="32"/>
      <c r="AG103" s="32"/>
      <c r="AH103" s="32"/>
      <c r="AU103" s="29"/>
      <c r="AW103" s="30"/>
      <c r="AY103" s="30"/>
      <c r="BM103" s="31"/>
      <c r="BO103" s="13"/>
      <c r="BS103" s="13"/>
      <c r="BU103" s="24"/>
      <c r="BV103" s="0" t="n">
        <v>0</v>
      </c>
      <c r="BW103" s="32"/>
      <c r="BX103" s="0" t="n">
        <v>0</v>
      </c>
      <c r="BY103" s="32"/>
      <c r="BZ103" s="0" t="n">
        <v>0</v>
      </c>
      <c r="CA103" s="32"/>
      <c r="CB103" s="0" t="n">
        <v>0</v>
      </c>
      <c r="CC103" s="34"/>
      <c r="CD103" s="0" t="n">
        <v>0</v>
      </c>
      <c r="CE103" s="34"/>
      <c r="CF103" s="0" t="n">
        <v>0</v>
      </c>
      <c r="CG103" s="2"/>
      <c r="CH103" s="0" t="n">
        <v>0</v>
      </c>
    </row>
    <row r="104" customFormat="false" ht="12.75" hidden="false" customHeight="false" outlineLevel="0" collapsed="false">
      <c r="A104" s="24"/>
      <c r="B104" s="69"/>
      <c r="AD104" s="69"/>
      <c r="AE104" s="76"/>
      <c r="AF104" s="76"/>
      <c r="AG104" s="76"/>
      <c r="AH104" s="76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77"/>
      <c r="AV104" s="69"/>
      <c r="AW104" s="78"/>
      <c r="AX104" s="69"/>
      <c r="AY104" s="78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79"/>
      <c r="BN104" s="69"/>
      <c r="BO104" s="64"/>
      <c r="BP104" s="69"/>
      <c r="BQ104" s="69"/>
      <c r="BR104" s="69"/>
      <c r="BS104" s="64"/>
      <c r="BT104" s="69"/>
      <c r="BU104" s="64" t="s">
        <v>55</v>
      </c>
      <c r="BW104" s="76"/>
      <c r="BY104" s="76"/>
      <c r="CA104" s="76"/>
      <c r="CC104" s="80"/>
      <c r="CE104" s="80"/>
      <c r="CF104" s="0"/>
      <c r="CG104" s="81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</row>
    <row r="105" customFormat="false" ht="12.75" hidden="false" customHeight="false" outlineLevel="0" collapsed="false">
      <c r="A105" s="64" t="str">
        <f aca="false">+TSPT_COT!A94</f>
        <v>     Total East</v>
      </c>
      <c r="C105" s="105" t="n">
        <f aca="false">TSPT_COT!AS94</f>
        <v>11483369</v>
      </c>
      <c r="D105" s="69"/>
      <c r="E105" s="105" t="n">
        <f aca="false">TSPT_COT!AU94</f>
        <v>370434</v>
      </c>
      <c r="F105" s="69"/>
      <c r="G105" s="134" t="n">
        <f aca="false">IF(I105=0,0,I105/C105)</f>
        <v>0.13917610676797</v>
      </c>
      <c r="H105" s="69"/>
      <c r="I105" s="73" t="n">
        <f aca="false">TSPT_COT!AY94</f>
        <v>1598210.59</v>
      </c>
      <c r="J105" s="74"/>
      <c r="K105" s="73" t="n">
        <f aca="false">TSPT_COT!BA94</f>
        <v>32178.93</v>
      </c>
      <c r="L105" s="74"/>
      <c r="M105" s="73" t="n">
        <f aca="false">TSPT_COT!BC94</f>
        <v>1630389.52</v>
      </c>
      <c r="N105" s="69"/>
      <c r="O105" s="75" t="n">
        <f aca="false">TSPT_COT!BE94</f>
        <v>1631</v>
      </c>
      <c r="P105" s="69"/>
      <c r="Q105" s="105" t="n">
        <f aca="false">+Q103+Q95+Q88+Q81+Q74+Q66</f>
        <v>164756703</v>
      </c>
      <c r="R105" s="28"/>
      <c r="S105" s="105" t="n">
        <f aca="false">+S103+S95+S88+S81+S74+S66</f>
        <v>1840806</v>
      </c>
      <c r="T105" s="28"/>
      <c r="U105" s="71" t="n">
        <f aca="false">IF(W105=0,0,W105/Q105)</f>
        <v>0.112042256028879</v>
      </c>
      <c r="V105" s="69"/>
      <c r="W105" s="73" t="n">
        <f aca="false">+W103+W95+W88+W81+W74+W66</f>
        <v>18459712.7</v>
      </c>
      <c r="X105" s="74"/>
      <c r="Y105" s="73" t="n">
        <f aca="false">+Y103+Y95+Y88+Y81+Y74+Y66</f>
        <v>543311.01</v>
      </c>
      <c r="Z105" s="74"/>
      <c r="AA105" s="73" t="n">
        <f aca="false">+AA103+AA95+AA88+AA81+AA74+AA66</f>
        <v>19003023.71</v>
      </c>
      <c r="AB105" s="69"/>
      <c r="AC105" s="75" t="n">
        <f aca="false">+AC103+AC95+AC88+AC81+AC74+AC66</f>
        <v>18257</v>
      </c>
      <c r="AE105" s="32"/>
      <c r="AF105" s="32"/>
      <c r="AG105" s="32"/>
      <c r="AH105" s="32"/>
      <c r="AU105" s="29"/>
      <c r="AW105" s="30"/>
      <c r="AY105" s="30"/>
      <c r="BM105" s="31"/>
      <c r="BO105" s="13"/>
      <c r="BS105" s="13"/>
      <c r="BU105" s="24"/>
      <c r="BV105" s="0" t="n">
        <v>153273334</v>
      </c>
      <c r="BW105" s="32"/>
      <c r="BX105" s="0" t="n">
        <v>1763699</v>
      </c>
      <c r="BY105" s="32"/>
      <c r="BZ105" s="0" t="n">
        <v>0.110009364773131</v>
      </c>
      <c r="CA105" s="32"/>
      <c r="CB105" s="0" t="n">
        <v>16861502.11</v>
      </c>
      <c r="CC105" s="34"/>
      <c r="CD105" s="0" t="n">
        <v>511132.08</v>
      </c>
      <c r="CE105" s="34"/>
      <c r="CF105" s="0" t="n">
        <v>17372634.19</v>
      </c>
      <c r="CG105" s="2"/>
      <c r="CH105" s="0" t="n">
        <v>15613</v>
      </c>
    </row>
    <row r="106" customFormat="false" ht="12.75" hidden="false" customHeight="false" outlineLevel="0" collapsed="false">
      <c r="A106" s="24"/>
      <c r="C106" s="40"/>
      <c r="E106" s="53"/>
      <c r="G106" s="42"/>
      <c r="O106" s="54"/>
      <c r="Q106" s="41"/>
      <c r="S106" s="32"/>
      <c r="U106" s="42"/>
      <c r="AE106" s="32"/>
      <c r="AF106" s="32"/>
      <c r="AG106" s="32"/>
      <c r="AH106" s="32"/>
      <c r="AU106" s="29"/>
      <c r="AW106" s="30"/>
      <c r="AY106" s="30"/>
      <c r="BM106" s="31"/>
      <c r="BO106" s="13"/>
      <c r="BS106" s="13"/>
      <c r="BU106" s="24" t="s">
        <v>56</v>
      </c>
      <c r="BW106" s="32"/>
      <c r="BY106" s="32"/>
      <c r="CA106" s="32"/>
      <c r="CC106" s="34"/>
      <c r="CE106" s="34"/>
      <c r="CF106" s="0"/>
      <c r="CG106" s="2"/>
    </row>
    <row r="107" customFormat="false" ht="12.75" hidden="false" customHeight="false" outlineLevel="0" collapsed="false">
      <c r="A107" s="64" t="str">
        <f aca="false">+TSPT_COT!A96</f>
        <v>Ignacio to Blanco(I/B LINK-500545 DEL)</v>
      </c>
      <c r="C107" s="64"/>
      <c r="E107" s="53"/>
      <c r="G107" s="42"/>
      <c r="I107" s="65"/>
      <c r="K107" s="65"/>
      <c r="M107" s="65"/>
      <c r="O107" s="54"/>
      <c r="Q107" s="41"/>
      <c r="S107" s="32"/>
      <c r="U107" s="42"/>
      <c r="AE107" s="32"/>
      <c r="AF107" s="32"/>
      <c r="AG107" s="32"/>
      <c r="AH107" s="32"/>
      <c r="AU107" s="29"/>
      <c r="AW107" s="30"/>
      <c r="AY107" s="30"/>
      <c r="BM107" s="31"/>
      <c r="BO107" s="13"/>
      <c r="BS107" s="13"/>
      <c r="BU107" s="24" t="s">
        <v>24</v>
      </c>
      <c r="BW107" s="32"/>
      <c r="BY107" s="32"/>
      <c r="CA107" s="32"/>
      <c r="CC107" s="34"/>
      <c r="CE107" s="34"/>
      <c r="CF107" s="0"/>
      <c r="CG107" s="2"/>
    </row>
    <row r="108" customFormat="false" ht="12.75" hidden="false" customHeight="false" outlineLevel="0" collapsed="false">
      <c r="A108" s="24" t="str">
        <f aca="false">+TSPT_COT!A97</f>
        <v>   Demand(SJ2)</v>
      </c>
      <c r="C108" s="135" t="n">
        <f aca="false">+TSPT_COT!C97</f>
        <v>8664832</v>
      </c>
      <c r="E108" s="135" t="n">
        <f aca="false">+TSPT_COT!E97</f>
        <v>279511</v>
      </c>
      <c r="G108" s="136" t="n">
        <f aca="false">+TSPT_COT!G97</f>
        <v>0.0480152056035247</v>
      </c>
      <c r="I108" s="65" t="n">
        <f aca="false">TSPT_COT!AY97</f>
        <v>416043.69</v>
      </c>
      <c r="K108" s="65" t="n">
        <f aca="false">TSPT_COT!BA97</f>
        <v>0</v>
      </c>
      <c r="M108" s="65" t="n">
        <f aca="false">TSPT_COT!BC97</f>
        <v>416043.69</v>
      </c>
      <c r="O108" s="54" t="n">
        <f aca="false">TSPT_COT!BE97</f>
        <v>416</v>
      </c>
      <c r="Q108" s="41" t="n">
        <f aca="false">+C108+BV108</f>
        <v>102637733</v>
      </c>
      <c r="S108" s="32" t="n">
        <f aca="false">ROUND(Q108/SLS_COS!$AZ$3,0)</f>
        <v>281199</v>
      </c>
      <c r="U108" s="42" t="n">
        <f aca="false">IF(W108=0,0,W108/Q108)</f>
        <v>0.0442268530034661</v>
      </c>
      <c r="W108" s="5" t="n">
        <f aca="false">+I108+CB108</f>
        <v>4539343.93</v>
      </c>
      <c r="Y108" s="5" t="n">
        <f aca="false">+K108+CD108</f>
        <v>1320</v>
      </c>
      <c r="AA108" s="5" t="n">
        <f aca="false">+M108+CF108</f>
        <v>4540663.93</v>
      </c>
      <c r="AC108" s="6" t="n">
        <f aca="false">ROUND(AA108/1000,0)</f>
        <v>4541</v>
      </c>
      <c r="AE108" s="32"/>
      <c r="AF108" s="32"/>
      <c r="AG108" s="32"/>
      <c r="AH108" s="32"/>
      <c r="AU108" s="29"/>
      <c r="AW108" s="30"/>
      <c r="AY108" s="30"/>
      <c r="BM108" s="31"/>
      <c r="BO108" s="13"/>
      <c r="BS108" s="13"/>
      <c r="BU108" s="24" t="s">
        <v>57</v>
      </c>
      <c r="BV108" s="0" t="n">
        <v>93972901</v>
      </c>
      <c r="BW108" s="32"/>
      <c r="BX108" s="0" t="n">
        <v>281356</v>
      </c>
      <c r="BY108" s="32"/>
      <c r="BZ108" s="0" t="n">
        <v>0.0438775455064434</v>
      </c>
      <c r="CA108" s="32"/>
      <c r="CB108" s="0" t="n">
        <v>4123300.24</v>
      </c>
      <c r="CC108" s="34"/>
      <c r="CD108" s="0" t="n">
        <v>1320</v>
      </c>
      <c r="CE108" s="34"/>
      <c r="CF108" s="0" t="n">
        <v>4124620.24</v>
      </c>
      <c r="CG108" s="2"/>
      <c r="CH108" s="0" t="n">
        <v>3796</v>
      </c>
    </row>
    <row r="109" customFormat="false" ht="12.75" hidden="false" customHeight="false" outlineLevel="0" collapsed="false">
      <c r="A109" s="24" t="str">
        <f aca="false">+TSPT_COT!A98</f>
        <v>   FT(SJ2)</v>
      </c>
      <c r="C109" s="135" t="n">
        <f aca="false">+TSPT_COT!C98</f>
        <v>8676424</v>
      </c>
      <c r="E109" s="135" t="n">
        <f aca="false">+TSPT_COT!E98</f>
        <v>279885</v>
      </c>
      <c r="G109" s="136" t="n">
        <f aca="false">+TSPT_COT!G98</f>
        <v>0.00110000156746604</v>
      </c>
      <c r="I109" s="65" t="n">
        <f aca="false">TSPT_COT!AY98</f>
        <v>9544.08</v>
      </c>
      <c r="K109" s="65" t="n">
        <f aca="false">TSPT_COT!BA98</f>
        <v>0</v>
      </c>
      <c r="M109" s="65" t="n">
        <f aca="false">TSPT_COT!BC98</f>
        <v>9544.08</v>
      </c>
      <c r="O109" s="54" t="n">
        <f aca="false">TSPT_COT!BE98</f>
        <v>10</v>
      </c>
      <c r="Q109" s="41" t="n">
        <f aca="false">+C109+BV109</f>
        <v>87282007</v>
      </c>
      <c r="S109" s="32" t="n">
        <f aca="false">ROUND(Q109/SLS_COS!$AZ$3,0)</f>
        <v>239129</v>
      </c>
      <c r="U109" s="42" t="n">
        <f aca="false">IF(W109=0,0,W109/Q109)</f>
        <v>0.000933207115642976</v>
      </c>
      <c r="W109" s="5" t="n">
        <f aca="false">+I109+CB109</f>
        <v>81452.19</v>
      </c>
      <c r="Y109" s="5" t="n">
        <f aca="false">+K109+CD109</f>
        <v>66070.59</v>
      </c>
      <c r="AA109" s="5" t="n">
        <f aca="false">+M109+CF109</f>
        <v>147522.78</v>
      </c>
      <c r="AC109" s="6" t="n">
        <f aca="false">ROUND(AA109/1000,0)</f>
        <v>148</v>
      </c>
      <c r="AE109" s="32"/>
      <c r="AF109" s="32"/>
      <c r="AG109" s="32"/>
      <c r="AH109" s="32"/>
      <c r="AU109" s="29"/>
      <c r="AW109" s="30"/>
      <c r="AY109" s="30"/>
      <c r="BM109" s="31"/>
      <c r="BO109" s="13"/>
      <c r="BS109" s="13"/>
      <c r="BU109" s="24" t="s">
        <v>58</v>
      </c>
      <c r="BV109" s="0" t="n">
        <v>78605583</v>
      </c>
      <c r="BW109" s="32"/>
      <c r="BX109" s="0" t="n">
        <v>235346</v>
      </c>
      <c r="BY109" s="32"/>
      <c r="BZ109" s="0" t="n">
        <v>0.000914796471899458</v>
      </c>
      <c r="CA109" s="32"/>
      <c r="CB109" s="0" t="n">
        <v>71908.11</v>
      </c>
      <c r="CC109" s="34"/>
      <c r="CD109" s="0" t="n">
        <v>66070.59</v>
      </c>
      <c r="CE109" s="34"/>
      <c r="CF109" s="0" t="n">
        <v>137978.7</v>
      </c>
      <c r="CG109" s="2"/>
      <c r="CH109" s="0" t="n">
        <v>129</v>
      </c>
    </row>
    <row r="110" customFormat="false" ht="12.75" hidden="false" customHeight="false" outlineLevel="0" collapsed="false">
      <c r="A110" s="24" t="str">
        <f aca="false">+TSPT_COT!A99</f>
        <v>   FR(SJ2)</v>
      </c>
      <c r="C110" s="135" t="n">
        <f aca="false">+TSPT_COT!C99</f>
        <v>465000</v>
      </c>
      <c r="E110" s="135" t="n">
        <f aca="false">+TSPT_COT!E99</f>
        <v>15000</v>
      </c>
      <c r="G110" s="136" t="n">
        <f aca="false">+TSPT_COT!G99</f>
        <v>0.0011</v>
      </c>
      <c r="I110" s="65" t="n">
        <f aca="false">TSPT_COT!AY99</f>
        <v>511.5</v>
      </c>
      <c r="K110" s="65" t="n">
        <f aca="false">TSPT_COT!BA99</f>
        <v>0</v>
      </c>
      <c r="M110" s="65" t="n">
        <f aca="false">TSPT_COT!BC99</f>
        <v>511.5</v>
      </c>
      <c r="O110" s="54" t="n">
        <f aca="false">TSPT_COT!BE99</f>
        <v>1</v>
      </c>
      <c r="Q110" s="41" t="n">
        <f aca="false">+C110+BV110</f>
        <v>1791879</v>
      </c>
      <c r="S110" s="32" t="n">
        <f aca="false">ROUND(Q110/SLS_COS!$AZ$3,0)</f>
        <v>4909</v>
      </c>
      <c r="U110" s="42" t="n">
        <f aca="false">IF(W110=0,0,W110/Q110)</f>
        <v>0.00110000173002753</v>
      </c>
      <c r="W110" s="5" t="n">
        <f aca="false">+I110+CB110</f>
        <v>1971.07</v>
      </c>
      <c r="Y110" s="5" t="n">
        <f aca="false">+K110+CD110</f>
        <v>0</v>
      </c>
      <c r="AA110" s="5" t="n">
        <f aca="false">+M110+CF110</f>
        <v>1971.07</v>
      </c>
      <c r="AC110" s="6" t="n">
        <f aca="false">ROUND(AA110/1000,0)</f>
        <v>2</v>
      </c>
      <c r="AE110" s="32"/>
      <c r="AF110" s="32"/>
      <c r="AG110" s="32"/>
      <c r="AH110" s="32"/>
      <c r="AU110" s="29"/>
      <c r="AW110" s="30"/>
      <c r="AY110" s="30"/>
      <c r="BM110" s="31"/>
      <c r="BO110" s="13"/>
      <c r="BS110" s="13"/>
      <c r="BU110" s="24" t="s">
        <v>59</v>
      </c>
      <c r="BV110" s="0" t="n">
        <v>1326879</v>
      </c>
      <c r="BW110" s="32"/>
      <c r="BX110" s="0" t="n">
        <v>3973</v>
      </c>
      <c r="BY110" s="32"/>
      <c r="BZ110" s="0" t="n">
        <v>0.00110000233630949</v>
      </c>
      <c r="CA110" s="32"/>
      <c r="CB110" s="0" t="n">
        <v>1459.57</v>
      </c>
      <c r="CC110" s="34"/>
      <c r="CD110" s="0" t="n">
        <v>0</v>
      </c>
      <c r="CE110" s="34"/>
      <c r="CF110" s="0" t="n">
        <v>1459.57</v>
      </c>
      <c r="CG110" s="2"/>
      <c r="CH110" s="0" t="n">
        <v>1</v>
      </c>
    </row>
    <row r="111" customFormat="false" ht="12.75" hidden="false" customHeight="false" outlineLevel="0" collapsed="false">
      <c r="A111" s="24" t="str">
        <f aca="false">+TSPT_COT!A100</f>
        <v>   LFT(SJ2)</v>
      </c>
      <c r="C111" s="135" t="n">
        <f aca="false">+TSPT_COT!C100</f>
        <v>0</v>
      </c>
      <c r="E111" s="135" t="n">
        <f aca="false">+TSPT_COT!E100</f>
        <v>0</v>
      </c>
      <c r="G111" s="136" t="n">
        <f aca="false">+TSPT_COT!G100</f>
        <v>0</v>
      </c>
      <c r="I111" s="65" t="n">
        <f aca="false">TSPT_COT!AY100</f>
        <v>0</v>
      </c>
      <c r="K111" s="65" t="n">
        <f aca="false">TSPT_COT!BA100</f>
        <v>0</v>
      </c>
      <c r="M111" s="65" t="n">
        <f aca="false">TSPT_COT!BC100</f>
        <v>0</v>
      </c>
      <c r="O111" s="54" t="n">
        <f aca="false">TSPT_COT!BE100</f>
        <v>0</v>
      </c>
      <c r="Q111" s="41" t="n">
        <f aca="false">+C111+BV111</f>
        <v>0</v>
      </c>
      <c r="S111" s="32" t="n">
        <f aca="false">ROUND(Q111/SLS_COS!$AZ$3,0)</f>
        <v>0</v>
      </c>
      <c r="U111" s="42" t="n">
        <f aca="false">IF(W111=0,0,W111/Q111)</f>
        <v>0</v>
      </c>
      <c r="W111" s="5" t="n">
        <f aca="false">+I111+CB111</f>
        <v>0</v>
      </c>
      <c r="Y111" s="5" t="n">
        <f aca="false">+K111+CD111</f>
        <v>0</v>
      </c>
      <c r="AA111" s="5" t="n">
        <f aca="false">+M111+CF111</f>
        <v>0</v>
      </c>
      <c r="AC111" s="6" t="n">
        <f aca="false">ROUND(AA111/1000,0)</f>
        <v>0</v>
      </c>
      <c r="AE111" s="32"/>
      <c r="AF111" s="32"/>
      <c r="AG111" s="32"/>
      <c r="AH111" s="32"/>
      <c r="AU111" s="29"/>
      <c r="AW111" s="30"/>
      <c r="AY111" s="30"/>
      <c r="BM111" s="31"/>
      <c r="BO111" s="13"/>
      <c r="BS111" s="13"/>
      <c r="BU111" s="24"/>
      <c r="BV111" s="0" t="n">
        <v>0</v>
      </c>
      <c r="BW111" s="32"/>
      <c r="BX111" s="0" t="n">
        <v>0</v>
      </c>
      <c r="BY111" s="32"/>
      <c r="BZ111" s="0" t="n">
        <v>0</v>
      </c>
      <c r="CA111" s="32"/>
      <c r="CB111" s="0" t="n">
        <v>0</v>
      </c>
      <c r="CC111" s="34"/>
      <c r="CD111" s="0" t="n">
        <v>0</v>
      </c>
      <c r="CE111" s="34"/>
      <c r="CF111" s="0" t="n">
        <v>0</v>
      </c>
      <c r="CG111" s="2"/>
      <c r="CH111" s="0" t="n">
        <v>0</v>
      </c>
    </row>
    <row r="112" customFormat="false" ht="12.75" hidden="false" customHeight="false" outlineLevel="0" collapsed="false">
      <c r="A112" s="24" t="str">
        <f aca="false">+TSPT_COT!A101</f>
        <v>   IT(SJ2)</v>
      </c>
      <c r="B112" s="69"/>
      <c r="C112" s="137" t="n">
        <f aca="false">+TSPT_COT!C101</f>
        <v>58851</v>
      </c>
      <c r="E112" s="137" t="n">
        <f aca="false">+TSPT_COT!E101</f>
        <v>1898</v>
      </c>
      <c r="G112" s="138" t="n">
        <f aca="false">+TSPT_COT!G101</f>
        <v>0.103100032284923</v>
      </c>
      <c r="I112" s="67" t="n">
        <f aca="false">TSPT_COT!AY101</f>
        <v>6067.54</v>
      </c>
      <c r="K112" s="67" t="n">
        <f aca="false">TSPT_COT!BA101</f>
        <v>0</v>
      </c>
      <c r="M112" s="67" t="n">
        <f aca="false">TSPT_COT!BC101</f>
        <v>6067.54</v>
      </c>
      <c r="O112" s="68" t="n">
        <f aca="false">TSPT_COT!BE101</f>
        <v>6</v>
      </c>
      <c r="P112" s="69"/>
      <c r="Q112" s="115" t="n">
        <f aca="false">+C112+BV112</f>
        <v>9421933</v>
      </c>
      <c r="R112" s="69"/>
      <c r="S112" s="116" t="n">
        <f aca="false">ROUND(Q112/SLS_COS!$AZ$3,0)</f>
        <v>25814</v>
      </c>
      <c r="T112" s="69"/>
      <c r="U112" s="114" t="n">
        <f aca="false">IF(W112=0,0,W112/Q112)</f>
        <v>0.0445114086461876</v>
      </c>
      <c r="V112" s="69"/>
      <c r="W112" s="117" t="n">
        <f aca="false">+I112+CB112</f>
        <v>419383.51</v>
      </c>
      <c r="X112" s="74"/>
      <c r="Y112" s="117" t="n">
        <f aca="false">+K112+CD112</f>
        <v>25702.4</v>
      </c>
      <c r="Z112" s="74"/>
      <c r="AA112" s="117" t="n">
        <f aca="false">+M112+CF112</f>
        <v>445085.91</v>
      </c>
      <c r="AB112" s="69"/>
      <c r="AC112" s="118" t="n">
        <f aca="false">ROUND(AA112/1000,0)</f>
        <v>445</v>
      </c>
      <c r="AD112" s="69"/>
      <c r="AE112" s="76"/>
      <c r="AF112" s="76"/>
      <c r="AG112" s="76"/>
      <c r="AH112" s="76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77"/>
      <c r="AV112" s="69"/>
      <c r="AW112" s="78"/>
      <c r="AX112" s="69"/>
      <c r="AY112" s="78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79"/>
      <c r="BN112" s="69"/>
      <c r="BO112" s="64"/>
      <c r="BP112" s="69"/>
      <c r="BQ112" s="69"/>
      <c r="BR112" s="69"/>
      <c r="BS112" s="64"/>
      <c r="BT112" s="69"/>
      <c r="BU112" s="64" t="s">
        <v>60</v>
      </c>
      <c r="BV112" s="0" t="n">
        <v>9363082</v>
      </c>
      <c r="BW112" s="76"/>
      <c r="BX112" s="0" t="n">
        <v>28033</v>
      </c>
      <c r="BY112" s="76"/>
      <c r="BZ112" s="0" t="n">
        <v>0.0441431539315794</v>
      </c>
      <c r="CA112" s="76"/>
      <c r="CB112" s="0" t="n">
        <v>413315.97</v>
      </c>
      <c r="CC112" s="80"/>
      <c r="CD112" s="0" t="n">
        <v>25702.4</v>
      </c>
      <c r="CE112" s="80"/>
      <c r="CF112" s="0" t="n">
        <v>439018.37</v>
      </c>
      <c r="CG112" s="81"/>
      <c r="CH112" s="0" t="n">
        <v>439</v>
      </c>
      <c r="CI112" s="69"/>
      <c r="CJ112" s="69"/>
      <c r="CK112" s="69"/>
      <c r="CL112" s="69"/>
      <c r="CM112" s="69"/>
      <c r="CN112" s="69"/>
      <c r="CO112" s="69"/>
      <c r="CP112" s="69"/>
      <c r="CQ112" s="69"/>
      <c r="CR112" s="69"/>
      <c r="CS112" s="69"/>
      <c r="CT112" s="69"/>
      <c r="CU112" s="69"/>
      <c r="CV112" s="69"/>
      <c r="CW112" s="69"/>
      <c r="CX112" s="69"/>
      <c r="CY112" s="69"/>
      <c r="CZ112" s="69"/>
      <c r="DA112" s="69"/>
      <c r="DB112" s="69"/>
      <c r="DC112" s="69"/>
      <c r="DD112" s="69"/>
      <c r="DE112" s="69"/>
      <c r="DF112" s="69"/>
      <c r="DG112" s="69"/>
      <c r="DH112" s="69"/>
      <c r="DI112" s="69"/>
      <c r="DJ112" s="69"/>
      <c r="DK112" s="69"/>
      <c r="DL112" s="69"/>
      <c r="DM112" s="69"/>
      <c r="DN112" s="69"/>
      <c r="DO112" s="69"/>
      <c r="DP112" s="69"/>
      <c r="DQ112" s="69"/>
      <c r="DR112" s="69"/>
      <c r="DS112" s="69"/>
      <c r="DT112" s="69"/>
      <c r="DU112" s="69"/>
      <c r="DV112" s="69"/>
    </row>
    <row r="113" customFormat="false" ht="12.75" hidden="false" customHeight="false" outlineLevel="0" collapsed="false">
      <c r="A113" s="64" t="str">
        <f aca="false">+TSPT_COT!A102</f>
        <v>     Sub-Total Ignacio to Blanco</v>
      </c>
      <c r="C113" s="135" t="n">
        <f aca="false">+TSPT_COT!C102</f>
        <v>9200275</v>
      </c>
      <c r="E113" s="135" t="n">
        <f aca="false">+TSPT_COT!E102</f>
        <v>296783</v>
      </c>
      <c r="G113" s="136" t="n">
        <f aca="false">+TSPT_COT!G102</f>
        <v>0.0469732491691824</v>
      </c>
      <c r="I113" s="65" t="n">
        <f aca="false">TSPT_COT!AY102</f>
        <v>432166.81</v>
      </c>
      <c r="K113" s="65" t="n">
        <f aca="false">TSPT_COT!BA102</f>
        <v>0</v>
      </c>
      <c r="M113" s="65" t="n">
        <f aca="false">TSPT_COT!BC102</f>
        <v>432166.81</v>
      </c>
      <c r="O113" s="54" t="n">
        <f aca="false">TSPT_COT!BE102</f>
        <v>433</v>
      </c>
      <c r="Q113" s="32" t="n">
        <f aca="false">SUM(Q109:Q112)</f>
        <v>98495819</v>
      </c>
      <c r="S113" s="32" t="n">
        <f aca="false">SUM(S109:S112)</f>
        <v>269852</v>
      </c>
      <c r="U113" s="42" t="n">
        <f aca="false">IF(W113=0,0,W113/Q113)</f>
        <v>0.0511915201192449</v>
      </c>
      <c r="W113" s="5" t="n">
        <f aca="false">SUM(W108:W112)</f>
        <v>5042150.7</v>
      </c>
      <c r="Y113" s="5" t="n">
        <f aca="false">SUM(Y108:Y112)</f>
        <v>93092.99</v>
      </c>
      <c r="AA113" s="5" t="n">
        <f aca="false">SUM(AA108:AA112)</f>
        <v>5135243.69</v>
      </c>
      <c r="AC113" s="6" t="n">
        <f aca="false">SUM(AC108:AC112)</f>
        <v>5136</v>
      </c>
      <c r="AE113" s="32"/>
      <c r="AF113" s="32"/>
      <c r="AG113" s="32"/>
      <c r="AH113" s="32"/>
      <c r="AU113" s="29"/>
      <c r="AW113" s="30"/>
      <c r="AY113" s="30"/>
      <c r="BM113" s="31"/>
      <c r="BO113" s="13"/>
      <c r="BS113" s="13"/>
      <c r="BU113" s="24"/>
      <c r="BV113" s="0" t="n">
        <v>89295544</v>
      </c>
      <c r="BW113" s="32"/>
      <c r="BX113" s="0" t="n">
        <v>267352</v>
      </c>
      <c r="BY113" s="32"/>
      <c r="BZ113" s="0" t="n">
        <v>0.0516261359021454</v>
      </c>
      <c r="CA113" s="32"/>
      <c r="CB113" s="0" t="n">
        <v>4609983.89</v>
      </c>
      <c r="CC113" s="34"/>
      <c r="CD113" s="0" t="n">
        <v>93092.99</v>
      </c>
      <c r="CE113" s="34"/>
      <c r="CF113" s="0" t="n">
        <v>4703076.88</v>
      </c>
      <c r="CG113" s="2"/>
      <c r="CH113" s="0" t="n">
        <v>4365</v>
      </c>
    </row>
    <row r="114" customFormat="false" ht="12.75" hidden="false" customHeight="false" outlineLevel="0" collapsed="false">
      <c r="A114" s="64"/>
      <c r="C114" s="40"/>
      <c r="E114" s="53"/>
      <c r="G114" s="42"/>
      <c r="O114" s="54"/>
      <c r="Q114" s="41"/>
      <c r="S114" s="32"/>
      <c r="U114" s="42"/>
      <c r="AE114" s="32"/>
      <c r="AF114" s="32"/>
      <c r="AG114" s="32"/>
      <c r="AH114" s="32"/>
      <c r="AU114" s="29"/>
      <c r="AW114" s="30"/>
      <c r="AY114" s="30"/>
      <c r="BM114" s="31"/>
      <c r="BO114" s="13"/>
      <c r="BS114" s="13"/>
      <c r="BU114" s="24"/>
      <c r="BW114" s="32"/>
      <c r="BY114" s="32"/>
      <c r="CA114" s="32"/>
      <c r="CC114" s="34"/>
      <c r="CE114" s="34"/>
      <c r="CF114" s="0"/>
      <c r="CG114" s="2"/>
    </row>
    <row r="115" customFormat="false" ht="12.75" hidden="false" customHeight="false" outlineLevel="0" collapsed="false">
      <c r="A115" s="64" t="str">
        <f aca="false">+TSPT_COT!A104</f>
        <v>Ignacio to El Paso Blanco</v>
      </c>
      <c r="C115" s="40"/>
      <c r="E115" s="40"/>
      <c r="G115" s="42"/>
      <c r="I115" s="129"/>
      <c r="K115" s="129"/>
      <c r="M115" s="129"/>
      <c r="O115" s="6"/>
      <c r="Q115" s="41"/>
      <c r="S115" s="41"/>
      <c r="U115" s="42"/>
      <c r="W115" s="129"/>
      <c r="Y115" s="129"/>
      <c r="AA115" s="129"/>
      <c r="AE115" s="32"/>
      <c r="AF115" s="32"/>
      <c r="AG115" s="32"/>
      <c r="AH115" s="32"/>
      <c r="AU115" s="29"/>
      <c r="AW115" s="30"/>
      <c r="AY115" s="30"/>
      <c r="BM115" s="31"/>
      <c r="BO115" s="13"/>
      <c r="BS115" s="13"/>
      <c r="BU115" s="24"/>
      <c r="BW115" s="32"/>
      <c r="BY115" s="32"/>
      <c r="CA115" s="32"/>
      <c r="CC115" s="34"/>
      <c r="CE115" s="34"/>
      <c r="CF115" s="0"/>
      <c r="CG115" s="2"/>
    </row>
    <row r="116" customFormat="false" ht="12.75" hidden="false" customHeight="false" outlineLevel="0" collapsed="false">
      <c r="A116" s="24" t="str">
        <f aca="false">+TSPT_COT!A105</f>
        <v>   Demand</v>
      </c>
      <c r="C116" s="40" t="n">
        <f aca="false">+TSPT_COT!AS105</f>
        <v>9494983</v>
      </c>
      <c r="E116" s="40" t="n">
        <f aca="false">+TSPT_COT!AU105</f>
        <v>306290</v>
      </c>
      <c r="G116" s="42" t="n">
        <f aca="false">IF(I116=0,0,I116/C116)</f>
        <v>0.0345328759409048</v>
      </c>
      <c r="I116" s="65" t="n">
        <f aca="false">+TSPT_COT!AY105</f>
        <v>327889.07</v>
      </c>
      <c r="K116" s="65" t="n">
        <f aca="false">+TSPT_COT!BA105</f>
        <v>0</v>
      </c>
      <c r="M116" s="65" t="n">
        <f aca="false">+TSPT_COT!BC105</f>
        <v>327889.07</v>
      </c>
      <c r="O116" s="6" t="n">
        <f aca="false">+TSPT_COT!BE105</f>
        <v>328</v>
      </c>
      <c r="Q116" s="41" t="n">
        <f aca="false">+C116+BV116</f>
        <v>109205737</v>
      </c>
      <c r="S116" s="41" t="n">
        <f aca="false">+E116+BX116</f>
        <v>3589418</v>
      </c>
      <c r="U116" s="42" t="n">
        <f aca="false">IF(W116=0,0,W116/Q116)</f>
        <v>0.0440172391309442</v>
      </c>
      <c r="W116" s="129" t="n">
        <f aca="false">+I116+CB116</f>
        <v>4806935.04</v>
      </c>
      <c r="Y116" s="129" t="n">
        <f aca="false">+K116+CD116</f>
        <v>31558.02</v>
      </c>
      <c r="AA116" s="129" t="n">
        <f aca="false">+M116+CF116</f>
        <v>4838493.06</v>
      </c>
      <c r="AC116" s="6" t="n">
        <f aca="false">ROUND(AA116/1000,0)</f>
        <v>4838</v>
      </c>
      <c r="AE116" s="32"/>
      <c r="AF116" s="32"/>
      <c r="AG116" s="32"/>
      <c r="AH116" s="32"/>
      <c r="AU116" s="29"/>
      <c r="AW116" s="30"/>
      <c r="AY116" s="30"/>
      <c r="BM116" s="31"/>
      <c r="BO116" s="13"/>
      <c r="BS116" s="13"/>
      <c r="BU116" s="24"/>
      <c r="BV116" s="0" t="n">
        <v>99710754</v>
      </c>
      <c r="BW116" s="32"/>
      <c r="BX116" s="0" t="n">
        <v>3283128</v>
      </c>
      <c r="BY116" s="32"/>
      <c r="BZ116" s="0" t="n">
        <v>0.0449203901316402</v>
      </c>
      <c r="CA116" s="32"/>
      <c r="CB116" s="0" t="n">
        <v>4479045.97</v>
      </c>
      <c r="CC116" s="34"/>
      <c r="CD116" s="0" t="n">
        <v>31558.02</v>
      </c>
      <c r="CE116" s="34"/>
      <c r="CF116" s="0" t="n">
        <v>4510603.99</v>
      </c>
      <c r="CG116" s="2"/>
      <c r="CH116" s="0" t="n">
        <v>4107</v>
      </c>
    </row>
    <row r="117" customFormat="false" ht="12.75" hidden="false" customHeight="false" outlineLevel="0" collapsed="false">
      <c r="A117" s="24" t="str">
        <f aca="false">+TSPT_COT!A106</f>
        <v>   FT</v>
      </c>
      <c r="C117" s="40" t="n">
        <f aca="false">+TSPT_COT!AS106</f>
        <v>6275753</v>
      </c>
      <c r="E117" s="40" t="n">
        <f aca="false">+TSPT_COT!AU106</f>
        <v>202444</v>
      </c>
      <c r="G117" s="42" t="n">
        <f aca="false">IF(I117=0,0,I117/C117)</f>
        <v>0.00110000027088383</v>
      </c>
      <c r="I117" s="65" t="n">
        <f aca="false">+TSPT_COT!AY106</f>
        <v>6903.33</v>
      </c>
      <c r="K117" s="65" t="n">
        <f aca="false">+TSPT_COT!BA106</f>
        <v>13179.08</v>
      </c>
      <c r="M117" s="65" t="n">
        <f aca="false">+TSPT_COT!BC106</f>
        <v>20082.41</v>
      </c>
      <c r="O117" s="6" t="n">
        <f aca="false">+TSPT_COT!BE106</f>
        <v>20</v>
      </c>
      <c r="Q117" s="41" t="n">
        <f aca="false">+C117+BV117</f>
        <v>87169855</v>
      </c>
      <c r="S117" s="41" t="n">
        <f aca="false">+E117+BX117</f>
        <v>2866672</v>
      </c>
      <c r="U117" s="42" t="n">
        <f aca="false">IF(W117=0,0,W117/Q117)</f>
        <v>0.00165618469825377</v>
      </c>
      <c r="W117" s="129" t="n">
        <f aca="false">+I117+CB117</f>
        <v>144369.38</v>
      </c>
      <c r="Y117" s="129" t="n">
        <f aca="false">+K117+CD117</f>
        <v>106288.79</v>
      </c>
      <c r="AA117" s="129" t="n">
        <f aca="false">+M117+CF117</f>
        <v>250658.17</v>
      </c>
      <c r="AC117" s="6" t="n">
        <f aca="false">ROUND(AA117/1000,0)</f>
        <v>251</v>
      </c>
      <c r="AE117" s="32"/>
      <c r="AF117" s="32"/>
      <c r="AG117" s="32"/>
      <c r="AH117" s="32"/>
      <c r="AU117" s="29"/>
      <c r="AW117" s="30"/>
      <c r="AY117" s="30"/>
      <c r="BM117" s="31"/>
      <c r="BO117" s="13"/>
      <c r="BS117" s="13"/>
      <c r="BU117" s="24"/>
      <c r="BV117" s="0" t="n">
        <v>80894102</v>
      </c>
      <c r="BW117" s="32"/>
      <c r="BX117" s="0" t="n">
        <v>2664228</v>
      </c>
      <c r="BY117" s="32"/>
      <c r="BZ117" s="0" t="n">
        <v>0.00169933340752086</v>
      </c>
      <c r="CA117" s="32"/>
      <c r="CB117" s="0" t="n">
        <v>137466.05</v>
      </c>
      <c r="CC117" s="34"/>
      <c r="CD117" s="0" t="n">
        <v>93109.71</v>
      </c>
      <c r="CE117" s="34"/>
      <c r="CF117" s="0" t="n">
        <v>230575.76</v>
      </c>
      <c r="CG117" s="2"/>
      <c r="CH117" s="0" t="n">
        <v>210</v>
      </c>
    </row>
    <row r="118" customFormat="false" ht="12.75" hidden="false" customHeight="false" outlineLevel="0" collapsed="false">
      <c r="A118" s="24" t="str">
        <f aca="false">+TSPT_COT!A107</f>
        <v>   FR</v>
      </c>
      <c r="C118" s="40" t="n">
        <f aca="false">+TSPT_COT!AS107</f>
        <v>0</v>
      </c>
      <c r="E118" s="40" t="n">
        <f aca="false">+TSPT_COT!AU107</f>
        <v>0</v>
      </c>
      <c r="G118" s="42" t="n">
        <f aca="false">IF(I118=0,0,I118/C118)</f>
        <v>0</v>
      </c>
      <c r="I118" s="65" t="n">
        <f aca="false">+TSPT_COT!AY107</f>
        <v>0</v>
      </c>
      <c r="K118" s="65" t="n">
        <f aca="false">+TSPT_COT!BA107</f>
        <v>0</v>
      </c>
      <c r="M118" s="65" t="n">
        <f aca="false">+TSPT_COT!BC107</f>
        <v>0</v>
      </c>
      <c r="O118" s="6" t="n">
        <f aca="false">+TSPT_COT!BE107</f>
        <v>0</v>
      </c>
      <c r="Q118" s="41" t="n">
        <f aca="false">+C118+BV118</f>
        <v>0</v>
      </c>
      <c r="S118" s="41" t="n">
        <f aca="false">+E118+BX118</f>
        <v>0</v>
      </c>
      <c r="U118" s="42" t="n">
        <f aca="false">IF(W118=0,0,W118/Q118)</f>
        <v>0</v>
      </c>
      <c r="W118" s="129" t="n">
        <f aca="false">+I118+CB118</f>
        <v>0</v>
      </c>
      <c r="Y118" s="129" t="n">
        <f aca="false">+K118+CD118</f>
        <v>0</v>
      </c>
      <c r="AA118" s="129" t="n">
        <f aca="false">+M118+CF118</f>
        <v>0</v>
      </c>
      <c r="AC118" s="6" t="n">
        <f aca="false">ROUND(AA118/1000,0)</f>
        <v>0</v>
      </c>
      <c r="AE118" s="32"/>
      <c r="AF118" s="32"/>
      <c r="AG118" s="32"/>
      <c r="AH118" s="32"/>
      <c r="AU118" s="29"/>
      <c r="AW118" s="30"/>
      <c r="AY118" s="30"/>
      <c r="BM118" s="31"/>
      <c r="BO118" s="13"/>
      <c r="BS118" s="13"/>
      <c r="BU118" s="24"/>
      <c r="BV118" s="0" t="n">
        <v>0</v>
      </c>
      <c r="BW118" s="32"/>
      <c r="BX118" s="0" t="n">
        <v>0</v>
      </c>
      <c r="BY118" s="32"/>
      <c r="BZ118" s="0" t="n">
        <v>0</v>
      </c>
      <c r="CA118" s="32"/>
      <c r="CB118" s="0" t="n">
        <v>0</v>
      </c>
      <c r="CC118" s="34"/>
      <c r="CD118" s="0" t="n">
        <v>0</v>
      </c>
      <c r="CE118" s="34"/>
      <c r="CF118" s="0" t="n">
        <v>0</v>
      </c>
      <c r="CG118" s="2"/>
      <c r="CH118" s="0" t="n">
        <v>0</v>
      </c>
    </row>
    <row r="119" customFormat="false" ht="12.75" hidden="false" customHeight="false" outlineLevel="0" collapsed="false">
      <c r="A119" s="24" t="str">
        <f aca="false">+TSPT_COT!A108</f>
        <v>   LFT</v>
      </c>
      <c r="C119" s="40" t="n">
        <f aca="false">+TSPT_COT!AS108</f>
        <v>0</v>
      </c>
      <c r="E119" s="40" t="n">
        <f aca="false">+TSPT_COT!AU108</f>
        <v>0</v>
      </c>
      <c r="G119" s="42" t="n">
        <f aca="false">IF(I119=0,0,I119/C119)</f>
        <v>0</v>
      </c>
      <c r="I119" s="65" t="n">
        <f aca="false">+TSPT_COT!AY108</f>
        <v>0</v>
      </c>
      <c r="K119" s="65" t="n">
        <f aca="false">+TSPT_COT!BA108</f>
        <v>0</v>
      </c>
      <c r="M119" s="65" t="n">
        <f aca="false">+TSPT_COT!BC108</f>
        <v>0</v>
      </c>
      <c r="O119" s="6" t="n">
        <f aca="false">+TSPT_COT!BE108</f>
        <v>0</v>
      </c>
      <c r="Q119" s="41" t="n">
        <f aca="false">+C119+BV119</f>
        <v>0</v>
      </c>
      <c r="S119" s="41" t="n">
        <f aca="false">+E119+BX119</f>
        <v>0</v>
      </c>
      <c r="U119" s="42" t="n">
        <f aca="false">IF(W119=0,0,W119/Q119)</f>
        <v>0</v>
      </c>
      <c r="W119" s="129" t="n">
        <f aca="false">+I119+CB119</f>
        <v>0</v>
      </c>
      <c r="Y119" s="129" t="n">
        <f aca="false">+K119+CD119</f>
        <v>0</v>
      </c>
      <c r="AA119" s="129" t="n">
        <f aca="false">+M119+CF119</f>
        <v>0</v>
      </c>
      <c r="AC119" s="6" t="n">
        <f aca="false">ROUND(AA119/1000,0)</f>
        <v>0</v>
      </c>
      <c r="AE119" s="32"/>
      <c r="AF119" s="32"/>
      <c r="AG119" s="32"/>
      <c r="AH119" s="32"/>
      <c r="AU119" s="29"/>
      <c r="AW119" s="30"/>
      <c r="AY119" s="30"/>
      <c r="BM119" s="31"/>
      <c r="BO119" s="13"/>
      <c r="BS119" s="13"/>
      <c r="BU119" s="24"/>
      <c r="BV119" s="0" t="n">
        <v>0</v>
      </c>
      <c r="BW119" s="32"/>
      <c r="BX119" s="0" t="n">
        <v>0</v>
      </c>
      <c r="BY119" s="32"/>
      <c r="BZ119" s="0" t="n">
        <v>0</v>
      </c>
      <c r="CA119" s="32"/>
      <c r="CB119" s="0" t="n">
        <v>0</v>
      </c>
      <c r="CC119" s="34"/>
      <c r="CD119" s="0" t="n">
        <v>0</v>
      </c>
      <c r="CE119" s="34"/>
      <c r="CF119" s="0" t="n">
        <v>0</v>
      </c>
      <c r="CG119" s="2"/>
      <c r="CH119" s="0" t="n">
        <v>0</v>
      </c>
    </row>
    <row r="120" customFormat="false" ht="12.75" hidden="false" customHeight="false" outlineLevel="0" collapsed="false">
      <c r="A120" s="24" t="str">
        <f aca="false">+TSPT_COT!A109</f>
        <v>   IT</v>
      </c>
      <c r="C120" s="99" t="n">
        <f aca="false">+TSPT_COT!AS109</f>
        <v>2052919</v>
      </c>
      <c r="E120" s="99" t="n">
        <f aca="false">+TSPT_COT!AU109</f>
        <v>66223</v>
      </c>
      <c r="G120" s="114" t="n">
        <f aca="false">IF(I120=0,0,I120/C120)</f>
        <v>0.0274178133672103</v>
      </c>
      <c r="I120" s="67" t="n">
        <f aca="false">+TSPT_COT!AY109</f>
        <v>56286.55</v>
      </c>
      <c r="K120" s="67" t="n">
        <f aca="false">+TSPT_COT!BA109</f>
        <v>4311.13</v>
      </c>
      <c r="M120" s="67" t="n">
        <f aca="false">+TSPT_COT!BC109</f>
        <v>60597.68</v>
      </c>
      <c r="O120" s="118" t="n">
        <f aca="false">+TSPT_COT!BE109</f>
        <v>61</v>
      </c>
      <c r="Q120" s="115" t="n">
        <f aca="false">+C120+BV120</f>
        <v>29816261</v>
      </c>
      <c r="S120" s="115" t="n">
        <f aca="false">+E120+BX120</f>
        <v>982848</v>
      </c>
      <c r="U120" s="114" t="n">
        <f aca="false">IF(W120=0,0,W120/Q120)</f>
        <v>0.0410698018104953</v>
      </c>
      <c r="W120" s="132" t="n">
        <f aca="false">+I120+CB120</f>
        <v>1224547.93</v>
      </c>
      <c r="Y120" s="132" t="n">
        <f aca="false">+K120+CD120</f>
        <v>59482.42</v>
      </c>
      <c r="AA120" s="132" t="n">
        <f aca="false">+M120+CF120</f>
        <v>1284030.35</v>
      </c>
      <c r="AC120" s="118" t="n">
        <f aca="false">ROUND(AA120/1000,0)</f>
        <v>1284</v>
      </c>
      <c r="AE120" s="32"/>
      <c r="AF120" s="32"/>
      <c r="AG120" s="32"/>
      <c r="AH120" s="32"/>
      <c r="AU120" s="29"/>
      <c r="AW120" s="30"/>
      <c r="AY120" s="30"/>
      <c r="BM120" s="31"/>
      <c r="BO120" s="13"/>
      <c r="BS120" s="13"/>
      <c r="BU120" s="24"/>
      <c r="BV120" s="0" t="n">
        <v>27763342</v>
      </c>
      <c r="BW120" s="32"/>
      <c r="BX120" s="0" t="n">
        <v>916625</v>
      </c>
      <c r="BY120" s="32"/>
      <c r="BZ120" s="0" t="n">
        <v>0.0420792777757087</v>
      </c>
      <c r="CA120" s="32"/>
      <c r="CB120" s="0" t="n">
        <v>1168261.38</v>
      </c>
      <c r="CC120" s="34"/>
      <c r="CD120" s="0" t="n">
        <v>55171.29</v>
      </c>
      <c r="CE120" s="34"/>
      <c r="CF120" s="0" t="n">
        <v>1223432.67</v>
      </c>
      <c r="CG120" s="2"/>
      <c r="CH120" s="0" t="n">
        <v>1128</v>
      </c>
    </row>
    <row r="121" customFormat="false" ht="12.75" hidden="false" customHeight="false" outlineLevel="0" collapsed="false">
      <c r="A121" s="64" t="str">
        <f aca="false">+TSPT_COT!A110</f>
        <v>     Sub-Total Ignacio to El Paso Blanco</v>
      </c>
      <c r="C121" s="40" t="n">
        <f aca="false">+TSPT_COT!AS110</f>
        <v>8328672</v>
      </c>
      <c r="E121" s="40" t="n">
        <f aca="false">+TSPT_COT!AU110</f>
        <v>268667</v>
      </c>
      <c r="G121" s="42" t="n">
        <f aca="false">IF(I121=0,0,I121/C121)</f>
        <v>0.0469557391622578</v>
      </c>
      <c r="I121" s="65" t="n">
        <f aca="false">+TSPT_COT!AY110</f>
        <v>391078.95</v>
      </c>
      <c r="K121" s="65" t="n">
        <f aca="false">+TSPT_COT!BA110</f>
        <v>17490.21</v>
      </c>
      <c r="M121" s="65" t="n">
        <f aca="false">+TSPT_COT!BC110</f>
        <v>408569.16</v>
      </c>
      <c r="O121" s="6" t="n">
        <f aca="false">+TSPT_COT!BE110</f>
        <v>409</v>
      </c>
      <c r="Q121" s="32" t="n">
        <f aca="false">SUM(Q117:Q120)</f>
        <v>116986116</v>
      </c>
      <c r="S121" s="32" t="n">
        <f aca="false">SUM(S117:S120)</f>
        <v>3849520</v>
      </c>
      <c r="U121" s="42" t="n">
        <f aca="false">IF(W121=0,0,W121/Q121)</f>
        <v>0.0527913273913633</v>
      </c>
      <c r="W121" s="5" t="n">
        <f aca="false">SUM(W116:W120)</f>
        <v>6175852.35</v>
      </c>
      <c r="Y121" s="5" t="n">
        <f aca="false">SUM(Y116:Y120)</f>
        <v>197329.23</v>
      </c>
      <c r="AA121" s="5" t="n">
        <f aca="false">SUM(AA116:AA120)</f>
        <v>6373181.58</v>
      </c>
      <c r="AC121" s="6" t="n">
        <f aca="false">SUM(AC116:AC120)</f>
        <v>6373</v>
      </c>
      <c r="AE121" s="32"/>
      <c r="AF121" s="32"/>
      <c r="AG121" s="32"/>
      <c r="AH121" s="32"/>
      <c r="AU121" s="29"/>
      <c r="AW121" s="30"/>
      <c r="AY121" s="30"/>
      <c r="BM121" s="31"/>
      <c r="BO121" s="13"/>
      <c r="BS121" s="13"/>
      <c r="BU121" s="24"/>
      <c r="BV121" s="0" t="n">
        <v>108657444</v>
      </c>
      <c r="BW121" s="32"/>
      <c r="BX121" s="0" t="n">
        <v>3580853</v>
      </c>
      <c r="BY121" s="32"/>
      <c r="BZ121" s="0" t="n">
        <v>0.053238629467485</v>
      </c>
      <c r="CA121" s="32"/>
      <c r="CB121" s="0" t="n">
        <v>5784773.4</v>
      </c>
      <c r="CC121" s="34"/>
      <c r="CD121" s="0" t="n">
        <v>179839.02</v>
      </c>
      <c r="CE121" s="34"/>
      <c r="CF121" s="0" t="n">
        <v>5964612.42</v>
      </c>
      <c r="CG121" s="2"/>
      <c r="CH121" s="0" t="n">
        <v>5445</v>
      </c>
    </row>
    <row r="122" customFormat="false" ht="12.75" hidden="false" customHeight="false" outlineLevel="0" collapsed="false">
      <c r="A122" s="24"/>
      <c r="C122" s="40"/>
      <c r="E122" s="53"/>
      <c r="G122" s="42"/>
      <c r="O122" s="54"/>
      <c r="Q122" s="41"/>
      <c r="S122" s="32"/>
      <c r="U122" s="42"/>
      <c r="AE122" s="32"/>
      <c r="AF122" s="32"/>
      <c r="AG122" s="32"/>
      <c r="AH122" s="32"/>
      <c r="AU122" s="29"/>
      <c r="AW122" s="30"/>
      <c r="AY122" s="30"/>
      <c r="BM122" s="31"/>
      <c r="BO122" s="13"/>
      <c r="BS122" s="13"/>
      <c r="BU122" s="24" t="s">
        <v>61</v>
      </c>
      <c r="BW122" s="32"/>
      <c r="BY122" s="32"/>
      <c r="CA122" s="32"/>
      <c r="CC122" s="34"/>
      <c r="CE122" s="34"/>
      <c r="CF122" s="0"/>
      <c r="CG122" s="2"/>
    </row>
    <row r="123" customFormat="false" ht="12.75" hidden="false" customHeight="false" outlineLevel="0" collapsed="false">
      <c r="A123" s="64" t="str">
        <f aca="false">+TSPT_COT!A112</f>
        <v>San Juan</v>
      </c>
      <c r="AU123" s="29"/>
      <c r="AW123" s="30"/>
      <c r="AY123" s="30"/>
      <c r="BM123" s="31"/>
      <c r="BO123" s="13"/>
      <c r="BS123" s="13"/>
      <c r="BU123" s="24" t="s">
        <v>24</v>
      </c>
      <c r="BW123" s="32"/>
      <c r="BY123" s="32"/>
      <c r="CA123" s="32"/>
      <c r="CC123" s="34"/>
      <c r="CE123" s="34"/>
      <c r="CF123" s="0"/>
      <c r="CG123" s="2"/>
    </row>
    <row r="124" customFormat="false" ht="12.75" hidden="false" customHeight="false" outlineLevel="0" collapsed="false">
      <c r="A124" s="24" t="str">
        <f aca="false">+TSPT_COT!A113</f>
        <v>   Demand</v>
      </c>
      <c r="C124" s="40" t="n">
        <f aca="false">TSPT_COT!AS113</f>
        <v>773</v>
      </c>
      <c r="E124" s="53" t="n">
        <f aca="false">TSPT_COT!AU113</f>
        <v>26</v>
      </c>
      <c r="G124" s="42" t="n">
        <f aca="false">IF(I124=0,0,I124/C124)</f>
        <v>0.132794307891332</v>
      </c>
      <c r="I124" s="65" t="n">
        <f aca="false">TSPT_COT!AY113</f>
        <v>102.65</v>
      </c>
      <c r="K124" s="65" t="n">
        <f aca="false">TSPT_COT!BA113</f>
        <v>10.13</v>
      </c>
      <c r="M124" s="65" t="n">
        <f aca="false">TSPT_COT!BC113</f>
        <v>112.78</v>
      </c>
      <c r="O124" s="54" t="n">
        <f aca="false">TSPT_COT!BE113</f>
        <v>0</v>
      </c>
      <c r="Q124" s="41" t="n">
        <f aca="false">+C124+BV124</f>
        <v>1729</v>
      </c>
      <c r="S124" s="41" t="n">
        <f aca="false">+E124+BX124</f>
        <v>57</v>
      </c>
      <c r="U124" s="42" t="n">
        <f aca="false">IF(W124=0,0,W124/Q124)</f>
        <v>0.13279930595715</v>
      </c>
      <c r="W124" s="5" t="n">
        <f aca="false">+I124+CB124</f>
        <v>229.609999999912</v>
      </c>
      <c r="Y124" s="5" t="n">
        <f aca="false">+K124+CD124</f>
        <v>22.75</v>
      </c>
      <c r="AA124" s="5" t="n">
        <f aca="false">+M124+CF124</f>
        <v>252.359999999912</v>
      </c>
      <c r="AC124" s="6" t="n">
        <f aca="false">+O124+CH124</f>
        <v>0</v>
      </c>
      <c r="AE124" s="32"/>
      <c r="AF124" s="32"/>
      <c r="AG124" s="32"/>
      <c r="AH124" s="32"/>
      <c r="AU124" s="29"/>
      <c r="AW124" s="30"/>
      <c r="AY124" s="30"/>
      <c r="BM124" s="31"/>
      <c r="BO124" s="13"/>
      <c r="BS124" s="13"/>
      <c r="BU124" s="24" t="s">
        <v>25</v>
      </c>
      <c r="BV124" s="0" t="n">
        <v>956</v>
      </c>
      <c r="BW124" s="32"/>
      <c r="BX124" s="0" t="n">
        <v>31</v>
      </c>
      <c r="BY124" s="32"/>
      <c r="BZ124" s="0" t="n">
        <v>0.132803347280242</v>
      </c>
      <c r="CA124" s="32"/>
      <c r="CB124" s="0" t="n">
        <v>126.959999999912</v>
      </c>
      <c r="CC124" s="34"/>
      <c r="CD124" s="0" t="n">
        <v>12.62</v>
      </c>
      <c r="CE124" s="34"/>
      <c r="CF124" s="0" t="n">
        <v>139.579999999912</v>
      </c>
      <c r="CG124" s="2"/>
      <c r="CH124" s="0" t="n">
        <v>0</v>
      </c>
    </row>
    <row r="125" customFormat="false" ht="12.75" hidden="false" customHeight="false" outlineLevel="0" collapsed="false">
      <c r="A125" s="24" t="str">
        <f aca="false">+TSPT_COT!A114</f>
        <v>   FT-San Juan</v>
      </c>
      <c r="C125" s="40" t="n">
        <f aca="false">TSPT_COT!AS114</f>
        <v>0</v>
      </c>
      <c r="E125" s="53" t="n">
        <f aca="false">TSPT_COT!AU114</f>
        <v>0</v>
      </c>
      <c r="G125" s="42" t="n">
        <f aca="false">IF(I125=0,0,I125/C125)</f>
        <v>0</v>
      </c>
      <c r="I125" s="65" t="n">
        <f aca="false">TSPT_COT!AY114</f>
        <v>0</v>
      </c>
      <c r="K125" s="65" t="n">
        <f aca="false">TSPT_COT!BA114</f>
        <v>0</v>
      </c>
      <c r="M125" s="65" t="n">
        <f aca="false">TSPT_COT!BC114</f>
        <v>0</v>
      </c>
      <c r="O125" s="54" t="n">
        <f aca="false">TSPT_COT!BE114</f>
        <v>0</v>
      </c>
      <c r="Q125" s="41" t="n">
        <f aca="false">+C125+BV125</f>
        <v>9853</v>
      </c>
      <c r="S125" s="41" t="n">
        <f aca="false">+E125+BX125</f>
        <v>329</v>
      </c>
      <c r="U125" s="42" t="n">
        <f aca="false">IF(W125=0,0,W125/Q125)</f>
        <v>0.0395534355018775</v>
      </c>
      <c r="W125" s="5" t="n">
        <f aca="false">+I125+CB125</f>
        <v>389.719999999999</v>
      </c>
      <c r="Y125" s="5" t="n">
        <f aca="false">+K125+CD125</f>
        <v>64.02</v>
      </c>
      <c r="AA125" s="5" t="n">
        <f aca="false">+M125+CF125</f>
        <v>453.739999999999</v>
      </c>
      <c r="AC125" s="6" t="n">
        <f aca="false">+O125+CH125</f>
        <v>0</v>
      </c>
      <c r="AE125" s="32"/>
      <c r="AF125" s="32"/>
      <c r="AG125" s="32"/>
      <c r="AH125" s="32"/>
      <c r="AU125" s="29"/>
      <c r="AW125" s="30"/>
      <c r="AY125" s="30"/>
      <c r="BM125" s="31"/>
      <c r="BO125" s="13"/>
      <c r="BS125" s="13"/>
      <c r="BU125" s="24" t="s">
        <v>26</v>
      </c>
      <c r="BV125" s="0" t="n">
        <v>9853</v>
      </c>
      <c r="BW125" s="32"/>
      <c r="BX125" s="0" t="n">
        <v>329</v>
      </c>
      <c r="BY125" s="32"/>
      <c r="BZ125" s="0" t="n">
        <v>0.0395534355018775</v>
      </c>
      <c r="CA125" s="32"/>
      <c r="CB125" s="0" t="n">
        <v>389.719999999999</v>
      </c>
      <c r="CC125" s="34"/>
      <c r="CD125" s="0" t="n">
        <v>64.02</v>
      </c>
      <c r="CE125" s="34"/>
      <c r="CF125" s="0" t="n">
        <v>453.739999999999</v>
      </c>
      <c r="CG125" s="2"/>
      <c r="CH125" s="0" t="n">
        <v>0</v>
      </c>
    </row>
    <row r="126" customFormat="false" ht="12.75" hidden="false" customHeight="false" outlineLevel="0" collapsed="false">
      <c r="A126" s="24" t="str">
        <f aca="false">+TSPT_COT!A115</f>
        <v>   FR-San Juan</v>
      </c>
      <c r="C126" s="40" t="n">
        <f aca="false">TSPT_COT!AS115</f>
        <v>0</v>
      </c>
      <c r="E126" s="53" t="n">
        <f aca="false">TSPT_COT!AU115</f>
        <v>0</v>
      </c>
      <c r="G126" s="42" t="n">
        <f aca="false">IF(I126=0,0,I126/C126)</f>
        <v>0</v>
      </c>
      <c r="I126" s="65" t="n">
        <f aca="false">TSPT_COT!AY115</f>
        <v>0</v>
      </c>
      <c r="K126" s="65" t="n">
        <f aca="false">TSPT_COT!BA115</f>
        <v>0</v>
      </c>
      <c r="M126" s="65" t="n">
        <f aca="false">TSPT_COT!BC115</f>
        <v>0</v>
      </c>
      <c r="O126" s="54" t="n">
        <f aca="false">TSPT_COT!BE115</f>
        <v>0</v>
      </c>
      <c r="Q126" s="41" t="n">
        <f aca="false">+C126+BV126</f>
        <v>0</v>
      </c>
      <c r="S126" s="41" t="n">
        <f aca="false">+E126+BX126</f>
        <v>0</v>
      </c>
      <c r="U126" s="42" t="n">
        <f aca="false">IF(W126=0,0,W126/Q126)</f>
        <v>0</v>
      </c>
      <c r="W126" s="5" t="n">
        <f aca="false">+I126+CB126</f>
        <v>0</v>
      </c>
      <c r="Y126" s="5" t="n">
        <f aca="false">+K126+CD126</f>
        <v>0</v>
      </c>
      <c r="AA126" s="5" t="n">
        <f aca="false">+M126+CF126</f>
        <v>0</v>
      </c>
      <c r="AC126" s="6" t="n">
        <f aca="false">+O126+CH126</f>
        <v>0</v>
      </c>
      <c r="AE126" s="32"/>
      <c r="AF126" s="32"/>
      <c r="AG126" s="32"/>
      <c r="AH126" s="32"/>
      <c r="AU126" s="29"/>
      <c r="AW126" s="30"/>
      <c r="AY126" s="30"/>
      <c r="BM126" s="31"/>
      <c r="BO126" s="13"/>
      <c r="BS126" s="13"/>
      <c r="BU126" s="24" t="s">
        <v>27</v>
      </c>
      <c r="BV126" s="0" t="n">
        <v>0</v>
      </c>
      <c r="BW126" s="32"/>
      <c r="BX126" s="0" t="n">
        <v>0</v>
      </c>
      <c r="BY126" s="32"/>
      <c r="BZ126" s="0" t="n">
        <v>0</v>
      </c>
      <c r="CA126" s="32"/>
      <c r="CB126" s="0" t="n">
        <v>0</v>
      </c>
      <c r="CC126" s="34"/>
      <c r="CD126" s="0" t="n">
        <v>0</v>
      </c>
      <c r="CE126" s="34"/>
      <c r="CF126" s="0" t="n">
        <v>0</v>
      </c>
      <c r="CG126" s="2"/>
      <c r="CH126" s="0" t="n">
        <v>0</v>
      </c>
    </row>
    <row r="127" customFormat="false" ht="12.75" hidden="false" customHeight="false" outlineLevel="0" collapsed="false">
      <c r="A127" s="24" t="str">
        <f aca="false">+TSPT_COT!A116</f>
        <v>   LFT-San Juan</v>
      </c>
      <c r="C127" s="40" t="n">
        <f aca="false">TSPT_COT!AS116</f>
        <v>0</v>
      </c>
      <c r="E127" s="53" t="n">
        <f aca="false">TSPT_COT!AU116</f>
        <v>0</v>
      </c>
      <c r="G127" s="42" t="n">
        <f aca="false">IF(I127=0,0,I127/C127)</f>
        <v>0</v>
      </c>
      <c r="I127" s="65" t="n">
        <f aca="false">TSPT_COT!AY116</f>
        <v>0</v>
      </c>
      <c r="K127" s="65" t="n">
        <f aca="false">TSPT_COT!BA116</f>
        <v>0</v>
      </c>
      <c r="M127" s="65" t="n">
        <f aca="false">TSPT_COT!BC116</f>
        <v>0</v>
      </c>
      <c r="O127" s="54" t="n">
        <f aca="false">TSPT_COT!BE116</f>
        <v>0</v>
      </c>
      <c r="Q127" s="41" t="n">
        <f aca="false">+C127+BV127</f>
        <v>0</v>
      </c>
      <c r="S127" s="41" t="n">
        <f aca="false">+E127+BX127</f>
        <v>0</v>
      </c>
      <c r="U127" s="42" t="n">
        <f aca="false">IF(W127=0,0,W127/Q127)</f>
        <v>0</v>
      </c>
      <c r="W127" s="5" t="n">
        <f aca="false">+I127+CB127</f>
        <v>0</v>
      </c>
      <c r="Y127" s="5" t="n">
        <f aca="false">+K127+CD127</f>
        <v>0</v>
      </c>
      <c r="AA127" s="5" t="n">
        <f aca="false">+M127+CF127</f>
        <v>0</v>
      </c>
      <c r="AC127" s="6" t="n">
        <f aca="false">+O127+CH127</f>
        <v>0</v>
      </c>
      <c r="AE127" s="32"/>
      <c r="AF127" s="32"/>
      <c r="AG127" s="32"/>
      <c r="AH127" s="32"/>
      <c r="AU127" s="29"/>
      <c r="AW127" s="30"/>
      <c r="AY127" s="30"/>
      <c r="BM127" s="31"/>
      <c r="BO127" s="13"/>
      <c r="BS127" s="13"/>
      <c r="BU127" s="24"/>
      <c r="BV127" s="0" t="n">
        <v>0</v>
      </c>
      <c r="BW127" s="32"/>
      <c r="BX127" s="0" t="n">
        <v>0</v>
      </c>
      <c r="BY127" s="32"/>
      <c r="BZ127" s="0" t="n">
        <v>0</v>
      </c>
      <c r="CA127" s="32"/>
      <c r="CB127" s="0" t="n">
        <v>0</v>
      </c>
      <c r="CC127" s="34"/>
      <c r="CD127" s="0" t="n">
        <v>0</v>
      </c>
      <c r="CE127" s="34"/>
      <c r="CF127" s="0" t="n">
        <v>0</v>
      </c>
      <c r="CG127" s="2"/>
      <c r="CH127" s="0" t="n">
        <v>0</v>
      </c>
    </row>
    <row r="128" customFormat="false" ht="12.75" hidden="false" customHeight="false" outlineLevel="0" collapsed="false">
      <c r="A128" s="24" t="str">
        <f aca="false">+TSPT_COT!A117</f>
        <v>   IT-San Jaun</v>
      </c>
      <c r="B128" s="69"/>
      <c r="C128" s="40" t="n">
        <f aca="false">TSPT_COT!AS117</f>
        <v>0</v>
      </c>
      <c r="E128" s="53" t="n">
        <f aca="false">TSPT_COT!AU117</f>
        <v>0</v>
      </c>
      <c r="G128" s="42" t="n">
        <f aca="false">IF(I128=0,0,I128/C128)</f>
        <v>0</v>
      </c>
      <c r="I128" s="65" t="n">
        <f aca="false">TSPT_COT!AY117</f>
        <v>0</v>
      </c>
      <c r="K128" s="65" t="n">
        <f aca="false">TSPT_COT!BA117</f>
        <v>0</v>
      </c>
      <c r="M128" s="65" t="n">
        <f aca="false">TSPT_COT!BC117</f>
        <v>0</v>
      </c>
      <c r="O128" s="54" t="n">
        <f aca="false">TSPT_COT!BE117</f>
        <v>0</v>
      </c>
      <c r="Q128" s="41" t="n">
        <f aca="false">+C128+BV128</f>
        <v>0</v>
      </c>
      <c r="S128" s="41" t="n">
        <f aca="false">+E128+BX128</f>
        <v>0</v>
      </c>
      <c r="U128" s="42" t="n">
        <f aca="false">IF(W128=0,0,W128/Q128)</f>
        <v>0</v>
      </c>
      <c r="W128" s="5" t="n">
        <f aca="false">+I128+CB128</f>
        <v>0</v>
      </c>
      <c r="Y128" s="5" t="n">
        <f aca="false">+K128+CD128</f>
        <v>0</v>
      </c>
      <c r="AA128" s="5" t="n">
        <f aca="false">+M128+CF128</f>
        <v>0</v>
      </c>
      <c r="AC128" s="6" t="n">
        <f aca="false">+O128+CH128</f>
        <v>0</v>
      </c>
      <c r="AE128" s="32"/>
      <c r="AF128" s="32"/>
      <c r="AG128" s="32"/>
      <c r="AH128" s="32"/>
      <c r="AP128" s="69"/>
      <c r="AQ128" s="69"/>
      <c r="AR128" s="69"/>
      <c r="AS128" s="69"/>
      <c r="AT128" s="69"/>
      <c r="AU128" s="77"/>
      <c r="AV128" s="69"/>
      <c r="AW128" s="78"/>
      <c r="AX128" s="69"/>
      <c r="AY128" s="78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79"/>
      <c r="BN128" s="69"/>
      <c r="BO128" s="64"/>
      <c r="BP128" s="69"/>
      <c r="BQ128" s="69"/>
      <c r="BR128" s="69"/>
      <c r="BS128" s="64"/>
      <c r="BT128" s="69"/>
      <c r="BU128" s="64" t="s">
        <v>28</v>
      </c>
      <c r="BV128" s="0" t="n">
        <v>0</v>
      </c>
      <c r="BW128" s="76"/>
      <c r="BX128" s="0" t="n">
        <v>0</v>
      </c>
      <c r="BY128" s="76"/>
      <c r="BZ128" s="0" t="n">
        <v>0</v>
      </c>
      <c r="CA128" s="76"/>
      <c r="CB128" s="0" t="n">
        <v>0</v>
      </c>
      <c r="CC128" s="80"/>
      <c r="CD128" s="0" t="n">
        <v>0</v>
      </c>
      <c r="CE128" s="80"/>
      <c r="CF128" s="0" t="n">
        <v>0</v>
      </c>
      <c r="CG128" s="81"/>
      <c r="CH128" s="0" t="n">
        <v>0</v>
      </c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</row>
    <row r="129" customFormat="false" ht="12.75" hidden="false" customHeight="false" outlineLevel="0" collapsed="false">
      <c r="A129" s="64" t="str">
        <f aca="false">+TSPT_COT!A118</f>
        <v>     Sub-Total</v>
      </c>
      <c r="C129" s="105" t="n">
        <f aca="false">TSPT_COT!AS118</f>
        <v>0</v>
      </c>
      <c r="D129" s="69"/>
      <c r="E129" s="105" t="n">
        <f aca="false">TSPT_COT!AU118</f>
        <v>0</v>
      </c>
      <c r="F129" s="69"/>
      <c r="G129" s="139" t="e">
        <f aca="false">IF(I129=0,0,I129/C129)</f>
        <v>#DIV/0!</v>
      </c>
      <c r="H129" s="69"/>
      <c r="I129" s="73" t="n">
        <f aca="false">TSPT_COT!AY118</f>
        <v>102.65</v>
      </c>
      <c r="J129" s="74"/>
      <c r="K129" s="73" t="n">
        <f aca="false">TSPT_COT!BA118</f>
        <v>10.13</v>
      </c>
      <c r="L129" s="74"/>
      <c r="M129" s="73" t="n">
        <f aca="false">TSPT_COT!BC118</f>
        <v>112.78</v>
      </c>
      <c r="N129" s="69"/>
      <c r="O129" s="75" t="n">
        <f aca="false">TSPT_COT!BE118</f>
        <v>0</v>
      </c>
      <c r="P129" s="69"/>
      <c r="Q129" s="109" t="n">
        <f aca="false">SUM(Q125:Q128)</f>
        <v>9853</v>
      </c>
      <c r="R129" s="28"/>
      <c r="S129" s="109" t="n">
        <f aca="false">SUM(S125:S128)</f>
        <v>329</v>
      </c>
      <c r="T129" s="28"/>
      <c r="U129" s="139" t="n">
        <f aca="false">IF(W129=0,0,W129/Q129)</f>
        <v>0.0628569978686603</v>
      </c>
      <c r="V129" s="69"/>
      <c r="W129" s="73" t="n">
        <f aca="false">SUM(W124:W128)</f>
        <v>619.32999999991</v>
      </c>
      <c r="X129" s="74"/>
      <c r="Y129" s="73" t="n">
        <f aca="false">SUM(Y124:Y128)</f>
        <v>86.77</v>
      </c>
      <c r="Z129" s="74"/>
      <c r="AA129" s="73" t="n">
        <f aca="false">SUM(AA124:AA128)</f>
        <v>706.09999999991</v>
      </c>
      <c r="AB129" s="69"/>
      <c r="AC129" s="75" t="n">
        <f aca="false">SUM(AC124:AC128)</f>
        <v>0</v>
      </c>
      <c r="AD129" s="69"/>
      <c r="AE129" s="76"/>
      <c r="AF129" s="76"/>
      <c r="AG129" s="76"/>
      <c r="AH129" s="76"/>
      <c r="AI129" s="69"/>
      <c r="AJ129" s="69"/>
      <c r="AK129" s="69"/>
      <c r="AL129" s="69"/>
      <c r="AM129" s="69"/>
      <c r="AN129" s="69"/>
      <c r="AO129" s="69"/>
      <c r="AU129" s="29"/>
      <c r="AW129" s="30"/>
      <c r="AY129" s="30"/>
      <c r="BM129" s="31"/>
      <c r="BO129" s="13"/>
      <c r="BS129" s="13"/>
      <c r="BU129" s="24"/>
      <c r="BV129" s="0" t="n">
        <v>9853</v>
      </c>
      <c r="BW129" s="32"/>
      <c r="BX129" s="0" t="n">
        <v>329</v>
      </c>
      <c r="BY129" s="32"/>
      <c r="BZ129" s="0" t="n">
        <v>0.0524388511113275</v>
      </c>
      <c r="CA129" s="32"/>
      <c r="CB129" s="0" t="n">
        <v>516.67999999991</v>
      </c>
      <c r="CC129" s="34"/>
      <c r="CD129" s="0" t="n">
        <v>76.64</v>
      </c>
      <c r="CE129" s="34"/>
      <c r="CF129" s="0" t="n">
        <v>593.31999999991</v>
      </c>
      <c r="CG129" s="2"/>
      <c r="CH129" s="0" t="n">
        <v>0</v>
      </c>
    </row>
    <row r="130" customFormat="false" ht="12.75" hidden="false" customHeight="false" outlineLevel="0" collapsed="false">
      <c r="A130" s="24"/>
      <c r="AW130" s="30"/>
      <c r="AY130" s="30"/>
      <c r="BM130" s="31"/>
      <c r="BO130" s="13"/>
      <c r="BS130" s="13"/>
      <c r="BU130" s="24" t="s">
        <v>24</v>
      </c>
      <c r="BW130" s="32"/>
      <c r="BY130" s="32"/>
      <c r="CA130" s="32"/>
      <c r="CC130" s="34"/>
      <c r="CE130" s="34"/>
      <c r="CF130" s="0"/>
      <c r="CG130" s="2"/>
    </row>
    <row r="131" customFormat="false" ht="12.75" hidden="false" customHeight="false" outlineLevel="0" collapsed="false">
      <c r="A131" s="24" t="str">
        <f aca="false">+TSPT_COT!A120</f>
        <v>   Demand</v>
      </c>
      <c r="C131" s="40" t="n">
        <f aca="false">TSPT_COT!AS120</f>
        <v>0</v>
      </c>
      <c r="E131" s="53" t="n">
        <f aca="false">TSPT_COT!AU120</f>
        <v>0</v>
      </c>
      <c r="G131" s="42" t="n">
        <f aca="false">IF(I131=0,0,I131/C131)</f>
        <v>0</v>
      </c>
      <c r="I131" s="65" t="n">
        <f aca="false">TSPT_COT!AY120</f>
        <v>0</v>
      </c>
      <c r="K131" s="65" t="n">
        <f aca="false">TSPT_COT!BA120</f>
        <v>0</v>
      </c>
      <c r="M131" s="65" t="n">
        <f aca="false">TSPT_COT!BC120</f>
        <v>0</v>
      </c>
      <c r="O131" s="54" t="n">
        <f aca="false">TSPT_COT!BE120</f>
        <v>0</v>
      </c>
      <c r="Q131" s="41" t="n">
        <f aca="false">+C131+BV131</f>
        <v>0</v>
      </c>
      <c r="S131" s="32" t="n">
        <f aca="false">ROUND(Q131/SLS_COS!$AZ$3,0)</f>
        <v>0</v>
      </c>
      <c r="U131" s="42" t="n">
        <f aca="false">IF(W131=0,0,W131/Q131)</f>
        <v>0</v>
      </c>
      <c r="W131" s="5" t="n">
        <f aca="false">+I131+CB131</f>
        <v>0</v>
      </c>
      <c r="Y131" s="5" t="n">
        <f aca="false">+K131+CD131</f>
        <v>0</v>
      </c>
      <c r="AA131" s="5" t="n">
        <f aca="false">+M131+CF131</f>
        <v>0</v>
      </c>
      <c r="AC131" s="6" t="n">
        <f aca="false">ROUND(AA131/1000,0)</f>
        <v>0</v>
      </c>
      <c r="AE131" s="32"/>
      <c r="AF131" s="32"/>
      <c r="AG131" s="32"/>
      <c r="AH131" s="32"/>
      <c r="AU131" s="29"/>
      <c r="AW131" s="30"/>
      <c r="AY131" s="30"/>
      <c r="BM131" s="31"/>
      <c r="BO131" s="13"/>
      <c r="BS131" s="13"/>
      <c r="BU131" s="24" t="s">
        <v>38</v>
      </c>
      <c r="BV131" s="0" t="n">
        <v>0</v>
      </c>
      <c r="BW131" s="32"/>
      <c r="BX131" s="0" t="n">
        <v>0</v>
      </c>
      <c r="BY131" s="32"/>
      <c r="BZ131" s="0" t="n">
        <v>0</v>
      </c>
      <c r="CA131" s="32"/>
      <c r="CB131" s="0" t="n">
        <v>0</v>
      </c>
      <c r="CC131" s="34"/>
      <c r="CD131" s="0" t="n">
        <v>0</v>
      </c>
      <c r="CE131" s="34"/>
      <c r="CF131" s="0" t="n">
        <v>0</v>
      </c>
      <c r="CG131" s="2"/>
      <c r="CH131" s="0" t="n">
        <v>0</v>
      </c>
    </row>
    <row r="132" customFormat="false" ht="12.75" hidden="false" customHeight="false" outlineLevel="0" collapsed="false">
      <c r="A132" s="24" t="str">
        <f aca="false">+TSPT_COT!A121</f>
        <v>   IT-East of Thoreau</v>
      </c>
      <c r="C132" s="40" t="n">
        <f aca="false">TSPT_COT!AS121</f>
        <v>0</v>
      </c>
      <c r="E132" s="53" t="n">
        <f aca="false">TSPT_COT!AU121</f>
        <v>0</v>
      </c>
      <c r="G132" s="42" t="n">
        <f aca="false">IF(I132=0,0,I132/C132)</f>
        <v>0</v>
      </c>
      <c r="I132" s="65" t="n">
        <f aca="false">TSPT_COT!AY121</f>
        <v>0</v>
      </c>
      <c r="K132" s="65" t="n">
        <f aca="false">TSPT_COT!BA121</f>
        <v>0</v>
      </c>
      <c r="M132" s="65" t="n">
        <f aca="false">TSPT_COT!BC121</f>
        <v>0</v>
      </c>
      <c r="O132" s="54" t="n">
        <f aca="false">TSPT_COT!BE121</f>
        <v>0</v>
      </c>
      <c r="Q132" s="41" t="n">
        <f aca="false">+C132+BV132</f>
        <v>0</v>
      </c>
      <c r="S132" s="32" t="n">
        <f aca="false">ROUND(Q132/SLS_COS!$AZ$3,0)</f>
        <v>0</v>
      </c>
      <c r="U132" s="42" t="n">
        <f aca="false">IF(W132=0,0,W132/Q132)</f>
        <v>0</v>
      </c>
      <c r="W132" s="5" t="n">
        <f aca="false">+I132+CB132</f>
        <v>0</v>
      </c>
      <c r="Y132" s="5" t="n">
        <f aca="false">+K132+CD132</f>
        <v>0</v>
      </c>
      <c r="AA132" s="5" t="n">
        <f aca="false">+M132+CF132</f>
        <v>0</v>
      </c>
      <c r="AC132" s="6" t="n">
        <f aca="false">ROUND(AA132/1000,0)</f>
        <v>0</v>
      </c>
      <c r="AE132" s="32"/>
      <c r="AF132" s="32"/>
      <c r="AG132" s="32"/>
      <c r="AH132" s="32"/>
      <c r="AU132" s="29"/>
      <c r="AW132" s="30"/>
      <c r="AY132" s="30"/>
      <c r="BM132" s="31"/>
      <c r="BO132" s="13"/>
      <c r="BS132" s="13"/>
      <c r="BU132" s="24" t="s">
        <v>39</v>
      </c>
      <c r="BV132" s="0" t="n">
        <v>0</v>
      </c>
      <c r="BW132" s="32"/>
      <c r="BX132" s="0" t="n">
        <v>0</v>
      </c>
      <c r="BY132" s="32"/>
      <c r="BZ132" s="0" t="n">
        <v>0</v>
      </c>
      <c r="CA132" s="32"/>
      <c r="CB132" s="0" t="n">
        <v>0</v>
      </c>
      <c r="CC132" s="34"/>
      <c r="CD132" s="0" t="n">
        <v>0</v>
      </c>
      <c r="CE132" s="34"/>
      <c r="CF132" s="0" t="n">
        <v>0</v>
      </c>
      <c r="CG132" s="2"/>
      <c r="CH132" s="0" t="n">
        <v>0</v>
      </c>
    </row>
    <row r="133" customFormat="false" ht="12.75" hidden="false" customHeight="false" outlineLevel="0" collapsed="false">
      <c r="A133" s="24" t="str">
        <f aca="false">+TSPT_COT!A122</f>
        <v>   FT-East of Thoreau</v>
      </c>
      <c r="C133" s="40" t="n">
        <f aca="false">TSPT_COT!AS122</f>
        <v>0</v>
      </c>
      <c r="E133" s="53" t="n">
        <f aca="false">TSPT_COT!AU122</f>
        <v>0</v>
      </c>
      <c r="G133" s="42" t="n">
        <f aca="false">IF(I133=0,0,I133/C133)</f>
        <v>0</v>
      </c>
      <c r="I133" s="65" t="n">
        <f aca="false">TSPT_COT!AY122</f>
        <v>0</v>
      </c>
      <c r="K133" s="65" t="n">
        <f aca="false">TSPT_COT!BA122</f>
        <v>0</v>
      </c>
      <c r="M133" s="65" t="n">
        <f aca="false">TSPT_COT!BC122</f>
        <v>0</v>
      </c>
      <c r="O133" s="54" t="n">
        <f aca="false">TSPT_COT!BE122</f>
        <v>0</v>
      </c>
      <c r="Q133" s="41" t="n">
        <f aca="false">+C133+BV133</f>
        <v>1201</v>
      </c>
      <c r="S133" s="32" t="n">
        <f aca="false">ROUND(Q133/SLS_COS!$AZ$3,0)</f>
        <v>3</v>
      </c>
      <c r="U133" s="42" t="n">
        <f aca="false">IF(W133=0,0,W133/Q133)</f>
        <v>0.132797668609492</v>
      </c>
      <c r="W133" s="5" t="n">
        <f aca="false">+I133+CB133</f>
        <v>159.49</v>
      </c>
      <c r="Y133" s="5" t="n">
        <f aca="false">+K133+CD133</f>
        <v>21.86</v>
      </c>
      <c r="AA133" s="5" t="n">
        <f aca="false">+M133+CF133</f>
        <v>181.35</v>
      </c>
      <c r="AC133" s="6" t="n">
        <f aca="false">ROUND(AA133/1000,0)</f>
        <v>0</v>
      </c>
      <c r="AE133" s="32"/>
      <c r="AF133" s="32"/>
      <c r="AG133" s="32"/>
      <c r="AH133" s="32"/>
      <c r="AU133" s="29"/>
      <c r="AW133" s="30"/>
      <c r="AY133" s="30"/>
      <c r="BM133" s="31"/>
      <c r="BO133" s="13"/>
      <c r="BS133" s="13"/>
      <c r="BU133" s="24" t="s">
        <v>40</v>
      </c>
      <c r="BV133" s="0" t="n">
        <v>1201</v>
      </c>
      <c r="BW133" s="32"/>
      <c r="BX133" s="0" t="n">
        <v>4</v>
      </c>
      <c r="BY133" s="32"/>
      <c r="BZ133" s="0" t="n">
        <v>0.132797668609492</v>
      </c>
      <c r="CA133" s="32"/>
      <c r="CB133" s="0" t="n">
        <v>159.49</v>
      </c>
      <c r="CC133" s="34"/>
      <c r="CD133" s="0" t="n">
        <v>21.86</v>
      </c>
      <c r="CE133" s="34"/>
      <c r="CF133" s="0" t="n">
        <v>181.35</v>
      </c>
      <c r="CG133" s="2"/>
      <c r="CH133" s="0" t="n">
        <v>0</v>
      </c>
    </row>
    <row r="134" customFormat="false" ht="12.75" hidden="false" customHeight="false" outlineLevel="0" collapsed="false">
      <c r="A134" s="24" t="str">
        <f aca="false">+TSPT_COT!A123</f>
        <v>   LFT-East of Thoreau</v>
      </c>
      <c r="C134" s="40" t="n">
        <f aca="false">TSPT_COT!AS123</f>
        <v>0</v>
      </c>
      <c r="E134" s="53" t="n">
        <f aca="false">TSPT_COT!AU123</f>
        <v>0</v>
      </c>
      <c r="G134" s="42" t="n">
        <f aca="false">IF(I134=0,0,I134/C134)</f>
        <v>0</v>
      </c>
      <c r="I134" s="65" t="n">
        <f aca="false">TSPT_COT!AY123</f>
        <v>0</v>
      </c>
      <c r="K134" s="65" t="n">
        <f aca="false">TSPT_COT!BA123</f>
        <v>0</v>
      </c>
      <c r="M134" s="65" t="n">
        <f aca="false">TSPT_COT!BC123</f>
        <v>0</v>
      </c>
      <c r="O134" s="54" t="n">
        <f aca="false">TSPT_COT!BE123</f>
        <v>0</v>
      </c>
      <c r="Q134" s="41" t="n">
        <f aca="false">+C134+BV134</f>
        <v>0</v>
      </c>
      <c r="S134" s="32" t="n">
        <f aca="false">ROUND(Q134/SLS_COS!$AZ$3,0)</f>
        <v>0</v>
      </c>
      <c r="U134" s="42" t="n">
        <f aca="false">IF(W134=0,0,W134/Q134)</f>
        <v>0</v>
      </c>
      <c r="W134" s="5" t="n">
        <f aca="false">+I134+CB134</f>
        <v>0</v>
      </c>
      <c r="Y134" s="5" t="n">
        <f aca="false">+K134+CD134</f>
        <v>0</v>
      </c>
      <c r="AA134" s="5" t="n">
        <f aca="false">+M134+CF134</f>
        <v>0</v>
      </c>
      <c r="AC134" s="6" t="n">
        <f aca="false">ROUND(AA134/1000,0)</f>
        <v>0</v>
      </c>
      <c r="AE134" s="32"/>
      <c r="AF134" s="32"/>
      <c r="AG134" s="32"/>
      <c r="AH134" s="32"/>
      <c r="AU134" s="29"/>
      <c r="AW134" s="30"/>
      <c r="AY134" s="30"/>
      <c r="BM134" s="31"/>
      <c r="BO134" s="13"/>
      <c r="BS134" s="13"/>
      <c r="BU134" s="24"/>
      <c r="BV134" s="0" t="n">
        <v>0</v>
      </c>
      <c r="BW134" s="32"/>
      <c r="BX134" s="0" t="n">
        <v>0</v>
      </c>
      <c r="BY134" s="32"/>
      <c r="BZ134" s="0" t="n">
        <v>0</v>
      </c>
      <c r="CA134" s="32"/>
      <c r="CB134" s="0" t="n">
        <v>0</v>
      </c>
      <c r="CC134" s="34"/>
      <c r="CD134" s="0" t="n">
        <v>0</v>
      </c>
      <c r="CE134" s="34"/>
      <c r="CF134" s="0" t="n">
        <v>0</v>
      </c>
      <c r="CG134" s="2"/>
      <c r="CH134" s="0" t="n">
        <v>0</v>
      </c>
    </row>
    <row r="135" customFormat="false" ht="12.75" hidden="false" customHeight="false" outlineLevel="0" collapsed="false">
      <c r="A135" s="24" t="str">
        <f aca="false">+TSPT_COT!A124</f>
        <v>   FTR-East of Thoreau</v>
      </c>
      <c r="B135" s="69"/>
      <c r="C135" s="40" t="n">
        <f aca="false">TSPT_COT!AS124</f>
        <v>0</v>
      </c>
      <c r="E135" s="53" t="n">
        <f aca="false">TSPT_COT!AU124</f>
        <v>0</v>
      </c>
      <c r="G135" s="42" t="n">
        <f aca="false">IF(I135=0,0,I135/C135)</f>
        <v>0</v>
      </c>
      <c r="I135" s="65" t="n">
        <f aca="false">TSPT_COT!AY124</f>
        <v>0</v>
      </c>
      <c r="K135" s="65" t="n">
        <f aca="false">TSPT_COT!BA124</f>
        <v>0</v>
      </c>
      <c r="M135" s="65" t="n">
        <f aca="false">TSPT_COT!BC124</f>
        <v>0</v>
      </c>
      <c r="O135" s="54" t="n">
        <f aca="false">TSPT_COT!BE124</f>
        <v>0</v>
      </c>
      <c r="Q135" s="41" t="n">
        <f aca="false">+C135+BV135</f>
        <v>0</v>
      </c>
      <c r="S135" s="32" t="n">
        <f aca="false">ROUND(Q135/SLS_COS!$AZ$3,0)</f>
        <v>0</v>
      </c>
      <c r="U135" s="42" t="n">
        <f aca="false">IF(W135=0,0,W135/Q135)</f>
        <v>0</v>
      </c>
      <c r="W135" s="5" t="n">
        <f aca="false">+I135+CB135</f>
        <v>0</v>
      </c>
      <c r="Y135" s="5" t="n">
        <f aca="false">+K135+CD135</f>
        <v>0</v>
      </c>
      <c r="AA135" s="5" t="n">
        <f aca="false">+M135+CF135</f>
        <v>0</v>
      </c>
      <c r="AC135" s="6" t="n">
        <f aca="false">ROUND(AA135/1000,0)</f>
        <v>0</v>
      </c>
      <c r="AE135" s="32"/>
      <c r="AF135" s="32"/>
      <c r="AG135" s="32"/>
      <c r="AH135" s="32"/>
      <c r="AU135" s="29"/>
      <c r="AV135" s="69"/>
      <c r="AW135" s="78"/>
      <c r="AX135" s="69"/>
      <c r="AY135" s="78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79"/>
      <c r="BN135" s="69"/>
      <c r="BO135" s="64"/>
      <c r="BP135" s="69"/>
      <c r="BQ135" s="69"/>
      <c r="BR135" s="69"/>
      <c r="BS135" s="64"/>
      <c r="BT135" s="69"/>
      <c r="BU135" s="64" t="s">
        <v>28</v>
      </c>
      <c r="BV135" s="0" t="n">
        <v>0</v>
      </c>
      <c r="BW135" s="76"/>
      <c r="BX135" s="0" t="n">
        <v>0</v>
      </c>
      <c r="BY135" s="76"/>
      <c r="BZ135" s="0" t="n">
        <v>0</v>
      </c>
      <c r="CA135" s="76"/>
      <c r="CB135" s="0" t="n">
        <v>0</v>
      </c>
      <c r="CC135" s="80"/>
      <c r="CD135" s="0" t="n">
        <v>0</v>
      </c>
      <c r="CE135" s="80"/>
      <c r="CF135" s="0" t="n">
        <v>0</v>
      </c>
      <c r="CG135" s="81"/>
      <c r="CH135" s="0" t="n">
        <v>0</v>
      </c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</row>
    <row r="136" customFormat="false" ht="12.75" hidden="false" customHeight="false" outlineLevel="0" collapsed="false">
      <c r="A136" s="64" t="str">
        <f aca="false">+TSPT_COT!A125</f>
        <v>     Sub-Total</v>
      </c>
      <c r="C136" s="105" t="n">
        <f aca="false">TSPT_COT!AS125</f>
        <v>0</v>
      </c>
      <c r="D136" s="69"/>
      <c r="E136" s="105" t="n">
        <f aca="false">TSPT_COT!AU125</f>
        <v>0</v>
      </c>
      <c r="F136" s="69"/>
      <c r="G136" s="139" t="n">
        <f aca="false">IF(I136=0,0,I136/C136)</f>
        <v>0</v>
      </c>
      <c r="H136" s="69"/>
      <c r="I136" s="73" t="n">
        <f aca="false">TSPT_COT!AY125</f>
        <v>0</v>
      </c>
      <c r="J136" s="74"/>
      <c r="K136" s="73" t="n">
        <f aca="false">TSPT_COT!BA125</f>
        <v>0</v>
      </c>
      <c r="L136" s="74"/>
      <c r="M136" s="73" t="n">
        <f aca="false">TSPT_COT!BC125</f>
        <v>0</v>
      </c>
      <c r="N136" s="69"/>
      <c r="O136" s="75" t="n">
        <f aca="false">TSPT_COT!BE125</f>
        <v>0</v>
      </c>
      <c r="P136" s="69"/>
      <c r="Q136" s="72" t="n">
        <f aca="false">SUM(Q132:Q135)</f>
        <v>1201</v>
      </c>
      <c r="R136" s="69"/>
      <c r="S136" s="72" t="n">
        <f aca="false">SUM(S132:S135)</f>
        <v>3</v>
      </c>
      <c r="T136" s="69"/>
      <c r="U136" s="139" t="n">
        <f aca="false">IF(W136=0,0,W136/Q136)</f>
        <v>0.132797668609492</v>
      </c>
      <c r="V136" s="69"/>
      <c r="W136" s="73" t="n">
        <f aca="false">SUM(W131:W135)</f>
        <v>159.49</v>
      </c>
      <c r="X136" s="74"/>
      <c r="Y136" s="73" t="n">
        <f aca="false">SUM(Y131:Y135)</f>
        <v>21.86</v>
      </c>
      <c r="Z136" s="74"/>
      <c r="AA136" s="73" t="n">
        <f aca="false">SUM(AA131:AA135)</f>
        <v>181.35</v>
      </c>
      <c r="AB136" s="69"/>
      <c r="AC136" s="75" t="n">
        <f aca="false">SUM(AC131:AC135)</f>
        <v>0</v>
      </c>
      <c r="AD136" s="69"/>
      <c r="AE136" s="76"/>
      <c r="AF136" s="76"/>
      <c r="AG136" s="76"/>
      <c r="AH136" s="76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77"/>
      <c r="AW136" s="30"/>
      <c r="AY136" s="30"/>
      <c r="BM136" s="31"/>
      <c r="BO136" s="13"/>
      <c r="BS136" s="13"/>
      <c r="BU136" s="24"/>
      <c r="BV136" s="0" t="n">
        <v>1201</v>
      </c>
      <c r="BW136" s="32"/>
      <c r="BX136" s="0" t="n">
        <v>4</v>
      </c>
      <c r="BY136" s="32"/>
      <c r="BZ136" s="0" t="n">
        <v>0.132797668609492</v>
      </c>
      <c r="CA136" s="32"/>
      <c r="CB136" s="0" t="n">
        <v>159.49</v>
      </c>
      <c r="CC136" s="34"/>
      <c r="CD136" s="0" t="n">
        <v>21.86</v>
      </c>
      <c r="CE136" s="34"/>
      <c r="CF136" s="0" t="n">
        <v>181.35</v>
      </c>
      <c r="CG136" s="2"/>
      <c r="CH136" s="0" t="n">
        <v>0</v>
      </c>
    </row>
    <row r="137" customFormat="false" ht="12.75" hidden="false" customHeight="false" outlineLevel="0" collapsed="false">
      <c r="A137" s="24"/>
      <c r="B137" s="69"/>
      <c r="C137" s="99"/>
      <c r="E137" s="66"/>
      <c r="G137" s="114"/>
      <c r="I137" s="117"/>
      <c r="K137" s="117"/>
      <c r="M137" s="117"/>
      <c r="O137" s="68"/>
      <c r="Q137" s="115"/>
      <c r="S137" s="116"/>
      <c r="U137" s="114"/>
      <c r="W137" s="117"/>
      <c r="Y137" s="117"/>
      <c r="AA137" s="117"/>
      <c r="AC137" s="118"/>
      <c r="AE137" s="32"/>
      <c r="AF137" s="32"/>
      <c r="AG137" s="32"/>
      <c r="AH137" s="32"/>
      <c r="AU137" s="29"/>
      <c r="AV137" s="69"/>
      <c r="AW137" s="78"/>
      <c r="AX137" s="69"/>
      <c r="AY137" s="78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79"/>
      <c r="BN137" s="69"/>
      <c r="BO137" s="64"/>
      <c r="BP137" s="69"/>
      <c r="BQ137" s="69"/>
      <c r="BR137" s="69"/>
      <c r="BS137" s="64"/>
      <c r="BT137" s="69"/>
      <c r="BU137" s="64" t="s">
        <v>62</v>
      </c>
      <c r="BW137" s="76"/>
      <c r="BY137" s="76"/>
      <c r="CA137" s="76"/>
      <c r="CC137" s="80"/>
      <c r="CE137" s="80"/>
      <c r="CF137" s="0"/>
      <c r="CG137" s="81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</row>
    <row r="138" customFormat="false" ht="12.75" hidden="false" customHeight="false" outlineLevel="0" collapsed="false">
      <c r="A138" s="64" t="str">
        <f aca="false">+TSPT_COT!A127</f>
        <v>     Total San Juan</v>
      </c>
      <c r="B138" s="69"/>
      <c r="C138" s="140" t="n">
        <f aca="false">+C136+C129</f>
        <v>0</v>
      </c>
      <c r="D138" s="69"/>
      <c r="E138" s="140" t="n">
        <f aca="false">+E136+E129</f>
        <v>0</v>
      </c>
      <c r="F138" s="69"/>
      <c r="G138" s="141" t="e">
        <f aca="false">IF(I138=0,0,I138/C138)</f>
        <v>#DIV/0!</v>
      </c>
      <c r="H138" s="69"/>
      <c r="I138" s="74" t="n">
        <f aca="false">+I136+I129</f>
        <v>102.65</v>
      </c>
      <c r="J138" s="74"/>
      <c r="K138" s="74" t="n">
        <f aca="false">+K136+K129</f>
        <v>10.13</v>
      </c>
      <c r="L138" s="74"/>
      <c r="M138" s="74" t="n">
        <f aca="false">+M136+M129</f>
        <v>112.78</v>
      </c>
      <c r="N138" s="69"/>
      <c r="O138" s="104" t="n">
        <f aca="false">+O136+O129</f>
        <v>0</v>
      </c>
      <c r="P138" s="69"/>
      <c r="Q138" s="103" t="n">
        <f aca="false">+Q136+Q129</f>
        <v>11054</v>
      </c>
      <c r="R138" s="69"/>
      <c r="S138" s="103" t="n">
        <f aca="false">+S136+S129</f>
        <v>332</v>
      </c>
      <c r="T138" s="69"/>
      <c r="U138" s="142" t="n">
        <f aca="false">IF(W138=0,0,W138/Q138)</f>
        <v>0.0704559435498381</v>
      </c>
      <c r="V138" s="69"/>
      <c r="W138" s="74" t="n">
        <f aca="false">+W136+W129</f>
        <v>778.81999999991</v>
      </c>
      <c r="X138" s="74"/>
      <c r="Y138" s="74" t="n">
        <f aca="false">+Y136+Y129</f>
        <v>108.63</v>
      </c>
      <c r="Z138" s="74"/>
      <c r="AA138" s="74" t="n">
        <f aca="false">+AA136+AA129</f>
        <v>887.44999999991</v>
      </c>
      <c r="AB138" s="69"/>
      <c r="AC138" s="104" t="n">
        <f aca="false">+AC136+AC129</f>
        <v>0</v>
      </c>
      <c r="AD138" s="69"/>
      <c r="AE138" s="76"/>
      <c r="AF138" s="76"/>
      <c r="AG138" s="76"/>
      <c r="AH138" s="76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77"/>
      <c r="AV138" s="69"/>
      <c r="AW138" s="78"/>
      <c r="AX138" s="69"/>
      <c r="AY138" s="78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79"/>
      <c r="BN138" s="69"/>
      <c r="BO138" s="64"/>
      <c r="BP138" s="69"/>
      <c r="BQ138" s="69"/>
      <c r="BR138" s="69"/>
      <c r="BS138" s="64"/>
      <c r="BT138" s="69"/>
      <c r="BU138" s="64"/>
      <c r="BV138" s="85" t="n">
        <v>11054</v>
      </c>
      <c r="BW138" s="76"/>
      <c r="BX138" s="85" t="n">
        <v>333</v>
      </c>
      <c r="BY138" s="76"/>
      <c r="BZ138" s="85" t="n">
        <v>0.0611697123213235</v>
      </c>
      <c r="CA138" s="76"/>
      <c r="CB138" s="85" t="n">
        <v>676.16999999991</v>
      </c>
      <c r="CC138" s="80"/>
      <c r="CD138" s="85" t="n">
        <v>98.5</v>
      </c>
      <c r="CE138" s="80"/>
      <c r="CF138" s="85" t="n">
        <v>774.66999999991</v>
      </c>
      <c r="CG138" s="81"/>
      <c r="CH138" s="85" t="n">
        <v>0</v>
      </c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</row>
    <row r="139" customFormat="false" ht="12.75" hidden="false" customHeight="false" outlineLevel="0" collapsed="false">
      <c r="A139" s="64"/>
      <c r="C139" s="40"/>
      <c r="E139" s="53"/>
      <c r="G139" s="42"/>
      <c r="O139" s="54"/>
      <c r="Q139" s="41"/>
      <c r="S139" s="32"/>
      <c r="U139" s="42"/>
      <c r="AE139" s="32"/>
      <c r="AF139" s="32"/>
      <c r="AG139" s="32"/>
      <c r="AH139" s="32"/>
      <c r="AU139" s="29"/>
      <c r="AW139" s="30"/>
      <c r="AY139" s="30"/>
      <c r="BM139" s="31"/>
      <c r="BO139" s="13"/>
      <c r="BS139" s="13"/>
      <c r="BU139" s="24" t="s">
        <v>63</v>
      </c>
      <c r="BW139" s="32"/>
      <c r="BY139" s="32"/>
      <c r="CA139" s="32"/>
      <c r="CC139" s="34"/>
      <c r="CE139" s="34"/>
      <c r="CF139" s="0"/>
      <c r="CG139" s="2"/>
    </row>
    <row r="140" customFormat="false" ht="12.75" hidden="false" customHeight="false" outlineLevel="0" collapsed="false">
      <c r="A140" s="64" t="str">
        <f aca="false">+TSPT_COT!A129</f>
        <v>Thoreau</v>
      </c>
      <c r="AW140" s="30"/>
      <c r="AY140" s="30"/>
      <c r="BM140" s="31"/>
      <c r="BO140" s="13"/>
      <c r="BS140" s="13"/>
      <c r="BU140" s="24" t="s">
        <v>24</v>
      </c>
      <c r="BW140" s="32"/>
      <c r="BY140" s="32"/>
      <c r="CA140" s="32"/>
      <c r="CC140" s="34"/>
      <c r="CE140" s="34"/>
      <c r="CF140" s="0"/>
      <c r="CG140" s="2"/>
    </row>
    <row r="141" customFormat="false" ht="12.75" hidden="false" customHeight="false" outlineLevel="0" collapsed="false">
      <c r="A141" s="24" t="str">
        <f aca="false">+TSPT_COT!A130</f>
        <v>   Demand</v>
      </c>
      <c r="C141" s="40" t="n">
        <f aca="false">TSPT_COT!AS130</f>
        <v>14415000</v>
      </c>
      <c r="E141" s="53" t="n">
        <f aca="false">TSPT_COT!AU130</f>
        <v>465000</v>
      </c>
      <c r="G141" s="143" t="n">
        <f aca="false">IF(I141=0,0,I141/C141)</f>
        <v>0.1074</v>
      </c>
      <c r="I141" s="65" t="n">
        <f aca="false">TSPT_COT!AY130</f>
        <v>1548171</v>
      </c>
      <c r="K141" s="65" t="n">
        <f aca="false">TSPT_COT!BA130</f>
        <v>0</v>
      </c>
      <c r="M141" s="65" t="n">
        <f aca="false">TSPT_COT!BC130</f>
        <v>1548171</v>
      </c>
      <c r="O141" s="54" t="n">
        <f aca="false">TSPT_COT!BE130</f>
        <v>1548</v>
      </c>
      <c r="Q141" s="41" t="n">
        <f aca="false">+C141+BV141</f>
        <v>173459874</v>
      </c>
      <c r="S141" s="32" t="n">
        <f aca="false">ROUND(Q141/SLS_COS!$AZ$3,0)</f>
        <v>475233</v>
      </c>
      <c r="U141" s="143" t="n">
        <f aca="false">IF(W141=0,0,W141/Q141)</f>
        <v>0.103573866541607</v>
      </c>
      <c r="W141" s="65" t="n">
        <f aca="false">+I141+CB141</f>
        <v>17965909.84</v>
      </c>
      <c r="Y141" s="65" t="n">
        <f aca="false">+K141+CD141</f>
        <v>-54870</v>
      </c>
      <c r="AA141" s="65" t="n">
        <f aca="false">+M141+CF141</f>
        <v>17911039.84</v>
      </c>
      <c r="AC141" s="6" t="n">
        <f aca="false">ROUND(AA141/1000,0)</f>
        <v>17911</v>
      </c>
      <c r="AE141" s="32"/>
      <c r="AF141" s="32"/>
      <c r="AG141" s="32"/>
      <c r="AH141" s="32"/>
      <c r="AU141" s="29"/>
      <c r="AW141" s="30"/>
      <c r="AY141" s="30"/>
      <c r="BM141" s="31"/>
      <c r="BO141" s="13"/>
      <c r="BS141" s="13"/>
      <c r="BU141" s="24" t="s">
        <v>25</v>
      </c>
      <c r="BV141" s="0" t="n">
        <v>159044874</v>
      </c>
      <c r="BW141" s="32"/>
      <c r="BX141" s="0" t="n">
        <v>476182</v>
      </c>
      <c r="BY141" s="32"/>
      <c r="BZ141" s="0" t="n">
        <v>0.103227085709157</v>
      </c>
      <c r="CA141" s="32"/>
      <c r="CB141" s="0" t="n">
        <v>16417738.84</v>
      </c>
      <c r="CC141" s="34"/>
      <c r="CD141" s="0" t="n">
        <v>-54870</v>
      </c>
      <c r="CE141" s="34"/>
      <c r="CF141" s="0" t="n">
        <v>16362868.84</v>
      </c>
      <c r="CG141" s="2"/>
      <c r="CH141" s="0" t="n">
        <v>14865</v>
      </c>
    </row>
    <row r="142" customFormat="false" ht="12.75" hidden="false" customHeight="false" outlineLevel="0" collapsed="false">
      <c r="A142" s="24" t="str">
        <f aca="false">+TSPT_COT!A131</f>
        <v>   FT-San Juan</v>
      </c>
      <c r="C142" s="40" t="n">
        <f aca="false">TSPT_COT!AS131</f>
        <v>14517867</v>
      </c>
      <c r="E142" s="53" t="n">
        <f aca="false">TSPT_COT!AU131</f>
        <v>468318</v>
      </c>
      <c r="G142" s="143" t="n">
        <f aca="false">IF(I142=0,0,I142/C142)</f>
        <v>0.0010999990563352</v>
      </c>
      <c r="I142" s="65" t="n">
        <f aca="false">TSPT_COT!AY131</f>
        <v>15969.64</v>
      </c>
      <c r="K142" s="65" t="n">
        <f aca="false">TSPT_COT!BA131</f>
        <v>0</v>
      </c>
      <c r="M142" s="65" t="n">
        <f aca="false">TSPT_COT!BC131</f>
        <v>15969.64</v>
      </c>
      <c r="O142" s="54" t="n">
        <f aca="false">TSPT_COT!BE131</f>
        <v>16</v>
      </c>
      <c r="Q142" s="41" t="n">
        <f aca="false">+C142+BV142</f>
        <v>133938366</v>
      </c>
      <c r="S142" s="32" t="n">
        <f aca="false">ROUND(Q142/SLS_COS!$AZ$3,0)</f>
        <v>366954</v>
      </c>
      <c r="U142" s="143" t="n">
        <f aca="false">IF(W142=0,0,W142/Q142)</f>
        <v>0.0011545210279779</v>
      </c>
      <c r="W142" s="65" t="n">
        <f aca="false">+I142+CB142</f>
        <v>154634.66</v>
      </c>
      <c r="Y142" s="65" t="n">
        <f aca="false">+K142+CD142</f>
        <v>-13199.04</v>
      </c>
      <c r="AA142" s="65" t="n">
        <f aca="false">+M142+CF142</f>
        <v>141435.62</v>
      </c>
      <c r="AC142" s="6" t="n">
        <f aca="false">ROUND(AA142/1000,0)</f>
        <v>141</v>
      </c>
      <c r="AE142" s="32"/>
      <c r="AF142" s="32"/>
      <c r="AG142" s="32"/>
      <c r="AH142" s="32"/>
      <c r="AU142" s="29"/>
      <c r="AW142" s="30"/>
      <c r="AY142" s="30"/>
      <c r="BM142" s="31"/>
      <c r="BO142" s="13"/>
      <c r="BS142" s="13"/>
      <c r="BU142" s="24" t="s">
        <v>26</v>
      </c>
      <c r="BV142" s="0" t="n">
        <v>119420499</v>
      </c>
      <c r="BW142" s="32"/>
      <c r="BX142" s="0" t="n">
        <v>357546</v>
      </c>
      <c r="BY142" s="32"/>
      <c r="BZ142" s="0" t="n">
        <v>0.00116114922614751</v>
      </c>
      <c r="CA142" s="32"/>
      <c r="CB142" s="0" t="n">
        <v>138665.02</v>
      </c>
      <c r="CC142" s="34"/>
      <c r="CD142" s="0" t="n">
        <v>-13199.04</v>
      </c>
      <c r="CE142" s="34"/>
      <c r="CF142" s="0" t="n">
        <v>125465.98</v>
      </c>
      <c r="CG142" s="2"/>
      <c r="CH142" s="0" t="n">
        <v>111</v>
      </c>
    </row>
    <row r="143" customFormat="false" ht="12.75" hidden="false" customHeight="false" outlineLevel="0" collapsed="false">
      <c r="A143" s="24" t="str">
        <f aca="false">+TSPT_COT!A132</f>
        <v>   FR-San Juan</v>
      </c>
      <c r="C143" s="40" t="n">
        <f aca="false">TSPT_COT!AS132</f>
        <v>0</v>
      </c>
      <c r="E143" s="53" t="n">
        <f aca="false">TSPT_COT!AU132</f>
        <v>0</v>
      </c>
      <c r="G143" s="143" t="n">
        <f aca="false">IF(I143=0,0,I143/C143)</f>
        <v>0</v>
      </c>
      <c r="I143" s="65" t="n">
        <f aca="false">TSPT_COT!AY132</f>
        <v>0</v>
      </c>
      <c r="K143" s="65" t="n">
        <f aca="false">TSPT_COT!BA132</f>
        <v>0</v>
      </c>
      <c r="M143" s="65" t="n">
        <f aca="false">TSPT_COT!BC132</f>
        <v>0</v>
      </c>
      <c r="O143" s="54" t="n">
        <f aca="false">TSPT_COT!BE132</f>
        <v>0</v>
      </c>
      <c r="Q143" s="41" t="n">
        <f aca="false">+C143+BV143</f>
        <v>29452259</v>
      </c>
      <c r="S143" s="32" t="n">
        <f aca="false">ROUND(Q143/SLS_COS!$AZ$3,0)</f>
        <v>80691</v>
      </c>
      <c r="U143" s="143" t="n">
        <f aca="false">IF(W143=0,0,W143/Q143)</f>
        <v>0.00109999983362906</v>
      </c>
      <c r="W143" s="65" t="n">
        <f aca="false">+I143+CB143</f>
        <v>32397.48</v>
      </c>
      <c r="Y143" s="65" t="n">
        <f aca="false">+K143+CD143</f>
        <v>0</v>
      </c>
      <c r="AA143" s="65" t="n">
        <f aca="false">+M143+CF143</f>
        <v>32397.48</v>
      </c>
      <c r="AC143" s="6" t="n">
        <f aca="false">ROUND(AA143/1000,0)</f>
        <v>32</v>
      </c>
      <c r="AE143" s="32"/>
      <c r="AF143" s="32"/>
      <c r="AG143" s="32"/>
      <c r="AH143" s="32"/>
      <c r="AU143" s="29"/>
      <c r="AW143" s="30"/>
      <c r="AY143" s="30"/>
      <c r="BM143" s="31"/>
      <c r="BO143" s="13"/>
      <c r="BS143" s="13"/>
      <c r="BU143" s="24" t="s">
        <v>27</v>
      </c>
      <c r="BV143" s="0" t="n">
        <v>29452259</v>
      </c>
      <c r="BW143" s="32"/>
      <c r="BX143" s="0" t="n">
        <v>88180</v>
      </c>
      <c r="BY143" s="32"/>
      <c r="BZ143" s="0" t="n">
        <v>0.00109999983362906</v>
      </c>
      <c r="CA143" s="32"/>
      <c r="CB143" s="0" t="n">
        <v>32397.48</v>
      </c>
      <c r="CC143" s="34"/>
      <c r="CD143" s="0" t="n">
        <v>0</v>
      </c>
      <c r="CE143" s="34"/>
      <c r="CF143" s="0" t="n">
        <v>32397.48</v>
      </c>
      <c r="CG143" s="2"/>
      <c r="CH143" s="0" t="n">
        <v>32</v>
      </c>
    </row>
    <row r="144" customFormat="false" ht="12.75" hidden="false" customHeight="false" outlineLevel="0" collapsed="false">
      <c r="A144" s="24" t="str">
        <f aca="false">+TSPT_COT!A133</f>
        <v>   LFT-San Juan</v>
      </c>
      <c r="C144" s="40" t="n">
        <f aca="false">TSPT_COT!AS133</f>
        <v>0</v>
      </c>
      <c r="E144" s="53" t="n">
        <f aca="false">TSPT_COT!AU133</f>
        <v>0</v>
      </c>
      <c r="G144" s="143" t="n">
        <f aca="false">IF(I144=0,0,I144/C144)</f>
        <v>0</v>
      </c>
      <c r="I144" s="65" t="n">
        <f aca="false">TSPT_COT!AY133</f>
        <v>0</v>
      </c>
      <c r="K144" s="65" t="n">
        <f aca="false">TSPT_COT!BA133</f>
        <v>0</v>
      </c>
      <c r="M144" s="65" t="n">
        <f aca="false">TSPT_COT!BC133</f>
        <v>0</v>
      </c>
      <c r="O144" s="54" t="n">
        <f aca="false">TSPT_COT!BE133</f>
        <v>0</v>
      </c>
      <c r="Q144" s="41" t="n">
        <f aca="false">+C144+BV144</f>
        <v>0</v>
      </c>
      <c r="S144" s="32" t="n">
        <f aca="false">ROUND(Q144/SLS_COS!$AZ$3,0)</f>
        <v>0</v>
      </c>
      <c r="U144" s="143" t="n">
        <f aca="false">IF(W144=0,0,W144/Q144)</f>
        <v>0</v>
      </c>
      <c r="W144" s="65" t="n">
        <f aca="false">+I144+CB144</f>
        <v>0</v>
      </c>
      <c r="Y144" s="65" t="n">
        <f aca="false">+K144+CD144</f>
        <v>0</v>
      </c>
      <c r="AA144" s="65" t="n">
        <f aca="false">+M144+CF144</f>
        <v>0</v>
      </c>
      <c r="AC144" s="6" t="n">
        <f aca="false">ROUND(AA144/1000,0)</f>
        <v>0</v>
      </c>
      <c r="AE144" s="32"/>
      <c r="AF144" s="32"/>
      <c r="AG144" s="32"/>
      <c r="AH144" s="32"/>
      <c r="AU144" s="29"/>
      <c r="AW144" s="30"/>
      <c r="AY144" s="30"/>
      <c r="BM144" s="31"/>
      <c r="BO144" s="13"/>
      <c r="BS144" s="13"/>
      <c r="BU144" s="24"/>
      <c r="BV144" s="0" t="n">
        <v>0</v>
      </c>
      <c r="BW144" s="32"/>
      <c r="BX144" s="0" t="n">
        <v>0</v>
      </c>
      <c r="BY144" s="32"/>
      <c r="BZ144" s="0" t="n">
        <v>0</v>
      </c>
      <c r="CA144" s="32"/>
      <c r="CB144" s="0" t="n">
        <v>0</v>
      </c>
      <c r="CC144" s="34"/>
      <c r="CD144" s="0" t="n">
        <v>0</v>
      </c>
      <c r="CE144" s="34"/>
      <c r="CF144" s="0" t="n">
        <v>0</v>
      </c>
      <c r="CG144" s="2"/>
      <c r="CH144" s="0" t="n">
        <v>0</v>
      </c>
    </row>
    <row r="145" customFormat="false" ht="12.75" hidden="false" customHeight="false" outlineLevel="0" collapsed="false">
      <c r="A145" s="24" t="str">
        <f aca="false">+TSPT_COT!A134</f>
        <v>   IT-San Jaun</v>
      </c>
      <c r="B145" s="85"/>
      <c r="C145" s="99" t="n">
        <f aca="false">TSPT_COT!AS134</f>
        <v>0</v>
      </c>
      <c r="E145" s="66" t="n">
        <f aca="false">TSPT_COT!AU134</f>
        <v>0</v>
      </c>
      <c r="G145" s="144" t="n">
        <f aca="false">IF(I145=0,0,I145/C145)</f>
        <v>0</v>
      </c>
      <c r="I145" s="67" t="n">
        <f aca="false">TSPT_COT!AY134</f>
        <v>0</v>
      </c>
      <c r="K145" s="67" t="n">
        <f aca="false">TSPT_COT!BA134</f>
        <v>0</v>
      </c>
      <c r="M145" s="67" t="n">
        <f aca="false">TSPT_COT!BC134</f>
        <v>0</v>
      </c>
      <c r="O145" s="68" t="n">
        <f aca="false">TSPT_COT!BE134</f>
        <v>0</v>
      </c>
      <c r="Q145" s="115" t="n">
        <f aca="false">+C145+BV145</f>
        <v>219164</v>
      </c>
      <c r="S145" s="116" t="n">
        <f aca="false">ROUND(Q145/SLS_COS!$AZ$3,0)</f>
        <v>600</v>
      </c>
      <c r="U145" s="144" t="n">
        <f aca="false">IF(W145=0,0,W145/Q145)</f>
        <v>0.10346685587049</v>
      </c>
      <c r="W145" s="67" t="n">
        <f aca="false">+I145+CB145</f>
        <v>22676.21</v>
      </c>
      <c r="Y145" s="67" t="n">
        <f aca="false">+K145+CD145</f>
        <v>0</v>
      </c>
      <c r="AA145" s="67" t="n">
        <f aca="false">+M145+CF145</f>
        <v>22676.21</v>
      </c>
      <c r="AC145" s="118" t="n">
        <f aca="false">ROUND(AA145/1000,0)</f>
        <v>23</v>
      </c>
      <c r="AE145" s="32"/>
      <c r="AF145" s="32"/>
      <c r="AG145" s="32"/>
      <c r="AH145" s="32"/>
      <c r="AU145" s="29"/>
      <c r="AW145" s="94"/>
      <c r="AX145" s="85"/>
      <c r="AY145" s="94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95"/>
      <c r="BN145" s="85"/>
      <c r="BO145" s="96"/>
      <c r="BP145" s="85"/>
      <c r="BQ145" s="85"/>
      <c r="BR145" s="85"/>
      <c r="BS145" s="96"/>
      <c r="BT145" s="85"/>
      <c r="BU145" s="64" t="s">
        <v>64</v>
      </c>
      <c r="BV145" s="0" t="n">
        <v>219164</v>
      </c>
      <c r="BW145" s="92"/>
      <c r="BX145" s="0" t="n">
        <v>656</v>
      </c>
      <c r="BY145" s="92"/>
      <c r="BZ145" s="0" t="n">
        <v>0.10346685587049</v>
      </c>
      <c r="CA145" s="92"/>
      <c r="CB145" s="0" t="n">
        <v>22676.21</v>
      </c>
      <c r="CC145" s="97"/>
      <c r="CD145" s="0" t="n">
        <v>0</v>
      </c>
      <c r="CE145" s="97"/>
      <c r="CF145" s="0" t="n">
        <v>22676.21</v>
      </c>
      <c r="CG145" s="98"/>
      <c r="CH145" s="0" t="n">
        <v>23</v>
      </c>
    </row>
    <row r="146" customFormat="false" ht="12.75" hidden="false" customHeight="false" outlineLevel="0" collapsed="false">
      <c r="A146" s="64" t="str">
        <f aca="false">+TSPT_COT!A135</f>
        <v>     Total Thoreau</v>
      </c>
      <c r="C146" s="40" t="n">
        <f aca="false">TSPT_COT!AS135</f>
        <v>14517867</v>
      </c>
      <c r="E146" s="53" t="n">
        <f aca="false">TSPT_COT!AU135</f>
        <v>468318</v>
      </c>
      <c r="G146" s="143" t="n">
        <f aca="false">IF(I146=0,0,I146/C146)</f>
        <v>0.107739011522836</v>
      </c>
      <c r="I146" s="65" t="n">
        <f aca="false">TSPT_COT!AY135</f>
        <v>1564140.64</v>
      </c>
      <c r="K146" s="65" t="n">
        <f aca="false">TSPT_COT!BA135</f>
        <v>0</v>
      </c>
      <c r="M146" s="65" t="n">
        <f aca="false">TSPT_COT!BC135</f>
        <v>1564140.64</v>
      </c>
      <c r="O146" s="54" t="n">
        <f aca="false">TSPT_COT!BE135</f>
        <v>1564</v>
      </c>
      <c r="Q146" s="41" t="n">
        <f aca="false">SUM(Q142:Q145)</f>
        <v>163609789</v>
      </c>
      <c r="S146" s="41" t="n">
        <f aca="false">SUM(S142:S145)</f>
        <v>448245</v>
      </c>
      <c r="U146" s="143" t="n">
        <f aca="false">IF(W146=0,0,W146/Q146)</f>
        <v>0.111091263555141</v>
      </c>
      <c r="W146" s="65" t="n">
        <f aca="false">SUM(W141:W145)</f>
        <v>18175618.19</v>
      </c>
      <c r="Y146" s="65" t="n">
        <f aca="false">SUM(Y141:Y145)</f>
        <v>-68069.04</v>
      </c>
      <c r="AA146" s="65" t="n">
        <f aca="false">SUM(AA141:AA145)</f>
        <v>18107549.15</v>
      </c>
      <c r="AC146" s="133" t="n">
        <f aca="false">SUM(AC141:AC145)</f>
        <v>18107</v>
      </c>
      <c r="AE146" s="32"/>
      <c r="AF146" s="32"/>
      <c r="AG146" s="32"/>
      <c r="AH146" s="32"/>
      <c r="AU146" s="29"/>
      <c r="AW146" s="30"/>
      <c r="AY146" s="30"/>
      <c r="BM146" s="31"/>
      <c r="BO146" s="13"/>
      <c r="BS146" s="13"/>
      <c r="BU146" s="24"/>
      <c r="BV146" s="0" t="n">
        <v>149091922</v>
      </c>
      <c r="BW146" s="32"/>
      <c r="BX146" s="0" t="n">
        <v>446382</v>
      </c>
      <c r="BY146" s="32"/>
      <c r="BZ146" s="0" t="n">
        <v>0.111417690020791</v>
      </c>
      <c r="CA146" s="32"/>
      <c r="CB146" s="0" t="n">
        <v>16611477.55</v>
      </c>
      <c r="CC146" s="34"/>
      <c r="CD146" s="0" t="n">
        <v>-68069.04</v>
      </c>
      <c r="CE146" s="34"/>
      <c r="CF146" s="0" t="n">
        <v>16543408.51</v>
      </c>
      <c r="CG146" s="2"/>
      <c r="CH146" s="0" t="n">
        <v>15031</v>
      </c>
    </row>
    <row r="147" customFormat="false" ht="12.75" hidden="false" customHeight="false" outlineLevel="0" collapsed="false">
      <c r="A147" s="24"/>
      <c r="C147" s="40"/>
      <c r="E147" s="53"/>
      <c r="G147" s="42"/>
      <c r="O147" s="54"/>
      <c r="Q147" s="41"/>
      <c r="S147" s="32"/>
      <c r="U147" s="42"/>
      <c r="AE147" s="32"/>
      <c r="AF147" s="32"/>
      <c r="AG147" s="32"/>
      <c r="AH147" s="32"/>
      <c r="AU147" s="29"/>
      <c r="AW147" s="30"/>
      <c r="AY147" s="30"/>
      <c r="BM147" s="31"/>
      <c r="BO147" s="13"/>
      <c r="BS147" s="13"/>
      <c r="BU147" s="24" t="s">
        <v>65</v>
      </c>
      <c r="BW147" s="32"/>
      <c r="BY147" s="32"/>
      <c r="CA147" s="32"/>
      <c r="CC147" s="34"/>
      <c r="CE147" s="34"/>
      <c r="CF147" s="0"/>
      <c r="CG147" s="2"/>
    </row>
    <row r="148" customFormat="false" ht="12.75" hidden="false" customHeight="false" outlineLevel="0" collapsed="false">
      <c r="A148" s="64" t="str">
        <f aca="false">+TSPT_COT!A137</f>
        <v>I/B Link</v>
      </c>
      <c r="AG148" s="32"/>
      <c r="AH148" s="32"/>
      <c r="AU148" s="29"/>
      <c r="AW148" s="30"/>
      <c r="AY148" s="30"/>
      <c r="BM148" s="31"/>
      <c r="BO148" s="13"/>
      <c r="BS148" s="13"/>
      <c r="BU148" s="24" t="s">
        <v>32</v>
      </c>
      <c r="BW148" s="32"/>
      <c r="BY148" s="32"/>
      <c r="CA148" s="32"/>
      <c r="CC148" s="34"/>
      <c r="CE148" s="34"/>
      <c r="CF148" s="0"/>
      <c r="CG148" s="2"/>
    </row>
    <row r="149" customFormat="false" ht="12.75" hidden="false" customHeight="false" outlineLevel="0" collapsed="false">
      <c r="A149" s="24" t="str">
        <f aca="false">+TSPT_COT!A138</f>
        <v>   Demand</v>
      </c>
      <c r="C149" s="40" t="n">
        <f aca="false">+TSPT_COT!AS138</f>
        <v>0</v>
      </c>
      <c r="E149" s="53" t="n">
        <f aca="false">TSPT_COT!AU138</f>
        <v>0</v>
      </c>
      <c r="G149" s="143" t="n">
        <f aca="false">IF(I149=0,0,I149/C149)</f>
        <v>0</v>
      </c>
      <c r="I149" s="145" t="n">
        <f aca="false">+TSPT_COT!AY138</f>
        <v>0</v>
      </c>
      <c r="K149" s="145" t="n">
        <f aca="false">+TSPT_COT!BA138</f>
        <v>0</v>
      </c>
      <c r="M149" s="145" t="n">
        <f aca="false">+TSPT_COT!BC138</f>
        <v>0</v>
      </c>
      <c r="O149" s="6" t="n">
        <f aca="false">+TSPT_COT!BE138</f>
        <v>0</v>
      </c>
      <c r="Q149" s="41" t="n">
        <f aca="false">+C149+BV149</f>
        <v>0</v>
      </c>
      <c r="S149" s="32" t="n">
        <f aca="false">ROUND(Q149/SLS_COS!$AZ$3,0)</f>
        <v>0</v>
      </c>
      <c r="U149" s="143" t="n">
        <f aca="false">IF(W149=0,0,W149/Q149)</f>
        <v>0</v>
      </c>
      <c r="W149" s="129" t="n">
        <f aca="false">+I149+CB149</f>
        <v>0</v>
      </c>
      <c r="Y149" s="145" t="n">
        <f aca="false">+K149+CD149</f>
        <v>0</v>
      </c>
      <c r="AA149" s="129" t="n">
        <f aca="false">+M149+CF149</f>
        <v>0</v>
      </c>
      <c r="AC149" s="6" t="n">
        <f aca="false">+O149+CH149</f>
        <v>0</v>
      </c>
      <c r="AE149" s="32"/>
      <c r="AF149" s="32"/>
      <c r="AG149" s="32"/>
      <c r="AH149" s="32"/>
      <c r="AU149" s="29"/>
      <c r="AW149" s="30"/>
      <c r="AY149" s="30"/>
      <c r="BM149" s="31"/>
      <c r="BO149" s="13"/>
      <c r="BS149" s="13"/>
      <c r="BU149" s="24" t="s">
        <v>66</v>
      </c>
      <c r="BV149" s="0" t="n">
        <v>0</v>
      </c>
      <c r="BW149" s="32"/>
      <c r="BX149" s="0" t="n">
        <v>0</v>
      </c>
      <c r="BY149" s="32"/>
      <c r="BZ149" s="0" t="n">
        <v>0</v>
      </c>
      <c r="CA149" s="32"/>
      <c r="CB149" s="0" t="n">
        <v>0</v>
      </c>
      <c r="CC149" s="34"/>
      <c r="CD149" s="0" t="n">
        <v>0</v>
      </c>
      <c r="CE149" s="34"/>
      <c r="CF149" s="0" t="n">
        <v>0</v>
      </c>
      <c r="CG149" s="2"/>
      <c r="CH149" s="0" t="n">
        <v>0</v>
      </c>
    </row>
    <row r="150" customFormat="false" ht="12.75" hidden="false" customHeight="false" outlineLevel="0" collapsed="false">
      <c r="A150" s="24" t="str">
        <f aca="false">+TSPT_COT!A139</f>
        <v>   IT-San Juan 2</v>
      </c>
      <c r="C150" s="40" t="n">
        <f aca="false">+TSPT_COT!AS139</f>
        <v>0</v>
      </c>
      <c r="E150" s="53" t="n">
        <f aca="false">TSPT_COT!AU139</f>
        <v>0</v>
      </c>
      <c r="G150" s="143" t="n">
        <f aca="false">IF(I150=0,0,I150/C150)</f>
        <v>0</v>
      </c>
      <c r="I150" s="145" t="n">
        <f aca="false">+TSPT_COT!AY139</f>
        <v>0</v>
      </c>
      <c r="K150" s="145" t="n">
        <f aca="false">+TSPT_COT!BA139</f>
        <v>0</v>
      </c>
      <c r="M150" s="145" t="n">
        <f aca="false">+TSPT_COT!BC139</f>
        <v>0</v>
      </c>
      <c r="O150" s="6" t="n">
        <f aca="false">+TSPT_COT!BE139</f>
        <v>0</v>
      </c>
      <c r="Q150" s="41" t="n">
        <f aca="false">+C150+BV150</f>
        <v>0</v>
      </c>
      <c r="S150" s="32" t="n">
        <f aca="false">ROUND(Q150/SLS_COS!$AZ$3,0)</f>
        <v>0</v>
      </c>
      <c r="U150" s="143" t="n">
        <f aca="false">IF(W150=0,0,W150/Q150)</f>
        <v>0</v>
      </c>
      <c r="W150" s="129" t="n">
        <f aca="false">+I150+CB150</f>
        <v>0</v>
      </c>
      <c r="Y150" s="145" t="n">
        <f aca="false">+K150+CD150</f>
        <v>0</v>
      </c>
      <c r="AA150" s="129" t="n">
        <f aca="false">+M150+CF150</f>
        <v>0</v>
      </c>
      <c r="AC150" s="6" t="n">
        <f aca="false">+O150+CH150</f>
        <v>0</v>
      </c>
      <c r="AE150" s="32"/>
      <c r="AF150" s="32"/>
      <c r="AG150" s="32"/>
      <c r="AH150" s="32"/>
      <c r="AU150" s="29"/>
      <c r="AW150" s="30"/>
      <c r="AY150" s="30"/>
      <c r="BM150" s="31"/>
      <c r="BO150" s="13"/>
      <c r="BS150" s="13"/>
      <c r="BU150" s="24" t="s">
        <v>67</v>
      </c>
      <c r="BV150" s="0" t="n">
        <v>0</v>
      </c>
      <c r="BW150" s="32"/>
      <c r="BX150" s="0" t="n">
        <v>0</v>
      </c>
      <c r="BY150" s="32"/>
      <c r="BZ150" s="0" t="n">
        <v>0</v>
      </c>
      <c r="CA150" s="32"/>
      <c r="CB150" s="0" t="n">
        <v>0</v>
      </c>
      <c r="CC150" s="34"/>
      <c r="CD150" s="0" t="n">
        <v>0</v>
      </c>
      <c r="CE150" s="34"/>
      <c r="CF150" s="0" t="n">
        <v>0</v>
      </c>
      <c r="CG150" s="2"/>
      <c r="CH150" s="0" t="n">
        <v>0</v>
      </c>
    </row>
    <row r="151" customFormat="false" ht="12.75" hidden="false" customHeight="false" outlineLevel="0" collapsed="false">
      <c r="A151" s="24" t="str">
        <f aca="false">+TSPT_COT!A140</f>
        <v>   FT-San Juan 2</v>
      </c>
      <c r="C151" s="40" t="n">
        <f aca="false">+TSPT_COT!AS140</f>
        <v>0</v>
      </c>
      <c r="E151" s="53" t="n">
        <f aca="false">TSPT_COT!AU140</f>
        <v>0</v>
      </c>
      <c r="G151" s="143" t="n">
        <f aca="false">IF(I151=0,0,I151/C151)</f>
        <v>0</v>
      </c>
      <c r="I151" s="145" t="n">
        <f aca="false">+TSPT_COT!AY140</f>
        <v>0</v>
      </c>
      <c r="K151" s="145" t="n">
        <f aca="false">+TSPT_COT!BA140</f>
        <v>0</v>
      </c>
      <c r="M151" s="145" t="n">
        <f aca="false">+TSPT_COT!BC140</f>
        <v>0</v>
      </c>
      <c r="O151" s="6" t="n">
        <f aca="false">+TSPT_COT!BE140</f>
        <v>0</v>
      </c>
      <c r="Q151" s="41" t="n">
        <f aca="false">+C151+BV151</f>
        <v>0</v>
      </c>
      <c r="S151" s="32" t="n">
        <f aca="false">ROUND(Q151/SLS_COS!$AZ$3,0)</f>
        <v>0</v>
      </c>
      <c r="U151" s="143" t="n">
        <f aca="false">IF(W151=0,0,W151/Q151)</f>
        <v>0</v>
      </c>
      <c r="W151" s="129" t="n">
        <f aca="false">+I151+CB151</f>
        <v>0</v>
      </c>
      <c r="Y151" s="145" t="n">
        <f aca="false">+K151+CD151</f>
        <v>0</v>
      </c>
      <c r="AA151" s="129" t="n">
        <f aca="false">+M151+CF151</f>
        <v>0</v>
      </c>
      <c r="AC151" s="6" t="n">
        <f aca="false">+O151+CH151</f>
        <v>0</v>
      </c>
      <c r="AE151" s="32"/>
      <c r="AF151" s="32"/>
      <c r="AG151" s="32"/>
      <c r="AH151" s="32"/>
      <c r="AU151" s="29"/>
      <c r="AW151" s="30"/>
      <c r="AY151" s="30"/>
      <c r="BM151" s="31"/>
      <c r="BO151" s="13"/>
      <c r="BS151" s="13"/>
      <c r="BU151" s="24" t="s">
        <v>68</v>
      </c>
      <c r="BV151" s="0" t="n">
        <v>0</v>
      </c>
      <c r="BW151" s="32"/>
      <c r="BX151" s="0" t="n">
        <v>0</v>
      </c>
      <c r="BY151" s="32"/>
      <c r="BZ151" s="0" t="n">
        <v>0</v>
      </c>
      <c r="CA151" s="32"/>
      <c r="CB151" s="0" t="n">
        <v>0</v>
      </c>
      <c r="CC151" s="34"/>
      <c r="CD151" s="0" t="n">
        <v>0</v>
      </c>
      <c r="CE151" s="34"/>
      <c r="CF151" s="0" t="n">
        <v>0</v>
      </c>
      <c r="CG151" s="2"/>
      <c r="CH151" s="0" t="n">
        <v>0</v>
      </c>
    </row>
    <row r="152" customFormat="false" ht="12.75" hidden="false" customHeight="false" outlineLevel="0" collapsed="false">
      <c r="A152" s="24" t="str">
        <f aca="false">+TSPT_COT!A141</f>
        <v>   LFT-San Juan 2</v>
      </c>
      <c r="C152" s="40" t="n">
        <f aca="false">+TSPT_COT!AS141</f>
        <v>0</v>
      </c>
      <c r="E152" s="53" t="n">
        <f aca="false">TSPT_COT!AU141</f>
        <v>0</v>
      </c>
      <c r="G152" s="143" t="n">
        <f aca="false">IF(I152=0,0,I152/C152)</f>
        <v>0</v>
      </c>
      <c r="I152" s="145" t="n">
        <f aca="false">+TSPT_COT!AY141</f>
        <v>0</v>
      </c>
      <c r="K152" s="145" t="n">
        <f aca="false">+TSPT_COT!BA141</f>
        <v>0</v>
      </c>
      <c r="M152" s="145" t="n">
        <f aca="false">+TSPT_COT!BC141</f>
        <v>0</v>
      </c>
      <c r="O152" s="6" t="n">
        <f aca="false">+TSPT_COT!BE141</f>
        <v>0</v>
      </c>
      <c r="Q152" s="41" t="n">
        <f aca="false">+C152+BV152</f>
        <v>0</v>
      </c>
      <c r="S152" s="32" t="n">
        <f aca="false">ROUND(Q152/SLS_COS!$AZ$3,0)</f>
        <v>0</v>
      </c>
      <c r="U152" s="143" t="n">
        <f aca="false">IF(W152=0,0,W152/Q152)</f>
        <v>0</v>
      </c>
      <c r="W152" s="129" t="n">
        <f aca="false">+I152+CB152</f>
        <v>0</v>
      </c>
      <c r="Y152" s="145" t="n">
        <f aca="false">+K152+CD152</f>
        <v>0</v>
      </c>
      <c r="AA152" s="129" t="n">
        <f aca="false">+M152+CF152</f>
        <v>0</v>
      </c>
      <c r="AC152" s="6" t="n">
        <f aca="false">+O152+CH152</f>
        <v>0</v>
      </c>
      <c r="AE152" s="32"/>
      <c r="AF152" s="32"/>
      <c r="AG152" s="32"/>
      <c r="AH152" s="32"/>
      <c r="AU152" s="29"/>
      <c r="AW152" s="30"/>
      <c r="AY152" s="30"/>
      <c r="BM152" s="31"/>
      <c r="BO152" s="13"/>
      <c r="BS152" s="13"/>
      <c r="BU152" s="24"/>
      <c r="BV152" s="0" t="n">
        <v>0</v>
      </c>
      <c r="BW152" s="32"/>
      <c r="BX152" s="0" t="n">
        <v>0</v>
      </c>
      <c r="BY152" s="32"/>
      <c r="BZ152" s="0" t="n">
        <v>0</v>
      </c>
      <c r="CA152" s="32"/>
      <c r="CB152" s="0" t="n">
        <v>0</v>
      </c>
      <c r="CC152" s="34"/>
      <c r="CD152" s="0" t="n">
        <v>0</v>
      </c>
      <c r="CE152" s="34"/>
      <c r="CF152" s="0" t="n">
        <v>0</v>
      </c>
      <c r="CG152" s="2"/>
      <c r="CH152" s="0" t="n">
        <v>0</v>
      </c>
    </row>
    <row r="153" customFormat="false" ht="12.75" hidden="false" customHeight="false" outlineLevel="0" collapsed="false">
      <c r="A153" s="24" t="str">
        <f aca="false">+TSPT_COT!A142</f>
        <v>   FTR-San Jaun 2</v>
      </c>
      <c r="B153" s="85"/>
      <c r="C153" s="40" t="n">
        <f aca="false">+TSPT_COT!AS142</f>
        <v>0</v>
      </c>
      <c r="E153" s="53" t="n">
        <f aca="false">TSPT_COT!AU142</f>
        <v>0</v>
      </c>
      <c r="G153" s="143" t="n">
        <f aca="false">IF(I153=0,0,I153/C153)</f>
        <v>0</v>
      </c>
      <c r="I153" s="145" t="n">
        <f aca="false">+TSPT_COT!AY142</f>
        <v>0</v>
      </c>
      <c r="K153" s="145" t="n">
        <f aca="false">+TSPT_COT!BA142</f>
        <v>0</v>
      </c>
      <c r="M153" s="145" t="n">
        <f aca="false">+TSPT_COT!BC142</f>
        <v>0</v>
      </c>
      <c r="O153" s="6" t="n">
        <f aca="false">+TSPT_COT!BE142</f>
        <v>0</v>
      </c>
      <c r="Q153" s="41" t="n">
        <f aca="false">+C153+BV153</f>
        <v>0</v>
      </c>
      <c r="S153" s="32" t="n">
        <f aca="false">ROUND(Q153/SLS_COS!$AZ$3,0)</f>
        <v>0</v>
      </c>
      <c r="U153" s="143" t="n">
        <f aca="false">IF(W153=0,0,W153/Q153)</f>
        <v>0</v>
      </c>
      <c r="W153" s="129" t="n">
        <f aca="false">+I153+CB153</f>
        <v>0</v>
      </c>
      <c r="Y153" s="145" t="n">
        <f aca="false">+K153+CD153</f>
        <v>0</v>
      </c>
      <c r="AA153" s="129" t="n">
        <f aca="false">+M153+CF153</f>
        <v>0</v>
      </c>
      <c r="AC153" s="6" t="n">
        <f aca="false">+O153+CH153</f>
        <v>0</v>
      </c>
      <c r="AE153" s="32"/>
      <c r="AF153" s="32"/>
      <c r="AG153" s="92"/>
      <c r="AH153" s="92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93"/>
      <c r="AV153" s="85"/>
      <c r="AW153" s="94"/>
      <c r="AX153" s="85"/>
      <c r="AY153" s="94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95"/>
      <c r="BN153" s="85"/>
      <c r="BO153" s="96"/>
      <c r="BP153" s="85"/>
      <c r="BQ153" s="85"/>
      <c r="BR153" s="85"/>
      <c r="BS153" s="96"/>
      <c r="BT153" s="85"/>
      <c r="BU153" s="64" t="s">
        <v>69</v>
      </c>
      <c r="BV153" s="0" t="n">
        <v>0</v>
      </c>
      <c r="BW153" s="92"/>
      <c r="BX153" s="0" t="n">
        <v>0</v>
      </c>
      <c r="BY153" s="92"/>
      <c r="BZ153" s="0" t="n">
        <v>0</v>
      </c>
      <c r="CA153" s="92"/>
      <c r="CB153" s="0" t="n">
        <v>0</v>
      </c>
      <c r="CC153" s="97"/>
      <c r="CD153" s="0" t="n">
        <v>0</v>
      </c>
      <c r="CE153" s="97"/>
      <c r="CF153" s="0" t="n">
        <v>0</v>
      </c>
      <c r="CG153" s="98"/>
      <c r="CH153" s="0" t="n">
        <v>0</v>
      </c>
    </row>
    <row r="154" customFormat="false" ht="12.75" hidden="false" customHeight="false" outlineLevel="0" collapsed="false">
      <c r="A154" s="64" t="str">
        <f aca="false">+TSPT_COT!A143</f>
        <v>     Total I/B Link</v>
      </c>
      <c r="C154" s="86" t="n">
        <f aca="false">+TSPT_COT!AS143</f>
        <v>0</v>
      </c>
      <c r="D154" s="85"/>
      <c r="E154" s="86" t="n">
        <f aca="false">+TSPT_COT!AU143</f>
        <v>0</v>
      </c>
      <c r="F154" s="85"/>
      <c r="G154" s="139" t="n">
        <f aca="false">IF(I154=0,0,I154/C154)</f>
        <v>0</v>
      </c>
      <c r="H154" s="85"/>
      <c r="I154" s="146" t="n">
        <f aca="false">+TSPT_COT!AY143</f>
        <v>0</v>
      </c>
      <c r="J154" s="88"/>
      <c r="K154" s="146" t="n">
        <f aca="false">+TSPT_COT!BA143</f>
        <v>0</v>
      </c>
      <c r="L154" s="88"/>
      <c r="M154" s="146" t="n">
        <f aca="false">+TSPT_COT!BC143</f>
        <v>0</v>
      </c>
      <c r="N154" s="85"/>
      <c r="O154" s="90" t="n">
        <f aca="false">+TSPT_COT!BE143</f>
        <v>0</v>
      </c>
      <c r="P154" s="85"/>
      <c r="Q154" s="91" t="n">
        <f aca="false">SUM(Q150:Q153)</f>
        <v>0</v>
      </c>
      <c r="R154" s="85"/>
      <c r="S154" s="147" t="n">
        <f aca="false">SUM(S150:S153)</f>
        <v>0</v>
      </c>
      <c r="T154" s="85"/>
      <c r="U154" s="139" t="n">
        <f aca="false">IF(W154=0,0,W154/Q154)</f>
        <v>0</v>
      </c>
      <c r="V154" s="85"/>
      <c r="W154" s="87" t="n">
        <f aca="false">SUM(W149:W153)</f>
        <v>0</v>
      </c>
      <c r="X154" s="88"/>
      <c r="Y154" s="87" t="n">
        <f aca="false">SUM(Y149:Y153)</f>
        <v>0</v>
      </c>
      <c r="Z154" s="88"/>
      <c r="AA154" s="87" t="n">
        <f aca="false">SUM(AA149:AA153)</f>
        <v>0</v>
      </c>
      <c r="AB154" s="85"/>
      <c r="AC154" s="90" t="n">
        <f aca="false">SUM(AC149:AC153)</f>
        <v>0</v>
      </c>
      <c r="AD154" s="85"/>
      <c r="AE154" s="92"/>
      <c r="AF154" s="92"/>
      <c r="AG154" s="32"/>
      <c r="AH154" s="32"/>
      <c r="AU154" s="29"/>
      <c r="AW154" s="30"/>
      <c r="AY154" s="30"/>
      <c r="BM154" s="31"/>
      <c r="BO154" s="13"/>
      <c r="BS154" s="13"/>
      <c r="BU154" s="24"/>
      <c r="BV154" s="0" t="n">
        <v>0</v>
      </c>
      <c r="BW154" s="32"/>
      <c r="BX154" s="0" t="n">
        <v>0</v>
      </c>
      <c r="BY154" s="32"/>
      <c r="BZ154" s="0" t="n">
        <v>0</v>
      </c>
      <c r="CA154" s="32"/>
      <c r="CB154" s="0" t="n">
        <v>0</v>
      </c>
      <c r="CC154" s="34"/>
      <c r="CD154" s="0" t="n">
        <v>0</v>
      </c>
      <c r="CE154" s="34"/>
      <c r="CF154" s="0" t="n">
        <v>0</v>
      </c>
      <c r="CG154" s="2"/>
      <c r="CH154" s="0" t="n">
        <v>0</v>
      </c>
    </row>
    <row r="155" customFormat="false" ht="12.75" hidden="false" customHeight="false" outlineLevel="0" collapsed="false">
      <c r="A155" s="24"/>
      <c r="C155" s="40"/>
      <c r="E155" s="53"/>
      <c r="G155" s="42"/>
      <c r="O155" s="54"/>
      <c r="Q155" s="41"/>
      <c r="S155" s="32"/>
      <c r="U155" s="42"/>
      <c r="AE155" s="32"/>
      <c r="AF155" s="32"/>
      <c r="AG155" s="32"/>
      <c r="AH155" s="32"/>
      <c r="AU155" s="29"/>
      <c r="AW155" s="30"/>
      <c r="AY155" s="30"/>
      <c r="BM155" s="31"/>
      <c r="BO155" s="13"/>
      <c r="BS155" s="13"/>
      <c r="BU155" s="24"/>
      <c r="BW155" s="32"/>
      <c r="BY155" s="32"/>
      <c r="CA155" s="32"/>
      <c r="CC155" s="34"/>
      <c r="CE155" s="34"/>
      <c r="CF155" s="0"/>
      <c r="CG155" s="2"/>
    </row>
    <row r="156" customFormat="false" ht="12.75" hidden="false" customHeight="false" outlineLevel="0" collapsed="false">
      <c r="A156" s="24"/>
      <c r="AU156" s="29"/>
      <c r="AW156" s="30"/>
      <c r="AY156" s="30"/>
      <c r="BM156" s="31"/>
      <c r="BO156" s="13"/>
      <c r="BS156" s="13"/>
      <c r="BU156" s="24" t="s">
        <v>70</v>
      </c>
      <c r="BW156" s="32"/>
      <c r="BY156" s="32"/>
      <c r="CA156" s="32"/>
      <c r="CC156" s="34"/>
      <c r="CE156" s="34"/>
      <c r="CF156" s="0"/>
      <c r="CG156" s="2"/>
    </row>
    <row r="157" customFormat="false" ht="12.75" hidden="false" customHeight="false" outlineLevel="0" collapsed="false">
      <c r="A157" s="24" t="str">
        <f aca="false">+TSPT_COT!A146</f>
        <v>   Fuel Hedge Retention Revenue</v>
      </c>
      <c r="C157" s="40" t="n">
        <f aca="false">TSPT_COT!AS146</f>
        <v>0</v>
      </c>
      <c r="E157" s="53" t="n">
        <f aca="false">TSPT_COT!AU146</f>
        <v>0</v>
      </c>
      <c r="G157" s="143" t="e">
        <f aca="false">IF(I157=0,0,I157/C157)</f>
        <v>#DIV/0!</v>
      </c>
      <c r="I157" s="65" t="n">
        <f aca="false">TSPT_COT!AY146</f>
        <v>-15578.07</v>
      </c>
      <c r="K157" s="65" t="n">
        <f aca="false">TSPT_COT!BA146</f>
        <v>0</v>
      </c>
      <c r="M157" s="65" t="n">
        <f aca="false">TSPT_COT!BC146</f>
        <v>-15578.07</v>
      </c>
      <c r="O157" s="54" t="n">
        <f aca="false">TSPT_COT!BE146</f>
        <v>-16</v>
      </c>
      <c r="Q157" s="41" t="n">
        <f aca="false">+C157+BV156</f>
        <v>0</v>
      </c>
      <c r="S157" s="32" t="n">
        <f aca="false">ROUND(Q157/SLS_COS!$AZ$3,0)</f>
        <v>0</v>
      </c>
      <c r="U157" s="143" t="e">
        <f aca="false">IF(W157=0,0,W157/Q157)</f>
        <v>#DIV/0!</v>
      </c>
      <c r="W157" s="65" t="n">
        <f aca="false">+I157+CB157</f>
        <v>-188022.67</v>
      </c>
      <c r="Y157" s="65" t="n">
        <f aca="false">+K157+CD157</f>
        <v>0</v>
      </c>
      <c r="AA157" s="65" t="n">
        <f aca="false">+M157+CF157</f>
        <v>-188022.67</v>
      </c>
      <c r="AC157" s="6" t="n">
        <f aca="false">ROUND(AA157/1000,0)</f>
        <v>-188</v>
      </c>
      <c r="AE157" s="32"/>
      <c r="AF157" s="32"/>
      <c r="AG157" s="32"/>
      <c r="AH157" s="32"/>
      <c r="AU157" s="29"/>
      <c r="AW157" s="30"/>
      <c r="AY157" s="30"/>
      <c r="BM157" s="31"/>
      <c r="BO157" s="13"/>
      <c r="BS157" s="13"/>
      <c r="BU157" s="24" t="s">
        <v>71</v>
      </c>
      <c r="BV157" s="0" t="n">
        <v>0</v>
      </c>
      <c r="BW157" s="32"/>
      <c r="BX157" s="0" t="n">
        <v>0</v>
      </c>
      <c r="BY157" s="32"/>
      <c r="BZ157" s="0" t="e">
        <f aca="false"/>
        <v>#DIV/0!</v>
      </c>
      <c r="CA157" s="32"/>
      <c r="CB157" s="0" t="n">
        <v>-172444.6</v>
      </c>
      <c r="CC157" s="34"/>
      <c r="CD157" s="0" t="n">
        <v>0</v>
      </c>
      <c r="CE157" s="34"/>
      <c r="CF157" s="0" t="n">
        <v>-172444.6</v>
      </c>
      <c r="CG157" s="2"/>
      <c r="CH157" s="0" t="n">
        <v>-156</v>
      </c>
    </row>
    <row r="158" customFormat="false" ht="12.75" hidden="false" customHeight="false" outlineLevel="0" collapsed="false">
      <c r="A158" s="24" t="str">
        <f aca="false">+TSPT_COT!A147</f>
        <v>   MISC</v>
      </c>
      <c r="C158" s="40" t="n">
        <f aca="false">TSPT_COT!AS147</f>
        <v>0</v>
      </c>
      <c r="E158" s="53" t="n">
        <f aca="false">TSPT_COT!AU147</f>
        <v>0</v>
      </c>
      <c r="G158" s="143" t="e">
        <f aca="false">IF(I158=0,0,I158/C158)</f>
        <v>#DIV/0!</v>
      </c>
      <c r="I158" s="65" t="n">
        <f aca="false">TSPT_COT!AY147</f>
        <v>-397226.85</v>
      </c>
      <c r="K158" s="65" t="n">
        <f aca="false">TSPT_COT!BA147</f>
        <v>0</v>
      </c>
      <c r="M158" s="65" t="n">
        <f aca="false">TSPT_COT!BC147</f>
        <v>-397226.85</v>
      </c>
      <c r="O158" s="54" t="n">
        <f aca="false">TSPT_COT!BE147</f>
        <v>-397</v>
      </c>
      <c r="Q158" s="41" t="n">
        <f aca="false">+C158+BV157</f>
        <v>0</v>
      </c>
      <c r="S158" s="32" t="n">
        <f aca="false">ROUND(Q158/SLS_COS!$AZ$3,0)</f>
        <v>0</v>
      </c>
      <c r="U158" s="143" t="e">
        <f aca="false">IF(W158=0,0,W158/Q158)</f>
        <v>#DIV/0!</v>
      </c>
      <c r="W158" s="65" t="n">
        <f aca="false">+I158+CB158</f>
        <v>-1033685.83</v>
      </c>
      <c r="Y158" s="5" t="n">
        <f aca="false">+K158+CD157</f>
        <v>0</v>
      </c>
      <c r="AA158" s="65" t="n">
        <f aca="false">+M158+CF158</f>
        <v>-973536.95</v>
      </c>
      <c r="AC158" s="6" t="n">
        <f aca="false">ROUND(AA158/1000,0)</f>
        <v>-974</v>
      </c>
      <c r="AE158" s="32"/>
      <c r="AF158" s="32"/>
      <c r="AG158" s="32"/>
      <c r="AH158" s="32"/>
      <c r="AU158" s="29"/>
      <c r="AW158" s="30"/>
      <c r="AY158" s="30"/>
      <c r="BM158" s="31"/>
      <c r="BO158" s="13"/>
      <c r="BS158" s="13"/>
      <c r="BU158" s="24" t="s">
        <v>71</v>
      </c>
      <c r="BV158" s="0" t="n">
        <v>0</v>
      </c>
      <c r="BX158" s="0" t="n">
        <v>0</v>
      </c>
      <c r="BZ158" s="0" t="e">
        <f aca="false"/>
        <v>#DIV/0!</v>
      </c>
      <c r="CB158" s="0" t="n">
        <v>-636458.98</v>
      </c>
      <c r="CC158" s="33"/>
      <c r="CD158" s="0" t="n">
        <v>0</v>
      </c>
      <c r="CE158" s="34"/>
      <c r="CF158" s="0" t="n">
        <v>-576310.1</v>
      </c>
      <c r="CG158" s="2"/>
      <c r="CH158" s="0" t="n">
        <v>-574</v>
      </c>
    </row>
    <row r="159" customFormat="false" ht="12.75" hidden="false" customHeight="false" outlineLevel="0" collapsed="false">
      <c r="A159" s="24" t="str">
        <f aca="false">+TSPT_COT!A148</f>
        <v>   MISC/RES. IGNACIO/SANTA FE</v>
      </c>
      <c r="C159" s="40" t="n">
        <f aca="false">TSPT_COT!AS148</f>
        <v>0</v>
      </c>
      <c r="E159" s="53" t="n">
        <f aca="false">TSPT_COT!AU148</f>
        <v>0</v>
      </c>
      <c r="G159" s="143" t="n">
        <v>0</v>
      </c>
      <c r="I159" s="65" t="n">
        <f aca="false">TSPT_COT!AY148</f>
        <v>-12500</v>
      </c>
      <c r="K159" s="65" t="n">
        <f aca="false">TSPT_COT!BA148</f>
        <v>0</v>
      </c>
      <c r="M159" s="65" t="n">
        <f aca="false">TSPT_COT!BC148</f>
        <v>-12500</v>
      </c>
      <c r="O159" s="54" t="n">
        <f aca="false">TSPT_COT!BE148</f>
        <v>-13</v>
      </c>
      <c r="Q159" s="41" t="n">
        <f aca="false">+C159+BV158</f>
        <v>0</v>
      </c>
      <c r="S159" s="32" t="n">
        <f aca="false">ROUND(Q159/SLS_COS!$AZ$3,0)</f>
        <v>0</v>
      </c>
      <c r="U159" s="143" t="n">
        <v>0</v>
      </c>
      <c r="W159" s="65" t="n">
        <f aca="false">+I159+CB159</f>
        <v>-137500</v>
      </c>
      <c r="Y159" s="5" t="n">
        <f aca="false">+K159+CD158</f>
        <v>0</v>
      </c>
      <c r="AA159" s="65" t="n">
        <f aca="false">+M159+CF159</f>
        <v>-137500</v>
      </c>
      <c r="AC159" s="6" t="n">
        <f aca="false">ROUND(AA159/1000,0)</f>
        <v>-138</v>
      </c>
      <c r="AE159" s="32"/>
      <c r="AF159" s="32"/>
      <c r="AG159" s="32"/>
      <c r="AH159" s="32"/>
      <c r="AU159" s="29"/>
      <c r="AW159" s="30"/>
      <c r="AY159" s="30"/>
      <c r="BM159" s="31"/>
      <c r="BO159" s="13"/>
      <c r="BU159" s="28"/>
      <c r="BV159" s="0" t="n">
        <v>0</v>
      </c>
      <c r="BX159" s="0" t="n">
        <v>0</v>
      </c>
      <c r="BZ159" s="0" t="n">
        <v>0</v>
      </c>
      <c r="CB159" s="0" t="n">
        <v>-125000</v>
      </c>
      <c r="CC159" s="33"/>
      <c r="CD159" s="0" t="n">
        <v>0</v>
      </c>
      <c r="CE159" s="33"/>
      <c r="CF159" s="0" t="n">
        <v>-125000</v>
      </c>
      <c r="CG159" s="2"/>
      <c r="CH159" s="0" t="n">
        <v>-113</v>
      </c>
    </row>
    <row r="160" customFormat="false" ht="12.75" hidden="false" customHeight="false" outlineLevel="0" collapsed="false">
      <c r="A160" s="28"/>
      <c r="C160" s="48"/>
      <c r="E160" s="55"/>
      <c r="G160" s="56"/>
      <c r="I160" s="51"/>
      <c r="J160" s="51"/>
      <c r="K160" s="51"/>
      <c r="L160" s="51"/>
      <c r="M160" s="51"/>
      <c r="O160" s="50"/>
      <c r="Q160" s="55"/>
      <c r="S160" s="32" t="n">
        <f aca="false">ROUND(Q160/SLS_COS!$AZ$3,0)</f>
        <v>0</v>
      </c>
      <c r="U160" s="56"/>
      <c r="W160" s="51"/>
      <c r="X160" s="51"/>
      <c r="Y160" s="51"/>
      <c r="Z160" s="51"/>
      <c r="AA160" s="51"/>
      <c r="AC160" s="52"/>
      <c r="AE160" s="32"/>
      <c r="AF160" s="32"/>
      <c r="AG160" s="32"/>
      <c r="AH160" s="32"/>
      <c r="AU160" s="29"/>
      <c r="AW160" s="30"/>
      <c r="AY160" s="30"/>
      <c r="BM160" s="31"/>
      <c r="BO160" s="13"/>
      <c r="BT160" s="148"/>
      <c r="BU160" s="24" t="s">
        <v>72</v>
      </c>
      <c r="BX160" s="0" t="n">
        <v>0</v>
      </c>
      <c r="CC160" s="33"/>
      <c r="CE160" s="33"/>
      <c r="CF160" s="0"/>
      <c r="CG160" s="2"/>
    </row>
    <row r="161" customFormat="false" ht="12.75" hidden="false" customHeight="false" outlineLevel="0" collapsed="false">
      <c r="A161" s="24" t="str">
        <f aca="false">+TSPT_COT!A150</f>
        <v>Total Transportation Revenue</v>
      </c>
      <c r="C161" s="149" t="n">
        <f aca="false">+C58+C105+C121+C136</f>
        <v>52295758</v>
      </c>
      <c r="E161" s="149" t="n">
        <f aca="false">+E58+E105+E121+E136</f>
        <v>1686965</v>
      </c>
      <c r="G161" s="150" t="n">
        <f aca="false">TSPT_COT!G150</f>
        <v>0.231154986490205</v>
      </c>
      <c r="I161" s="127" t="n">
        <f aca="false">+I58+I105+I113+I121+I138+I146+I154+I157+I158+I159</f>
        <v>12096391.47</v>
      </c>
      <c r="K161" s="127" t="n">
        <f aca="false">+K58+K105+K113+K121+K138+K146+K154+K157+K158+K159</f>
        <v>391547.75</v>
      </c>
      <c r="M161" s="127" t="n">
        <f aca="false">+M58+M105+M113+M121+M138+M146+M154+M157+M158+M159</f>
        <v>12487939.22</v>
      </c>
      <c r="O161" s="128" t="n">
        <f aca="false">+O58+O105+O113+O121+O138+O146+O154+O157+O158+O159</f>
        <v>12488</v>
      </c>
      <c r="P161" s="54"/>
      <c r="Q161" s="149" t="n">
        <f aca="false">+Q58+Q105+Q121+Q136</f>
        <v>670480763</v>
      </c>
      <c r="S161" s="149" t="n">
        <f aca="false">+S58+S105+S121+S136</f>
        <v>7379987</v>
      </c>
      <c r="U161" s="150" t="n">
        <f aca="false">TSPT_COT!U150</f>
        <v>1.78604130476742</v>
      </c>
      <c r="W161" s="127" t="n">
        <f aca="false">+W58+W105+W113+W121+W138+W146+W154+W157+W158+W159</f>
        <v>150286912.74</v>
      </c>
      <c r="Y161" s="127" t="n">
        <f aca="false">+Y58+Y105+Y113+Y121+Y138+Y146+Y154+Y157+Y158+Y159</f>
        <v>15530910.95</v>
      </c>
      <c r="AA161" s="127" t="n">
        <f aca="false">+AA58+AA105+AA113+AA121+AA138+AA146+AA154+AA157+AA158+AA159</f>
        <v>165877972.57</v>
      </c>
      <c r="AC161" s="128" t="n">
        <f aca="false">+AC58+AC105+AC113+AC121+AC138+AC146+AC154+AC157+AC158+AC159</f>
        <v>164813</v>
      </c>
      <c r="AE161" s="32"/>
      <c r="AF161" s="32"/>
      <c r="AG161" s="32"/>
      <c r="AH161" s="32"/>
      <c r="AU161" s="29"/>
      <c r="AW161" s="30"/>
      <c r="AY161" s="30"/>
      <c r="BM161" s="31"/>
      <c r="BU161" s="24" t="s">
        <v>73</v>
      </c>
      <c r="BV161" s="0" t="n">
        <v>613986005</v>
      </c>
      <c r="BX161" s="0" t="n">
        <v>6963534</v>
      </c>
      <c r="BZ161" s="0" t="n">
        <v>-0.955912052117264</v>
      </c>
      <c r="CB161" s="0" t="n">
        <v>138189362.75</v>
      </c>
      <c r="CC161" s="33"/>
      <c r="CD161" s="0" t="n">
        <v>15139363.2</v>
      </c>
      <c r="CE161" s="33"/>
      <c r="CF161" s="0" t="n">
        <v>153388874.83</v>
      </c>
      <c r="CG161" s="2"/>
      <c r="CH161" s="0" t="n">
        <v>140853</v>
      </c>
    </row>
    <row r="162" customFormat="false" ht="12.75" hidden="false" customHeight="false" outlineLevel="0" collapsed="false">
      <c r="A162" s="24" t="str">
        <f aca="false">+TSPT_COT!A171</f>
        <v>Total Cost of Transportation</v>
      </c>
      <c r="C162" s="40" t="n">
        <f aca="false">TSPT_COT!C171</f>
        <v>0</v>
      </c>
      <c r="E162" s="40" t="n">
        <f aca="false">TSPT_COT!E171</f>
        <v>0</v>
      </c>
      <c r="G162" s="5" t="n">
        <f aca="false">TSPT_COT!G171</f>
        <v>0</v>
      </c>
      <c r="I162" s="5" t="n">
        <f aca="false">TSPT_COT!I171</f>
        <v>-2843645.84</v>
      </c>
      <c r="K162" s="5" t="n">
        <f aca="false">TSPT_COT!K171</f>
        <v>0</v>
      </c>
      <c r="M162" s="5" t="n">
        <f aca="false">TSPT_COT!M171</f>
        <v>-2843645.84</v>
      </c>
      <c r="O162" s="6" t="n">
        <f aca="false">+TSPT_COT!BE171</f>
        <v>-2845</v>
      </c>
      <c r="Q162" s="41"/>
      <c r="U162" s="5" t="n">
        <f aca="false">TSPT_COT!U171</f>
        <v>0</v>
      </c>
      <c r="W162" s="5" t="n">
        <f aca="false">+CB162+I162</f>
        <v>5938287.46</v>
      </c>
      <c r="Y162" s="5" t="n">
        <f aca="false">+CD162+K162</f>
        <v>0</v>
      </c>
      <c r="AA162" s="5" t="n">
        <f aca="false">+CF162+M162</f>
        <v>5938287.46</v>
      </c>
      <c r="AC162" s="6" t="n">
        <f aca="false">+CH162+O162</f>
        <v>5386</v>
      </c>
      <c r="AE162" s="32"/>
      <c r="AF162" s="32"/>
      <c r="AG162" s="32"/>
      <c r="AH162" s="32"/>
      <c r="AU162" s="29"/>
      <c r="AW162" s="30"/>
      <c r="AY162" s="30"/>
      <c r="BM162" s="31"/>
      <c r="BO162" s="13"/>
      <c r="BU162" s="28"/>
      <c r="BZ162" s="0" t="n">
        <v>0</v>
      </c>
      <c r="CB162" s="0" t="n">
        <v>8781933.3</v>
      </c>
      <c r="CC162" s="33"/>
      <c r="CD162" s="0" t="n">
        <v>0</v>
      </c>
      <c r="CE162" s="33"/>
      <c r="CF162" s="0" t="n">
        <v>8781933.3</v>
      </c>
      <c r="CG162" s="2"/>
      <c r="CH162" s="0" t="n">
        <v>8231</v>
      </c>
    </row>
    <row r="163" customFormat="false" ht="12.75" hidden="false" customHeight="false" outlineLevel="0" collapsed="false">
      <c r="A163" s="28"/>
      <c r="C163" s="48"/>
      <c r="E163" s="55"/>
      <c r="G163" s="56"/>
      <c r="I163" s="51"/>
      <c r="J163" s="51"/>
      <c r="K163" s="51"/>
      <c r="L163" s="51"/>
      <c r="M163" s="51"/>
      <c r="O163" s="50"/>
      <c r="Q163" s="55"/>
      <c r="S163" s="35"/>
      <c r="U163" s="56"/>
      <c r="W163" s="51"/>
      <c r="X163" s="51"/>
      <c r="Y163" s="51"/>
      <c r="Z163" s="51"/>
      <c r="AA163" s="51"/>
      <c r="AC163" s="52"/>
      <c r="AE163" s="32"/>
      <c r="AF163" s="32"/>
      <c r="AG163" s="32"/>
      <c r="AH163" s="32"/>
      <c r="AU163" s="29"/>
      <c r="AW163" s="30"/>
      <c r="AY163" s="30"/>
      <c r="BM163" s="31"/>
      <c r="BU163" s="24" t="s">
        <v>74</v>
      </c>
      <c r="CC163" s="33"/>
      <c r="CE163" s="33"/>
      <c r="CF163" s="0"/>
      <c r="CG163" s="2"/>
    </row>
    <row r="164" customFormat="false" ht="12.75" hidden="false" customHeight="false" outlineLevel="0" collapsed="false">
      <c r="A164" s="24" t="str">
        <f aca="false">+TSPT_COT!A173</f>
        <v>Transport Margin</v>
      </c>
      <c r="C164" s="57" t="n">
        <f aca="false">C161-C162</f>
        <v>52295758</v>
      </c>
      <c r="E164" s="58" t="n">
        <f aca="false">E161-E162</f>
        <v>1686965</v>
      </c>
      <c r="G164" s="59"/>
      <c r="I164" s="60" t="n">
        <f aca="false">I161-I162</f>
        <v>14940037.31</v>
      </c>
      <c r="K164" s="60" t="n">
        <f aca="false">K161-K162</f>
        <v>391547.75</v>
      </c>
      <c r="M164" s="60" t="n">
        <f aca="false">M161-M162</f>
        <v>15331585.06</v>
      </c>
      <c r="O164" s="61" t="n">
        <f aca="false">O161-O162</f>
        <v>15333</v>
      </c>
      <c r="Q164" s="58" t="n">
        <f aca="false">Q161-Q162</f>
        <v>670480763</v>
      </c>
      <c r="S164" s="62" t="n">
        <f aca="false">+S161</f>
        <v>7379987</v>
      </c>
      <c r="U164" s="59"/>
      <c r="W164" s="60" t="n">
        <f aca="false">+W161-W162</f>
        <v>144348625.28</v>
      </c>
      <c r="Y164" s="60" t="n">
        <f aca="false">+Y161-Y162</f>
        <v>15530910.95</v>
      </c>
      <c r="AA164" s="60" t="n">
        <f aca="false">+AA161-AA162</f>
        <v>159939685.11</v>
      </c>
      <c r="AC164" s="63" t="n">
        <f aca="false">+AC161-AC162</f>
        <v>159427</v>
      </c>
      <c r="AE164" s="54"/>
      <c r="AF164" s="32"/>
      <c r="AG164" s="32"/>
      <c r="AH164" s="32"/>
      <c r="AU164" s="29"/>
      <c r="AW164" s="30"/>
      <c r="AY164" s="30"/>
      <c r="BM164" s="31"/>
      <c r="BU164" s="28"/>
      <c r="BV164" s="0" t="n">
        <v>613986005</v>
      </c>
      <c r="BX164" s="0" t="n">
        <v>6963534</v>
      </c>
      <c r="CB164" s="0" t="n">
        <v>129407429.45</v>
      </c>
      <c r="CC164" s="33"/>
      <c r="CD164" s="0" t="n">
        <v>15139363.2</v>
      </c>
      <c r="CE164" s="33"/>
      <c r="CF164" s="0" t="n">
        <v>144606941.53</v>
      </c>
      <c r="CG164" s="2"/>
      <c r="CH164" s="0" t="n">
        <v>132622</v>
      </c>
    </row>
    <row r="165" customFormat="false" ht="12.75" hidden="false" customHeight="false" outlineLevel="0" collapsed="false">
      <c r="A165" s="28"/>
      <c r="C165" s="48"/>
      <c r="E165" s="55"/>
      <c r="G165" s="56"/>
      <c r="I165" s="51"/>
      <c r="J165" s="51"/>
      <c r="K165" s="51"/>
      <c r="L165" s="51"/>
      <c r="M165" s="51"/>
      <c r="O165" s="50"/>
      <c r="Q165" s="55"/>
      <c r="S165" s="35"/>
      <c r="U165" s="56"/>
      <c r="W165" s="51"/>
      <c r="X165" s="51"/>
      <c r="Y165" s="51"/>
      <c r="Z165" s="51"/>
      <c r="AA165" s="51"/>
      <c r="AC165" s="52"/>
      <c r="AE165" s="32"/>
      <c r="AF165" s="32"/>
      <c r="AG165" s="32"/>
      <c r="AH165" s="32"/>
      <c r="AU165" s="29"/>
      <c r="AW165" s="30"/>
      <c r="AY165" s="30"/>
      <c r="BM165" s="31"/>
      <c r="BO165" s="13"/>
      <c r="BU165" s="28"/>
      <c r="CC165" s="33"/>
      <c r="CE165" s="33"/>
      <c r="CF165" s="0"/>
      <c r="CG165" s="2"/>
    </row>
    <row r="166" customFormat="false" ht="12.75" hidden="false" customHeight="false" outlineLevel="0" collapsed="false">
      <c r="A166" s="28"/>
      <c r="C166" s="40"/>
      <c r="E166" s="53"/>
      <c r="G166" s="42"/>
      <c r="Q166" s="41"/>
      <c r="U166" s="42"/>
      <c r="AE166" s="32"/>
      <c r="AF166" s="32"/>
      <c r="AG166" s="32"/>
      <c r="AH166" s="32"/>
      <c r="AM166" s="32"/>
      <c r="AO166" s="32"/>
      <c r="AQ166" s="42"/>
      <c r="AS166" s="151"/>
      <c r="AU166" s="29"/>
      <c r="AW166" s="30"/>
      <c r="AY166" s="30"/>
      <c r="BM166" s="31"/>
      <c r="BU166" s="24" t="s">
        <v>75</v>
      </c>
      <c r="CC166" s="33"/>
      <c r="CE166" s="33"/>
      <c r="CF166" s="0"/>
      <c r="CG166" s="2"/>
    </row>
    <row r="167" customFormat="false" ht="12.75" hidden="false" customHeight="false" outlineLevel="0" collapsed="false">
      <c r="A167" s="24" t="s">
        <v>76</v>
      </c>
      <c r="C167" s="99"/>
      <c r="E167" s="66"/>
      <c r="F167" s="152"/>
      <c r="G167" s="114"/>
      <c r="I167" s="153" t="n">
        <f aca="false">23779.97+38624.06</f>
        <v>62404.03</v>
      </c>
      <c r="J167" s="154"/>
      <c r="K167" s="153"/>
      <c r="L167" s="154"/>
      <c r="M167" s="117" t="n">
        <f aca="false">+K167+I167</f>
        <v>62404.03</v>
      </c>
      <c r="O167" s="68" t="n">
        <f aca="false">ROUND(I167/1000,0)</f>
        <v>62</v>
      </c>
      <c r="Q167" s="115"/>
      <c r="S167" s="152"/>
      <c r="U167" s="114"/>
      <c r="W167" s="117" t="n">
        <f aca="false">+CB167+I167</f>
        <v>377649.8</v>
      </c>
      <c r="Y167" s="117"/>
      <c r="AA167" s="117" t="n">
        <f aca="false">+W167+Y167</f>
        <v>377649.8</v>
      </c>
      <c r="AC167" s="118" t="n">
        <f aca="false">ROUND(W167/1000,0)</f>
        <v>378</v>
      </c>
      <c r="AE167" s="32"/>
      <c r="AF167" s="32"/>
      <c r="AG167" s="32"/>
      <c r="AH167" s="32"/>
      <c r="AU167" s="29"/>
      <c r="AW167" s="30"/>
      <c r="AY167" s="30"/>
      <c r="BM167" s="31"/>
      <c r="CB167" s="0" t="n">
        <v>315245.77</v>
      </c>
      <c r="CC167" s="33"/>
      <c r="CE167" s="33"/>
      <c r="CF167" s="0" t="n">
        <v>315245.77</v>
      </c>
      <c r="CG167" s="2"/>
      <c r="CH167" s="0" t="n">
        <v>291</v>
      </c>
    </row>
    <row r="168" customFormat="false" ht="12.75" hidden="false" customHeight="false" outlineLevel="0" collapsed="false">
      <c r="A168" s="28"/>
      <c r="C168" s="48"/>
      <c r="E168" s="55"/>
      <c r="G168" s="56"/>
      <c r="I168" s="51"/>
      <c r="J168" s="51"/>
      <c r="K168" s="51"/>
      <c r="L168" s="51"/>
      <c r="M168" s="51"/>
      <c r="O168" s="50"/>
      <c r="Q168" s="55"/>
      <c r="S168" s="35"/>
      <c r="U168" s="56"/>
      <c r="W168" s="51"/>
      <c r="X168" s="51"/>
      <c r="Y168" s="51"/>
      <c r="Z168" s="51"/>
      <c r="AA168" s="51"/>
      <c r="AC168" s="52"/>
      <c r="AE168" s="32"/>
      <c r="AF168" s="32"/>
      <c r="AG168" s="32"/>
      <c r="AH168" s="32"/>
      <c r="AU168" s="29"/>
      <c r="AW168" s="30"/>
      <c r="AY168" s="30"/>
      <c r="BM168" s="31"/>
      <c r="BO168" s="13"/>
      <c r="CC168" s="33"/>
      <c r="CE168" s="33"/>
      <c r="CF168" s="0"/>
      <c r="CG168" s="2"/>
    </row>
    <row r="169" customFormat="false" ht="12.75" hidden="false" customHeight="false" outlineLevel="0" collapsed="false">
      <c r="A169" s="28"/>
      <c r="B169" s="155"/>
      <c r="C169" s="40"/>
      <c r="E169" s="41"/>
      <c r="G169" s="42"/>
      <c r="Q169" s="41"/>
      <c r="U169" s="42"/>
      <c r="AE169" s="32"/>
      <c r="AF169" s="32"/>
      <c r="AG169" s="32"/>
      <c r="AH169" s="32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6"/>
      <c r="AV169" s="155"/>
      <c r="AW169" s="157"/>
      <c r="AX169" s="155"/>
      <c r="AY169" s="157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8"/>
      <c r="BN169" s="155"/>
      <c r="BO169" s="155"/>
      <c r="BP169" s="155"/>
      <c r="BQ169" s="155"/>
      <c r="BR169" s="155"/>
      <c r="BS169" s="155"/>
      <c r="BT169" s="155"/>
      <c r="BU169" s="159" t="s">
        <v>77</v>
      </c>
      <c r="BW169" s="155"/>
      <c r="BY169" s="155"/>
      <c r="CA169" s="155"/>
      <c r="CC169" s="160"/>
      <c r="CE169" s="160"/>
      <c r="CF169" s="0"/>
      <c r="CG169" s="161"/>
    </row>
    <row r="170" customFormat="false" ht="13.5" hidden="false" customHeight="false" outlineLevel="0" collapsed="false">
      <c r="A170" s="24" t="s">
        <v>78</v>
      </c>
      <c r="C170" s="162" t="n">
        <f aca="false">C164+C18+C167</f>
        <v>52295758</v>
      </c>
      <c r="D170" s="155"/>
      <c r="E170" s="163" t="n">
        <f aca="false">E164+E18+E167</f>
        <v>1688402</v>
      </c>
      <c r="F170" s="155"/>
      <c r="G170" s="164"/>
      <c r="H170" s="155"/>
      <c r="I170" s="165" t="n">
        <f aca="false">I164+I18+I167</f>
        <v>17335761.47</v>
      </c>
      <c r="K170" s="165" t="n">
        <f aca="false">K164+K18+K167</f>
        <v>391547.75</v>
      </c>
      <c r="M170" s="165" t="n">
        <f aca="false">M164+M18+M167</f>
        <v>17727309.22</v>
      </c>
      <c r="N170" s="155"/>
      <c r="O170" s="166" t="n">
        <f aca="false">+M170/1000</f>
        <v>17727.30922</v>
      </c>
      <c r="P170" s="155"/>
      <c r="Q170" s="163" t="n">
        <f aca="false">Q167+Q164+Q18</f>
        <v>673413858</v>
      </c>
      <c r="R170" s="155"/>
      <c r="S170" s="167" t="n">
        <f aca="false">S18+S164+S167</f>
        <v>7388023</v>
      </c>
      <c r="T170" s="155"/>
      <c r="U170" s="164"/>
      <c r="V170" s="155"/>
      <c r="W170" s="168" t="n">
        <f aca="false">W18+W164+W167</f>
        <v>180928818.16</v>
      </c>
      <c r="X170" s="169"/>
      <c r="Y170" s="165" t="n">
        <f aca="false">Y164+Y18+Y167</f>
        <v>15530910.95</v>
      </c>
      <c r="Z170" s="169"/>
      <c r="AA170" s="165" t="n">
        <f aca="false">AA164+AA18+AA167</f>
        <v>196519877.99</v>
      </c>
      <c r="AB170" s="155"/>
      <c r="AC170" s="170" t="n">
        <f aca="false">+AA170/1000</f>
        <v>196519.87799</v>
      </c>
      <c r="AD170" s="155"/>
      <c r="AE170" s="171"/>
      <c r="AF170" s="172"/>
      <c r="AG170" s="172"/>
      <c r="AH170" s="172"/>
      <c r="AI170" s="172"/>
      <c r="AJ170" s="155"/>
      <c r="AU170" s="29"/>
      <c r="AW170" s="30"/>
      <c r="AY170" s="30"/>
      <c r="BM170" s="31"/>
      <c r="BT170" s="32"/>
      <c r="BV170" s="0" t="n">
        <v>616919100</v>
      </c>
      <c r="BX170" s="0" t="n">
        <v>6972316</v>
      </c>
      <c r="CB170" s="0" t="n">
        <v>163593106.29</v>
      </c>
      <c r="CC170" s="33"/>
      <c r="CD170" s="0" t="n">
        <v>15139363.2</v>
      </c>
      <c r="CE170" s="33"/>
      <c r="CF170" s="0" t="n">
        <v>178792618.37</v>
      </c>
      <c r="CG170" s="2"/>
      <c r="CH170" s="0" t="n">
        <v>164592.54711</v>
      </c>
    </row>
    <row r="171" customFormat="false" ht="13.5" hidden="false" customHeight="false" outlineLevel="0" collapsed="false">
      <c r="A171" s="28"/>
      <c r="C171" s="40"/>
      <c r="E171" s="53"/>
      <c r="G171" s="42"/>
      <c r="I171" s="65"/>
      <c r="Q171" s="53"/>
      <c r="U171" s="42"/>
      <c r="AE171" s="32"/>
      <c r="AF171" s="32"/>
      <c r="AG171" s="32"/>
      <c r="AH171" s="32"/>
      <c r="AU171" s="29"/>
      <c r="AW171" s="30"/>
      <c r="AY171" s="30"/>
      <c r="BM171" s="31"/>
      <c r="BU171" s="0" t="s">
        <v>79</v>
      </c>
      <c r="BW171" s="41"/>
      <c r="CC171" s="33"/>
      <c r="CE171" s="33"/>
      <c r="CF171" s="0"/>
      <c r="CG171" s="2"/>
    </row>
    <row r="172" customFormat="false" ht="12.75" hidden="false" customHeight="false" outlineLevel="0" collapsed="false">
      <c r="A172" s="28"/>
      <c r="C172" s="40"/>
      <c r="E172" s="41"/>
      <c r="Q172" s="41"/>
      <c r="AE172" s="32"/>
      <c r="AF172" s="32"/>
      <c r="AG172" s="32"/>
      <c r="AH172" s="32"/>
      <c r="AU172" s="29"/>
      <c r="AW172" s="30"/>
      <c r="AY172" s="30"/>
      <c r="BM172" s="31"/>
      <c r="BW172" s="41"/>
      <c r="BX172" s="41"/>
      <c r="CB172" s="33"/>
      <c r="CC172" s="33"/>
      <c r="CD172" s="33"/>
      <c r="CE172" s="33"/>
      <c r="CG172" s="2"/>
      <c r="CH172" s="33"/>
    </row>
    <row r="173" customFormat="false" ht="12.75" hidden="false" customHeight="false" outlineLevel="0" collapsed="false">
      <c r="A173" s="24" t="s">
        <v>80</v>
      </c>
      <c r="C173" s="40"/>
      <c r="E173" s="41"/>
      <c r="G173" s="42"/>
      <c r="K173" s="5" t="n">
        <f aca="false">+TSPT_COT!K176</f>
        <v>0</v>
      </c>
      <c r="Q173" s="41"/>
      <c r="U173" s="42"/>
      <c r="Y173" s="5" t="n">
        <f aca="false">+CD173+K173</f>
        <v>7239010.92</v>
      </c>
      <c r="CD173" s="0" t="n">
        <v>7239010.92</v>
      </c>
    </row>
    <row r="174" customFormat="false" ht="12.75" hidden="false" customHeight="false" outlineLevel="0" collapsed="false">
      <c r="O174" s="173"/>
    </row>
    <row r="175" customFormat="false" ht="12.75" hidden="false" customHeight="true" outlineLevel="0" collapsed="false">
      <c r="I175" s="65"/>
      <c r="K175" s="65"/>
      <c r="M175" s="129"/>
      <c r="AA175" s="65"/>
    </row>
    <row r="176" customFormat="false" ht="12.75" hidden="false" customHeight="false" outlineLevel="0" collapsed="false">
      <c r="I176" s="65"/>
      <c r="K176" s="65"/>
      <c r="M176" s="65"/>
      <c r="AC176" s="0"/>
    </row>
    <row r="177" customFormat="false" ht="12.75" hidden="false" customHeight="false" outlineLevel="0" collapsed="false">
      <c r="A177" s="0" t="s">
        <v>81</v>
      </c>
      <c r="C177" s="41"/>
      <c r="E177" s="41"/>
      <c r="G177" s="41"/>
      <c r="H177" s="41"/>
      <c r="I177" s="65"/>
      <c r="K177" s="65"/>
      <c r="M177" s="65"/>
      <c r="U177" s="41"/>
      <c r="AC177" s="0"/>
    </row>
    <row r="178" customFormat="false" ht="12.75" hidden="false" customHeight="false" outlineLevel="0" collapsed="false">
      <c r="A178" s="174" t="s">
        <v>82</v>
      </c>
      <c r="C178" s="3" t="n">
        <f aca="false">+C23+C30+C37+C44+C51+C61+C68+C76+C83+C90+C98+C108+C116+C124+C131+C141+C149</f>
        <v>92663029</v>
      </c>
      <c r="E178" s="3"/>
      <c r="I178" s="5" t="n">
        <f aca="false">+I23+I30+I37+I44+I51+I61+I68+I76+I83+I90+I98+I108+I116+I124+I131+I141+I149</f>
        <v>11622265.7</v>
      </c>
      <c r="K178" s="5" t="n">
        <f aca="false">+K23+K30+K37+K44+K51+K61+K68+K76+K83+K90+K98+K108+K116+K124+K131+K141+K149</f>
        <v>156353.73</v>
      </c>
      <c r="M178" s="5" t="n">
        <f aca="false">+M23+M30+M37+M44+M51+M61+M68+M76+M83+M90+M98+M108+M116+M124+M131+M141+M149</f>
        <v>11778619.43</v>
      </c>
      <c r="O178" s="33"/>
      <c r="AC178" s="0"/>
    </row>
    <row r="179" customFormat="false" ht="12.75" hidden="false" customHeight="false" outlineLevel="0" collapsed="false">
      <c r="A179" s="174" t="s">
        <v>83</v>
      </c>
      <c r="C179" s="41" t="n">
        <f aca="false">+C24+C25+C31+C32+C38+C39+C45+C46+C52+C53+C62+C63+C69+C70+C77+C78+C84+C85+C91+C92+C99+C100+C117+C118-C181+C133</f>
        <v>49190630</v>
      </c>
      <c r="E179" s="5"/>
      <c r="I179" s="5" t="n">
        <f aca="false">+I24+I25+I31+I32+I38+I39+I45+I46+I52+I53+I62+I63+I69+I70+I77+I78+I84+I85+I91+I92+I99+I100+I109+I110+I117+I118+I125+I126+I133+I135+I142+I143+I151+I153-I181</f>
        <v>748140.25</v>
      </c>
      <c r="K179" s="5" t="n">
        <f aca="false">+K24+K25+K31+K32+K38+K39+K45+K46+K52+K53+K62+K63+K69+K70+K77+K78+K84+K85+K91+K92+K99+K100+K109+K110+K117+K118+K125+K126+K133+K135+K142+K143+K151+K153</f>
        <v>228983.51</v>
      </c>
      <c r="M179" s="5" t="n">
        <f aca="false">+M24+M25+M31+M32+M38+M39+M45+M46+M52+M53+M62+M63+M69+M70+M77+M78+M84+M85+M91+M92+M99+M100+M109+M110+M117+M118+M125+M126+M133+M135+M142+M143+M151+M153-M181</f>
        <v>977123.76</v>
      </c>
      <c r="O179" s="33"/>
      <c r="AC179" s="0"/>
    </row>
    <row r="180" customFormat="false" ht="12.75" hidden="false" customHeight="false" outlineLevel="0" collapsed="false">
      <c r="A180" s="174" t="s">
        <v>84</v>
      </c>
      <c r="C180" s="41" t="n">
        <f aca="false">+C26+C33+C40+C47+C54+C64+C71+C79+C86+C93+C101+C119</f>
        <v>574922</v>
      </c>
      <c r="E180" s="5"/>
      <c r="I180" s="5" t="n">
        <f aca="false">+I26+I33+I40+I47+I54+I64+I71+I79+I86+I93+I101+I111+I119+I127+I134+I144+I152+I133</f>
        <v>10636.06</v>
      </c>
      <c r="K180" s="5" t="n">
        <f aca="false">+K26+K33+K40+K47+K54+K64+K71+K79+K86+K93+K101+K111+K119+K127+K134+K144+K152</f>
        <v>0</v>
      </c>
      <c r="M180" s="5" t="n">
        <f aca="false">+M26+M33+M40+M47+M54+M64+M71+M79+M86+M93+M101+M111+M119+M127+M134+M144+M152</f>
        <v>10636.06</v>
      </c>
      <c r="O180" s="33"/>
      <c r="AC180" s="0"/>
    </row>
    <row r="181" customFormat="false" ht="12.75" hidden="false" customHeight="false" outlineLevel="0" collapsed="false">
      <c r="A181" s="174" t="s">
        <v>85</v>
      </c>
      <c r="C181" s="41"/>
      <c r="E181" s="41"/>
      <c r="I181" s="5" t="n">
        <f aca="false">168.63+46.43+220.75</f>
        <v>435.81</v>
      </c>
      <c r="M181" s="5" t="n">
        <f aca="false">+K181+I181</f>
        <v>435.81</v>
      </c>
      <c r="O181" s="33"/>
      <c r="AC181" s="0"/>
    </row>
    <row r="182" customFormat="false" ht="12.75" hidden="false" customHeight="false" outlineLevel="0" collapsed="false">
      <c r="A182" s="174" t="s">
        <v>86</v>
      </c>
      <c r="C182" s="175" t="n">
        <f aca="false">+C27+C34+C41+C48+C55+C65+C72+C80+C87+C94+C102+C120+C73+C132</f>
        <v>2530206</v>
      </c>
      <c r="I182" s="117" t="n">
        <f aca="false">+I27+I34+I41+I48+I55+I65+I72+I73+I80+I87+I94+I102+I112+I120+I128+I132+I145+I150</f>
        <v>140218.57</v>
      </c>
      <c r="K182" s="117" t="n">
        <f aca="false">+K27+K34+K41+K48+K55+K65+K72+K73+K80+K87+K94+K102+K112+K120+K128+K132+K145+K150</f>
        <v>6210.51</v>
      </c>
      <c r="M182" s="117" t="n">
        <f aca="false">+M27+M34+M41+M48+M55+M65+M72+M73+M80+M87+M94+M102+M112+M120+M128+M132+M145+M150</f>
        <v>146429.08</v>
      </c>
      <c r="O182" s="33"/>
      <c r="Q182" s="33"/>
      <c r="AC182" s="0"/>
    </row>
    <row r="183" customFormat="false" ht="12.75" hidden="false" customHeight="false" outlineLevel="0" collapsed="false">
      <c r="C183" s="41" t="n">
        <f aca="false">SUM(B179:C182)</f>
        <v>52295758</v>
      </c>
      <c r="E183" s="3"/>
      <c r="I183" s="129" t="n">
        <f aca="false">SUM(I178:I182)</f>
        <v>12521696.39</v>
      </c>
      <c r="K183" s="129" t="n">
        <f aca="false">SUM(K178:K182)</f>
        <v>391547.75</v>
      </c>
      <c r="M183" s="129" t="n">
        <f aca="false">SUM(M178:M182)</f>
        <v>12913244.14</v>
      </c>
      <c r="AC183" s="0"/>
    </row>
    <row r="184" customFormat="false" ht="12.75" hidden="false" customHeight="false" outlineLevel="0" collapsed="false">
      <c r="C184" s="41"/>
      <c r="E184" s="3"/>
      <c r="I184" s="129"/>
      <c r="O184" s="33"/>
      <c r="AC184" s="0"/>
    </row>
    <row r="185" customFormat="false" ht="12.75" hidden="false" customHeight="false" outlineLevel="0" collapsed="false">
      <c r="A185" s="0" t="s">
        <v>87</v>
      </c>
      <c r="AC185" s="0"/>
    </row>
    <row r="186" customFormat="false" ht="12.75" hidden="false" customHeight="false" outlineLevel="0" collapsed="false">
      <c r="A186" s="174" t="s">
        <v>88</v>
      </c>
      <c r="C186" s="41"/>
      <c r="I186" s="65" t="n">
        <f aca="false">+I159</f>
        <v>-12500</v>
      </c>
      <c r="K186" s="65" t="n">
        <f aca="false">+K159</f>
        <v>0</v>
      </c>
      <c r="M186" s="65" t="n">
        <f aca="false">+M159</f>
        <v>-12500</v>
      </c>
      <c r="AC186" s="0"/>
    </row>
    <row r="187" customFormat="false" ht="12.75" hidden="false" customHeight="false" outlineLevel="0" collapsed="false">
      <c r="A187" s="174" t="s">
        <v>89</v>
      </c>
      <c r="I187" s="65" t="n">
        <f aca="false">+I157</f>
        <v>-15578.07</v>
      </c>
      <c r="K187" s="65" t="n">
        <f aca="false">+K157</f>
        <v>0</v>
      </c>
      <c r="M187" s="65" t="n">
        <f aca="false">+M157</f>
        <v>-15578.07</v>
      </c>
      <c r="AC187" s="0"/>
    </row>
    <row r="188" customFormat="false" ht="12.75" hidden="false" customHeight="false" outlineLevel="0" collapsed="false">
      <c r="A188" s="174" t="s">
        <v>90</v>
      </c>
      <c r="I188" s="65" t="n">
        <v>0</v>
      </c>
      <c r="K188" s="65" t="n">
        <f aca="false">+K158</f>
        <v>0</v>
      </c>
      <c r="M188" s="65" t="n">
        <f aca="false">+M158</f>
        <v>-397226.85</v>
      </c>
      <c r="AC188" s="0"/>
    </row>
    <row r="189" customFormat="false" ht="12.75" hidden="false" customHeight="false" outlineLevel="0" collapsed="false">
      <c r="A189" s="174"/>
      <c r="AC189" s="0"/>
    </row>
    <row r="190" customFormat="false" ht="12.75" hidden="false" customHeight="false" outlineLevel="0" collapsed="false">
      <c r="A190" s="0" t="s">
        <v>91</v>
      </c>
      <c r="C190" s="41"/>
      <c r="I190" s="65"/>
      <c r="K190" s="65"/>
      <c r="AC190" s="0"/>
    </row>
    <row r="191" customFormat="false" ht="12.75" hidden="false" customHeight="false" outlineLevel="0" collapsed="false">
      <c r="A191" s="174" t="s">
        <v>82</v>
      </c>
      <c r="C191" s="3" t="n">
        <f aca="false">+C178</f>
        <v>92663029</v>
      </c>
      <c r="I191" s="129" t="n">
        <f aca="false">+I178</f>
        <v>11622265.7</v>
      </c>
      <c r="K191" s="129" t="n">
        <f aca="false">+K178</f>
        <v>156353.73</v>
      </c>
      <c r="M191" s="129" t="n">
        <f aca="false">+M178+M188</f>
        <v>11381392.58</v>
      </c>
      <c r="O191" s="33" t="n">
        <f aca="false">+K191+I191-M191</f>
        <v>397226.850000002</v>
      </c>
      <c r="AC191" s="0"/>
    </row>
    <row r="192" customFormat="false" ht="12.75" hidden="false" customHeight="false" outlineLevel="0" collapsed="false">
      <c r="A192" s="174" t="s">
        <v>83</v>
      </c>
      <c r="C192" s="41" t="n">
        <f aca="false">+C179</f>
        <v>49190630</v>
      </c>
      <c r="I192" s="5" t="n">
        <f aca="false">+I179+I186+I187</f>
        <v>720062.18</v>
      </c>
      <c r="K192" s="5" t="n">
        <f aca="false">+K179-K186-K187</f>
        <v>228983.51</v>
      </c>
      <c r="M192" s="5" t="n">
        <f aca="false">+M179+M186+M187</f>
        <v>949045.69</v>
      </c>
      <c r="O192" s="33" t="n">
        <f aca="false">+K192+I192-M192</f>
        <v>0</v>
      </c>
      <c r="AC192" s="0"/>
    </row>
    <row r="193" customFormat="false" ht="12.75" hidden="false" customHeight="false" outlineLevel="0" collapsed="false">
      <c r="A193" s="174" t="s">
        <v>84</v>
      </c>
      <c r="C193" s="41" t="n">
        <f aca="false">+C180</f>
        <v>574922</v>
      </c>
      <c r="I193" s="129" t="n">
        <f aca="false">+I180</f>
        <v>10636.06</v>
      </c>
      <c r="K193" s="129" t="n">
        <f aca="false">+K180</f>
        <v>0</v>
      </c>
      <c r="M193" s="129" t="n">
        <f aca="false">+M180</f>
        <v>10636.06</v>
      </c>
      <c r="O193" s="33" t="n">
        <f aca="false">+K193+I193-M193</f>
        <v>0</v>
      </c>
      <c r="AC193" s="0"/>
    </row>
    <row r="194" customFormat="false" ht="12.75" hidden="false" customHeight="false" outlineLevel="0" collapsed="false">
      <c r="A194" s="174" t="s">
        <v>85</v>
      </c>
      <c r="C194" s="41" t="n">
        <f aca="false">+C181</f>
        <v>0</v>
      </c>
      <c r="I194" s="5" t="n">
        <f aca="false">+I181</f>
        <v>435.81</v>
      </c>
      <c r="J194" s="5" t="n">
        <f aca="false">SUM(J190:J193)</f>
        <v>0</v>
      </c>
      <c r="K194" s="5" t="n">
        <f aca="false">+K181</f>
        <v>0</v>
      </c>
      <c r="L194" s="5" t="n">
        <f aca="false">SUM(L190:L193)</f>
        <v>0</v>
      </c>
      <c r="M194" s="5" t="n">
        <f aca="false">+M181</f>
        <v>435.81</v>
      </c>
      <c r="O194" s="33" t="n">
        <f aca="false">+K194+I194-M194</f>
        <v>0</v>
      </c>
      <c r="AC194" s="0"/>
    </row>
    <row r="195" customFormat="false" ht="12.75" hidden="false" customHeight="false" outlineLevel="0" collapsed="false">
      <c r="A195" s="174" t="s">
        <v>86</v>
      </c>
      <c r="C195" s="175" t="n">
        <f aca="false">+C182</f>
        <v>2530206</v>
      </c>
      <c r="I195" s="129" t="n">
        <f aca="false">+I182</f>
        <v>140218.57</v>
      </c>
      <c r="K195" s="129" t="n">
        <f aca="false">+K182</f>
        <v>6210.51</v>
      </c>
      <c r="M195" s="129" t="n">
        <f aca="false">+M182</f>
        <v>146429.08</v>
      </c>
      <c r="O195" s="33" t="n">
        <f aca="false">+K195+I195-M195</f>
        <v>0</v>
      </c>
    </row>
    <row r="196" customFormat="false" ht="13.5" hidden="false" customHeight="false" outlineLevel="0" collapsed="false">
      <c r="C196" s="176" t="n">
        <f aca="false">SUM(B192:C195)</f>
        <v>52295758</v>
      </c>
      <c r="I196" s="177" t="n">
        <f aca="false">SUM(I191:I195)</f>
        <v>12493618.32</v>
      </c>
      <c r="K196" s="177" t="n">
        <f aca="false">SUM(K191:K195)</f>
        <v>391547.75</v>
      </c>
      <c r="M196" s="177" t="n">
        <f aca="false">SUM(M191:M195)</f>
        <v>12487939.22</v>
      </c>
    </row>
    <row r="197" customFormat="false" ht="13.5" hidden="false" customHeight="false" outlineLevel="0" collapsed="false">
      <c r="C197" s="2" t="n">
        <f aca="false">+C196-C161</f>
        <v>0</v>
      </c>
    </row>
    <row r="198" customFormat="false" ht="12.75" hidden="false" customHeight="false" outlineLevel="0" collapsed="false">
      <c r="M198" s="5" t="n">
        <f aca="false">+M195+M194+M192</f>
        <v>1095910.58</v>
      </c>
    </row>
  </sheetData>
  <mergeCells count="4">
    <mergeCell ref="T1:AC1"/>
    <mergeCell ref="I5:AC5"/>
    <mergeCell ref="C8:O8"/>
    <mergeCell ref="Q8:AC8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&amp;CTRANSWESTERN PIPELINE COMPANY
MANAGEMENT REPORT
DECEMBER, 2001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2"/>
  <sheetViews>
    <sheetView showFormulas="false" showGridLines="true" showRowColHeaders="true" showZeros="true" rightToLeft="false" tabSelected="false" showOutlineSymbols="true" defaultGridColor="true" view="normal" topLeftCell="A159" colorId="64" zoomScale="100" zoomScaleNormal="100" zoomScalePageLayoutView="100" workbookViewId="0">
      <pane xSplit="4200" ySplit="0" topLeftCell="A1" activePane="topLeft" state="split"/>
      <selection pane="topLeft" activeCell="A96" activeCellId="0" sqref="A96:IV173"/>
      <selection pane="topRight" activeCell="A159" activeCellId="0" sqref="A15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8" width="36.28"/>
    <col collapsed="false" customWidth="true" hidden="false" outlineLevel="0" max="2" min="2" style="178" width="1.7"/>
    <col collapsed="false" customWidth="true" hidden="false" outlineLevel="0" max="3" min="3" style="178" width="12.7"/>
    <col collapsed="false" customWidth="true" hidden="false" outlineLevel="0" max="4" min="4" style="178" width="1.7"/>
    <col collapsed="false" customWidth="true" hidden="false" outlineLevel="0" max="5" min="5" style="178" width="12.7"/>
    <col collapsed="false" customWidth="true" hidden="false" outlineLevel="0" max="6" min="6" style="178" width="1.7"/>
    <col collapsed="false" customWidth="true" hidden="false" outlineLevel="0" max="7" min="7" style="178" width="11.99"/>
    <col collapsed="false" customWidth="true" hidden="false" outlineLevel="0" max="8" min="8" style="178" width="1.7"/>
    <col collapsed="false" customWidth="true" hidden="false" outlineLevel="0" max="9" min="9" style="5" width="15.7"/>
    <col collapsed="false" customWidth="true" hidden="false" outlineLevel="0" max="10" min="10" style="178" width="1.7"/>
    <col collapsed="false" customWidth="true" hidden="false" outlineLevel="0" max="11" min="11" style="5" width="15.7"/>
    <col collapsed="false" customWidth="true" hidden="false" outlineLevel="0" max="12" min="12" style="178" width="1.7"/>
    <col collapsed="false" customWidth="true" hidden="false" outlineLevel="0" max="13" min="13" style="5" width="15.7"/>
    <col collapsed="false" customWidth="true" hidden="false" outlineLevel="0" max="14" min="14" style="178" width="1.7"/>
    <col collapsed="false" customWidth="true" hidden="false" outlineLevel="0" max="15" min="15" style="178" width="10.71"/>
    <col collapsed="false" customWidth="true" hidden="false" outlineLevel="0" max="16" min="16" style="178" width="2.7"/>
    <col collapsed="false" customWidth="true" hidden="false" outlineLevel="0" max="17" min="17" style="178" width="10.71"/>
    <col collapsed="false" customWidth="true" hidden="false" outlineLevel="0" max="18" min="18" style="178" width="1.7"/>
    <col collapsed="false" customWidth="true" hidden="false" outlineLevel="0" max="19" min="19" style="178" width="8.7"/>
    <col collapsed="false" customWidth="true" hidden="false" outlineLevel="0" max="20" min="20" style="178" width="1.7"/>
    <col collapsed="false" customWidth="true" hidden="false" outlineLevel="0" max="21" min="21" style="178" width="11.99"/>
    <col collapsed="false" customWidth="true" hidden="false" outlineLevel="0" max="22" min="22" style="178" width="1.7"/>
    <col collapsed="false" customWidth="true" hidden="false" outlineLevel="0" max="23" min="23" style="5" width="14.7"/>
    <col collapsed="false" customWidth="true" hidden="false" outlineLevel="0" max="24" min="24" style="178" width="1.7"/>
    <col collapsed="false" customWidth="true" hidden="false" outlineLevel="0" max="25" min="25" style="178" width="12.7"/>
    <col collapsed="false" customWidth="true" hidden="false" outlineLevel="0" max="26" min="26" style="178" width="1.7"/>
    <col collapsed="false" customWidth="true" hidden="false" outlineLevel="0" max="27" min="27" style="178" width="14.7"/>
    <col collapsed="false" customWidth="true" hidden="false" outlineLevel="0" max="28" min="28" style="178" width="1.7"/>
    <col collapsed="false" customWidth="true" hidden="false" outlineLevel="0" max="29" min="29" style="178" width="8.85"/>
    <col collapsed="false" customWidth="true" hidden="false" outlineLevel="0" max="30" min="30" style="178" width="2.7"/>
    <col collapsed="false" customWidth="true" hidden="false" outlineLevel="0" max="31" min="31" style="178" width="12.7"/>
    <col collapsed="false" customWidth="true" hidden="false" outlineLevel="0" max="32" min="32" style="178" width="1.7"/>
    <col collapsed="false" customWidth="true" hidden="false" outlineLevel="0" max="33" min="33" style="178" width="9.7"/>
    <col collapsed="false" customWidth="true" hidden="false" outlineLevel="0" max="34" min="34" style="178" width="1.7"/>
    <col collapsed="false" customWidth="true" hidden="false" outlineLevel="0" max="35" min="35" style="178" width="11.99"/>
    <col collapsed="false" customWidth="true" hidden="false" outlineLevel="0" max="36" min="36" style="178" width="1.7"/>
    <col collapsed="false" customWidth="true" hidden="false" outlineLevel="0" max="37" min="37" style="178" width="14.7"/>
    <col collapsed="false" customWidth="true" hidden="false" outlineLevel="0" max="38" min="38" style="178" width="1.7"/>
    <col collapsed="false" customWidth="true" hidden="false" outlineLevel="0" max="39" min="39" style="178" width="13.85"/>
    <col collapsed="false" customWidth="true" hidden="false" outlineLevel="0" max="40" min="40" style="178" width="1.7"/>
    <col collapsed="false" customWidth="true" hidden="false" outlineLevel="0" max="41" min="41" style="178" width="14.7"/>
    <col collapsed="false" customWidth="true" hidden="false" outlineLevel="0" max="42" min="42" style="178" width="1.7"/>
    <col collapsed="false" customWidth="true" hidden="false" outlineLevel="0" max="43" min="43" style="178" width="8.85"/>
    <col collapsed="false" customWidth="true" hidden="false" outlineLevel="0" max="44" min="44" style="178" width="2.7"/>
    <col collapsed="false" customWidth="true" hidden="false" outlineLevel="0" max="45" min="45" style="178" width="12.7"/>
    <col collapsed="false" customWidth="true" hidden="false" outlineLevel="0" max="46" min="46" style="178" width="1.7"/>
    <col collapsed="false" customWidth="true" hidden="false" outlineLevel="0" max="47" min="47" style="178" width="12.7"/>
    <col collapsed="false" customWidth="true" hidden="false" outlineLevel="0" max="48" min="48" style="178" width="1.7"/>
    <col collapsed="false" customWidth="true" hidden="false" outlineLevel="0" max="49" min="49" style="178" width="15.56"/>
    <col collapsed="false" customWidth="true" hidden="false" outlineLevel="0" max="50" min="50" style="178" width="1.7"/>
    <col collapsed="false" customWidth="true" hidden="false" outlineLevel="0" max="51" min="51" style="178" width="15.7"/>
    <col collapsed="false" customWidth="true" hidden="false" outlineLevel="0" max="52" min="52" style="178" width="1.7"/>
    <col collapsed="false" customWidth="true" hidden="false" outlineLevel="0" max="53" min="53" style="178" width="15.7"/>
    <col collapsed="false" customWidth="true" hidden="false" outlineLevel="0" max="54" min="54" style="178" width="2.7"/>
    <col collapsed="false" customWidth="true" hidden="false" outlineLevel="0" max="55" min="55" style="178" width="15.7"/>
    <col collapsed="false" customWidth="true" hidden="false" outlineLevel="0" max="56" min="56" style="178" width="1.7"/>
    <col collapsed="false" customWidth="true" hidden="false" outlineLevel="0" max="57" min="57" style="6" width="9.41"/>
    <col collapsed="false" customWidth="true" hidden="false" outlineLevel="0" max="59" min="58" style="178" width="13.85"/>
    <col collapsed="false" customWidth="false" hidden="false" outlineLevel="0" max="257" min="60" style="178" width="9.14"/>
  </cols>
  <sheetData>
    <row r="1" customFormat="false" ht="12.75" hidden="false" customHeight="false" outlineLevel="0" collapsed="false">
      <c r="A1" s="178" t="str">
        <f aca="false">+SLS_COS!A1</f>
        <v>Transwestern Pipeline Company</v>
      </c>
      <c r="O1" s="178" t="s">
        <v>6</v>
      </c>
      <c r="AW1" s="179" t="str">
        <f aca="false">+SLS_COS!AR1</f>
        <v>Month</v>
      </c>
      <c r="AX1" s="180"/>
      <c r="AY1" s="180" t="str">
        <f aca="false">+SLS_COS!AT1</f>
        <v>Current</v>
      </c>
      <c r="AZ1" s="180"/>
      <c r="BA1" s="180" t="str">
        <f aca="false">+SLS_COS!AV1</f>
        <v>December</v>
      </c>
      <c r="BB1" s="180"/>
      <c r="BC1" s="181" t="n">
        <f aca="false">+SLS_COS!AX1</f>
        <v>31</v>
      </c>
    </row>
    <row r="2" customFormat="false" ht="12.75" hidden="false" customHeight="false" outlineLevel="0" collapsed="false">
      <c r="A2" s="178" t="s">
        <v>92</v>
      </c>
      <c r="C2" s="5"/>
      <c r="AW2" s="182"/>
      <c r="AX2" s="183"/>
      <c r="AY2" s="183" t="str">
        <f aca="false">+SLS_COS!AT2</f>
        <v>Previous</v>
      </c>
      <c r="AZ2" s="183"/>
      <c r="BA2" s="183" t="str">
        <f aca="false">+SLS_COS!AV2</f>
        <v>November</v>
      </c>
      <c r="BB2" s="183"/>
      <c r="BC2" s="184" t="n">
        <f aca="false">+SLS_COS!AX2</f>
        <v>30</v>
      </c>
    </row>
    <row r="3" customFormat="false" ht="12.75" hidden="false" customHeight="false" outlineLevel="0" collapsed="false">
      <c r="A3" s="178" t="str">
        <f aca="false">+SLS_COS!A3</f>
        <v>December, 2001</v>
      </c>
      <c r="C3" s="5"/>
      <c r="AW3" s="185"/>
      <c r="AX3" s="186"/>
      <c r="AY3" s="186"/>
      <c r="AZ3" s="186"/>
      <c r="BA3" s="186" t="str">
        <f aca="false">+SLS_COS!AV3</f>
        <v>Prior Avg</v>
      </c>
      <c r="BB3" s="186" t="n">
        <f aca="false">+SLS_COS!AW3</f>
        <v>12</v>
      </c>
      <c r="BC3" s="187" t="n">
        <f aca="false">+BE3/BB3</f>
        <v>30.4166666666667</v>
      </c>
      <c r="BE3" s="3" t="n">
        <f aca="false">+SLS_COS!AZ3</f>
        <v>365</v>
      </c>
    </row>
    <row r="4" customFormat="false" ht="12.75" hidden="false" customHeight="false" outlineLevel="0" collapsed="false">
      <c r="C4" s="5"/>
    </row>
    <row r="5" customFormat="false" ht="12.75" hidden="false" customHeight="false" outlineLevel="0" collapsed="false">
      <c r="A5" s="40"/>
      <c r="C5" s="5"/>
      <c r="E5" s="188" t="s">
        <v>93</v>
      </c>
      <c r="J5" s="189"/>
      <c r="L5" s="189"/>
      <c r="Q5" s="190"/>
      <c r="X5" s="191"/>
      <c r="Y5" s="191"/>
      <c r="Z5" s="191"/>
      <c r="AA5" s="191"/>
      <c r="AK5" s="192"/>
      <c r="AM5" s="191"/>
      <c r="AO5" s="191"/>
      <c r="BD5" s="183"/>
    </row>
    <row r="6" customFormat="false" ht="12.75" hidden="false" customHeight="false" outlineLevel="0" collapsed="false">
      <c r="A6" s="3"/>
      <c r="C6" s="5"/>
      <c r="D6" s="193"/>
      <c r="E6" s="194"/>
      <c r="F6" s="193"/>
      <c r="G6" s="193"/>
      <c r="H6" s="193"/>
      <c r="I6" s="46"/>
      <c r="J6" s="195"/>
      <c r="K6" s="46"/>
      <c r="L6" s="195"/>
      <c r="M6" s="46"/>
      <c r="N6" s="193"/>
      <c r="O6" s="193"/>
      <c r="Q6" s="196" t="str">
        <f aca="false">+SLS_COS!N6</f>
        <v>November, 2001</v>
      </c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E6" s="193" t="str">
        <f aca="false">+SLS_COS!AH6</f>
        <v>Prior Periods</v>
      </c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S6" s="193" t="str">
        <f aca="false">+SLS_COS!AR6</f>
        <v>Accounting Month Total</v>
      </c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</row>
    <row r="7" customFormat="false" ht="12.75" hidden="false" customHeight="false" outlineLevel="0" collapsed="false">
      <c r="A7" s="40"/>
      <c r="C7" s="40"/>
      <c r="E7" s="188"/>
      <c r="J7" s="189"/>
      <c r="L7" s="189"/>
      <c r="Q7" s="190"/>
      <c r="X7" s="191"/>
      <c r="Y7" s="191"/>
      <c r="Z7" s="191"/>
      <c r="AA7" s="191"/>
      <c r="AK7" s="192"/>
      <c r="AM7" s="191"/>
      <c r="AO7" s="191"/>
      <c r="BD7" s="183"/>
    </row>
    <row r="8" customFormat="false" ht="12.75" hidden="false" customHeight="false" outlineLevel="0" collapsed="false">
      <c r="A8" s="40"/>
      <c r="C8" s="9"/>
      <c r="E8" s="197" t="s">
        <v>7</v>
      </c>
      <c r="J8" s="189"/>
      <c r="K8" s="11" t="s">
        <v>8</v>
      </c>
      <c r="L8" s="198"/>
      <c r="M8" s="11" t="s">
        <v>9</v>
      </c>
      <c r="N8" s="198"/>
      <c r="O8" s="178" t="s">
        <v>10</v>
      </c>
      <c r="Q8" s="9"/>
      <c r="S8" s="197" t="s">
        <v>7</v>
      </c>
      <c r="X8" s="189"/>
      <c r="Y8" s="199" t="s">
        <v>8</v>
      </c>
      <c r="Z8" s="198"/>
      <c r="AA8" s="198" t="s">
        <v>9</v>
      </c>
      <c r="AB8" s="198"/>
      <c r="AC8" s="178" t="s">
        <v>10</v>
      </c>
      <c r="AE8" s="9"/>
      <c r="AG8" s="197" t="s">
        <v>7</v>
      </c>
      <c r="AK8" s="200"/>
      <c r="AL8" s="189"/>
      <c r="AM8" s="199" t="s">
        <v>8</v>
      </c>
      <c r="AN8" s="198"/>
      <c r="AO8" s="198" t="s">
        <v>9</v>
      </c>
      <c r="AP8" s="198"/>
      <c r="AQ8" s="178" t="s">
        <v>10</v>
      </c>
      <c r="AS8" s="9"/>
      <c r="AU8" s="197" t="s">
        <v>7</v>
      </c>
      <c r="AY8" s="200"/>
      <c r="AZ8" s="189"/>
      <c r="BA8" s="199" t="s">
        <v>8</v>
      </c>
      <c r="BB8" s="198"/>
      <c r="BC8" s="198" t="s">
        <v>9</v>
      </c>
      <c r="BD8" s="198"/>
      <c r="BE8" s="6" t="s">
        <v>10</v>
      </c>
    </row>
    <row r="9" customFormat="false" ht="12.75" hidden="false" customHeight="false" outlineLevel="0" collapsed="false">
      <c r="A9" s="40"/>
      <c r="C9" s="43" t="s">
        <v>11</v>
      </c>
      <c r="E9" s="194" t="s">
        <v>12</v>
      </c>
      <c r="G9" s="193" t="s">
        <v>13</v>
      </c>
      <c r="I9" s="46" t="s">
        <v>14</v>
      </c>
      <c r="J9" s="201"/>
      <c r="K9" s="46" t="s">
        <v>15</v>
      </c>
      <c r="L9" s="198"/>
      <c r="M9" s="46" t="s">
        <v>16</v>
      </c>
      <c r="N9" s="198"/>
      <c r="O9" s="193" t="s">
        <v>17</v>
      </c>
      <c r="Q9" s="43" t="s">
        <v>11</v>
      </c>
      <c r="S9" s="194" t="s">
        <v>12</v>
      </c>
      <c r="U9" s="193" t="s">
        <v>13</v>
      </c>
      <c r="W9" s="46" t="s">
        <v>14</v>
      </c>
      <c r="X9" s="201"/>
      <c r="Y9" s="202" t="s">
        <v>15</v>
      </c>
      <c r="Z9" s="198"/>
      <c r="AA9" s="203" t="s">
        <v>16</v>
      </c>
      <c r="AB9" s="198"/>
      <c r="AC9" s="193" t="s">
        <v>17</v>
      </c>
      <c r="AE9" s="43" t="s">
        <v>11</v>
      </c>
      <c r="AG9" s="194" t="s">
        <v>12</v>
      </c>
      <c r="AI9" s="193" t="s">
        <v>13</v>
      </c>
      <c r="AK9" s="202" t="s">
        <v>14</v>
      </c>
      <c r="AL9" s="201"/>
      <c r="AM9" s="202" t="s">
        <v>15</v>
      </c>
      <c r="AN9" s="198"/>
      <c r="AO9" s="203" t="s">
        <v>16</v>
      </c>
      <c r="AP9" s="198"/>
      <c r="AQ9" s="193" t="s">
        <v>17</v>
      </c>
      <c r="AS9" s="43" t="s">
        <v>11</v>
      </c>
      <c r="AU9" s="194" t="s">
        <v>12</v>
      </c>
      <c r="AW9" s="193" t="s">
        <v>13</v>
      </c>
      <c r="AY9" s="202" t="s">
        <v>14</v>
      </c>
      <c r="AZ9" s="201"/>
      <c r="BA9" s="202" t="s">
        <v>15</v>
      </c>
      <c r="BB9" s="198"/>
      <c r="BC9" s="203" t="s">
        <v>16</v>
      </c>
      <c r="BD9" s="198"/>
      <c r="BE9" s="47" t="s">
        <v>17</v>
      </c>
    </row>
    <row r="10" customFormat="false" ht="12.75" hidden="false" customHeight="false" outlineLevel="0" collapsed="false">
      <c r="A10" s="204" t="s">
        <v>94</v>
      </c>
      <c r="C10" s="48"/>
      <c r="E10" s="205"/>
      <c r="G10" s="206"/>
      <c r="I10" s="51"/>
      <c r="J10" s="207"/>
      <c r="K10" s="51"/>
      <c r="L10" s="208"/>
      <c r="M10" s="51"/>
      <c r="N10" s="208"/>
      <c r="O10" s="206"/>
      <c r="Q10" s="209"/>
      <c r="S10" s="206"/>
      <c r="U10" s="206"/>
      <c r="W10" s="51"/>
      <c r="X10" s="208"/>
      <c r="Y10" s="208"/>
      <c r="Z10" s="208"/>
      <c r="AA10" s="208"/>
      <c r="AC10" s="206"/>
      <c r="AE10" s="206"/>
      <c r="AG10" s="206"/>
      <c r="AI10" s="206"/>
      <c r="AK10" s="210"/>
      <c r="AM10" s="208"/>
      <c r="AO10" s="208"/>
      <c r="AQ10" s="206"/>
      <c r="AS10" s="206"/>
      <c r="AU10" s="206"/>
      <c r="AW10" s="206"/>
      <c r="AX10" s="206"/>
      <c r="AY10" s="206"/>
      <c r="AZ10" s="206"/>
      <c r="BA10" s="206"/>
      <c r="BB10" s="206"/>
      <c r="BC10" s="206"/>
      <c r="BD10" s="183"/>
      <c r="BE10" s="52"/>
    </row>
    <row r="11" customFormat="false" ht="12.75" hidden="false" customHeight="false" outlineLevel="0" collapsed="false">
      <c r="C11" s="40"/>
      <c r="E11" s="188"/>
      <c r="I11" s="20"/>
      <c r="J11" s="211"/>
      <c r="K11" s="20"/>
      <c r="L11" s="211"/>
      <c r="Q11" s="190"/>
      <c r="X11" s="191"/>
      <c r="Y11" s="191"/>
      <c r="Z11" s="191"/>
      <c r="AA11" s="191"/>
      <c r="AK11" s="192"/>
      <c r="AM11" s="191"/>
      <c r="AO11" s="191"/>
      <c r="AY11" s="212" t="s">
        <v>6</v>
      </c>
      <c r="AZ11" s="212"/>
      <c r="BA11" s="212"/>
      <c r="BB11" s="212"/>
      <c r="BC11" s="212"/>
      <c r="BD11" s="183"/>
    </row>
    <row r="12" customFormat="false" ht="12.75" hidden="false" customHeight="false" outlineLevel="0" collapsed="false">
      <c r="A12" s="213" t="s">
        <v>6</v>
      </c>
      <c r="C12" s="40"/>
      <c r="E12" s="188"/>
      <c r="G12" s="214"/>
      <c r="J12" s="215"/>
      <c r="L12" s="215"/>
      <c r="O12" s="216"/>
      <c r="Q12" s="188"/>
      <c r="S12" s="217"/>
      <c r="U12" s="214"/>
      <c r="X12" s="218"/>
      <c r="Y12" s="218"/>
      <c r="Z12" s="218"/>
      <c r="AA12" s="218"/>
      <c r="AC12" s="216" t="n">
        <f aca="false">ROUND(AA12/1000,0)</f>
        <v>0</v>
      </c>
      <c r="AE12" s="219"/>
      <c r="AG12" s="217"/>
      <c r="AI12" s="214"/>
      <c r="AK12" s="220"/>
      <c r="AM12" s="191"/>
      <c r="AO12" s="191"/>
      <c r="AQ12" s="216"/>
      <c r="AS12" s="188"/>
      <c r="AU12" s="217"/>
      <c r="AW12" s="214"/>
      <c r="AX12" s="214"/>
      <c r="AY12" s="220"/>
      <c r="AZ12" s="220"/>
      <c r="BA12" s="220"/>
      <c r="BB12" s="220"/>
      <c r="BC12" s="220"/>
      <c r="BD12" s="183"/>
    </row>
    <row r="13" customFormat="false" ht="12.75" hidden="false" customHeight="false" outlineLevel="0" collapsed="false">
      <c r="A13" s="204" t="s">
        <v>32</v>
      </c>
      <c r="C13" s="40" t="n">
        <f aca="false">3565000+4650000</f>
        <v>8215000</v>
      </c>
      <c r="E13" s="188" t="n">
        <f aca="false">ROUND(C13/$BC$1,0)</f>
        <v>265000</v>
      </c>
      <c r="G13" s="214" t="n">
        <f aca="false">IF(I13=0,0,I13/C13)</f>
        <v>0.26279622763238</v>
      </c>
      <c r="I13" s="5" t="n">
        <f aca="false">-K13+2221971.51</f>
        <v>2158871.01</v>
      </c>
      <c r="J13" s="215"/>
      <c r="K13" s="5" t="n">
        <f aca="false">25900.5+37200</f>
        <v>63100.5</v>
      </c>
      <c r="L13" s="215"/>
      <c r="M13" s="5" t="n">
        <f aca="false">+I13+K13</f>
        <v>2221971.51</v>
      </c>
      <c r="O13" s="216" t="n">
        <f aca="false">ROUND(M13/1000,0)</f>
        <v>2222</v>
      </c>
      <c r="Q13" s="188"/>
      <c r="S13" s="217" t="n">
        <f aca="false">ROUND(Q13/$BC$2,0)</f>
        <v>0</v>
      </c>
      <c r="U13" s="214" t="n">
        <f aca="false">IF(W13=0,0,W13/Q13)</f>
        <v>0</v>
      </c>
      <c r="W13" s="5" t="n">
        <f aca="false">-Y13</f>
        <v>-0</v>
      </c>
      <c r="X13" s="218"/>
      <c r="Y13" s="5" t="n">
        <v>0</v>
      </c>
      <c r="Z13" s="218"/>
      <c r="AA13" s="218" t="n">
        <f aca="false">+W13+Y13</f>
        <v>0</v>
      </c>
      <c r="AC13" s="216" t="n">
        <f aca="false">ROUND(AA13/1000,0)</f>
        <v>0</v>
      </c>
      <c r="AE13" s="217" t="n">
        <v>0</v>
      </c>
      <c r="AG13" s="217" t="n">
        <f aca="false">ROUND(AE13/$BC$3,0)</f>
        <v>0</v>
      </c>
      <c r="AI13" s="214" t="n">
        <f aca="false">IF(AK13=0,0,AK13/AE13)</f>
        <v>0</v>
      </c>
      <c r="AK13" s="5"/>
      <c r="AL13" s="5"/>
      <c r="AM13" s="5" t="n">
        <v>0</v>
      </c>
      <c r="AO13" s="191" t="n">
        <f aca="false">+AK13+AM13</f>
        <v>0</v>
      </c>
      <c r="AQ13" s="216" t="n">
        <f aca="false">ROUND(AK13/1000,0)</f>
        <v>0</v>
      </c>
      <c r="AS13" s="188" t="n">
        <f aca="false">+AE13+Q13+C13</f>
        <v>8215000</v>
      </c>
      <c r="AU13" s="188" t="n">
        <f aca="false">+AG13+S13+E13</f>
        <v>265000</v>
      </c>
      <c r="AW13" s="214" t="n">
        <f aca="false">IF(AY13=0,0,AY13/AS13)</f>
        <v>0.26279622763238</v>
      </c>
      <c r="AX13" s="214"/>
      <c r="AY13" s="220" t="n">
        <f aca="false">+AK13+W13+I13</f>
        <v>2158871.01</v>
      </c>
      <c r="AZ13" s="220"/>
      <c r="BA13" s="220" t="n">
        <f aca="false">+AM13+Y13+K13</f>
        <v>63100.5</v>
      </c>
      <c r="BB13" s="220"/>
      <c r="BC13" s="220" t="n">
        <f aca="false">+AO13+AA13+M13</f>
        <v>2221971.51</v>
      </c>
      <c r="BD13" s="183"/>
      <c r="BE13" s="6" t="n">
        <f aca="false">ROUND(BC13/1000,0)</f>
        <v>2222</v>
      </c>
    </row>
    <row r="14" customFormat="false" ht="12.75" hidden="false" customHeight="false" outlineLevel="0" collapsed="false">
      <c r="A14" s="204" t="s">
        <v>51</v>
      </c>
      <c r="C14" s="40" t="n">
        <v>13864544</v>
      </c>
      <c r="E14" s="188" t="n">
        <f aca="false">ROUND(C14/$BC$1,0)</f>
        <v>447243</v>
      </c>
      <c r="G14" s="214" t="n">
        <f aca="false">IF(I14=0,0,I14/C14)</f>
        <v>0.0198290120468441</v>
      </c>
      <c r="I14" s="5" t="n">
        <f aca="false">-K14+396771.89</f>
        <v>274920.21</v>
      </c>
      <c r="J14" s="215"/>
      <c r="K14" s="5" t="n">
        <v>121851.68</v>
      </c>
      <c r="L14" s="215"/>
      <c r="M14" s="5" t="n">
        <f aca="false">+I14+K14</f>
        <v>396771.89</v>
      </c>
      <c r="O14" s="216" t="n">
        <f aca="false">ROUND(M14/1000,0)</f>
        <v>397</v>
      </c>
      <c r="Q14" s="188"/>
      <c r="S14" s="217" t="n">
        <f aca="false">ROUND(Q14/$BC$2,0)</f>
        <v>0</v>
      </c>
      <c r="U14" s="214" t="n">
        <f aca="false">IF(W14=0,0,W14/Q14)</f>
        <v>0</v>
      </c>
      <c r="W14" s="5" t="n">
        <f aca="false">-Y14</f>
        <v>-0</v>
      </c>
      <c r="X14" s="218"/>
      <c r="Y14" s="5" t="n">
        <v>0</v>
      </c>
      <c r="Z14" s="218"/>
      <c r="AA14" s="218" t="n">
        <f aca="false">+W14+Y14</f>
        <v>0</v>
      </c>
      <c r="AC14" s="216" t="n">
        <f aca="false">ROUND(AA14/1000,0)</f>
        <v>0</v>
      </c>
      <c r="AE14" s="217" t="n">
        <v>0</v>
      </c>
      <c r="AG14" s="217" t="n">
        <f aca="false">ROUND(AE14/$BC$3,0)</f>
        <v>0</v>
      </c>
      <c r="AI14" s="214" t="n">
        <f aca="false">IF(AK14=0,0,AK14/AE14)</f>
        <v>0</v>
      </c>
      <c r="AK14" s="5"/>
      <c r="AL14" s="5"/>
      <c r="AM14" s="5" t="n">
        <v>0</v>
      </c>
      <c r="AO14" s="191" t="n">
        <f aca="false">+AK14+AM14</f>
        <v>0</v>
      </c>
      <c r="AQ14" s="216" t="n">
        <f aca="false">ROUND(AK14/1000,0)</f>
        <v>0</v>
      </c>
      <c r="AS14" s="188" t="n">
        <f aca="false">+AE14+Q14+C14</f>
        <v>13864544</v>
      </c>
      <c r="AU14" s="188" t="n">
        <f aca="false">+AG14+S14+E14</f>
        <v>447243</v>
      </c>
      <c r="AW14" s="214" t="n">
        <f aca="false">IF(AY14=0,0,AY14/AS14)</f>
        <v>0.0198290120468441</v>
      </c>
      <c r="AX14" s="214"/>
      <c r="AY14" s="220" t="n">
        <f aca="false">+AK14+W14+I14</f>
        <v>274920.21</v>
      </c>
      <c r="AZ14" s="220"/>
      <c r="BA14" s="220" t="n">
        <f aca="false">+AM14+Y14+K14</f>
        <v>121851.68</v>
      </c>
      <c r="BB14" s="220"/>
      <c r="BC14" s="220" t="n">
        <f aca="false">+AO14+AA14+M14</f>
        <v>396771.89</v>
      </c>
      <c r="BD14" s="183"/>
      <c r="BE14" s="6" t="n">
        <f aca="false">ROUND(BC14/1000,0)</f>
        <v>397</v>
      </c>
    </row>
    <row r="15" customFormat="false" ht="12.75" hidden="false" customHeight="false" outlineLevel="0" collapsed="false">
      <c r="A15" s="204" t="s">
        <v>53</v>
      </c>
      <c r="B15" s="178" t="s">
        <v>95</v>
      </c>
      <c r="C15" s="40"/>
      <c r="E15" s="188" t="n">
        <f aca="false">ROUND(C15/$BC$1,0)</f>
        <v>0</v>
      </c>
      <c r="G15" s="214" t="n">
        <f aca="false">IF(I15=0,0,I15/C15)</f>
        <v>0</v>
      </c>
      <c r="I15" s="5" t="n">
        <f aca="false">-K15</f>
        <v>-0</v>
      </c>
      <c r="J15" s="215"/>
      <c r="L15" s="215"/>
      <c r="M15" s="5" t="n">
        <f aca="false">+I15+K15</f>
        <v>0</v>
      </c>
      <c r="O15" s="216" t="n">
        <f aca="false">ROUND(M15/1000,0)</f>
        <v>0</v>
      </c>
      <c r="Q15" s="188"/>
      <c r="S15" s="217" t="n">
        <f aca="false">ROUND(Q15/$BC$2,0)</f>
        <v>0</v>
      </c>
      <c r="U15" s="214" t="n">
        <f aca="false">IF(W15=0,0,W15/Q15)</f>
        <v>0</v>
      </c>
      <c r="W15" s="5" t="n">
        <f aca="false">-Y15</f>
        <v>-0</v>
      </c>
      <c r="X15" s="218"/>
      <c r="Y15" s="5" t="n">
        <v>0</v>
      </c>
      <c r="Z15" s="218"/>
      <c r="AA15" s="218" t="n">
        <f aca="false">+W15+Y15</f>
        <v>0</v>
      </c>
      <c r="AC15" s="216" t="n">
        <f aca="false">ROUND(AA15/1000,0)</f>
        <v>0</v>
      </c>
      <c r="AE15" s="217" t="n">
        <v>0</v>
      </c>
      <c r="AG15" s="217" t="n">
        <f aca="false">ROUND(AE15/$BC$3,0)</f>
        <v>0</v>
      </c>
      <c r="AI15" s="214" t="n">
        <f aca="false">IF(AK15=0,0,AK15/AE15)</f>
        <v>0</v>
      </c>
      <c r="AK15" s="5"/>
      <c r="AL15" s="5"/>
      <c r="AM15" s="5"/>
      <c r="AO15" s="191" t="n">
        <f aca="false">+AK15+AM15</f>
        <v>0</v>
      </c>
      <c r="AQ15" s="216" t="n">
        <f aca="false">ROUND(AK15/1000,0)</f>
        <v>0</v>
      </c>
      <c r="AS15" s="188" t="n">
        <f aca="false">+AE15+Q15+C15</f>
        <v>0</v>
      </c>
      <c r="AU15" s="188" t="n">
        <f aca="false">+AG15+S15+E15</f>
        <v>0</v>
      </c>
      <c r="AW15" s="214" t="n">
        <f aca="false">IF(AY15=0,0,AY15/AS15)</f>
        <v>0</v>
      </c>
      <c r="AX15" s="214"/>
      <c r="AY15" s="220" t="n">
        <f aca="false">+AK15+W15+I15</f>
        <v>0</v>
      </c>
      <c r="AZ15" s="220"/>
      <c r="BA15" s="220" t="n">
        <f aca="false">+AM15+Y15+K15</f>
        <v>0</v>
      </c>
      <c r="BB15" s="220"/>
      <c r="BC15" s="220" t="n">
        <f aca="false">+AO15+AA15+M15</f>
        <v>0</v>
      </c>
      <c r="BD15" s="183"/>
      <c r="BE15" s="6" t="n">
        <f aca="false">ROUND(BC15/1000,0)</f>
        <v>0</v>
      </c>
    </row>
    <row r="16" customFormat="false" ht="12.75" hidden="false" customHeight="false" outlineLevel="0" collapsed="false">
      <c r="A16" s="204" t="s">
        <v>96</v>
      </c>
      <c r="C16" s="40"/>
      <c r="E16" s="188" t="n">
        <f aca="false">ROUND(C16/$BC$1,0)</f>
        <v>0</v>
      </c>
      <c r="G16" s="214" t="n">
        <f aca="false">IF(I16=0,0,I16/C16)</f>
        <v>0</v>
      </c>
      <c r="I16" s="5" t="n">
        <f aca="false">-K16</f>
        <v>-0</v>
      </c>
      <c r="J16" s="215"/>
      <c r="L16" s="215"/>
      <c r="M16" s="5" t="n">
        <f aca="false">+I16+K16</f>
        <v>0</v>
      </c>
      <c r="O16" s="216" t="n">
        <f aca="false">ROUND(M16/1000,0)</f>
        <v>0</v>
      </c>
      <c r="Q16" s="188"/>
      <c r="S16" s="217" t="n">
        <f aca="false">ROUND(Q16/$BC$2,0)</f>
        <v>0</v>
      </c>
      <c r="U16" s="214" t="n">
        <f aca="false">IF(W16=0,0,W16/Q16)</f>
        <v>0</v>
      </c>
      <c r="W16" s="5" t="n">
        <f aca="false">-Y16</f>
        <v>-0</v>
      </c>
      <c r="X16" s="218"/>
      <c r="Y16" s="5" t="n">
        <v>0</v>
      </c>
      <c r="Z16" s="218"/>
      <c r="AA16" s="218"/>
      <c r="AC16" s="216"/>
      <c r="AE16" s="217"/>
      <c r="AG16" s="217"/>
      <c r="AI16" s="214"/>
      <c r="AK16" s="5"/>
      <c r="AL16" s="5"/>
      <c r="AM16" s="5"/>
      <c r="AO16" s="191"/>
      <c r="AQ16" s="216"/>
      <c r="AS16" s="188"/>
      <c r="AU16" s="188"/>
      <c r="AW16" s="214"/>
      <c r="AX16" s="214"/>
      <c r="AY16" s="220" t="n">
        <f aca="false">+AK16+W16+I16</f>
        <v>0</v>
      </c>
      <c r="AZ16" s="220"/>
      <c r="BA16" s="220" t="n">
        <f aca="false">+AM16+Y16+K16</f>
        <v>0</v>
      </c>
      <c r="BB16" s="220"/>
      <c r="BC16" s="220" t="n">
        <f aca="false">+AO16+AA16+M16</f>
        <v>0</v>
      </c>
      <c r="BD16" s="183"/>
      <c r="BE16" s="6" t="n">
        <f aca="false">ROUND(BC16/1000,0)</f>
        <v>0</v>
      </c>
    </row>
    <row r="17" customFormat="false" ht="12.75" hidden="false" customHeight="false" outlineLevel="0" collapsed="false">
      <c r="A17" s="204" t="s">
        <v>54</v>
      </c>
      <c r="C17" s="40"/>
      <c r="E17" s="188" t="n">
        <f aca="false">ROUND(C17/$BC$1,0)</f>
        <v>0</v>
      </c>
      <c r="G17" s="214" t="n">
        <f aca="false">IF(I17=0,0,I17/C17)</f>
        <v>0</v>
      </c>
      <c r="I17" s="5" t="n">
        <f aca="false">-K17</f>
        <v>-0</v>
      </c>
      <c r="J17" s="215"/>
      <c r="L17" s="215"/>
      <c r="M17" s="5" t="n">
        <f aca="false">+I17+K17</f>
        <v>0</v>
      </c>
      <c r="O17" s="216" t="n">
        <f aca="false">ROUND(M17/1000,0)</f>
        <v>0</v>
      </c>
      <c r="Q17" s="188"/>
      <c r="S17" s="217" t="n">
        <f aca="false">ROUND(Q17/$BC$2,0)</f>
        <v>0</v>
      </c>
      <c r="U17" s="214" t="n">
        <f aca="false">IF(W17=0,0,W17/Q17)</f>
        <v>0</v>
      </c>
      <c r="X17" s="218"/>
      <c r="Y17" s="5" t="n">
        <v>0</v>
      </c>
      <c r="Z17" s="218"/>
      <c r="AA17" s="218" t="n">
        <f aca="false">+W17+Y17</f>
        <v>0</v>
      </c>
      <c r="AC17" s="216" t="n">
        <f aca="false">ROUND(AA17/1000,0)</f>
        <v>0</v>
      </c>
      <c r="AE17" s="217" t="n">
        <v>0</v>
      </c>
      <c r="AG17" s="217" t="n">
        <f aca="false">ROUND(AE17/$BC$3,0)</f>
        <v>0</v>
      </c>
      <c r="AI17" s="214" t="n">
        <f aca="false">IF(AK17=0,0,AK17/AE17)</f>
        <v>0</v>
      </c>
      <c r="AK17" s="5"/>
      <c r="AL17" s="5"/>
      <c r="AM17" s="5" t="n">
        <v>0</v>
      </c>
      <c r="AO17" s="191" t="n">
        <f aca="false">+AK17+AM17</f>
        <v>0</v>
      </c>
      <c r="AQ17" s="216" t="n">
        <f aca="false">ROUND(AK17/1000,0)</f>
        <v>0</v>
      </c>
      <c r="AS17" s="188" t="n">
        <f aca="false">+AE17+Q17+C17</f>
        <v>0</v>
      </c>
      <c r="AU17" s="188" t="n">
        <f aca="false">+AG17+S17+E17</f>
        <v>0</v>
      </c>
      <c r="AW17" s="214" t="n">
        <f aca="false">IF(AY17=0,0,AY17/AS17)</f>
        <v>0</v>
      </c>
      <c r="AX17" s="214"/>
      <c r="AY17" s="220" t="n">
        <f aca="false">+AK17+W17+I17</f>
        <v>0</v>
      </c>
      <c r="AZ17" s="220"/>
      <c r="BA17" s="220" t="n">
        <f aca="false">+AM17+Y17+K17</f>
        <v>0</v>
      </c>
      <c r="BB17" s="220"/>
      <c r="BC17" s="220" t="n">
        <f aca="false">+AO17+AA17+M17</f>
        <v>0</v>
      </c>
      <c r="BD17" s="183"/>
      <c r="BE17" s="6" t="n">
        <f aca="false">ROUND(BC17/1000,0)</f>
        <v>0</v>
      </c>
    </row>
    <row r="18" customFormat="false" ht="12.75" hidden="false" customHeight="false" outlineLevel="0" collapsed="false">
      <c r="A18" s="213" t="s">
        <v>37</v>
      </c>
      <c r="B18" s="221"/>
      <c r="C18" s="105" t="n">
        <f aca="false">SUM(C14:C17)</f>
        <v>13864544</v>
      </c>
      <c r="D18" s="221"/>
      <c r="E18" s="222" t="n">
        <f aca="false">SUM(E14:E17)</f>
        <v>447243</v>
      </c>
      <c r="F18" s="221"/>
      <c r="G18" s="223" t="n">
        <f aca="false">IF(I18=0,0,I18/C18)</f>
        <v>0.175540661128127</v>
      </c>
      <c r="H18" s="221"/>
      <c r="I18" s="73" t="n">
        <f aca="false">SUM(I13:I17)</f>
        <v>2433791.22</v>
      </c>
      <c r="J18" s="224"/>
      <c r="K18" s="73" t="n">
        <f aca="false">SUM(K13:K17)</f>
        <v>184952.18</v>
      </c>
      <c r="L18" s="224"/>
      <c r="M18" s="73" t="n">
        <f aca="false">SUM(M13:M17)</f>
        <v>2618743.4</v>
      </c>
      <c r="N18" s="221"/>
      <c r="O18" s="222" t="n">
        <f aca="false">SUM(O13:O17)</f>
        <v>2619</v>
      </c>
      <c r="P18" s="221"/>
      <c r="Q18" s="105" t="n">
        <f aca="false">SUM(Q14:Q17)</f>
        <v>0</v>
      </c>
      <c r="R18" s="221"/>
      <c r="S18" s="222" t="n">
        <f aca="false">SUM(S14:S17)</f>
        <v>0</v>
      </c>
      <c r="T18" s="221"/>
      <c r="U18" s="223" t="n">
        <f aca="false">IF(W18=0,0,W18/Q18)</f>
        <v>0</v>
      </c>
      <c r="V18" s="221"/>
      <c r="W18" s="73" t="n">
        <f aca="false">SUM(W13:W17)</f>
        <v>0</v>
      </c>
      <c r="X18" s="224"/>
      <c r="Y18" s="73" t="n">
        <f aca="false">SUM(Y13:Y17)</f>
        <v>0</v>
      </c>
      <c r="Z18" s="224"/>
      <c r="AA18" s="73" t="n">
        <f aca="false">SUM(AA13:AA17)</f>
        <v>0</v>
      </c>
      <c r="AB18" s="221"/>
      <c r="AC18" s="222" t="n">
        <f aca="false">SUM(AC13:AC17)</f>
        <v>0</v>
      </c>
      <c r="AD18" s="221"/>
      <c r="AE18" s="105" t="n">
        <f aca="false">SUM(AE14:AE17)</f>
        <v>0</v>
      </c>
      <c r="AF18" s="221"/>
      <c r="AG18" s="222" t="n">
        <f aca="false">SUM(AG14:AG17)</f>
        <v>0</v>
      </c>
      <c r="AH18" s="221"/>
      <c r="AI18" s="223" t="n">
        <f aca="false">IF(AK18=0,0,AK18/AE18)</f>
        <v>0</v>
      </c>
      <c r="AJ18" s="221"/>
      <c r="AK18" s="73" t="n">
        <f aca="false">SUM(AK13:AK17)</f>
        <v>0</v>
      </c>
      <c r="AL18" s="224"/>
      <c r="AM18" s="73" t="n">
        <f aca="false">SUM(AM13:AM17)</f>
        <v>0</v>
      </c>
      <c r="AN18" s="224"/>
      <c r="AO18" s="73" t="n">
        <f aca="false">SUM(AO13:AO17)</f>
        <v>0</v>
      </c>
      <c r="AP18" s="221"/>
      <c r="AQ18" s="222" t="n">
        <f aca="false">SUM(AQ13:AQ17)</f>
        <v>0</v>
      </c>
      <c r="AR18" s="221"/>
      <c r="AS18" s="105" t="n">
        <f aca="false">SUM(AS14:AS17)</f>
        <v>13864544</v>
      </c>
      <c r="AT18" s="221"/>
      <c r="AU18" s="222" t="n">
        <f aca="false">SUM(AU14:AU17)</f>
        <v>447243</v>
      </c>
      <c r="AV18" s="221"/>
      <c r="AW18" s="223" t="n">
        <f aca="false">IF(AY18=0,0,AY18/AS18)</f>
        <v>0.175540661128127</v>
      </c>
      <c r="AX18" s="221"/>
      <c r="AY18" s="73" t="n">
        <f aca="false">SUM(AY13:AY17)</f>
        <v>2433791.22</v>
      </c>
      <c r="AZ18" s="224"/>
      <c r="BA18" s="73" t="n">
        <f aca="false">SUM(BA13:BA17)</f>
        <v>184952.18</v>
      </c>
      <c r="BB18" s="224"/>
      <c r="BC18" s="73" t="n">
        <f aca="false">SUM(BC13:BC17)</f>
        <v>2618743.4</v>
      </c>
      <c r="BD18" s="221"/>
      <c r="BE18" s="222" t="n">
        <f aca="false">SUM(BE13:BE17)</f>
        <v>2619</v>
      </c>
    </row>
    <row r="19" customFormat="false" ht="12.75" hidden="false" customHeight="false" outlineLevel="0" collapsed="false">
      <c r="A19" s="204"/>
      <c r="C19" s="40"/>
      <c r="E19" s="188"/>
      <c r="G19" s="214"/>
      <c r="J19" s="215"/>
      <c r="L19" s="215"/>
      <c r="O19" s="216"/>
      <c r="Q19" s="188"/>
      <c r="S19" s="217"/>
      <c r="U19" s="214"/>
      <c r="X19" s="218"/>
      <c r="Y19" s="218"/>
      <c r="Z19" s="218"/>
      <c r="AA19" s="218"/>
      <c r="AC19" s="216"/>
      <c r="AE19" s="217"/>
      <c r="AG19" s="217"/>
      <c r="AI19" s="214"/>
      <c r="AK19" s="215"/>
      <c r="AM19" s="191"/>
      <c r="AO19" s="191"/>
      <c r="AQ19" s="216"/>
      <c r="AS19" s="188"/>
      <c r="AU19" s="217"/>
      <c r="AW19" s="214"/>
      <c r="AX19" s="214"/>
      <c r="AY19" s="220"/>
      <c r="AZ19" s="220"/>
      <c r="BA19" s="220"/>
      <c r="BB19" s="220"/>
      <c r="BC19" s="220"/>
      <c r="BD19" s="183"/>
    </row>
    <row r="20" customFormat="false" ht="12.75" hidden="false" customHeight="false" outlineLevel="0" collapsed="false">
      <c r="A20" s="204" t="s">
        <v>32</v>
      </c>
      <c r="B20" s="178" t="s">
        <v>95</v>
      </c>
      <c r="C20" s="40" t="n">
        <v>17345623</v>
      </c>
      <c r="E20" s="188" t="n">
        <f aca="false">ROUND(C20/$BC$1,0)</f>
        <v>559536</v>
      </c>
      <c r="G20" s="214" t="n">
        <f aca="false">IF(I20=0,0,I20/C20)</f>
        <v>0.247536751490563</v>
      </c>
      <c r="I20" s="5" t="n">
        <f aca="false">-K20+4379759.97</f>
        <v>4293679.17</v>
      </c>
      <c r="J20" s="215"/>
      <c r="K20" s="5" t="n">
        <v>86080.8</v>
      </c>
      <c r="L20" s="215"/>
      <c r="M20" s="5" t="n">
        <f aca="false">+I20+K20</f>
        <v>4379759.97</v>
      </c>
      <c r="O20" s="216" t="n">
        <f aca="false">ROUND(M20/1000,0)</f>
        <v>4380</v>
      </c>
      <c r="Q20" s="188"/>
      <c r="S20" s="217" t="n">
        <f aca="false">ROUND(Q20/$BC$2,0)</f>
        <v>0</v>
      </c>
      <c r="U20" s="214" t="n">
        <f aca="false">IF(W20=0,0,W20/Q20)</f>
        <v>0</v>
      </c>
      <c r="X20" s="218"/>
      <c r="Y20" s="5"/>
      <c r="Z20" s="218"/>
      <c r="AA20" s="218" t="n">
        <f aca="false">+W20+Y20</f>
        <v>0</v>
      </c>
      <c r="AC20" s="216" t="n">
        <f aca="false">ROUND(AA20/1000,0)</f>
        <v>0</v>
      </c>
      <c r="AE20" s="217"/>
      <c r="AG20" s="217" t="n">
        <f aca="false">ROUND(AE20/$BC$3,0)</f>
        <v>0</v>
      </c>
      <c r="AI20" s="214" t="n">
        <f aca="false">IF(AK20=0,0,AK20/AE20)</f>
        <v>0</v>
      </c>
      <c r="AK20" s="5" t="n">
        <f aca="false">-AM20</f>
        <v>-0</v>
      </c>
      <c r="AL20" s="5"/>
      <c r="AM20" s="5"/>
      <c r="AO20" s="191" t="n">
        <f aca="false">+AK20+AM20</f>
        <v>0</v>
      </c>
      <c r="AQ20" s="216" t="n">
        <f aca="false">ROUND(AK20/1000,0)</f>
        <v>-0</v>
      </c>
      <c r="AS20" s="188" t="n">
        <f aca="false">+AE20+Q20+C20</f>
        <v>17345623</v>
      </c>
      <c r="AU20" s="188" t="n">
        <f aca="false">+AG20+S20+E20</f>
        <v>559536</v>
      </c>
      <c r="AW20" s="214" t="n">
        <f aca="false">IF(AY20=0,0,AY20/AS20)</f>
        <v>0.247536751490563</v>
      </c>
      <c r="AX20" s="214"/>
      <c r="AY20" s="220" t="n">
        <f aca="false">+AK20+W20+I20</f>
        <v>4293679.17</v>
      </c>
      <c r="AZ20" s="220"/>
      <c r="BA20" s="220" t="n">
        <f aca="false">+AM20+Y20+K20</f>
        <v>86080.8</v>
      </c>
      <c r="BB20" s="220"/>
      <c r="BC20" s="220" t="n">
        <f aca="false">+AO20+AA20+M20</f>
        <v>4379759.97</v>
      </c>
      <c r="BD20" s="183"/>
      <c r="BE20" s="6" t="n">
        <f aca="false">ROUND(BC20/1000,0)</f>
        <v>4380</v>
      </c>
    </row>
    <row r="21" customFormat="false" ht="12.75" hidden="false" customHeight="false" outlineLevel="0" collapsed="false">
      <c r="A21" s="204" t="s">
        <v>97</v>
      </c>
      <c r="B21" s="178" t="s">
        <v>95</v>
      </c>
      <c r="C21" s="40" t="n">
        <v>9893329</v>
      </c>
      <c r="E21" s="188" t="n">
        <f aca="false">ROUND(C21/$BC$1,0)</f>
        <v>319140</v>
      </c>
      <c r="G21" s="214" t="n">
        <f aca="false">IF(I21=0,0,I21/C21)</f>
        <v>0.0229323304622741</v>
      </c>
      <c r="I21" s="5" t="n">
        <f aca="false">-K21+274627.87</f>
        <v>226877.09</v>
      </c>
      <c r="J21" s="215"/>
      <c r="K21" s="5" t="n">
        <v>47750.78</v>
      </c>
      <c r="L21" s="215"/>
      <c r="M21" s="5" t="n">
        <f aca="false">+I21+K21</f>
        <v>274627.87</v>
      </c>
      <c r="O21" s="216" t="n">
        <f aca="false">ROUND(M21/1000,0)</f>
        <v>275</v>
      </c>
      <c r="Q21" s="188" t="n">
        <v>3180</v>
      </c>
      <c r="S21" s="217" t="n">
        <f aca="false">ROUND(Q21/$BC$2,0)</f>
        <v>106</v>
      </c>
      <c r="U21" s="214" t="n">
        <f aca="false">IF(W21=0,0,W21/Q21)</f>
        <v>0.132798742138365</v>
      </c>
      <c r="W21" s="5" t="n">
        <f aca="false">-Y21+463.96</f>
        <v>422.3</v>
      </c>
      <c r="X21" s="218"/>
      <c r="Y21" s="5" t="n">
        <v>41.66</v>
      </c>
      <c r="Z21" s="218"/>
      <c r="AA21" s="218" t="n">
        <f aca="false">+W21+Y21</f>
        <v>463.96</v>
      </c>
      <c r="AC21" s="216" t="n">
        <f aca="false">ROUND(AA21/1000,0)</f>
        <v>0</v>
      </c>
      <c r="AE21" s="217"/>
      <c r="AG21" s="217" t="n">
        <f aca="false">ROUND(AE21/$BC$3,0)</f>
        <v>0</v>
      </c>
      <c r="AI21" s="214" t="n">
        <v>0</v>
      </c>
      <c r="AK21" s="5"/>
      <c r="AL21" s="5"/>
      <c r="AM21" s="5"/>
      <c r="AO21" s="191" t="n">
        <f aca="false">+AK21+AM21</f>
        <v>0</v>
      </c>
      <c r="AQ21" s="216" t="n">
        <f aca="false">ROUND(AK21/1000,0)</f>
        <v>0</v>
      </c>
      <c r="AS21" s="188" t="n">
        <f aca="false">+AE21+Q21+C21</f>
        <v>9896509</v>
      </c>
      <c r="AU21" s="188" t="n">
        <f aca="false">+AG21+S21+E21</f>
        <v>319246</v>
      </c>
      <c r="AW21" s="214" t="n">
        <f aca="false">IF(AY21=0,0,AY21/AS21)</f>
        <v>0.0229676333341383</v>
      </c>
      <c r="AX21" s="214"/>
      <c r="AY21" s="220" t="n">
        <f aca="false">+AK21+W21+I21</f>
        <v>227299.39</v>
      </c>
      <c r="AZ21" s="220"/>
      <c r="BA21" s="225" t="n">
        <f aca="false">+AM21+Y21+K21</f>
        <v>47792.44</v>
      </c>
      <c r="BB21" s="220"/>
      <c r="BC21" s="220" t="n">
        <f aca="false">+AO21+AA21+M21</f>
        <v>275091.83</v>
      </c>
      <c r="BD21" s="183"/>
      <c r="BE21" s="6" t="n">
        <f aca="false">ROUND(BC21/1000,0)</f>
        <v>275</v>
      </c>
    </row>
    <row r="22" customFormat="false" ht="12.75" hidden="false" customHeight="false" outlineLevel="0" collapsed="false">
      <c r="A22" s="204" t="s">
        <v>98</v>
      </c>
      <c r="B22" s="178" t="s">
        <v>95</v>
      </c>
      <c r="C22" s="40" t="n">
        <v>66504</v>
      </c>
      <c r="E22" s="188" t="n">
        <f aca="false">ROUND(C22/$BC$1,0)</f>
        <v>2145</v>
      </c>
      <c r="G22" s="214" t="n">
        <f aca="false">IF(I22=0,0,I22/C22)</f>
        <v>0.0243000421027307</v>
      </c>
      <c r="I22" s="5" t="n">
        <f aca="false">-K22+2221.24</f>
        <v>1616.05</v>
      </c>
      <c r="J22" s="215"/>
      <c r="K22" s="5" t="n">
        <v>605.19</v>
      </c>
      <c r="L22" s="215"/>
      <c r="M22" s="5" t="n">
        <f aca="false">+I22+K22</f>
        <v>2221.24</v>
      </c>
      <c r="O22" s="216" t="n">
        <f aca="false">ROUND(M22/1000,0)</f>
        <v>2</v>
      </c>
      <c r="Q22" s="188"/>
      <c r="S22" s="217" t="n">
        <f aca="false">ROUND(Q22/$BC$2,0)</f>
        <v>0</v>
      </c>
      <c r="U22" s="214" t="n">
        <f aca="false">IF(W22=0,0,W22/Q22)</f>
        <v>0</v>
      </c>
      <c r="W22" s="5" t="n">
        <f aca="false">-Y22</f>
        <v>-0</v>
      </c>
      <c r="X22" s="218"/>
      <c r="Y22" s="5"/>
      <c r="Z22" s="218"/>
      <c r="AA22" s="218" t="n">
        <f aca="false">+W22+Y22</f>
        <v>0</v>
      </c>
      <c r="AC22" s="216" t="n">
        <f aca="false">ROUND(AA22/1000,0)</f>
        <v>0</v>
      </c>
      <c r="AE22" s="217" t="n">
        <v>0</v>
      </c>
      <c r="AG22" s="217" t="n">
        <f aca="false">ROUND(AE22/$BC$3,0)</f>
        <v>0</v>
      </c>
      <c r="AI22" s="214" t="n">
        <f aca="false">IF(AK22=0,0,AK22/AE22)</f>
        <v>0</v>
      </c>
      <c r="AK22" s="5"/>
      <c r="AL22" s="5"/>
      <c r="AM22" s="5"/>
      <c r="AO22" s="191" t="n">
        <f aca="false">+AK22+AM22</f>
        <v>0</v>
      </c>
      <c r="AQ22" s="216" t="n">
        <f aca="false">ROUND(AK22/1000,0)</f>
        <v>0</v>
      </c>
      <c r="AS22" s="188" t="n">
        <f aca="false">+AE22+Q22+C22</f>
        <v>66504</v>
      </c>
      <c r="AU22" s="188" t="n">
        <f aca="false">+AG22+S22+E22</f>
        <v>2145</v>
      </c>
      <c r="AW22" s="214" t="n">
        <f aca="false">IF(AY22=0,0,AY22/AS22)</f>
        <v>0.0243000421027307</v>
      </c>
      <c r="AX22" s="214"/>
      <c r="AY22" s="220" t="n">
        <f aca="false">+AK22+W22+I22</f>
        <v>1616.05</v>
      </c>
      <c r="AZ22" s="220"/>
      <c r="BA22" s="220" t="n">
        <f aca="false">+AM22+Y22+K22</f>
        <v>605.19</v>
      </c>
      <c r="BB22" s="220"/>
      <c r="BC22" s="220" t="n">
        <f aca="false">+AO22+AA22+M22</f>
        <v>2221.24</v>
      </c>
      <c r="BD22" s="183"/>
      <c r="BE22" s="6" t="n">
        <f aca="false">ROUND(BC22/1000,0)</f>
        <v>2</v>
      </c>
    </row>
    <row r="23" customFormat="false" ht="12.75" hidden="false" customHeight="false" outlineLevel="0" collapsed="false">
      <c r="A23" s="204" t="s">
        <v>99</v>
      </c>
      <c r="C23" s="40"/>
      <c r="E23" s="188" t="n">
        <f aca="false">ROUND(C23/$BC$1,0)</f>
        <v>0</v>
      </c>
      <c r="G23" s="214" t="n">
        <f aca="false">IF(I23=0,0,I23/C23)</f>
        <v>0</v>
      </c>
      <c r="I23" s="5" t="n">
        <f aca="false">-K23</f>
        <v>-0</v>
      </c>
      <c r="J23" s="215"/>
      <c r="L23" s="215"/>
      <c r="M23" s="5" t="n">
        <f aca="false">+I23+K23</f>
        <v>0</v>
      </c>
      <c r="O23" s="216" t="n">
        <f aca="false">ROUND(M23/1000,0)</f>
        <v>0</v>
      </c>
      <c r="Q23" s="188"/>
      <c r="S23" s="217" t="n">
        <f aca="false">ROUND(Q23/$BC$2,0)</f>
        <v>0</v>
      </c>
      <c r="U23" s="214" t="n">
        <f aca="false">IF(W23=0,0,W23/Q23)</f>
        <v>0</v>
      </c>
      <c r="W23" s="5" t="n">
        <f aca="false">-Y23</f>
        <v>-0</v>
      </c>
      <c r="X23" s="218"/>
      <c r="Y23" s="5"/>
      <c r="Z23" s="218"/>
      <c r="AA23" s="218"/>
      <c r="AC23" s="216"/>
      <c r="AE23" s="217"/>
      <c r="AG23" s="217"/>
      <c r="AI23" s="214"/>
      <c r="AK23" s="5"/>
      <c r="AL23" s="5"/>
      <c r="AM23" s="5"/>
      <c r="AO23" s="191"/>
      <c r="AQ23" s="216"/>
      <c r="AS23" s="188" t="n">
        <f aca="false">+AE23+Q23+C23</f>
        <v>0</v>
      </c>
      <c r="AU23" s="188"/>
      <c r="AW23" s="214"/>
      <c r="AX23" s="214"/>
      <c r="AY23" s="220" t="n">
        <f aca="false">+AK23+W23+I23</f>
        <v>0</v>
      </c>
      <c r="AZ23" s="220"/>
      <c r="BA23" s="220" t="n">
        <f aca="false">+AM23+Y23+K23</f>
        <v>0</v>
      </c>
      <c r="BB23" s="220"/>
      <c r="BC23" s="220" t="n">
        <f aca="false">+AO23+AA23+M23</f>
        <v>0</v>
      </c>
      <c r="BD23" s="183"/>
      <c r="BE23" s="6" t="n">
        <f aca="false">ROUND(BC23/1000,0)</f>
        <v>0</v>
      </c>
    </row>
    <row r="24" customFormat="false" ht="12.75" hidden="false" customHeight="false" outlineLevel="0" collapsed="false">
      <c r="A24" s="204" t="s">
        <v>100</v>
      </c>
      <c r="C24" s="40"/>
      <c r="E24" s="188" t="n">
        <f aca="false">ROUND(C24/$BC$1,0)</f>
        <v>0</v>
      </c>
      <c r="G24" s="214" t="n">
        <f aca="false">IF(I24=0,0,I24/C24)</f>
        <v>0</v>
      </c>
      <c r="I24" s="5" t="n">
        <f aca="false">-K24</f>
        <v>-0</v>
      </c>
      <c r="J24" s="215"/>
      <c r="L24" s="215"/>
      <c r="M24" s="5" t="n">
        <f aca="false">+I24+K24</f>
        <v>0</v>
      </c>
      <c r="O24" s="216" t="n">
        <f aca="false">ROUND(M24/1000,0)</f>
        <v>0</v>
      </c>
      <c r="Q24" s="188"/>
      <c r="S24" s="217" t="n">
        <f aca="false">ROUND(Q24/$BC$2,0)</f>
        <v>0</v>
      </c>
      <c r="U24" s="214" t="n">
        <f aca="false">IF(W24=0,0,W24/Q24)</f>
        <v>0</v>
      </c>
      <c r="W24" s="5" t="n">
        <f aca="false">-Y24</f>
        <v>-0</v>
      </c>
      <c r="X24" s="218"/>
      <c r="Y24" s="5"/>
      <c r="Z24" s="218"/>
      <c r="AA24" s="218" t="n">
        <f aca="false">+W24+Y24</f>
        <v>0</v>
      </c>
      <c r="AC24" s="216" t="n">
        <f aca="false">ROUND(AA24/1000,0)</f>
        <v>0</v>
      </c>
      <c r="AE24" s="217"/>
      <c r="AG24" s="217" t="n">
        <f aca="false">ROUND(AE24/$BC$3,0)</f>
        <v>0</v>
      </c>
      <c r="AI24" s="214" t="n">
        <f aca="false">IF(AK24=0,0,AK24/AE24)</f>
        <v>0</v>
      </c>
      <c r="AK24" s="5"/>
      <c r="AL24" s="5"/>
      <c r="AM24" s="5"/>
      <c r="AO24" s="191" t="n">
        <f aca="false">+AK24+AM24</f>
        <v>0</v>
      </c>
      <c r="AQ24" s="216" t="n">
        <f aca="false">ROUND(AK24/1000,0)</f>
        <v>0</v>
      </c>
      <c r="AS24" s="188" t="n">
        <f aca="false">+AE24+Q24+C24</f>
        <v>0</v>
      </c>
      <c r="AU24" s="188" t="n">
        <f aca="false">+AG24+S24+E24</f>
        <v>0</v>
      </c>
      <c r="AW24" s="214" t="n">
        <f aca="false">IF(AY24=0,0,AY24/AS24)</f>
        <v>0</v>
      </c>
      <c r="AX24" s="214"/>
      <c r="AY24" s="220" t="n">
        <f aca="false">+AK24+W24+I24</f>
        <v>0</v>
      </c>
      <c r="AZ24" s="220"/>
      <c r="BA24" s="220" t="n">
        <f aca="false">+AM24+Y24+K24</f>
        <v>0</v>
      </c>
      <c r="BB24" s="220"/>
      <c r="BC24" s="220" t="n">
        <f aca="false">+AO24+AA24+M24</f>
        <v>0</v>
      </c>
      <c r="BD24" s="183"/>
      <c r="BE24" s="6" t="n">
        <f aca="false">ROUND(BC24/1000,0)</f>
        <v>0</v>
      </c>
    </row>
    <row r="25" customFormat="false" ht="10.5" hidden="false" customHeight="true" outlineLevel="0" collapsed="false">
      <c r="A25" s="213" t="s">
        <v>37</v>
      </c>
      <c r="B25" s="221"/>
      <c r="C25" s="105" t="n">
        <f aca="false">SUM(C21:C24)</f>
        <v>9959833</v>
      </c>
      <c r="D25" s="221"/>
      <c r="E25" s="222" t="n">
        <f aca="false">SUM(E21:E24)</f>
        <v>321285</v>
      </c>
      <c r="F25" s="221"/>
      <c r="G25" s="223" t="n">
        <f aca="false">IF(I25=0,0,I25/C25)</f>
        <v>0.454040977393898</v>
      </c>
      <c r="H25" s="221"/>
      <c r="I25" s="73" t="n">
        <f aca="false">SUM(I20:I24)</f>
        <v>4522172.31</v>
      </c>
      <c r="J25" s="226"/>
      <c r="K25" s="73" t="n">
        <f aca="false">SUM(K20:K24)</f>
        <v>134436.77</v>
      </c>
      <c r="L25" s="226"/>
      <c r="M25" s="73" t="n">
        <f aca="false">SUM(M20:M24)</f>
        <v>4656609.08</v>
      </c>
      <c r="N25" s="221"/>
      <c r="O25" s="222" t="n">
        <f aca="false">SUM(O20:O24)</f>
        <v>4657</v>
      </c>
      <c r="P25" s="221"/>
      <c r="Q25" s="105" t="n">
        <f aca="false">SUM(Q21:Q24)</f>
        <v>3180</v>
      </c>
      <c r="R25" s="221"/>
      <c r="S25" s="227" t="n">
        <f aca="false">SUM(S21:S24)</f>
        <v>106</v>
      </c>
      <c r="T25" s="221"/>
      <c r="U25" s="223" t="n">
        <f aca="false">IF(W25=0,0,W25/Q25)</f>
        <v>0.132798742138365</v>
      </c>
      <c r="V25" s="221"/>
      <c r="W25" s="73" t="n">
        <f aca="false">SUM(W20:W24)</f>
        <v>422.3</v>
      </c>
      <c r="X25" s="224"/>
      <c r="Y25" s="228" t="n">
        <f aca="false">SUM(Y20:Y24)</f>
        <v>41.66</v>
      </c>
      <c r="Z25" s="224"/>
      <c r="AA25" s="228" t="n">
        <f aca="false">SUM(AA20:AA24)</f>
        <v>463.96</v>
      </c>
      <c r="AB25" s="221"/>
      <c r="AC25" s="222" t="n">
        <f aca="false">SUM(AC20:AC24)</f>
        <v>0</v>
      </c>
      <c r="AD25" s="221"/>
      <c r="AE25" s="105" t="n">
        <f aca="false">SUM(AE21:AE24)</f>
        <v>0</v>
      </c>
      <c r="AF25" s="221"/>
      <c r="AG25" s="227" t="n">
        <f aca="false">SUM(AG21:AG24)</f>
        <v>0</v>
      </c>
      <c r="AH25" s="221"/>
      <c r="AI25" s="223" t="n">
        <f aca="false">IF(AK25=0,0,AK25/AE25)</f>
        <v>0</v>
      </c>
      <c r="AJ25" s="221"/>
      <c r="AK25" s="228" t="n">
        <f aca="false">SUM(AK20:AK24)</f>
        <v>0</v>
      </c>
      <c r="AL25" s="221"/>
      <c r="AM25" s="228" t="n">
        <f aca="false">SUM(AM20:AM24)</f>
        <v>0</v>
      </c>
      <c r="AN25" s="221"/>
      <c r="AO25" s="228" t="n">
        <f aca="false">SUM(AO20:AO24)</f>
        <v>0</v>
      </c>
      <c r="AP25" s="221"/>
      <c r="AQ25" s="222" t="n">
        <f aca="false">SUM(AQ20:AQ24)</f>
        <v>0</v>
      </c>
      <c r="AR25" s="221"/>
      <c r="AS25" s="105" t="n">
        <f aca="false">SUM(AS21:AS24)</f>
        <v>9963013</v>
      </c>
      <c r="AT25" s="221"/>
      <c r="AU25" s="227" t="n">
        <f aca="false">SUM(AU21:AU24)</f>
        <v>321391</v>
      </c>
      <c r="AV25" s="221"/>
      <c r="AW25" s="223" t="n">
        <f aca="false">IF(AY25=0,0,AY25/AS25)</f>
        <v>0.453938443119566</v>
      </c>
      <c r="AX25" s="229"/>
      <c r="AY25" s="228" t="n">
        <f aca="false">SUM(AY20:AY24)</f>
        <v>4522594.61</v>
      </c>
      <c r="AZ25" s="224"/>
      <c r="BA25" s="228" t="n">
        <f aca="false">SUM(BA20:BA24)</f>
        <v>134478.43</v>
      </c>
      <c r="BB25" s="224"/>
      <c r="BC25" s="228" t="n">
        <f aca="false">SUM(BC20:BC24)</f>
        <v>4657073.04</v>
      </c>
      <c r="BD25" s="224"/>
      <c r="BE25" s="75" t="n">
        <f aca="false">SUM(BE20:BE24)</f>
        <v>4657</v>
      </c>
    </row>
    <row r="26" customFormat="false" ht="12.75" hidden="false" customHeight="false" outlineLevel="0" collapsed="false">
      <c r="A26" s="204"/>
      <c r="C26" s="40"/>
      <c r="E26" s="188"/>
      <c r="G26" s="214"/>
      <c r="J26" s="215"/>
      <c r="L26" s="215"/>
      <c r="O26" s="216"/>
      <c r="Q26" s="188"/>
      <c r="S26" s="217"/>
      <c r="U26" s="214"/>
      <c r="X26" s="218"/>
      <c r="Y26" s="218"/>
      <c r="Z26" s="218"/>
      <c r="AA26" s="218"/>
      <c r="AC26" s="216"/>
      <c r="AE26" s="217"/>
      <c r="AG26" s="217"/>
      <c r="AI26" s="214"/>
      <c r="AK26" s="215"/>
      <c r="AM26" s="191"/>
      <c r="AO26" s="191"/>
      <c r="AQ26" s="216"/>
      <c r="AS26" s="188"/>
      <c r="AU26" s="217"/>
      <c r="AW26" s="214"/>
      <c r="AX26" s="214"/>
      <c r="AY26" s="220"/>
      <c r="AZ26" s="220"/>
      <c r="BA26" s="220"/>
      <c r="BB26" s="220"/>
      <c r="BC26" s="220"/>
      <c r="BD26" s="183"/>
    </row>
    <row r="27" customFormat="false" ht="12.75" hidden="false" customHeight="false" outlineLevel="0" collapsed="false">
      <c r="A27" s="204" t="s">
        <v>32</v>
      </c>
      <c r="B27" s="178" t="s">
        <v>95</v>
      </c>
      <c r="C27" s="188" t="n">
        <v>1860000</v>
      </c>
      <c r="E27" s="188" t="n">
        <f aca="false">ROUND(C27/$BC$1,0)</f>
        <v>60000</v>
      </c>
      <c r="G27" s="214" t="n">
        <f aca="false">IF(I27=0,0,I27/C27)</f>
        <v>0.161500537634409</v>
      </c>
      <c r="I27" s="5" t="n">
        <f aca="false">-K27+300391</f>
        <v>300391</v>
      </c>
      <c r="J27" s="215"/>
      <c r="L27" s="215"/>
      <c r="M27" s="5" t="n">
        <f aca="false">+I27+K27</f>
        <v>300391</v>
      </c>
      <c r="O27" s="216" t="n">
        <f aca="false">ROUND(M27/1000,0)</f>
        <v>300</v>
      </c>
      <c r="Q27" s="188" t="n">
        <v>0</v>
      </c>
      <c r="S27" s="217" t="n">
        <f aca="false">ROUND(Q27/$BC$2,0)</f>
        <v>0</v>
      </c>
      <c r="U27" s="214" t="n">
        <f aca="false">IF(W27=0,0,W27/Q27)</f>
        <v>0</v>
      </c>
      <c r="W27" s="5" t="n">
        <f aca="false">-Y27</f>
        <v>-0</v>
      </c>
      <c r="X27" s="218"/>
      <c r="Y27" s="5" t="n">
        <v>0</v>
      </c>
      <c r="Z27" s="218"/>
      <c r="AA27" s="218" t="n">
        <f aca="false">+W27+Y27</f>
        <v>0</v>
      </c>
      <c r="AC27" s="216" t="n">
        <f aca="false">ROUND(AA27/1000,0)</f>
        <v>0</v>
      </c>
      <c r="AE27" s="217" t="n">
        <v>0</v>
      </c>
      <c r="AG27" s="217" t="n">
        <f aca="false">ROUND(AE27/$BC$3,0)</f>
        <v>0</v>
      </c>
      <c r="AI27" s="214" t="n">
        <f aca="false">IF(AK27=0,0,AK27/AE27)</f>
        <v>0</v>
      </c>
      <c r="AK27" s="5"/>
      <c r="AL27" s="5"/>
      <c r="AM27" s="5" t="n">
        <v>0</v>
      </c>
      <c r="AO27" s="191" t="n">
        <f aca="false">+AK27+AM27</f>
        <v>0</v>
      </c>
      <c r="AQ27" s="216" t="n">
        <f aca="false">ROUND(AK27/1000,0)</f>
        <v>0</v>
      </c>
      <c r="AS27" s="188" t="n">
        <f aca="false">+AE27+Q27+C27</f>
        <v>1860000</v>
      </c>
      <c r="AU27" s="188" t="n">
        <f aca="false">+AG27+S27+E27</f>
        <v>60000</v>
      </c>
      <c r="AW27" s="214" t="n">
        <f aca="false">IF(AY27=0,0,AY27/AS27)</f>
        <v>0.161500537634409</v>
      </c>
      <c r="AX27" s="214"/>
      <c r="AY27" s="220" t="n">
        <f aca="false">+AK27+W27+I27</f>
        <v>300391</v>
      </c>
      <c r="AZ27" s="220"/>
      <c r="BA27" s="220" t="n">
        <f aca="false">+AM27+Y27+K27</f>
        <v>0</v>
      </c>
      <c r="BB27" s="220"/>
      <c r="BC27" s="220" t="n">
        <f aca="false">+AO27+AA27+M27</f>
        <v>300391</v>
      </c>
      <c r="BD27" s="183"/>
      <c r="BE27" s="6" t="n">
        <f aca="false">ROUND(BC27/1000,0)</f>
        <v>300</v>
      </c>
    </row>
    <row r="28" customFormat="false" ht="12.75" hidden="false" customHeight="false" outlineLevel="0" collapsed="false">
      <c r="A28" s="204" t="s">
        <v>33</v>
      </c>
      <c r="B28" s="178" t="s">
        <v>95</v>
      </c>
      <c r="C28" s="188" t="n">
        <v>1859946</v>
      </c>
      <c r="E28" s="188" t="n">
        <f aca="false">ROUND(C28/$BC$1,0)</f>
        <v>59998</v>
      </c>
      <c r="G28" s="214" t="n">
        <f aca="false">IF(I28=0,0,I28/C28)</f>
        <v>0.01849999946235</v>
      </c>
      <c r="I28" s="5" t="n">
        <f aca="false">-K28+34409</f>
        <v>34409</v>
      </c>
      <c r="J28" s="215"/>
      <c r="L28" s="215"/>
      <c r="M28" s="5" t="n">
        <f aca="false">+I28+K28</f>
        <v>34409</v>
      </c>
      <c r="O28" s="216" t="n">
        <f aca="false">ROUND(M28/1000,0)</f>
        <v>34</v>
      </c>
      <c r="Q28" s="188" t="n">
        <v>0</v>
      </c>
      <c r="S28" s="217" t="n">
        <f aca="false">ROUND(Q28/$BC$2,0)</f>
        <v>0</v>
      </c>
      <c r="U28" s="214" t="n">
        <f aca="false">IF(W28=0,0,W28/Q28)</f>
        <v>0</v>
      </c>
      <c r="W28" s="5" t="n">
        <f aca="false">-Y28</f>
        <v>-0</v>
      </c>
      <c r="X28" s="218"/>
      <c r="Y28" s="5" t="n">
        <v>0</v>
      </c>
      <c r="Z28" s="218"/>
      <c r="AA28" s="218" t="n">
        <f aca="false">+W28+Y28</f>
        <v>0</v>
      </c>
      <c r="AC28" s="216" t="n">
        <f aca="false">ROUND(AA28/1000,0)</f>
        <v>0</v>
      </c>
      <c r="AE28" s="217" t="n">
        <v>0</v>
      </c>
      <c r="AG28" s="217" t="n">
        <f aca="false">ROUND(AE28/$BC$3,0)</f>
        <v>0</v>
      </c>
      <c r="AI28" s="214" t="n">
        <f aca="false">IF(AK28=0,0,AK28/AE28)</f>
        <v>0</v>
      </c>
      <c r="AK28" s="5"/>
      <c r="AL28" s="5"/>
      <c r="AM28" s="5" t="n">
        <v>0</v>
      </c>
      <c r="AO28" s="191" t="n">
        <f aca="false">+AK28+AM28</f>
        <v>0</v>
      </c>
      <c r="AQ28" s="216" t="n">
        <f aca="false">ROUND(AK28/1000,0)</f>
        <v>0</v>
      </c>
      <c r="AS28" s="188" t="n">
        <f aca="false">+AE28+Q28+C28</f>
        <v>1859946</v>
      </c>
      <c r="AU28" s="188" t="n">
        <f aca="false">+AG28+S28+E28</f>
        <v>59998</v>
      </c>
      <c r="AW28" s="214" t="n">
        <f aca="false">IF(AY28=0,0,AY28/AS28)</f>
        <v>0.01849999946235</v>
      </c>
      <c r="AX28" s="214"/>
      <c r="AY28" s="220" t="n">
        <f aca="false">+AK28+W28+I28</f>
        <v>34409</v>
      </c>
      <c r="AZ28" s="220"/>
      <c r="BA28" s="220" t="n">
        <f aca="false">+AM28+Y28+K28</f>
        <v>0</v>
      </c>
      <c r="BB28" s="220"/>
      <c r="BC28" s="220" t="n">
        <f aca="false">+AO28+AA28+M28</f>
        <v>34409</v>
      </c>
      <c r="BD28" s="183"/>
      <c r="BE28" s="6" t="n">
        <f aca="false">ROUND(BC28/1000,0)</f>
        <v>34</v>
      </c>
    </row>
    <row r="29" customFormat="false" ht="12.75" hidden="false" customHeight="false" outlineLevel="0" collapsed="false">
      <c r="A29" s="204" t="s">
        <v>34</v>
      </c>
      <c r="C29" s="40"/>
      <c r="E29" s="188" t="n">
        <f aca="false">ROUND(C29/$BC$1,0)</f>
        <v>0</v>
      </c>
      <c r="G29" s="214" t="n">
        <f aca="false">IF(I29=0,0,I29/C29)</f>
        <v>0</v>
      </c>
      <c r="I29" s="5" t="n">
        <f aca="false">-K29</f>
        <v>-0</v>
      </c>
      <c r="J29" s="215"/>
      <c r="L29" s="215"/>
      <c r="M29" s="5" t="n">
        <f aca="false">+I29+K29</f>
        <v>0</v>
      </c>
      <c r="O29" s="216" t="n">
        <f aca="false">ROUND(M29/1000,0)</f>
        <v>0</v>
      </c>
      <c r="Q29" s="188" t="n">
        <v>0</v>
      </c>
      <c r="S29" s="217" t="n">
        <f aca="false">ROUND(Q29/$BC$2,0)</f>
        <v>0</v>
      </c>
      <c r="U29" s="214" t="n">
        <f aca="false">IF(W29=0,0,W29/Q29)</f>
        <v>0</v>
      </c>
      <c r="W29" s="5" t="n">
        <f aca="false">-Y29</f>
        <v>-0</v>
      </c>
      <c r="X29" s="218"/>
      <c r="Y29" s="5" t="n">
        <v>0</v>
      </c>
      <c r="Z29" s="218"/>
      <c r="AA29" s="218" t="n">
        <f aca="false">+W29+Y29</f>
        <v>0</v>
      </c>
      <c r="AC29" s="216" t="n">
        <f aca="false">ROUND(AA29/1000,0)</f>
        <v>0</v>
      </c>
      <c r="AE29" s="217" t="n">
        <v>0</v>
      </c>
      <c r="AG29" s="217" t="n">
        <f aca="false">ROUND(AE29/$BC$3,0)</f>
        <v>0</v>
      </c>
      <c r="AI29" s="214" t="n">
        <f aca="false">IF(AK29=0,0,AK29/AE29)</f>
        <v>0</v>
      </c>
      <c r="AK29" s="5"/>
      <c r="AL29" s="5"/>
      <c r="AM29" s="5" t="n">
        <v>0</v>
      </c>
      <c r="AO29" s="191" t="n">
        <f aca="false">+AK29+AM29</f>
        <v>0</v>
      </c>
      <c r="AQ29" s="216" t="n">
        <f aca="false">ROUND(AK29/1000,0)</f>
        <v>0</v>
      </c>
      <c r="AS29" s="188" t="n">
        <f aca="false">+AE29+Q29+C29</f>
        <v>0</v>
      </c>
      <c r="AU29" s="188" t="n">
        <f aca="false">+AG29+S29+E29</f>
        <v>0</v>
      </c>
      <c r="AW29" s="214" t="n">
        <f aca="false">IF(AY29=0,0,AY29/AS29)</f>
        <v>0</v>
      </c>
      <c r="AX29" s="214"/>
      <c r="AY29" s="220" t="n">
        <f aca="false">+AK29+W29+I29</f>
        <v>0</v>
      </c>
      <c r="AZ29" s="220"/>
      <c r="BA29" s="220" t="n">
        <f aca="false">+AM29+Y29+K29</f>
        <v>0</v>
      </c>
      <c r="BB29" s="220"/>
      <c r="BC29" s="220" t="n">
        <f aca="false">+AO29+AA29+M29</f>
        <v>0</v>
      </c>
      <c r="BD29" s="183"/>
      <c r="BE29" s="6" t="n">
        <f aca="false">ROUND(BC29/1000,0)</f>
        <v>0</v>
      </c>
    </row>
    <row r="30" customFormat="false" ht="12.75" hidden="false" customHeight="false" outlineLevel="0" collapsed="false">
      <c r="A30" s="204" t="s">
        <v>35</v>
      </c>
      <c r="C30" s="40"/>
      <c r="E30" s="188" t="n">
        <f aca="false">ROUND(C30/$BC$1,0)</f>
        <v>0</v>
      </c>
      <c r="G30" s="214" t="n">
        <f aca="false">IF(I30=0,0,I30/C30)</f>
        <v>0</v>
      </c>
      <c r="I30" s="5" t="n">
        <f aca="false">-K30</f>
        <v>-0</v>
      </c>
      <c r="J30" s="215"/>
      <c r="L30" s="215"/>
      <c r="M30" s="5" t="n">
        <f aca="false">+I30+K30</f>
        <v>0</v>
      </c>
      <c r="O30" s="216" t="n">
        <f aca="false">ROUND(M30/1000,0)</f>
        <v>0</v>
      </c>
      <c r="Q30" s="188" t="n">
        <v>0</v>
      </c>
      <c r="S30" s="217" t="n">
        <f aca="false">ROUND(Q30/$BC$2,0)</f>
        <v>0</v>
      </c>
      <c r="U30" s="214" t="n">
        <f aca="false">IF(W30=0,0,W30/Q30)</f>
        <v>0</v>
      </c>
      <c r="W30" s="5" t="n">
        <f aca="false">-Y30</f>
        <v>-0</v>
      </c>
      <c r="X30" s="218"/>
      <c r="Y30" s="5"/>
      <c r="Z30" s="218"/>
      <c r="AA30" s="218"/>
      <c r="AC30" s="216"/>
      <c r="AE30" s="217"/>
      <c r="AG30" s="217"/>
      <c r="AI30" s="214"/>
      <c r="AK30" s="5"/>
      <c r="AL30" s="5"/>
      <c r="AM30" s="5"/>
      <c r="AO30" s="191"/>
      <c r="AQ30" s="216"/>
      <c r="AS30" s="188"/>
      <c r="AU30" s="188"/>
      <c r="AW30" s="214"/>
      <c r="AX30" s="214"/>
      <c r="AY30" s="220" t="n">
        <f aca="false">+AK30+W30+I30</f>
        <v>0</v>
      </c>
      <c r="AZ30" s="220"/>
      <c r="BA30" s="220" t="n">
        <f aca="false">+AM30+Y30+K30</f>
        <v>0</v>
      </c>
      <c r="BB30" s="220"/>
      <c r="BC30" s="220" t="n">
        <f aca="false">+AO30+AA30+M30</f>
        <v>0</v>
      </c>
      <c r="BD30" s="183"/>
      <c r="BE30" s="6" t="n">
        <f aca="false">ROUND(BC30/1000,0)</f>
        <v>0</v>
      </c>
    </row>
    <row r="31" customFormat="false" ht="12.75" hidden="false" customHeight="false" outlineLevel="0" collapsed="false">
      <c r="A31" s="204" t="s">
        <v>36</v>
      </c>
      <c r="C31" s="40"/>
      <c r="E31" s="188" t="n">
        <f aca="false">ROUND(C31/$BC$1,0)</f>
        <v>0</v>
      </c>
      <c r="G31" s="214" t="n">
        <f aca="false">IF(I31=0,0,I31/C31)</f>
        <v>0</v>
      </c>
      <c r="I31" s="5" t="n">
        <f aca="false">-K31</f>
        <v>-0</v>
      </c>
      <c r="J31" s="215"/>
      <c r="L31" s="215"/>
      <c r="M31" s="5" t="n">
        <f aca="false">+I31+K31</f>
        <v>0</v>
      </c>
      <c r="O31" s="216" t="n">
        <f aca="false">ROUND(M31/1000,0)</f>
        <v>0</v>
      </c>
      <c r="Q31" s="188" t="n">
        <v>0</v>
      </c>
      <c r="S31" s="217" t="n">
        <f aca="false">ROUND(Q31/$BC$2,0)</f>
        <v>0</v>
      </c>
      <c r="U31" s="214" t="n">
        <f aca="false">IF(W31=0,0,W31/Q31)</f>
        <v>0</v>
      </c>
      <c r="W31" s="5" t="n">
        <f aca="false">-Y31</f>
        <v>-0</v>
      </c>
      <c r="X31" s="218"/>
      <c r="Y31" s="5" t="n">
        <v>0</v>
      </c>
      <c r="Z31" s="218"/>
      <c r="AA31" s="218" t="n">
        <f aca="false">+W31+Y31</f>
        <v>0</v>
      </c>
      <c r="AC31" s="216" t="n">
        <f aca="false">ROUND(AA31/1000,0)</f>
        <v>0</v>
      </c>
      <c r="AE31" s="217" t="n">
        <v>0</v>
      </c>
      <c r="AG31" s="217" t="n">
        <f aca="false">ROUND(AE31/$BC$3,0)</f>
        <v>0</v>
      </c>
      <c r="AI31" s="214" t="n">
        <f aca="false">IF(AK31=0,0,AK31/AE31)</f>
        <v>0</v>
      </c>
      <c r="AK31" s="5"/>
      <c r="AL31" s="5"/>
      <c r="AM31" s="5" t="n">
        <v>0</v>
      </c>
      <c r="AO31" s="191" t="n">
        <f aca="false">+AK31+AM31</f>
        <v>0</v>
      </c>
      <c r="AQ31" s="216" t="n">
        <f aca="false">ROUND(AK31/1000,0)</f>
        <v>0</v>
      </c>
      <c r="AS31" s="188" t="n">
        <f aca="false">+AE31+Q31+C31</f>
        <v>0</v>
      </c>
      <c r="AU31" s="188" t="n">
        <f aca="false">+AG31+S31+E31</f>
        <v>0</v>
      </c>
      <c r="AW31" s="214" t="n">
        <f aca="false">IF(AY31=0,0,AY31/AS31)</f>
        <v>0</v>
      </c>
      <c r="AX31" s="214"/>
      <c r="AY31" s="220" t="n">
        <f aca="false">+AK31+W31+I31</f>
        <v>0</v>
      </c>
      <c r="AZ31" s="220"/>
      <c r="BA31" s="220" t="n">
        <f aca="false">+AM31+Y31+K31</f>
        <v>0</v>
      </c>
      <c r="BB31" s="220"/>
      <c r="BC31" s="220" t="n">
        <f aca="false">+AO31+AA31+M31</f>
        <v>0</v>
      </c>
      <c r="BD31" s="183"/>
      <c r="BE31" s="6" t="n">
        <f aca="false">ROUND(BC31/1000,0)</f>
        <v>0</v>
      </c>
    </row>
    <row r="32" customFormat="false" ht="12.75" hidden="false" customHeight="false" outlineLevel="0" collapsed="false">
      <c r="A32" s="213" t="s">
        <v>37</v>
      </c>
      <c r="B32" s="221"/>
      <c r="C32" s="105" t="n">
        <f aca="false">+C31+C28+C29</f>
        <v>1859946</v>
      </c>
      <c r="D32" s="221"/>
      <c r="E32" s="222" t="n">
        <f aca="false">SUM(E28:E31)</f>
        <v>59998</v>
      </c>
      <c r="F32" s="221"/>
      <c r="G32" s="223" t="n">
        <f aca="false">IF(I32=0,0,I32/C32)</f>
        <v>0.180005225958173</v>
      </c>
      <c r="H32" s="221"/>
      <c r="I32" s="73" t="n">
        <f aca="false">SUM(I27:I31)</f>
        <v>334800</v>
      </c>
      <c r="J32" s="226"/>
      <c r="K32" s="73" t="n">
        <f aca="false">SUM(K27:K31)</f>
        <v>0</v>
      </c>
      <c r="L32" s="226"/>
      <c r="M32" s="73" t="n">
        <f aca="false">SUM(M27:M31)</f>
        <v>334800</v>
      </c>
      <c r="N32" s="221"/>
      <c r="O32" s="222" t="n">
        <f aca="false">SUM(O27:O31)</f>
        <v>334</v>
      </c>
      <c r="P32" s="221"/>
      <c r="Q32" s="227" t="n">
        <f aca="false">SUM(Q28:Q31)</f>
        <v>0</v>
      </c>
      <c r="R32" s="221"/>
      <c r="S32" s="227" t="n">
        <f aca="false">SUM(S28:S31)</f>
        <v>0</v>
      </c>
      <c r="T32" s="221"/>
      <c r="U32" s="223" t="n">
        <f aca="false">IF(W32=0,0,W32/Q32)</f>
        <v>0</v>
      </c>
      <c r="V32" s="221"/>
      <c r="W32" s="73" t="n">
        <f aca="false">SUM(W27:W31)</f>
        <v>0</v>
      </c>
      <c r="X32" s="224"/>
      <c r="Y32" s="228" t="n">
        <f aca="false">SUM(Y27:Y31)</f>
        <v>0</v>
      </c>
      <c r="Z32" s="224"/>
      <c r="AA32" s="228" t="n">
        <f aca="false">SUM(AA27:AA31)</f>
        <v>0</v>
      </c>
      <c r="AB32" s="221"/>
      <c r="AC32" s="222" t="n">
        <f aca="false">SUM(AC27:AC31)</f>
        <v>0</v>
      </c>
      <c r="AD32" s="221"/>
      <c r="AE32" s="227" t="n">
        <f aca="false">SUM(AE28:AE31)</f>
        <v>0</v>
      </c>
      <c r="AF32" s="221"/>
      <c r="AG32" s="227" t="n">
        <f aca="false">SUM(AG28:AG31)</f>
        <v>0</v>
      </c>
      <c r="AH32" s="221"/>
      <c r="AI32" s="223" t="n">
        <f aca="false">IF(AK32=0,0,AK32/AE32)</f>
        <v>0</v>
      </c>
      <c r="AJ32" s="221"/>
      <c r="AK32" s="228" t="n">
        <f aca="false">SUM(AK27:AK31)</f>
        <v>0</v>
      </c>
      <c r="AL32" s="221"/>
      <c r="AM32" s="228" t="n">
        <f aca="false">SUM(AM27:AM31)</f>
        <v>0</v>
      </c>
      <c r="AN32" s="221"/>
      <c r="AO32" s="228" t="n">
        <f aca="false">SUM(AO27:AO31)</f>
        <v>0</v>
      </c>
      <c r="AP32" s="221"/>
      <c r="AQ32" s="222" t="n">
        <f aca="false">SUM(AQ27:AQ31)</f>
        <v>0</v>
      </c>
      <c r="AR32" s="221"/>
      <c r="AS32" s="227" t="n">
        <f aca="false">SUM(AS28:AS31)</f>
        <v>1859946</v>
      </c>
      <c r="AT32" s="221"/>
      <c r="AU32" s="227" t="n">
        <f aca="false">SUM(AU28:AU31)</f>
        <v>59998</v>
      </c>
      <c r="AV32" s="221"/>
      <c r="AW32" s="223" t="n">
        <f aca="false">IF(AY32=0,0,AY32/AS32)</f>
        <v>0.180005225958173</v>
      </c>
      <c r="AX32" s="229"/>
      <c r="AY32" s="228" t="n">
        <f aca="false">SUM(AY27:AY31)</f>
        <v>334800</v>
      </c>
      <c r="AZ32" s="224"/>
      <c r="BA32" s="228" t="n">
        <f aca="false">SUM(BA27:BA31)</f>
        <v>0</v>
      </c>
      <c r="BB32" s="224"/>
      <c r="BC32" s="228" t="n">
        <f aca="false">SUM(BC27:BC31)</f>
        <v>334800</v>
      </c>
      <c r="BD32" s="224"/>
      <c r="BE32" s="75" t="n">
        <f aca="false">SUM(BE27:BE31)</f>
        <v>334</v>
      </c>
    </row>
    <row r="33" customFormat="false" ht="12.75" hidden="false" customHeight="false" outlineLevel="0" collapsed="false">
      <c r="A33" s="213"/>
      <c r="B33" s="221"/>
      <c r="C33" s="140"/>
      <c r="D33" s="221"/>
      <c r="E33" s="230"/>
      <c r="F33" s="221"/>
      <c r="G33" s="231"/>
      <c r="H33" s="221"/>
      <c r="I33" s="74"/>
      <c r="J33" s="226"/>
      <c r="K33" s="74"/>
      <c r="L33" s="226"/>
      <c r="M33" s="74"/>
      <c r="N33" s="221"/>
      <c r="O33" s="230"/>
      <c r="P33" s="221"/>
      <c r="Q33" s="232"/>
      <c r="R33" s="221"/>
      <c r="S33" s="232"/>
      <c r="T33" s="221"/>
      <c r="U33" s="231"/>
      <c r="V33" s="221"/>
      <c r="W33" s="74"/>
      <c r="X33" s="224"/>
      <c r="Y33" s="224"/>
      <c r="Z33" s="224"/>
      <c r="AA33" s="224"/>
      <c r="AB33" s="221"/>
      <c r="AC33" s="230"/>
      <c r="AD33" s="221"/>
      <c r="AE33" s="232"/>
      <c r="AF33" s="221"/>
      <c r="AG33" s="232"/>
      <c r="AH33" s="221"/>
      <c r="AI33" s="231"/>
      <c r="AJ33" s="221"/>
      <c r="AK33" s="224"/>
      <c r="AL33" s="221"/>
      <c r="AM33" s="224"/>
      <c r="AN33" s="221"/>
      <c r="AO33" s="224"/>
      <c r="AP33" s="221"/>
      <c r="AQ33" s="230"/>
      <c r="AR33" s="221"/>
      <c r="AS33" s="232"/>
      <c r="AT33" s="221"/>
      <c r="AU33" s="232"/>
      <c r="AV33" s="221"/>
      <c r="AW33" s="231"/>
      <c r="AX33" s="233"/>
      <c r="AY33" s="224"/>
      <c r="AZ33" s="224"/>
      <c r="BA33" s="224"/>
      <c r="BB33" s="224"/>
      <c r="BC33" s="224"/>
      <c r="BD33" s="224"/>
      <c r="BE33" s="104"/>
    </row>
    <row r="34" customFormat="false" ht="12.75" hidden="false" customHeight="false" outlineLevel="0" collapsed="false">
      <c r="A34" s="204" t="s">
        <v>32</v>
      </c>
      <c r="C34" s="3" t="n">
        <f aca="false">8590100-1860000</f>
        <v>6730100</v>
      </c>
      <c r="E34" s="188" t="n">
        <f aca="false">ROUND(C34/$BC$1,0)</f>
        <v>217100</v>
      </c>
      <c r="G34" s="214" t="n">
        <f aca="false">IF(I34=0,0,I34/C34)</f>
        <v>0.161867355611358</v>
      </c>
      <c r="I34" s="5" t="n">
        <f aca="false">-K34+1389774.49-300391</f>
        <v>1089383.49</v>
      </c>
      <c r="J34" s="215"/>
      <c r="L34" s="215"/>
      <c r="M34" s="5" t="n">
        <f aca="false">+I34+K34</f>
        <v>1089383.49</v>
      </c>
      <c r="O34" s="216" t="n">
        <f aca="false">ROUND(M34/1000,0)</f>
        <v>1089</v>
      </c>
      <c r="Q34" s="188" t="n">
        <f aca="false">0-775000+775000</f>
        <v>0</v>
      </c>
      <c r="S34" s="217" t="n">
        <f aca="false">ROUND(Q34/$BC$2,0)</f>
        <v>0</v>
      </c>
      <c r="U34" s="214" t="n">
        <f aca="false">IF(W34=0,0,W34/Q34)</f>
        <v>0</v>
      </c>
      <c r="W34" s="5" t="n">
        <f aca="false">-Y34</f>
        <v>-0</v>
      </c>
      <c r="X34" s="218"/>
      <c r="Y34" s="5"/>
      <c r="Z34" s="218"/>
      <c r="AA34" s="218" t="n">
        <f aca="false">+W34+Y34</f>
        <v>0</v>
      </c>
      <c r="AC34" s="216" t="n">
        <f aca="false">ROUND(AA34/1000,0)</f>
        <v>0</v>
      </c>
      <c r="AE34" s="217" t="n">
        <v>0</v>
      </c>
      <c r="AG34" s="217" t="n">
        <f aca="false">ROUND(AE34/$BC$3,0)</f>
        <v>0</v>
      </c>
      <c r="AI34" s="214" t="n">
        <v>0</v>
      </c>
      <c r="AK34" s="5" t="n">
        <v>0</v>
      </c>
      <c r="AL34" s="5"/>
      <c r="AM34" s="5"/>
      <c r="AO34" s="191" t="n">
        <f aca="false">+AK34+AM34</f>
        <v>0</v>
      </c>
      <c r="AQ34" s="216" t="n">
        <f aca="false">ROUND(AK34/1000,0)</f>
        <v>0</v>
      </c>
      <c r="AS34" s="188" t="n">
        <f aca="false">+AE34+Q34+C34</f>
        <v>6730100</v>
      </c>
      <c r="AU34" s="188" t="n">
        <f aca="false">+AG34+S34+E34</f>
        <v>217100</v>
      </c>
      <c r="AW34" s="214" t="n">
        <f aca="false">IF(AY34=0,0,AY34/AS34)</f>
        <v>0.161867355611358</v>
      </c>
      <c r="AX34" s="214"/>
      <c r="AY34" s="220" t="n">
        <f aca="false">+AK34+W34+I34</f>
        <v>1089383.49</v>
      </c>
      <c r="AZ34" s="220"/>
      <c r="BA34" s="220" t="n">
        <f aca="false">+AM34+Y34+K34</f>
        <v>0</v>
      </c>
      <c r="BB34" s="220"/>
      <c r="BC34" s="220" t="n">
        <f aca="false">+AO34+AA34+M34</f>
        <v>1089383.49</v>
      </c>
      <c r="BD34" s="183"/>
      <c r="BE34" s="6" t="n">
        <f aca="false">ROUND(BC34/1000,0)</f>
        <v>1089</v>
      </c>
    </row>
    <row r="35" customFormat="false" ht="12.75" hidden="false" customHeight="false" outlineLevel="0" collapsed="false">
      <c r="A35" s="204" t="s">
        <v>47</v>
      </c>
      <c r="B35" s="178" t="s">
        <v>95</v>
      </c>
      <c r="C35" s="40" t="n">
        <f aca="false">7856534-1859946</f>
        <v>5996588</v>
      </c>
      <c r="E35" s="188" t="n">
        <f aca="false">ROUND(C35/$BC$1,0)</f>
        <v>193438</v>
      </c>
      <c r="G35" s="214" t="n">
        <f aca="false">IF(I35=0,0,I35/C35)</f>
        <v>0.0155473129052721</v>
      </c>
      <c r="I35" s="5" t="n">
        <f aca="false">-K35+148248.71-34409</f>
        <v>93230.83</v>
      </c>
      <c r="J35" s="215"/>
      <c r="K35" s="5" t="n">
        <f aca="false">19401.54+649.94+557.4</f>
        <v>20608.88</v>
      </c>
      <c r="L35" s="215"/>
      <c r="M35" s="5" t="n">
        <f aca="false">+I35+K35</f>
        <v>113839.71</v>
      </c>
      <c r="O35" s="216" t="n">
        <f aca="false">ROUND(M35/1000,0)</f>
        <v>114</v>
      </c>
      <c r="Q35" s="188"/>
      <c r="S35" s="217" t="n">
        <f aca="false">ROUND(Q35/$BC$2,0)</f>
        <v>0</v>
      </c>
      <c r="U35" s="214" t="n">
        <v>0</v>
      </c>
      <c r="W35" s="5" t="n">
        <f aca="false">-Y35</f>
        <v>-0</v>
      </c>
      <c r="X35" s="218"/>
      <c r="Y35" s="5"/>
      <c r="Z35" s="218"/>
      <c r="AA35" s="218" t="n">
        <f aca="false">+W35+Y35</f>
        <v>0</v>
      </c>
      <c r="AC35" s="216" t="n">
        <f aca="false">ROUND(AA35/1000,0)</f>
        <v>0</v>
      </c>
      <c r="AE35" s="217"/>
      <c r="AG35" s="217" t="n">
        <f aca="false">ROUND(AE35/$BC$3,0)</f>
        <v>0</v>
      </c>
      <c r="AI35" s="214" t="n">
        <f aca="false">IF(AK35=0,0,AK35/AE35)</f>
        <v>0</v>
      </c>
      <c r="AK35" s="5"/>
      <c r="AL35" s="5"/>
      <c r="AM35" s="5"/>
      <c r="AO35" s="191" t="n">
        <f aca="false">+AK35+AM35</f>
        <v>0</v>
      </c>
      <c r="AQ35" s="216" t="n">
        <f aca="false">ROUND(AK35/1000,0)</f>
        <v>0</v>
      </c>
      <c r="AS35" s="188" t="n">
        <f aca="false">+AE35+Q35+C35</f>
        <v>5996588</v>
      </c>
      <c r="AU35" s="188" t="n">
        <f aca="false">+AG35+S35+E35</f>
        <v>193438</v>
      </c>
      <c r="AW35" s="214" t="n">
        <f aca="false">IF(AY35=0,0,AY35/AS35)</f>
        <v>0.0155473129052721</v>
      </c>
      <c r="AX35" s="214"/>
      <c r="AY35" s="220" t="n">
        <f aca="false">+AK35+W35+I35</f>
        <v>93230.83</v>
      </c>
      <c r="AZ35" s="220"/>
      <c r="BA35" s="220" t="n">
        <f aca="false">+AM35+Y35+K35</f>
        <v>20608.88</v>
      </c>
      <c r="BB35" s="220"/>
      <c r="BC35" s="220" t="n">
        <f aca="false">+AO35+AA35+M35</f>
        <v>113839.71</v>
      </c>
      <c r="BD35" s="183"/>
      <c r="BE35" s="6" t="n">
        <f aca="false">ROUND(BC35/1000,0)</f>
        <v>114</v>
      </c>
    </row>
    <row r="36" customFormat="false" ht="12.75" hidden="false" customHeight="false" outlineLevel="0" collapsed="false">
      <c r="A36" s="204" t="s">
        <v>101</v>
      </c>
      <c r="C36" s="40"/>
      <c r="E36" s="188" t="n">
        <f aca="false">ROUND(C36/$BC$1,0)</f>
        <v>0</v>
      </c>
      <c r="G36" s="214" t="n">
        <f aca="false">IF(I36=0,0,I36/C36)</f>
        <v>0</v>
      </c>
      <c r="I36" s="5" t="n">
        <f aca="false">-K36</f>
        <v>-0</v>
      </c>
      <c r="J36" s="215"/>
      <c r="L36" s="215"/>
      <c r="M36" s="5" t="n">
        <f aca="false">+I36+K36</f>
        <v>0</v>
      </c>
      <c r="O36" s="216" t="n">
        <f aca="false">ROUND(M36/1000,0)</f>
        <v>0</v>
      </c>
      <c r="Q36" s="188" t="n">
        <v>0</v>
      </c>
      <c r="S36" s="217" t="n">
        <f aca="false">ROUND(Q36/$BC$2,0)</f>
        <v>0</v>
      </c>
      <c r="U36" s="214" t="n">
        <f aca="false">IF(W36=0,0,W36/Q36)</f>
        <v>0</v>
      </c>
      <c r="W36" s="5" t="n">
        <f aca="false">-Y36</f>
        <v>-0</v>
      </c>
      <c r="X36" s="218"/>
      <c r="Y36" s="5" t="n">
        <v>0</v>
      </c>
      <c r="Z36" s="218"/>
      <c r="AA36" s="218" t="n">
        <f aca="false">+W36+Y36</f>
        <v>0</v>
      </c>
      <c r="AC36" s="216" t="n">
        <f aca="false">ROUND(AA36/1000,0)</f>
        <v>0</v>
      </c>
      <c r="AE36" s="217" t="n">
        <v>0</v>
      </c>
      <c r="AG36" s="217" t="n">
        <f aca="false">ROUND(AE36/$BC$3,0)</f>
        <v>0</v>
      </c>
      <c r="AI36" s="214" t="n">
        <f aca="false">IF(AK36=0,0,AK36/AE36)</f>
        <v>0</v>
      </c>
      <c r="AK36" s="5"/>
      <c r="AL36" s="5"/>
      <c r="AM36" s="5"/>
      <c r="AO36" s="191" t="n">
        <f aca="false">+AK36+AM36</f>
        <v>0</v>
      </c>
      <c r="AQ36" s="216" t="n">
        <f aca="false">ROUND(AK36/1000,0)</f>
        <v>0</v>
      </c>
      <c r="AS36" s="188" t="n">
        <f aca="false">+AE36+Q36+C36</f>
        <v>0</v>
      </c>
      <c r="AU36" s="188" t="n">
        <f aca="false">+AG36+S36+E36</f>
        <v>0</v>
      </c>
      <c r="AW36" s="214" t="n">
        <f aca="false">IF(AY36=0,0,AY36/AS36)</f>
        <v>0</v>
      </c>
      <c r="AX36" s="214"/>
      <c r="AY36" s="220" t="n">
        <f aca="false">+AK36+W36+I36</f>
        <v>0</v>
      </c>
      <c r="AZ36" s="220"/>
      <c r="BA36" s="220" t="n">
        <f aca="false">+AM36+Y36+K36</f>
        <v>0</v>
      </c>
      <c r="BB36" s="220"/>
      <c r="BC36" s="220" t="n">
        <f aca="false">+AO36+AA36+M36</f>
        <v>0</v>
      </c>
      <c r="BD36" s="183"/>
      <c r="BE36" s="6" t="n">
        <f aca="false">ROUND(BC36/1000,0)</f>
        <v>0</v>
      </c>
    </row>
    <row r="37" customFormat="false" ht="12.75" hidden="false" customHeight="false" outlineLevel="0" collapsed="false">
      <c r="A37" s="204" t="s">
        <v>102</v>
      </c>
      <c r="C37" s="40" t="n">
        <v>574922</v>
      </c>
      <c r="E37" s="188" t="n">
        <f aca="false">ROUND(C37/$BC$1,0)</f>
        <v>18546</v>
      </c>
      <c r="G37" s="214" t="n">
        <f aca="false">IF(I37=0,0,I37/C37)</f>
        <v>0.0185000052180992</v>
      </c>
      <c r="I37" s="5" t="n">
        <f aca="false">-K37+10636.06</f>
        <v>10636.06</v>
      </c>
      <c r="J37" s="215"/>
      <c r="L37" s="215"/>
      <c r="M37" s="5" t="n">
        <f aca="false">+I37+K37</f>
        <v>10636.06</v>
      </c>
      <c r="O37" s="216" t="n">
        <f aca="false">ROUND(M37/1000,0)</f>
        <v>11</v>
      </c>
      <c r="Q37" s="188" t="n">
        <v>0</v>
      </c>
      <c r="S37" s="217" t="n">
        <f aca="false">ROUND(Q37/$BC$2,0)</f>
        <v>0</v>
      </c>
      <c r="U37" s="214" t="n">
        <f aca="false">IF(W37=0,0,W37/Q37)</f>
        <v>0</v>
      </c>
      <c r="W37" s="5" t="n">
        <f aca="false">-Y37</f>
        <v>-0</v>
      </c>
      <c r="X37" s="218"/>
      <c r="Y37" s="5"/>
      <c r="Z37" s="218"/>
      <c r="AA37" s="218"/>
      <c r="AC37" s="216"/>
      <c r="AE37" s="217"/>
      <c r="AG37" s="217"/>
      <c r="AI37" s="214"/>
      <c r="AK37" s="5"/>
      <c r="AL37" s="5"/>
      <c r="AM37" s="5"/>
      <c r="AO37" s="191"/>
      <c r="AQ37" s="216"/>
      <c r="AS37" s="188" t="n">
        <f aca="false">+AE37+Q37+C37</f>
        <v>574922</v>
      </c>
      <c r="AU37" s="188" t="n">
        <f aca="false">+AG37+S37+E37</f>
        <v>18546</v>
      </c>
      <c r="AW37" s="214" t="n">
        <f aca="false">IF(AY37=0,0,AY37/AS37)</f>
        <v>0.0185000052180992</v>
      </c>
      <c r="AX37" s="214"/>
      <c r="AY37" s="220" t="n">
        <f aca="false">+AK37+W37+I37</f>
        <v>10636.06</v>
      </c>
      <c r="AZ37" s="220"/>
      <c r="BA37" s="220" t="n">
        <f aca="false">+AM37+Y37+K37</f>
        <v>0</v>
      </c>
      <c r="BB37" s="220"/>
      <c r="BC37" s="220" t="n">
        <f aca="false">+AO37+AA37+M37</f>
        <v>10636.06</v>
      </c>
      <c r="BD37" s="183"/>
      <c r="BE37" s="6" t="n">
        <f aca="false">ROUND(BC37/1000,0)</f>
        <v>11</v>
      </c>
    </row>
    <row r="38" customFormat="false" ht="12.75" hidden="false" customHeight="false" outlineLevel="0" collapsed="false">
      <c r="A38" s="204" t="s">
        <v>103</v>
      </c>
      <c r="C38" s="40" t="n">
        <v>33171</v>
      </c>
      <c r="E38" s="188" t="n">
        <f aca="false">ROUND(C38/$BC$1,0)</f>
        <v>1070</v>
      </c>
      <c r="G38" s="214" t="n">
        <f aca="false">IF(I38=0,0,I38/C38)</f>
        <v>0.0978999728678665</v>
      </c>
      <c r="I38" s="5" t="n">
        <f aca="false">-K38+3317.1</f>
        <v>3247.44</v>
      </c>
      <c r="J38" s="215"/>
      <c r="K38" s="5" t="n">
        <v>69.66</v>
      </c>
      <c r="L38" s="215"/>
      <c r="M38" s="5" t="n">
        <f aca="false">+I38+K38</f>
        <v>3317.1</v>
      </c>
      <c r="O38" s="216" t="n">
        <f aca="false">ROUND(M38/1000,0)</f>
        <v>3</v>
      </c>
      <c r="Q38" s="188"/>
      <c r="S38" s="217" t="n">
        <f aca="false">ROUND(Q38/$BC$2,0)</f>
        <v>0</v>
      </c>
      <c r="U38" s="214" t="n">
        <f aca="false">IF(W38=0,0,W38/Q38)</f>
        <v>0</v>
      </c>
      <c r="W38" s="5" t="n">
        <f aca="false">-Y38</f>
        <v>-0</v>
      </c>
      <c r="X38" s="218"/>
      <c r="Y38" s="5"/>
      <c r="Z38" s="218"/>
      <c r="AA38" s="218" t="n">
        <f aca="false">+W38+Y38</f>
        <v>0</v>
      </c>
      <c r="AC38" s="216" t="n">
        <f aca="false">ROUND(AA38/1000,0)</f>
        <v>0</v>
      </c>
      <c r="AE38" s="217" t="n">
        <v>0</v>
      </c>
      <c r="AG38" s="217" t="n">
        <f aca="false">ROUND(AE38/$BC$3,0)</f>
        <v>0</v>
      </c>
      <c r="AI38" s="214" t="n">
        <f aca="false">IF(AK38=0,0,AK38/AE38)</f>
        <v>0</v>
      </c>
      <c r="AK38" s="5"/>
      <c r="AL38" s="5"/>
      <c r="AM38" s="5" t="n">
        <v>0</v>
      </c>
      <c r="AO38" s="191" t="n">
        <f aca="false">+AK38+AM38</f>
        <v>0</v>
      </c>
      <c r="AQ38" s="216" t="n">
        <f aca="false">ROUND(AK38/1000,0)</f>
        <v>0</v>
      </c>
      <c r="AS38" s="188" t="n">
        <f aca="false">+AE38+Q38+C38</f>
        <v>33171</v>
      </c>
      <c r="AU38" s="188" t="n">
        <f aca="false">+AG38+S38+E38</f>
        <v>1070</v>
      </c>
      <c r="AW38" s="214" t="n">
        <f aca="false">IF(AY38=0,0,AY38/AS38)</f>
        <v>0.0978999728678665</v>
      </c>
      <c r="AX38" s="214"/>
      <c r="AY38" s="220" t="n">
        <f aca="false">+AK38+W38+I38</f>
        <v>3247.44</v>
      </c>
      <c r="AZ38" s="220"/>
      <c r="BA38" s="220" t="n">
        <f aca="false">+AM38+Y38+K38</f>
        <v>69.66</v>
      </c>
      <c r="BB38" s="220"/>
      <c r="BC38" s="220" t="n">
        <f aca="false">+AO38+AA38+M38</f>
        <v>3317.1</v>
      </c>
      <c r="BD38" s="183"/>
      <c r="BE38" s="6" t="n">
        <f aca="false">ROUND(BC38/1000,0)</f>
        <v>3</v>
      </c>
    </row>
    <row r="39" customFormat="false" ht="12.75" hidden="false" customHeight="false" outlineLevel="0" collapsed="false">
      <c r="A39" s="213" t="s">
        <v>37</v>
      </c>
      <c r="B39" s="221"/>
      <c r="C39" s="105" t="n">
        <f aca="false">SUM(C35:C38)</f>
        <v>6604681</v>
      </c>
      <c r="D39" s="221"/>
      <c r="E39" s="222" t="n">
        <f aca="false">SUM(E35:E38)</f>
        <v>213054</v>
      </c>
      <c r="F39" s="221"/>
      <c r="G39" s="223" t="n">
        <f aca="false">IF(I39=0,0,I39/C39)</f>
        <v>0.18115906279198</v>
      </c>
      <c r="H39" s="221"/>
      <c r="I39" s="73" t="n">
        <f aca="false">SUM(I34:I38)</f>
        <v>1196497.82</v>
      </c>
      <c r="J39" s="226"/>
      <c r="K39" s="73" t="n">
        <f aca="false">SUM(K34:K38)</f>
        <v>20678.54</v>
      </c>
      <c r="L39" s="226"/>
      <c r="M39" s="73" t="n">
        <f aca="false">SUM(M34:M38)</f>
        <v>1217176.36</v>
      </c>
      <c r="N39" s="221"/>
      <c r="O39" s="75" t="n">
        <f aca="false">SUM(O34:O38)</f>
        <v>1217</v>
      </c>
      <c r="P39" s="221"/>
      <c r="Q39" s="227" t="n">
        <f aca="false">SUM(Q34:Q38)</f>
        <v>0</v>
      </c>
      <c r="R39" s="221"/>
      <c r="S39" s="227" t="n">
        <f aca="false">SUM(S35:S38)</f>
        <v>0</v>
      </c>
      <c r="T39" s="221"/>
      <c r="U39" s="223" t="n">
        <f aca="false">IF(W39=0,0,W39/Q39)</f>
        <v>0</v>
      </c>
      <c r="V39" s="221"/>
      <c r="W39" s="73" t="n">
        <f aca="false">SUM(W34:W38)</f>
        <v>0</v>
      </c>
      <c r="X39" s="224"/>
      <c r="Y39" s="228" t="n">
        <f aca="false">SUM(Y34:Y38)</f>
        <v>0</v>
      </c>
      <c r="Z39" s="224"/>
      <c r="AA39" s="228" t="n">
        <f aca="false">SUM(AA34:AA38)</f>
        <v>0</v>
      </c>
      <c r="AB39" s="221"/>
      <c r="AC39" s="222" t="n">
        <f aca="false">SUM(AC34:AC38)</f>
        <v>0</v>
      </c>
      <c r="AD39" s="221"/>
      <c r="AE39" s="227" t="n">
        <f aca="false">SUM(AE35:AE38)</f>
        <v>0</v>
      </c>
      <c r="AF39" s="221"/>
      <c r="AG39" s="227" t="n">
        <f aca="false">SUM(AG35:AG38)</f>
        <v>0</v>
      </c>
      <c r="AH39" s="221"/>
      <c r="AI39" s="223" t="n">
        <f aca="false">IF(AK39=0,0,AK39/AE39)</f>
        <v>0</v>
      </c>
      <c r="AJ39" s="221"/>
      <c r="AK39" s="228" t="n">
        <f aca="false">SUM(AK34:AK38)</f>
        <v>0</v>
      </c>
      <c r="AL39" s="221"/>
      <c r="AM39" s="228" t="n">
        <f aca="false">SUM(AM34:AM38)</f>
        <v>0</v>
      </c>
      <c r="AN39" s="221"/>
      <c r="AO39" s="228" t="n">
        <f aca="false">SUM(AO34:AO38)</f>
        <v>0</v>
      </c>
      <c r="AP39" s="221"/>
      <c r="AQ39" s="222" t="n">
        <f aca="false">SUM(AQ34:AQ38)</f>
        <v>0</v>
      </c>
      <c r="AR39" s="221"/>
      <c r="AS39" s="227" t="n">
        <f aca="false">SUM(AS35:AS38)</f>
        <v>6604681</v>
      </c>
      <c r="AT39" s="221"/>
      <c r="AU39" s="227" t="n">
        <f aca="false">SUM(AU35:AU38)</f>
        <v>213054</v>
      </c>
      <c r="AV39" s="221"/>
      <c r="AW39" s="223" t="n">
        <f aca="false">IF(AY39=0,0,AY39/AS39)</f>
        <v>0.18115906279198</v>
      </c>
      <c r="AX39" s="229"/>
      <c r="AY39" s="228" t="n">
        <f aca="false">SUM(AY34:AY38)</f>
        <v>1196497.82</v>
      </c>
      <c r="AZ39" s="224"/>
      <c r="BA39" s="228" t="n">
        <f aca="false">SUM(BA34:BA38)</f>
        <v>20678.54</v>
      </c>
      <c r="BB39" s="224"/>
      <c r="BC39" s="228" t="n">
        <f aca="false">SUM(BC34:BC38)</f>
        <v>1217176.36</v>
      </c>
      <c r="BD39" s="234"/>
      <c r="BE39" s="75" t="n">
        <f aca="false">SUM(BE34:BE38)</f>
        <v>1217</v>
      </c>
    </row>
    <row r="40" customFormat="false" ht="12.75" hidden="false" customHeight="false" outlineLevel="0" collapsed="false">
      <c r="A40" s="204"/>
      <c r="C40" s="40"/>
      <c r="E40" s="188"/>
      <c r="G40" s="214"/>
      <c r="J40" s="215"/>
      <c r="L40" s="215"/>
      <c r="O40" s="216"/>
      <c r="Q40" s="188"/>
      <c r="S40" s="217"/>
      <c r="U40" s="214"/>
      <c r="X40" s="218"/>
      <c r="Y40" s="218"/>
      <c r="Z40" s="218"/>
      <c r="AA40" s="218"/>
      <c r="AC40" s="216"/>
      <c r="AE40" s="217"/>
      <c r="AG40" s="217"/>
      <c r="AI40" s="214"/>
      <c r="AK40" s="215"/>
      <c r="AM40" s="191"/>
      <c r="AO40" s="191"/>
      <c r="AQ40" s="216"/>
      <c r="AS40" s="188"/>
      <c r="AU40" s="217"/>
      <c r="AW40" s="214"/>
      <c r="AX40" s="214"/>
      <c r="AY40" s="220"/>
      <c r="AZ40" s="220"/>
      <c r="BA40" s="220"/>
      <c r="BB40" s="220"/>
      <c r="BC40" s="220"/>
      <c r="BD40" s="183"/>
    </row>
    <row r="41" customFormat="false" ht="12.75" hidden="false" customHeight="false" outlineLevel="0" collapsed="false">
      <c r="A41" s="204" t="s">
        <v>32</v>
      </c>
      <c r="C41" s="40" t="n">
        <v>40300</v>
      </c>
      <c r="E41" s="188" t="n">
        <f aca="false">ROUND(C41/$BC$1,0)</f>
        <v>1300</v>
      </c>
      <c r="G41" s="214" t="n">
        <f aca="false">IF(I41=0,0,I41/C41)</f>
        <v>0.2289</v>
      </c>
      <c r="I41" s="5" t="n">
        <f aca="false">-K41+9345.57</f>
        <v>9224.67</v>
      </c>
      <c r="J41" s="215"/>
      <c r="K41" s="5" t="n">
        <v>120.9</v>
      </c>
      <c r="L41" s="215"/>
      <c r="M41" s="5" t="n">
        <f aca="false">+I41+K41</f>
        <v>9345.57</v>
      </c>
      <c r="O41" s="216" t="n">
        <f aca="false">ROUND(M41/1000,0)</f>
        <v>9</v>
      </c>
      <c r="Q41" s="188" t="n">
        <v>0</v>
      </c>
      <c r="S41" s="217" t="n">
        <f aca="false">ROUND(Q41/$BC$2,0)</f>
        <v>0</v>
      </c>
      <c r="U41" s="214" t="n">
        <f aca="false">IF(W41=0,0,W41/Q41)</f>
        <v>0</v>
      </c>
      <c r="W41" s="5" t="n">
        <f aca="false">-Y41</f>
        <v>-0</v>
      </c>
      <c r="X41" s="218"/>
      <c r="Y41" s="5" t="n">
        <v>0</v>
      </c>
      <c r="Z41" s="218"/>
      <c r="AA41" s="218" t="n">
        <f aca="false">+W41+Y41</f>
        <v>0</v>
      </c>
      <c r="AC41" s="216" t="n">
        <f aca="false">ROUND(AA41/1000,0)</f>
        <v>0</v>
      </c>
      <c r="AE41" s="217" t="n">
        <v>0</v>
      </c>
      <c r="AG41" s="217" t="n">
        <f aca="false">ROUND(AE41/$BC$3,0)</f>
        <v>0</v>
      </c>
      <c r="AI41" s="214" t="n">
        <f aca="false">IF(AK41=0,0,AK41/AE41)</f>
        <v>0</v>
      </c>
      <c r="AK41" s="5"/>
      <c r="AL41" s="5"/>
      <c r="AM41" s="5" t="n">
        <v>0</v>
      </c>
      <c r="AO41" s="191" t="n">
        <f aca="false">+AK41+AM41</f>
        <v>0</v>
      </c>
      <c r="AQ41" s="216"/>
      <c r="AS41" s="188" t="n">
        <f aca="false">+AE41+Q41+C41</f>
        <v>40300</v>
      </c>
      <c r="AU41" s="188" t="n">
        <f aca="false">+AG41+S41+E41</f>
        <v>1300</v>
      </c>
      <c r="AW41" s="214" t="n">
        <f aca="false">IF(AY41=0,0,AY41/AS41)</f>
        <v>0.2289</v>
      </c>
      <c r="AX41" s="214"/>
      <c r="AY41" s="220" t="n">
        <f aca="false">+AK41+W41+I41</f>
        <v>9224.67</v>
      </c>
      <c r="AZ41" s="220"/>
      <c r="BA41" s="220" t="n">
        <f aca="false">+AM41+Y41+K41</f>
        <v>120.9</v>
      </c>
      <c r="BB41" s="220"/>
      <c r="BC41" s="220" t="n">
        <f aca="false">+AO41+AA41+M41</f>
        <v>9345.57</v>
      </c>
      <c r="BD41" s="183"/>
      <c r="BE41" s="6" t="n">
        <f aca="false">ROUND(BC41/1000,0)</f>
        <v>9</v>
      </c>
    </row>
    <row r="42" customFormat="false" ht="12.75" hidden="false" customHeight="false" outlineLevel="0" collapsed="false">
      <c r="A42" s="204" t="s">
        <v>104</v>
      </c>
      <c r="C42" s="40" t="n">
        <v>40300</v>
      </c>
      <c r="E42" s="188" t="n">
        <f aca="false">ROUND(C42/$BC$1,0)</f>
        <v>1300</v>
      </c>
      <c r="G42" s="214" t="n">
        <f aca="false">IF(I42=0,0,I42/C42)</f>
        <v>0.0153</v>
      </c>
      <c r="I42" s="5" t="n">
        <f aca="false">-K42+983.32</f>
        <v>616.59</v>
      </c>
      <c r="J42" s="215"/>
      <c r="K42" s="5" t="n">
        <v>366.73</v>
      </c>
      <c r="L42" s="215"/>
      <c r="M42" s="5" t="n">
        <f aca="false">+I42+K42</f>
        <v>983.32</v>
      </c>
      <c r="O42" s="74" t="n">
        <f aca="false">SUM(O37:O41)</f>
        <v>1240</v>
      </c>
      <c r="Q42" s="188" t="n">
        <v>0</v>
      </c>
      <c r="S42" s="217" t="n">
        <f aca="false">ROUND(Q42/$BC$2,0)</f>
        <v>0</v>
      </c>
      <c r="U42" s="214" t="n">
        <f aca="false">IF(W42=0,0,W42/Q42)</f>
        <v>0</v>
      </c>
      <c r="W42" s="5" t="n">
        <f aca="false">-Y42</f>
        <v>-0</v>
      </c>
      <c r="X42" s="218"/>
      <c r="Y42" s="5" t="n">
        <v>0</v>
      </c>
      <c r="Z42" s="218"/>
      <c r="AA42" s="218" t="n">
        <f aca="false">+W42+Y42</f>
        <v>0</v>
      </c>
      <c r="AC42" s="216" t="n">
        <f aca="false">ROUND(AA42/1000,0)</f>
        <v>0</v>
      </c>
      <c r="AE42" s="217" t="n">
        <v>0</v>
      </c>
      <c r="AG42" s="217" t="n">
        <f aca="false">ROUND(AE42/$BC$3,0)</f>
        <v>0</v>
      </c>
      <c r="AI42" s="214" t="n">
        <f aca="false">IF(AK42=0,0,AK42/AE42)</f>
        <v>0</v>
      </c>
      <c r="AK42" s="5"/>
      <c r="AL42" s="5"/>
      <c r="AM42" s="5" t="n">
        <v>0</v>
      </c>
      <c r="AO42" s="191" t="n">
        <f aca="false">+AK42+AM42</f>
        <v>0</v>
      </c>
      <c r="AQ42" s="216" t="n">
        <f aca="false">ROUND(AK42/1000,0)</f>
        <v>0</v>
      </c>
      <c r="AS42" s="188" t="n">
        <f aca="false">+AE42+Q42+C42</f>
        <v>40300</v>
      </c>
      <c r="AU42" s="188" t="n">
        <f aca="false">+AG42+S42+E42</f>
        <v>1300</v>
      </c>
      <c r="AW42" s="214" t="n">
        <f aca="false">IF(AY42=0,0,AY42/AS42)</f>
        <v>0.0153</v>
      </c>
      <c r="AX42" s="214"/>
      <c r="AY42" s="220" t="n">
        <f aca="false">+AK42+W42+I42</f>
        <v>616.59</v>
      </c>
      <c r="AZ42" s="220"/>
      <c r="BA42" s="220" t="n">
        <f aca="false">+AM42+Y42+K42</f>
        <v>366.73</v>
      </c>
      <c r="BB42" s="220"/>
      <c r="BC42" s="220" t="n">
        <f aca="false">+AO42+AA42+M42</f>
        <v>983.32</v>
      </c>
      <c r="BD42" s="183"/>
      <c r="BE42" s="6" t="n">
        <f aca="false">ROUND(BC42/1000,0)</f>
        <v>1</v>
      </c>
    </row>
    <row r="43" customFormat="false" ht="12.75" hidden="false" customHeight="false" outlineLevel="0" collapsed="false">
      <c r="A43" s="204" t="s">
        <v>105</v>
      </c>
      <c r="C43" s="40"/>
      <c r="E43" s="188" t="n">
        <f aca="false">ROUND(C43/$BC$1,0)</f>
        <v>0</v>
      </c>
      <c r="G43" s="214" t="n">
        <f aca="false">IF(I43=0,0,I43/C43)</f>
        <v>0</v>
      </c>
      <c r="I43" s="5" t="n">
        <f aca="false">-K43</f>
        <v>-0</v>
      </c>
      <c r="J43" s="215"/>
      <c r="L43" s="215"/>
      <c r="M43" s="5" t="n">
        <f aca="false">+I43+K43</f>
        <v>0</v>
      </c>
      <c r="O43" s="216" t="n">
        <f aca="false">ROUND(M43/1000,0)</f>
        <v>0</v>
      </c>
      <c r="Q43" s="188" t="n">
        <v>0</v>
      </c>
      <c r="S43" s="217" t="n">
        <f aca="false">ROUND(Q43/$BC$2,0)</f>
        <v>0</v>
      </c>
      <c r="U43" s="214" t="n">
        <f aca="false">IF(W43=0,0,W43/Q43)</f>
        <v>0</v>
      </c>
      <c r="W43" s="5" t="n">
        <f aca="false">-Y43</f>
        <v>-0</v>
      </c>
      <c r="X43" s="218"/>
      <c r="Y43" s="5" t="n">
        <v>0</v>
      </c>
      <c r="Z43" s="218"/>
      <c r="AA43" s="218" t="n">
        <f aca="false">+W43+Y43</f>
        <v>0</v>
      </c>
      <c r="AC43" s="216" t="n">
        <f aca="false">ROUND(AA43/1000,0)</f>
        <v>0</v>
      </c>
      <c r="AE43" s="217" t="n">
        <v>0</v>
      </c>
      <c r="AG43" s="217" t="n">
        <f aca="false">ROUND(AE43/$BC$3,0)</f>
        <v>0</v>
      </c>
      <c r="AI43" s="214" t="n">
        <f aca="false">IF(AK43=0,0,AK43/AE43)</f>
        <v>0</v>
      </c>
      <c r="AK43" s="5"/>
      <c r="AL43" s="5"/>
      <c r="AM43" s="5" t="n">
        <v>0</v>
      </c>
      <c r="AO43" s="191" t="n">
        <f aca="false">+AK43+AM43</f>
        <v>0</v>
      </c>
      <c r="AQ43" s="216" t="n">
        <f aca="false">ROUND(AK43/1000,0)</f>
        <v>0</v>
      </c>
      <c r="AS43" s="188" t="n">
        <f aca="false">+AE43+Q43+C43</f>
        <v>0</v>
      </c>
      <c r="AU43" s="188" t="n">
        <f aca="false">+AG43+S43+E43</f>
        <v>0</v>
      </c>
      <c r="AW43" s="214" t="n">
        <f aca="false">IF(AY43=0,0,AY43/AS43)</f>
        <v>0</v>
      </c>
      <c r="AX43" s="214"/>
      <c r="AY43" s="220" t="n">
        <f aca="false">+AK43+W43+I43</f>
        <v>0</v>
      </c>
      <c r="AZ43" s="220"/>
      <c r="BA43" s="220" t="n">
        <f aca="false">+AM43+Y43+K43</f>
        <v>0</v>
      </c>
      <c r="BB43" s="220"/>
      <c r="BC43" s="220" t="n">
        <f aca="false">+AO43+AA43+M43</f>
        <v>0</v>
      </c>
      <c r="BD43" s="183"/>
      <c r="BE43" s="6" t="n">
        <f aca="false">ROUND(BC43/1000,0)</f>
        <v>0</v>
      </c>
    </row>
    <row r="44" customFormat="false" ht="12.75" hidden="false" customHeight="false" outlineLevel="0" collapsed="false">
      <c r="A44" s="204" t="s">
        <v>106</v>
      </c>
      <c r="C44" s="40"/>
      <c r="E44" s="188" t="n">
        <f aca="false">ROUND(C44/$BC$1,0)</f>
        <v>0</v>
      </c>
      <c r="G44" s="214" t="n">
        <f aca="false">IF(I44=0,0,I44/C44)</f>
        <v>0</v>
      </c>
      <c r="I44" s="5" t="n">
        <f aca="false">-K44</f>
        <v>-0</v>
      </c>
      <c r="J44" s="215"/>
      <c r="L44" s="215"/>
      <c r="M44" s="5" t="n">
        <f aca="false">+I44+K44</f>
        <v>0</v>
      </c>
      <c r="O44" s="216" t="n">
        <f aca="false">ROUND(M44/1000,0)</f>
        <v>0</v>
      </c>
      <c r="Q44" s="188" t="n">
        <v>0</v>
      </c>
      <c r="S44" s="217" t="n">
        <f aca="false">ROUND(Q44/$BC$2,0)</f>
        <v>0</v>
      </c>
      <c r="U44" s="214" t="n">
        <f aca="false">IF(W44=0,0,W44/Q44)</f>
        <v>0</v>
      </c>
      <c r="W44" s="5" t="n">
        <f aca="false">-Y44</f>
        <v>-0</v>
      </c>
      <c r="X44" s="218"/>
      <c r="Y44" s="5"/>
      <c r="Z44" s="218"/>
      <c r="AA44" s="218"/>
      <c r="AC44" s="216"/>
      <c r="AE44" s="217"/>
      <c r="AG44" s="217"/>
      <c r="AI44" s="214"/>
      <c r="AK44" s="5"/>
      <c r="AL44" s="5"/>
      <c r="AM44" s="5"/>
      <c r="AO44" s="191"/>
      <c r="AQ44" s="216"/>
      <c r="AS44" s="188"/>
      <c r="AU44" s="188"/>
      <c r="AW44" s="214"/>
      <c r="AX44" s="214"/>
      <c r="AY44" s="220" t="n">
        <f aca="false">+AK44+W44+I44</f>
        <v>0</v>
      </c>
      <c r="AZ44" s="220"/>
      <c r="BA44" s="220" t="n">
        <f aca="false">+AM44+Y44+K44</f>
        <v>0</v>
      </c>
      <c r="BB44" s="220"/>
      <c r="BC44" s="220" t="n">
        <f aca="false">+AO44+AA44+M44</f>
        <v>0</v>
      </c>
      <c r="BD44" s="183"/>
      <c r="BE44" s="6" t="n">
        <f aca="false">ROUND(BC44/1000,0)</f>
        <v>0</v>
      </c>
    </row>
    <row r="45" customFormat="false" ht="12.75" hidden="false" customHeight="false" outlineLevel="0" collapsed="false">
      <c r="A45" s="204" t="s">
        <v>107</v>
      </c>
      <c r="B45" s="178" t="s">
        <v>95</v>
      </c>
      <c r="C45" s="40" t="n">
        <v>151233</v>
      </c>
      <c r="E45" s="188" t="n">
        <f aca="false">ROUND(C45/$BC$1,0)</f>
        <v>4878</v>
      </c>
      <c r="G45" s="214" t="n">
        <f aca="false">IF(I45=0,0,I45/C45)</f>
        <v>0.254387865082356</v>
      </c>
      <c r="I45" s="5" t="n">
        <f aca="false">-K45+39743.54</f>
        <v>38471.84</v>
      </c>
      <c r="J45" s="215"/>
      <c r="K45" s="5" t="n">
        <v>1271.7</v>
      </c>
      <c r="L45" s="215"/>
      <c r="M45" s="5" t="n">
        <f aca="false">+I45+K45</f>
        <v>39743.54</v>
      </c>
      <c r="O45" s="216" t="n">
        <f aca="false">ROUND(M45/1000,0)</f>
        <v>40</v>
      </c>
      <c r="Q45" s="188" t="n">
        <v>0</v>
      </c>
      <c r="S45" s="217" t="n">
        <f aca="false">ROUND(Q45/$BC$2,0)</f>
        <v>0</v>
      </c>
      <c r="U45" s="214" t="n">
        <f aca="false">IF(W45=0,0,W45/Q45)</f>
        <v>0</v>
      </c>
      <c r="W45" s="5" t="n">
        <f aca="false">-Y45</f>
        <v>-0</v>
      </c>
      <c r="X45" s="218"/>
      <c r="Y45" s="5"/>
      <c r="Z45" s="218"/>
      <c r="AA45" s="218" t="n">
        <f aca="false">+W45+Y45</f>
        <v>0</v>
      </c>
      <c r="AC45" s="216" t="n">
        <f aca="false">ROUND(AA45/1000,0)</f>
        <v>0</v>
      </c>
      <c r="AE45" s="217" t="n">
        <v>0</v>
      </c>
      <c r="AG45" s="217" t="n">
        <f aca="false">ROUND(AE45/$BC$3,0)</f>
        <v>0</v>
      </c>
      <c r="AI45" s="214" t="n">
        <f aca="false">IF(AK45=0,0,AK45/AE45)</f>
        <v>0</v>
      </c>
      <c r="AK45" s="5"/>
      <c r="AL45" s="5"/>
      <c r="AM45" s="5" t="n">
        <v>0</v>
      </c>
      <c r="AO45" s="191" t="n">
        <f aca="false">+AK45+AM45</f>
        <v>0</v>
      </c>
      <c r="AQ45" s="216" t="n">
        <f aca="false">ROUND(AK45/1000,0)</f>
        <v>0</v>
      </c>
      <c r="AS45" s="188" t="n">
        <f aca="false">+AE45+Q45+C45</f>
        <v>151233</v>
      </c>
      <c r="AU45" s="188" t="n">
        <f aca="false">+AG45+S45+E45</f>
        <v>4878</v>
      </c>
      <c r="AW45" s="214" t="n">
        <f aca="false">IF(AY45=0,0,AY45/AS45)</f>
        <v>0.254387865082356</v>
      </c>
      <c r="AX45" s="214"/>
      <c r="AY45" s="220" t="n">
        <f aca="false">+AK45+W45+I45</f>
        <v>38471.84</v>
      </c>
      <c r="AZ45" s="220"/>
      <c r="BA45" s="220" t="n">
        <f aca="false">+AM45+Y45+K45</f>
        <v>1271.7</v>
      </c>
      <c r="BB45" s="220"/>
      <c r="BC45" s="220" t="n">
        <f aca="false">+AO45+AA45+M45</f>
        <v>39743.54</v>
      </c>
      <c r="BD45" s="183"/>
      <c r="BE45" s="6" t="n">
        <f aca="false">ROUND(BC45/1000,0)</f>
        <v>40</v>
      </c>
    </row>
    <row r="46" customFormat="false" ht="12.75" hidden="false" customHeight="false" outlineLevel="0" collapsed="false">
      <c r="A46" s="213" t="s">
        <v>37</v>
      </c>
      <c r="B46" s="221"/>
      <c r="C46" s="105" t="n">
        <f aca="false">SUM(C42:C45)</f>
        <v>191533</v>
      </c>
      <c r="D46" s="221"/>
      <c r="E46" s="222" t="n">
        <f aca="false">SUM(E42:E45)</f>
        <v>6178</v>
      </c>
      <c r="F46" s="221"/>
      <c r="G46" s="223" t="n">
        <f aca="false">IF(I46=0,0,I46/C46)</f>
        <v>0.252244260780127</v>
      </c>
      <c r="H46" s="221"/>
      <c r="I46" s="73" t="n">
        <f aca="false">SUM(I41:I45)</f>
        <v>48313.1</v>
      </c>
      <c r="J46" s="226"/>
      <c r="K46" s="73" t="n">
        <f aca="false">SUM(K41:K45)</f>
        <v>1759.33</v>
      </c>
      <c r="L46" s="226"/>
      <c r="M46" s="73" t="n">
        <f aca="false">SUM(M41:M45)</f>
        <v>50072.43</v>
      </c>
      <c r="N46" s="221"/>
      <c r="O46" s="235" t="n">
        <f aca="false">ROUND(M46/1000,0)</f>
        <v>50</v>
      </c>
      <c r="P46" s="221"/>
      <c r="Q46" s="227" t="n">
        <f aca="false">SUM(Q42:Q45)</f>
        <v>0</v>
      </c>
      <c r="R46" s="221"/>
      <c r="S46" s="227" t="n">
        <f aca="false">SUM(S42:S45)</f>
        <v>0</v>
      </c>
      <c r="T46" s="221"/>
      <c r="U46" s="223" t="n">
        <f aca="false">IF(W46=0,0,W46/Q46)</f>
        <v>0</v>
      </c>
      <c r="V46" s="221"/>
      <c r="W46" s="73" t="n">
        <f aca="false">SUM(W41:W45)</f>
        <v>0</v>
      </c>
      <c r="X46" s="224"/>
      <c r="Y46" s="228" t="n">
        <f aca="false">SUM(Y41:Y45)</f>
        <v>0</v>
      </c>
      <c r="Z46" s="224"/>
      <c r="AA46" s="228" t="n">
        <f aca="false">SUM(AA41:AA45)</f>
        <v>0</v>
      </c>
      <c r="AB46" s="221"/>
      <c r="AC46" s="222" t="n">
        <f aca="false">SUM(AC41:AC45)</f>
        <v>0</v>
      </c>
      <c r="AD46" s="221"/>
      <c r="AE46" s="227" t="n">
        <f aca="false">SUM(AE42:AE45)</f>
        <v>0</v>
      </c>
      <c r="AF46" s="221"/>
      <c r="AG46" s="227" t="n">
        <f aca="false">SUM(AG42:AG45)</f>
        <v>0</v>
      </c>
      <c r="AH46" s="221"/>
      <c r="AI46" s="223" t="n">
        <f aca="false">IF(AK46=0,0,AK46/AE46)</f>
        <v>0</v>
      </c>
      <c r="AJ46" s="221"/>
      <c r="AK46" s="228" t="n">
        <f aca="false">SUM(AK41:AK45)</f>
        <v>0</v>
      </c>
      <c r="AL46" s="221"/>
      <c r="AM46" s="228" t="n">
        <f aca="false">SUM(AM41:AM45)</f>
        <v>0</v>
      </c>
      <c r="AN46" s="221"/>
      <c r="AO46" s="228" t="n">
        <f aca="false">SUM(AO41:AO45)</f>
        <v>0</v>
      </c>
      <c r="AP46" s="221"/>
      <c r="AQ46" s="222" t="n">
        <f aca="false">SUM(AQ41:AQ45)</f>
        <v>0</v>
      </c>
      <c r="AR46" s="221"/>
      <c r="AS46" s="227" t="n">
        <f aca="false">SUM(AS42:AS45)</f>
        <v>191533</v>
      </c>
      <c r="AT46" s="221"/>
      <c r="AU46" s="227" t="n">
        <f aca="false">SUM(AU42:AU45)</f>
        <v>6178</v>
      </c>
      <c r="AV46" s="221"/>
      <c r="AW46" s="223" t="n">
        <f aca="false">IF(AY46=0,0,AY46/AS46)</f>
        <v>0.252244260780127</v>
      </c>
      <c r="AX46" s="229"/>
      <c r="AY46" s="228" t="n">
        <f aca="false">SUM(AY41:AY45)</f>
        <v>48313.1</v>
      </c>
      <c r="AZ46" s="224"/>
      <c r="BA46" s="228" t="n">
        <f aca="false">SUM(BA41:BA45)</f>
        <v>1759.33</v>
      </c>
      <c r="BB46" s="224"/>
      <c r="BC46" s="228" t="n">
        <f aca="false">SUM(BC41:BC45)</f>
        <v>50072.43</v>
      </c>
      <c r="BD46" s="234"/>
      <c r="BE46" s="75" t="n">
        <f aca="false">SUM(BE41:BE45)</f>
        <v>50</v>
      </c>
    </row>
    <row r="47" customFormat="false" ht="12.75" hidden="false" customHeight="false" outlineLevel="0" collapsed="false">
      <c r="A47" s="204"/>
      <c r="C47" s="40"/>
      <c r="E47" s="188"/>
      <c r="G47" s="214"/>
      <c r="J47" s="215"/>
      <c r="L47" s="215"/>
      <c r="O47" s="216"/>
      <c r="Q47" s="188"/>
      <c r="S47" s="217"/>
      <c r="U47" s="214"/>
      <c r="X47" s="218"/>
      <c r="Y47" s="218"/>
      <c r="Z47" s="218"/>
      <c r="AA47" s="218"/>
      <c r="AC47" s="216"/>
      <c r="AE47" s="217"/>
      <c r="AG47" s="217"/>
      <c r="AI47" s="214"/>
      <c r="AK47" s="215"/>
      <c r="AM47" s="191"/>
      <c r="AO47" s="191"/>
      <c r="AQ47" s="216"/>
      <c r="AS47" s="188"/>
      <c r="AU47" s="217"/>
      <c r="AW47" s="214"/>
      <c r="AX47" s="214"/>
      <c r="AY47" s="220"/>
      <c r="AZ47" s="220"/>
      <c r="BA47" s="220"/>
      <c r="BB47" s="220"/>
      <c r="BC47" s="220"/>
      <c r="BD47" s="183"/>
    </row>
    <row r="48" customFormat="false" ht="12.75" hidden="false" customHeight="false" outlineLevel="0" collapsed="false">
      <c r="A48" s="213" t="s">
        <v>108</v>
      </c>
      <c r="B48" s="221"/>
      <c r="C48" s="236" t="n">
        <f aca="false">+C46+C39+C32+C25+C18</f>
        <v>32480537</v>
      </c>
      <c r="D48" s="221"/>
      <c r="E48" s="236" t="n">
        <f aca="false">+E46+E39+E32+E25+E18</f>
        <v>1047758</v>
      </c>
      <c r="F48" s="221"/>
      <c r="G48" s="223" t="n">
        <f aca="false">IF(I48=0,0,I48/C48)</f>
        <v>0.262790435084248</v>
      </c>
      <c r="H48" s="221"/>
      <c r="I48" s="73" t="n">
        <f aca="false">+I46+I39+I32+I25+I18</f>
        <v>8535574.45</v>
      </c>
      <c r="J48" s="226"/>
      <c r="K48" s="73" t="n">
        <f aca="false">+K46+K39+K32+K25+K18</f>
        <v>341826.82</v>
      </c>
      <c r="L48" s="226"/>
      <c r="M48" s="73" t="n">
        <f aca="false">+M46+M39+M32+M25+M18</f>
        <v>8877401.27</v>
      </c>
      <c r="N48" s="221"/>
      <c r="O48" s="75" t="n">
        <f aca="false">+O46+O39+O32+O25+O18</f>
        <v>8877</v>
      </c>
      <c r="P48" s="221"/>
      <c r="Q48" s="236" t="n">
        <f aca="false">+Q46+Q39+Q32+Q25+Q18</f>
        <v>3180</v>
      </c>
      <c r="R48" s="221"/>
      <c r="S48" s="236" t="n">
        <f aca="false">+S46+S39+S32+S25+S18</f>
        <v>106</v>
      </c>
      <c r="T48" s="221"/>
      <c r="U48" s="223" t="n">
        <f aca="false">IF(W48=0,0,W48/Q48)</f>
        <v>0.132798742138365</v>
      </c>
      <c r="V48" s="221"/>
      <c r="W48" s="73" t="n">
        <f aca="false">+W46+W39+W32+W25+W18</f>
        <v>422.3</v>
      </c>
      <c r="X48" s="226"/>
      <c r="Y48" s="73" t="n">
        <f aca="false">+Y46+Y39+Y32+Y25+Y18</f>
        <v>41.66</v>
      </c>
      <c r="Z48" s="226"/>
      <c r="AA48" s="73" t="n">
        <f aca="false">+AA46+AA39+AA32+AA25+AA18</f>
        <v>463.96</v>
      </c>
      <c r="AB48" s="221"/>
      <c r="AC48" s="75" t="n">
        <f aca="false">+AC46+AC39+AC32+AC25+AC18</f>
        <v>0</v>
      </c>
      <c r="AD48" s="221"/>
      <c r="AE48" s="236" t="n">
        <f aca="false">+AE46+AE39+AE32+AE25+AE18</f>
        <v>0</v>
      </c>
      <c r="AF48" s="221"/>
      <c r="AG48" s="236" t="n">
        <f aca="false">+AG46+AG39+AG32+AG25+AG18</f>
        <v>0</v>
      </c>
      <c r="AH48" s="221"/>
      <c r="AI48" s="223" t="n">
        <f aca="false">IF(AK48=0,0,AK48/AE48)</f>
        <v>0</v>
      </c>
      <c r="AJ48" s="221"/>
      <c r="AK48" s="73" t="n">
        <f aca="false">+AK46+AK39+AK32+AK25+AK18</f>
        <v>0</v>
      </c>
      <c r="AL48" s="226"/>
      <c r="AM48" s="73" t="n">
        <f aca="false">+AM46+AM39+AM32+AM25+AM18</f>
        <v>0</v>
      </c>
      <c r="AN48" s="226"/>
      <c r="AO48" s="73" t="n">
        <f aca="false">+AO46+AO39+AO32+AO25+AO18</f>
        <v>0</v>
      </c>
      <c r="AP48" s="221"/>
      <c r="AQ48" s="75" t="n">
        <f aca="false">+AQ46+AQ39+AQ32+AQ25+AQ18</f>
        <v>0</v>
      </c>
      <c r="AR48" s="221"/>
      <c r="AS48" s="236" t="n">
        <f aca="false">+AS46+AS39+AS32+AS25+AS18</f>
        <v>32483717</v>
      </c>
      <c r="AT48" s="221"/>
      <c r="AU48" s="236" t="n">
        <f aca="false">+AU46+AU39+AU32+AU25+AU18</f>
        <v>1047864</v>
      </c>
      <c r="AV48" s="221"/>
      <c r="AW48" s="223" t="n">
        <f aca="false">IF(AY48=0,0,AY48/AS48)</f>
        <v>0.262777709521358</v>
      </c>
      <c r="AX48" s="221"/>
      <c r="AY48" s="73" t="n">
        <f aca="false">+AY46+AY39+AY32+AY25+AY18</f>
        <v>8535996.75</v>
      </c>
      <c r="AZ48" s="226"/>
      <c r="BA48" s="73" t="n">
        <f aca="false">+BA46+BA39+BA32+BA25+BA18</f>
        <v>341868.48</v>
      </c>
      <c r="BB48" s="226"/>
      <c r="BC48" s="73" t="n">
        <f aca="false">+BC46+BC39+BC32+BC25+BC18</f>
        <v>8877865.23</v>
      </c>
      <c r="BD48" s="221"/>
      <c r="BE48" s="75" t="n">
        <f aca="false">+BE46+BE39+BE32+BE25+BE18</f>
        <v>8877</v>
      </c>
    </row>
    <row r="49" customFormat="false" ht="12.75" hidden="false" customHeight="false" outlineLevel="0" collapsed="false">
      <c r="A49" s="213" t="s">
        <v>6</v>
      </c>
      <c r="B49" s="221"/>
      <c r="C49" s="140"/>
      <c r="D49" s="221"/>
      <c r="E49" s="230"/>
      <c r="F49" s="221"/>
      <c r="G49" s="231"/>
      <c r="H49" s="221"/>
      <c r="I49" s="74"/>
      <c r="J49" s="226"/>
      <c r="K49" s="74"/>
      <c r="L49" s="226"/>
      <c r="M49" s="74"/>
      <c r="N49" s="221"/>
      <c r="O49" s="237"/>
      <c r="P49" s="221"/>
      <c r="Q49" s="238"/>
      <c r="R49" s="221"/>
      <c r="S49" s="239"/>
      <c r="T49" s="221"/>
      <c r="U49" s="231"/>
      <c r="V49" s="221"/>
      <c r="W49" s="74"/>
      <c r="X49" s="240"/>
      <c r="Y49" s="240"/>
      <c r="Z49" s="240"/>
      <c r="AA49" s="240"/>
      <c r="AB49" s="221"/>
      <c r="AC49" s="237"/>
      <c r="AD49" s="221"/>
      <c r="AE49" s="239"/>
      <c r="AF49" s="221"/>
      <c r="AG49" s="239"/>
      <c r="AH49" s="221"/>
      <c r="AI49" s="231"/>
      <c r="AJ49" s="221"/>
      <c r="AK49" s="241"/>
      <c r="AL49" s="221"/>
      <c r="AM49" s="242"/>
      <c r="AN49" s="221"/>
      <c r="AO49" s="242"/>
      <c r="AP49" s="221"/>
      <c r="AQ49" s="237"/>
      <c r="AR49" s="221"/>
      <c r="AS49" s="238"/>
      <c r="AT49" s="221"/>
      <c r="AU49" s="239"/>
      <c r="AV49" s="221"/>
      <c r="AW49" s="231"/>
      <c r="AX49" s="243"/>
      <c r="AY49" s="244"/>
      <c r="AZ49" s="244"/>
      <c r="BA49" s="245"/>
      <c r="BB49" s="244"/>
      <c r="BC49" s="244"/>
      <c r="BD49" s="234"/>
      <c r="BE49" s="104"/>
    </row>
    <row r="50" customFormat="false" ht="12.75" hidden="false" customHeight="false" outlineLevel="0" collapsed="false">
      <c r="A50" s="213" t="s">
        <v>109</v>
      </c>
      <c r="C50" s="40"/>
      <c r="E50" s="188"/>
      <c r="G50" s="214"/>
      <c r="J50" s="215"/>
      <c r="L50" s="215"/>
      <c r="O50" s="216"/>
      <c r="Q50" s="188"/>
      <c r="S50" s="217"/>
      <c r="U50" s="214"/>
      <c r="X50" s="218"/>
      <c r="Y50" s="218"/>
      <c r="Z50" s="218"/>
      <c r="AA50" s="218"/>
      <c r="AC50" s="216"/>
      <c r="AE50" s="217"/>
      <c r="AG50" s="217"/>
      <c r="AI50" s="214"/>
      <c r="AK50" s="215"/>
      <c r="AM50" s="191"/>
      <c r="AO50" s="191"/>
      <c r="AQ50" s="216"/>
      <c r="AS50" s="188"/>
      <c r="AU50" s="217"/>
      <c r="AW50" s="214"/>
      <c r="AX50" s="214"/>
      <c r="AY50" s="220"/>
      <c r="AZ50" s="220"/>
      <c r="BA50" s="220"/>
      <c r="BB50" s="220"/>
      <c r="BC50" s="220"/>
      <c r="BD50" s="183"/>
    </row>
    <row r="51" customFormat="false" ht="12.75" hidden="false" customHeight="false" outlineLevel="0" collapsed="false">
      <c r="A51" s="204" t="s">
        <v>32</v>
      </c>
      <c r="B51" s="178" t="s">
        <v>95</v>
      </c>
      <c r="C51" s="40" t="n">
        <v>2480000</v>
      </c>
      <c r="E51" s="188" t="n">
        <f aca="false">ROUND(C51/$BC$1,0)</f>
        <v>80000</v>
      </c>
      <c r="G51" s="214" t="n">
        <f aca="false">IF(I51=0,0,I51/C51)</f>
        <v>0.025</v>
      </c>
      <c r="I51" s="5" t="n">
        <f aca="false">-K51+62000</f>
        <v>62000</v>
      </c>
      <c r="J51" s="215"/>
      <c r="L51" s="215"/>
      <c r="M51" s="5" t="n">
        <f aca="false">+I51+K51</f>
        <v>62000</v>
      </c>
      <c r="O51" s="216" t="n">
        <f aca="false">ROUND(M51/1000,0)</f>
        <v>62</v>
      </c>
      <c r="Q51" s="188"/>
      <c r="S51" s="217" t="n">
        <f aca="false">ROUND(Q51/$BC$2,0)</f>
        <v>0</v>
      </c>
      <c r="U51" s="214" t="n">
        <f aca="false">IF(W51=0,0,W51/Q51)</f>
        <v>0</v>
      </c>
      <c r="W51" s="5" t="n">
        <f aca="false">-Y51</f>
        <v>-0</v>
      </c>
      <c r="X51" s="218"/>
      <c r="Y51" s="5"/>
      <c r="Z51" s="218"/>
      <c r="AA51" s="218" t="n">
        <f aca="false">+W51+Y51</f>
        <v>0</v>
      </c>
      <c r="AC51" s="216" t="n">
        <f aca="false">ROUND(AA51/1000,0)</f>
        <v>0</v>
      </c>
      <c r="AE51" s="217" t="n">
        <f aca="false">1071420-1071420+1107134+999992-1107134-999992</f>
        <v>0</v>
      </c>
      <c r="AG51" s="217" t="n">
        <f aca="false">ROUND(AE51/$BC$3,0)</f>
        <v>0</v>
      </c>
      <c r="AI51" s="214" t="n">
        <f aca="false">IF(AK51=0,0,AK51/AE51)</f>
        <v>0</v>
      </c>
      <c r="AK51" s="5"/>
      <c r="AL51" s="5"/>
      <c r="AM51" s="5"/>
      <c r="AO51" s="191" t="n">
        <f aca="false">+AK51+AM51</f>
        <v>0</v>
      </c>
      <c r="AQ51" s="216" t="n">
        <f aca="false">ROUND(AK51/1000,0)</f>
        <v>0</v>
      </c>
      <c r="AS51" s="188" t="n">
        <f aca="false">+AE51+Q51+C51</f>
        <v>2480000</v>
      </c>
      <c r="AU51" s="188" t="n">
        <f aca="false">+AG51+S51+E51</f>
        <v>80000</v>
      </c>
      <c r="AW51" s="214" t="n">
        <f aca="false">IF(AY51=0,0,AY51/AS51)</f>
        <v>0.025</v>
      </c>
      <c r="AX51" s="214"/>
      <c r="AY51" s="220" t="n">
        <f aca="false">+AK51+W51+I51</f>
        <v>62000</v>
      </c>
      <c r="AZ51" s="220"/>
      <c r="BA51" s="220" t="n">
        <f aca="false">+AM51+Y51+K51</f>
        <v>0</v>
      </c>
      <c r="BB51" s="220"/>
      <c r="BC51" s="220" t="n">
        <f aca="false">+AO51+AA51+M51</f>
        <v>62000</v>
      </c>
      <c r="BD51" s="183"/>
      <c r="BE51" s="6" t="n">
        <f aca="false">ROUND(BC51/1000,0)</f>
        <v>62</v>
      </c>
    </row>
    <row r="52" customFormat="false" ht="12.75" hidden="false" customHeight="false" outlineLevel="0" collapsed="false">
      <c r="A52" s="204" t="s">
        <v>110</v>
      </c>
      <c r="C52" s="40"/>
      <c r="E52" s="188" t="n">
        <f aca="false">ROUND(C52/$BC$1,0)</f>
        <v>0</v>
      </c>
      <c r="G52" s="214" t="n">
        <f aca="false">IF(I52=0,0,I52/C52)</f>
        <v>0</v>
      </c>
      <c r="I52" s="5" t="n">
        <f aca="false">-K52</f>
        <v>-0</v>
      </c>
      <c r="J52" s="215"/>
      <c r="L52" s="215"/>
      <c r="M52" s="5" t="n">
        <f aca="false">+I52+K52</f>
        <v>0</v>
      </c>
      <c r="O52" s="216" t="n">
        <f aca="false">ROUND(M52/1000,0)</f>
        <v>0</v>
      </c>
      <c r="Q52" s="188"/>
      <c r="S52" s="217" t="n">
        <f aca="false">ROUND(Q52/$BC$2,0)</f>
        <v>0</v>
      </c>
      <c r="U52" s="214" t="n">
        <f aca="false">IF(W52=0,0,W52/Q52)</f>
        <v>0</v>
      </c>
      <c r="W52" s="5" t="n">
        <f aca="false">-Y52</f>
        <v>-0</v>
      </c>
      <c r="X52" s="218"/>
      <c r="Y52" s="5" t="n">
        <v>0</v>
      </c>
      <c r="Z52" s="218"/>
      <c r="AA52" s="218" t="n">
        <f aca="false">+W52+Y52</f>
        <v>0</v>
      </c>
      <c r="AC52" s="216" t="n">
        <f aca="false">ROUND(AA52/1000,0)</f>
        <v>0</v>
      </c>
      <c r="AE52" s="217"/>
      <c r="AG52" s="217" t="n">
        <f aca="false">ROUND(AE52/$BC$3,0)</f>
        <v>0</v>
      </c>
      <c r="AI52" s="214" t="n">
        <f aca="false">IF(AK52=0,0,AK52/AE52)</f>
        <v>0</v>
      </c>
      <c r="AK52" s="5"/>
      <c r="AL52" s="5"/>
      <c r="AM52" s="5" t="n">
        <v>0</v>
      </c>
      <c r="AO52" s="191" t="n">
        <f aca="false">+AK52+AM52</f>
        <v>0</v>
      </c>
      <c r="AQ52" s="216" t="n">
        <f aca="false">ROUND(AK52/1000,0)</f>
        <v>0</v>
      </c>
      <c r="AS52" s="188" t="n">
        <f aca="false">+AE52+Q52+C52</f>
        <v>0</v>
      </c>
      <c r="AU52" s="188" t="n">
        <f aca="false">+AG52+S52+E52</f>
        <v>0</v>
      </c>
      <c r="AW52" s="214" t="n">
        <f aca="false">IF(AY52=0,0,AY52/AS52)</f>
        <v>0</v>
      </c>
      <c r="AX52" s="214"/>
      <c r="AY52" s="220" t="n">
        <f aca="false">+AK52+W52+I52</f>
        <v>0</v>
      </c>
      <c r="AZ52" s="220"/>
      <c r="BA52" s="220" t="n">
        <f aca="false">+AM52+Y52+K52</f>
        <v>0</v>
      </c>
      <c r="BB52" s="220"/>
      <c r="BC52" s="220" t="n">
        <f aca="false">+AO52+AA52+M52</f>
        <v>0</v>
      </c>
      <c r="BD52" s="183"/>
      <c r="BE52" s="6" t="n">
        <f aca="false">ROUND(BC52/1000,0)</f>
        <v>0</v>
      </c>
    </row>
    <row r="53" customFormat="false" ht="12.75" hidden="false" customHeight="false" outlineLevel="0" collapsed="false">
      <c r="A53" s="204" t="s">
        <v>111</v>
      </c>
      <c r="C53" s="40"/>
      <c r="E53" s="188" t="n">
        <f aca="false">ROUND(C53/$BC$1,0)</f>
        <v>0</v>
      </c>
      <c r="G53" s="214" t="n">
        <f aca="false">IF(I53=0,0,I53/C53)</f>
        <v>0</v>
      </c>
      <c r="I53" s="5" t="n">
        <f aca="false">-K53</f>
        <v>-0</v>
      </c>
      <c r="J53" s="215"/>
      <c r="L53" s="215"/>
      <c r="M53" s="5" t="n">
        <f aca="false">+I53+K53</f>
        <v>0</v>
      </c>
      <c r="O53" s="216" t="n">
        <f aca="false">ROUND(M53/1000,0)</f>
        <v>0</v>
      </c>
      <c r="Q53" s="188" t="n">
        <v>0</v>
      </c>
      <c r="S53" s="217" t="n">
        <f aca="false">ROUND(Q53/$BC$2,0)</f>
        <v>0</v>
      </c>
      <c r="U53" s="214" t="n">
        <f aca="false">IF(W53=0,0,W53/Q53)</f>
        <v>0</v>
      </c>
      <c r="W53" s="5" t="n">
        <f aca="false">-Y53</f>
        <v>-0</v>
      </c>
      <c r="X53" s="218"/>
      <c r="Y53" s="5" t="n">
        <v>0</v>
      </c>
      <c r="Z53" s="218"/>
      <c r="AA53" s="218" t="n">
        <f aca="false">+W53+Y53</f>
        <v>0</v>
      </c>
      <c r="AC53" s="216" t="n">
        <f aca="false">ROUND(AA53/1000,0)</f>
        <v>0</v>
      </c>
      <c r="AE53" s="217" t="n">
        <v>0</v>
      </c>
      <c r="AG53" s="217" t="n">
        <f aca="false">ROUND(AE53/$BC$3,0)</f>
        <v>0</v>
      </c>
      <c r="AI53" s="214" t="n">
        <f aca="false">IF(AK53=0,0,AK53/AE53)</f>
        <v>0</v>
      </c>
      <c r="AK53" s="5"/>
      <c r="AL53" s="5"/>
      <c r="AM53" s="5" t="n">
        <v>0</v>
      </c>
      <c r="AO53" s="191" t="n">
        <f aca="false">+AK53+AM53</f>
        <v>0</v>
      </c>
      <c r="AQ53" s="216" t="n">
        <f aca="false">ROUND(AK53/1000,0)</f>
        <v>0</v>
      </c>
      <c r="AS53" s="188" t="n">
        <f aca="false">+AE53+Q53+C53</f>
        <v>0</v>
      </c>
      <c r="AU53" s="188" t="n">
        <f aca="false">+AG53+S53+E53</f>
        <v>0</v>
      </c>
      <c r="AW53" s="214" t="n">
        <f aca="false">IF(AY53=0,0,AY53/AS53)</f>
        <v>0</v>
      </c>
      <c r="AX53" s="214"/>
      <c r="AY53" s="220" t="n">
        <f aca="false">+AK53+W53+I53</f>
        <v>0</v>
      </c>
      <c r="AZ53" s="220"/>
      <c r="BA53" s="220" t="n">
        <f aca="false">+AM53+Y53+K53</f>
        <v>0</v>
      </c>
      <c r="BB53" s="220"/>
      <c r="BC53" s="220" t="n">
        <f aca="false">+AO53+AA53+M53</f>
        <v>0</v>
      </c>
      <c r="BD53" s="183"/>
      <c r="BE53" s="6" t="n">
        <f aca="false">ROUND(BC53/1000,0)</f>
        <v>0</v>
      </c>
    </row>
    <row r="54" customFormat="false" ht="12.75" hidden="false" customHeight="false" outlineLevel="0" collapsed="false">
      <c r="A54" s="204" t="s">
        <v>112</v>
      </c>
      <c r="C54" s="40"/>
      <c r="E54" s="188" t="n">
        <f aca="false">ROUND(C54/$BC$1,0)</f>
        <v>0</v>
      </c>
      <c r="G54" s="214" t="n">
        <f aca="false">IF(I54=0,0,I54/C54)</f>
        <v>0</v>
      </c>
      <c r="I54" s="5" t="n">
        <f aca="false">-K54</f>
        <v>-0</v>
      </c>
      <c r="J54" s="215"/>
      <c r="L54" s="215"/>
      <c r="M54" s="5" t="n">
        <f aca="false">+I54+K54</f>
        <v>0</v>
      </c>
      <c r="O54" s="216" t="n">
        <f aca="false">ROUND(M54/1000,0)</f>
        <v>0</v>
      </c>
      <c r="Q54" s="188" t="n">
        <v>0</v>
      </c>
      <c r="S54" s="217" t="n">
        <f aca="false">ROUND(Q54/$BC$2,0)</f>
        <v>0</v>
      </c>
      <c r="U54" s="214" t="n">
        <f aca="false">IF(W54=0,0,W54/Q54)</f>
        <v>0</v>
      </c>
      <c r="W54" s="5" t="n">
        <f aca="false">-Y54</f>
        <v>-0</v>
      </c>
      <c r="X54" s="218"/>
      <c r="Y54" s="5"/>
      <c r="Z54" s="218"/>
      <c r="AA54" s="218"/>
      <c r="AC54" s="216"/>
      <c r="AE54" s="217"/>
      <c r="AG54" s="217"/>
      <c r="AI54" s="214"/>
      <c r="AK54" s="5"/>
      <c r="AL54" s="5"/>
      <c r="AM54" s="5"/>
      <c r="AO54" s="191"/>
      <c r="AQ54" s="216"/>
      <c r="AS54" s="188"/>
      <c r="AU54" s="188"/>
      <c r="AW54" s="214"/>
      <c r="AX54" s="214"/>
      <c r="AY54" s="220" t="n">
        <f aca="false">+AK54+W54+I54</f>
        <v>0</v>
      </c>
      <c r="AZ54" s="220"/>
      <c r="BA54" s="220" t="n">
        <f aca="false">+AM54+Y54+K54</f>
        <v>0</v>
      </c>
      <c r="BB54" s="220"/>
      <c r="BC54" s="220" t="n">
        <f aca="false">+AO54+AA54+M54</f>
        <v>0</v>
      </c>
      <c r="BD54" s="183"/>
      <c r="BE54" s="6" t="n">
        <f aca="false">ROUND(BC54/1000,0)</f>
        <v>0</v>
      </c>
    </row>
    <row r="55" customFormat="false" ht="12.75" hidden="false" customHeight="false" outlineLevel="0" collapsed="false">
      <c r="A55" s="204" t="s">
        <v>113</v>
      </c>
      <c r="B55" s="178" t="s">
        <v>95</v>
      </c>
      <c r="C55" s="40"/>
      <c r="E55" s="188" t="n">
        <f aca="false">ROUND(C55/$BC$1,0)</f>
        <v>0</v>
      </c>
      <c r="G55" s="214" t="n">
        <f aca="false">IF(I55=0,0,I55/C55)</f>
        <v>0</v>
      </c>
      <c r="I55" s="5" t="n">
        <f aca="false">-K55</f>
        <v>-0</v>
      </c>
      <c r="J55" s="215"/>
      <c r="K55" s="5" t="n">
        <v>0</v>
      </c>
      <c r="L55" s="215"/>
      <c r="M55" s="5" t="n">
        <f aca="false">+I55+K55</f>
        <v>0</v>
      </c>
      <c r="O55" s="216" t="n">
        <f aca="false">ROUND(M55/1000,0)</f>
        <v>0</v>
      </c>
      <c r="Q55" s="188" t="n">
        <v>0</v>
      </c>
      <c r="S55" s="217" t="n">
        <f aca="false">ROUND(Q55/$BC$2,0)</f>
        <v>0</v>
      </c>
      <c r="U55" s="214" t="n">
        <f aca="false">IF(W55=0,0,W55/Q55)</f>
        <v>0</v>
      </c>
      <c r="W55" s="5" t="n">
        <f aca="false">-Y55</f>
        <v>-0</v>
      </c>
      <c r="X55" s="218"/>
      <c r="Y55" s="5" t="n">
        <v>0</v>
      </c>
      <c r="Z55" s="218"/>
      <c r="AA55" s="218" t="n">
        <f aca="false">+W55+Y55</f>
        <v>0</v>
      </c>
      <c r="AC55" s="216" t="n">
        <f aca="false">ROUND(AA55/1000,0)</f>
        <v>0</v>
      </c>
      <c r="AE55" s="217" t="n">
        <v>0</v>
      </c>
      <c r="AG55" s="217" t="n">
        <f aca="false">ROUND(AE55/$BC$3,0)</f>
        <v>0</v>
      </c>
      <c r="AI55" s="214" t="n">
        <f aca="false">IF(AK55=0,0,AK55/AE55)</f>
        <v>0</v>
      </c>
      <c r="AK55" s="5"/>
      <c r="AL55" s="5"/>
      <c r="AM55" s="5" t="n">
        <v>0</v>
      </c>
      <c r="AO55" s="191" t="n">
        <f aca="false">+AK55+AM55</f>
        <v>0</v>
      </c>
      <c r="AQ55" s="216"/>
      <c r="AS55" s="188" t="n">
        <f aca="false">+AE55+Q55+C55</f>
        <v>0</v>
      </c>
      <c r="AU55" s="188" t="n">
        <f aca="false">+AG55+S55+E55</f>
        <v>0</v>
      </c>
      <c r="AW55" s="214" t="n">
        <f aca="false">IF(AY55=0,0,AY55/AS55)</f>
        <v>0</v>
      </c>
      <c r="AX55" s="214"/>
      <c r="AY55" s="220" t="n">
        <f aca="false">+AK55+W55+I55</f>
        <v>0</v>
      </c>
      <c r="AZ55" s="220"/>
      <c r="BA55" s="220" t="n">
        <f aca="false">+AM55+Y55+K55</f>
        <v>0</v>
      </c>
      <c r="BB55" s="220"/>
      <c r="BC55" s="220" t="n">
        <f aca="false">+AO55+AA55+M55</f>
        <v>0</v>
      </c>
      <c r="BD55" s="183"/>
      <c r="BE55" s="6" t="n">
        <f aca="false">ROUND(BC55/1000,0)</f>
        <v>0</v>
      </c>
    </row>
    <row r="56" customFormat="false" ht="12.75" hidden="false" customHeight="false" outlineLevel="0" collapsed="false">
      <c r="A56" s="213" t="s">
        <v>37</v>
      </c>
      <c r="B56" s="221"/>
      <c r="C56" s="105" t="n">
        <f aca="false">SUM(C52:C55)</f>
        <v>0</v>
      </c>
      <c r="D56" s="221"/>
      <c r="E56" s="222" t="n">
        <f aca="false">SUM(E52:E55)</f>
        <v>0</v>
      </c>
      <c r="F56" s="221"/>
      <c r="G56" s="223" t="n">
        <v>0</v>
      </c>
      <c r="H56" s="221"/>
      <c r="I56" s="73" t="n">
        <f aca="false">SUM(I51:I55)</f>
        <v>62000</v>
      </c>
      <c r="J56" s="226"/>
      <c r="K56" s="73" t="n">
        <f aca="false">SUM(K51:K55)</f>
        <v>0</v>
      </c>
      <c r="L56" s="226"/>
      <c r="M56" s="73" t="n">
        <f aca="false">SUM(M51:M55)</f>
        <v>62000</v>
      </c>
      <c r="N56" s="221"/>
      <c r="O56" s="75" t="n">
        <f aca="false">SUM(O51:O55)</f>
        <v>62</v>
      </c>
      <c r="P56" s="221"/>
      <c r="Q56" s="227" t="n">
        <f aca="false">SUM(Q52:Q55)</f>
        <v>0</v>
      </c>
      <c r="R56" s="221"/>
      <c r="S56" s="227" t="n">
        <f aca="false">SUM(S52:S55)</f>
        <v>0</v>
      </c>
      <c r="T56" s="221"/>
      <c r="U56" s="223" t="n">
        <f aca="false">IF(W56=0,0,W56/Q56)</f>
        <v>0</v>
      </c>
      <c r="V56" s="221"/>
      <c r="W56" s="73" t="n">
        <f aca="false">SUM(W51:W55)</f>
        <v>0</v>
      </c>
      <c r="X56" s="224"/>
      <c r="Y56" s="228" t="n">
        <f aca="false">SUM(Y51:Y55)</f>
        <v>0</v>
      </c>
      <c r="Z56" s="224"/>
      <c r="AA56" s="228" t="n">
        <f aca="false">SUM(AA51:AA55)</f>
        <v>0</v>
      </c>
      <c r="AB56" s="221"/>
      <c r="AC56" s="222" t="n">
        <f aca="false">SUM(AC51:AC55)</f>
        <v>0</v>
      </c>
      <c r="AD56" s="221"/>
      <c r="AE56" s="227" t="n">
        <f aca="false">SUM(AE52:AE55)</f>
        <v>0</v>
      </c>
      <c r="AF56" s="221"/>
      <c r="AG56" s="227" t="n">
        <f aca="false">SUM(AG52:AG55)</f>
        <v>0</v>
      </c>
      <c r="AH56" s="221"/>
      <c r="AI56" s="223" t="n">
        <f aca="false">IF(AK56=0,0,AK56/AE56)</f>
        <v>0</v>
      </c>
      <c r="AJ56" s="221"/>
      <c r="AK56" s="228" t="n">
        <f aca="false">SUM(AK51:AK55)</f>
        <v>0</v>
      </c>
      <c r="AL56" s="221"/>
      <c r="AM56" s="228" t="n">
        <f aca="false">SUM(AM51:AM55)</f>
        <v>0</v>
      </c>
      <c r="AN56" s="221"/>
      <c r="AO56" s="228" t="n">
        <f aca="false">SUM(AO51:AO55)</f>
        <v>0</v>
      </c>
      <c r="AP56" s="221"/>
      <c r="AQ56" s="222" t="n">
        <f aca="false">SUM(AQ51:AQ55)</f>
        <v>0</v>
      </c>
      <c r="AR56" s="221"/>
      <c r="AS56" s="227" t="n">
        <f aca="false">SUM(AS52:AS55)</f>
        <v>0</v>
      </c>
      <c r="AT56" s="221"/>
      <c r="AU56" s="227" t="n">
        <f aca="false">SUM(AU52:AU55)</f>
        <v>0</v>
      </c>
      <c r="AV56" s="221"/>
      <c r="AW56" s="223" t="e">
        <f aca="false">IF(AY56=0,0,AY56/AS56)</f>
        <v>#DIV/0!</v>
      </c>
      <c r="AX56" s="229"/>
      <c r="AY56" s="228" t="n">
        <f aca="false">SUM(AY51:AY55)</f>
        <v>62000</v>
      </c>
      <c r="AZ56" s="224"/>
      <c r="BA56" s="228" t="n">
        <f aca="false">SUM(BA51:BA55)</f>
        <v>0</v>
      </c>
      <c r="BB56" s="224"/>
      <c r="BC56" s="228" t="n">
        <f aca="false">SUM(BC51:BC55)</f>
        <v>62000</v>
      </c>
      <c r="BD56" s="224"/>
      <c r="BE56" s="75" t="n">
        <f aca="false">SUM(BE51:BE55)</f>
        <v>62</v>
      </c>
    </row>
    <row r="57" customFormat="false" ht="12.75" hidden="false" customHeight="false" outlineLevel="0" collapsed="false">
      <c r="A57" s="204"/>
      <c r="C57" s="40"/>
      <c r="E57" s="188"/>
      <c r="G57" s="214"/>
      <c r="J57" s="215"/>
      <c r="L57" s="215"/>
      <c r="O57" s="216"/>
      <c r="Q57" s="188"/>
      <c r="S57" s="217"/>
      <c r="U57" s="214"/>
      <c r="X57" s="218"/>
      <c r="Y57" s="218"/>
      <c r="Z57" s="218"/>
      <c r="AA57" s="218"/>
      <c r="AC57" s="216"/>
      <c r="AE57" s="217"/>
      <c r="AG57" s="217"/>
      <c r="AI57" s="214"/>
      <c r="AK57" s="215"/>
      <c r="AM57" s="191"/>
      <c r="AO57" s="191"/>
      <c r="AQ57" s="216"/>
      <c r="AS57" s="188"/>
      <c r="AU57" s="217"/>
      <c r="AW57" s="214"/>
      <c r="AX57" s="214"/>
      <c r="AY57" s="220"/>
      <c r="AZ57" s="220"/>
      <c r="BA57" s="220"/>
      <c r="BB57" s="220"/>
      <c r="BC57" s="220"/>
      <c r="BD57" s="183"/>
    </row>
    <row r="58" customFormat="false" ht="12.75" hidden="false" customHeight="false" outlineLevel="0" collapsed="false">
      <c r="A58" s="204" t="s">
        <v>32</v>
      </c>
      <c r="B58" s="178" t="s">
        <v>95</v>
      </c>
      <c r="C58" s="188" t="n">
        <v>19696418</v>
      </c>
      <c r="E58" s="188" t="n">
        <f aca="false">ROUND(C58/$BC$1,0)</f>
        <v>635368</v>
      </c>
      <c r="G58" s="214" t="n">
        <f aca="false">IF(I58=0,0,I58/C58)</f>
        <v>0.0420783596286391</v>
      </c>
      <c r="I58" s="5" t="n">
        <f aca="false">-K58+832114.36</f>
        <v>828792.96</v>
      </c>
      <c r="J58" s="215"/>
      <c r="K58" s="5" t="n">
        <v>3321.4</v>
      </c>
      <c r="L58" s="215"/>
      <c r="M58" s="5" t="n">
        <f aca="false">+I58+K58</f>
        <v>832114.36</v>
      </c>
      <c r="O58" s="216" t="n">
        <f aca="false">ROUND(M58/1000,0)</f>
        <v>832</v>
      </c>
      <c r="Q58" s="188"/>
      <c r="S58" s="217" t="n">
        <f aca="false">ROUND(Q58/$BC$2,0)</f>
        <v>0</v>
      </c>
      <c r="U58" s="214" t="n">
        <v>0</v>
      </c>
      <c r="W58" s="5" t="n">
        <f aca="false">-Y58</f>
        <v>-0</v>
      </c>
      <c r="X58" s="218"/>
      <c r="Y58" s="5"/>
      <c r="Z58" s="218"/>
      <c r="AA58" s="218" t="n">
        <f aca="false">+W58+Y58</f>
        <v>0</v>
      </c>
      <c r="AC58" s="216" t="n">
        <f aca="false">ROUND(AA58/1000,0)</f>
        <v>0</v>
      </c>
      <c r="AE58" s="217"/>
      <c r="AG58" s="217" t="n">
        <f aca="false">ROUND(AE58/$BC$3,0)</f>
        <v>0</v>
      </c>
      <c r="AI58" s="214" t="n">
        <f aca="false">IF(AK58=0,0,AK58/AE58)</f>
        <v>0</v>
      </c>
      <c r="AK58" s="5" t="n">
        <f aca="false">+AM58</f>
        <v>0</v>
      </c>
      <c r="AL58" s="5"/>
      <c r="AM58" s="5"/>
      <c r="AO58" s="191" t="n">
        <f aca="false">+AK58+AM58</f>
        <v>0</v>
      </c>
      <c r="AQ58" s="216" t="n">
        <f aca="false">ROUND(AO58/1000,0)</f>
        <v>0</v>
      </c>
      <c r="AS58" s="188" t="n">
        <f aca="false">+AE58+Q58+C58</f>
        <v>19696418</v>
      </c>
      <c r="AU58" s="188" t="n">
        <f aca="false">+AG58+S58+E58</f>
        <v>635368</v>
      </c>
      <c r="AW58" s="214" t="n">
        <f aca="false">IF(AY58=0,0,AY58/AS58)</f>
        <v>0.0420783596286391</v>
      </c>
      <c r="AX58" s="214"/>
      <c r="AY58" s="220" t="n">
        <f aca="false">+AK58+W58+I58</f>
        <v>828792.96</v>
      </c>
      <c r="AZ58" s="220"/>
      <c r="BA58" s="220" t="n">
        <f aca="false">+AM58+Y58+K58</f>
        <v>3321.4</v>
      </c>
      <c r="BB58" s="220"/>
      <c r="BC58" s="220" t="n">
        <f aca="false">+AO58+AA58+M58</f>
        <v>832114.36</v>
      </c>
      <c r="BD58" s="183"/>
      <c r="BE58" s="6" t="n">
        <f aca="false">ROUND(BC58/1000,0)</f>
        <v>832</v>
      </c>
    </row>
    <row r="59" customFormat="false" ht="12.75" hidden="false" customHeight="false" outlineLevel="0" collapsed="false">
      <c r="A59" s="204" t="s">
        <v>97</v>
      </c>
      <c r="B59" s="178" t="s">
        <v>95</v>
      </c>
      <c r="C59" s="188" t="n">
        <v>8688753</v>
      </c>
      <c r="E59" s="188" t="n">
        <f aca="false">ROUND(C59/$BC$1,0)</f>
        <v>280282</v>
      </c>
      <c r="G59" s="214" t="n">
        <f aca="false">IF(I59=0,0,I59/C59)</f>
        <v>0.00722680113015067</v>
      </c>
      <c r="I59" s="5" t="n">
        <f aca="false">-K59+82096.08</f>
        <v>62791.89</v>
      </c>
      <c r="J59" s="215"/>
      <c r="K59" s="5" t="n">
        <f aca="false">211.92+19092.27</f>
        <v>19304.19</v>
      </c>
      <c r="L59" s="215"/>
      <c r="M59" s="5" t="n">
        <f aca="false">+I59+K59</f>
        <v>82096.08</v>
      </c>
      <c r="O59" s="216" t="n">
        <f aca="false">ROUND(M59/1000,0)</f>
        <v>82</v>
      </c>
      <c r="Q59" s="188" t="n">
        <v>2001</v>
      </c>
      <c r="S59" s="217" t="n">
        <f aca="false">ROUND(Q59/$BC$2,0)</f>
        <v>67</v>
      </c>
      <c r="U59" s="214" t="n">
        <f aca="false">IF(W59=0,0,W59/Q59)</f>
        <v>0.132808595702149</v>
      </c>
      <c r="W59" s="5" t="n">
        <f aca="false">-Y59+291.63</f>
        <v>265.75</v>
      </c>
      <c r="X59" s="218"/>
      <c r="Y59" s="5" t="n">
        <v>25.88</v>
      </c>
      <c r="Z59" s="218"/>
      <c r="AA59" s="218" t="n">
        <f aca="false">+W59+Y59</f>
        <v>291.63</v>
      </c>
      <c r="AB59" s="178" t="s">
        <v>95</v>
      </c>
      <c r="AC59" s="216" t="n">
        <f aca="false">ROUND(AA59/1000,0)</f>
        <v>0</v>
      </c>
      <c r="AE59" s="217" t="n">
        <v>0</v>
      </c>
      <c r="AG59" s="217" t="n">
        <f aca="false">ROUND(AE59/$BC$3,0)</f>
        <v>0</v>
      </c>
      <c r="AI59" s="214" t="n">
        <f aca="false">IF(AK59=0,0,AK59/AE59)</f>
        <v>0</v>
      </c>
      <c r="AK59" s="5" t="n">
        <f aca="false">+AM59</f>
        <v>0</v>
      </c>
      <c r="AL59" s="5"/>
      <c r="AM59" s="5"/>
      <c r="AO59" s="191" t="n">
        <f aca="false">+AK59+AM59</f>
        <v>0</v>
      </c>
      <c r="AQ59" s="216" t="n">
        <f aca="false">ROUND(AO59/1000,0)</f>
        <v>0</v>
      </c>
      <c r="AS59" s="188" t="n">
        <f aca="false">+AE59+Q59+C59</f>
        <v>8690754</v>
      </c>
      <c r="AU59" s="188" t="n">
        <f aca="false">+AG59+S59+E59</f>
        <v>280349</v>
      </c>
      <c r="AW59" s="214" t="n">
        <f aca="false">IF(AY59=0,0,AY59/AS59)</f>
        <v>0.00725571567208093</v>
      </c>
      <c r="AX59" s="214"/>
      <c r="AY59" s="220" t="n">
        <f aca="false">+AK59+W59+I59</f>
        <v>63057.64</v>
      </c>
      <c r="AZ59" s="220"/>
      <c r="BA59" s="220" t="n">
        <f aca="false">+AM59+Y59+K59</f>
        <v>19330.07</v>
      </c>
      <c r="BB59" s="220"/>
      <c r="BC59" s="220" t="n">
        <f aca="false">+AO59+AA59+M59</f>
        <v>82387.71</v>
      </c>
      <c r="BD59" s="183"/>
      <c r="BE59" s="6" t="n">
        <f aca="false">ROUND(BC59/1000,0)</f>
        <v>82</v>
      </c>
    </row>
    <row r="60" customFormat="false" ht="12.75" hidden="false" customHeight="false" outlineLevel="0" collapsed="false">
      <c r="A60" s="204" t="s">
        <v>98</v>
      </c>
      <c r="B60" s="178" t="s">
        <v>95</v>
      </c>
      <c r="C60" s="188"/>
      <c r="E60" s="188" t="n">
        <f aca="false">ROUND(C60/$BC$1,0)</f>
        <v>0</v>
      </c>
      <c r="G60" s="214" t="n">
        <f aca="false">IF(I60=0,0,I60/C60)</f>
        <v>0</v>
      </c>
      <c r="I60" s="5" t="n">
        <f aca="false">-K60</f>
        <v>-0</v>
      </c>
      <c r="J60" s="215"/>
      <c r="L60" s="215"/>
      <c r="M60" s="5" t="n">
        <f aca="false">+I60+K60</f>
        <v>0</v>
      </c>
      <c r="O60" s="216" t="n">
        <f aca="false">ROUND(M60/1000,0)</f>
        <v>0</v>
      </c>
      <c r="Q60" s="188"/>
      <c r="S60" s="217" t="n">
        <f aca="false">ROUND(Q60/$BC$2,0)</f>
        <v>0</v>
      </c>
      <c r="U60" s="214" t="n">
        <f aca="false">IF(W60=0,0,W60/Q60)</f>
        <v>0</v>
      </c>
      <c r="W60" s="5" t="n">
        <f aca="false">-Y60</f>
        <v>-0</v>
      </c>
      <c r="X60" s="218"/>
      <c r="Y60" s="5"/>
      <c r="Z60" s="218"/>
      <c r="AA60" s="218" t="n">
        <f aca="false">+W60+Y60</f>
        <v>0</v>
      </c>
      <c r="AC60" s="216" t="n">
        <f aca="false">ROUND(AA60/1000,0)</f>
        <v>0</v>
      </c>
      <c r="AE60" s="217"/>
      <c r="AG60" s="217" t="n">
        <f aca="false">ROUND(AE60/$BC$3,0)</f>
        <v>0</v>
      </c>
      <c r="AI60" s="214" t="n">
        <f aca="false">IF(AK60=0,0,AK60/AE60)</f>
        <v>0</v>
      </c>
      <c r="AK60" s="5"/>
      <c r="AL60" s="5"/>
      <c r="AM60" s="5"/>
      <c r="AO60" s="191" t="n">
        <f aca="false">+AK60+AM60</f>
        <v>0</v>
      </c>
      <c r="AQ60" s="216" t="n">
        <f aca="false">ROUND(AO60/1000,0)</f>
        <v>0</v>
      </c>
      <c r="AS60" s="188" t="n">
        <f aca="false">+AE60+Q60+C60</f>
        <v>0</v>
      </c>
      <c r="AU60" s="188" t="n">
        <f aca="false">+AG60+S60+E60</f>
        <v>0</v>
      </c>
      <c r="AW60" s="214" t="n">
        <f aca="false">IF(AY60=0,0,AY60/AS60)</f>
        <v>0</v>
      </c>
      <c r="AX60" s="214"/>
      <c r="AY60" s="220" t="n">
        <f aca="false">+AK60+W60+I60</f>
        <v>0</v>
      </c>
      <c r="AZ60" s="220"/>
      <c r="BA60" s="220" t="n">
        <f aca="false">+AM60+Y60+K60</f>
        <v>0</v>
      </c>
      <c r="BB60" s="220"/>
      <c r="BC60" s="220" t="n">
        <f aca="false">+AO60+AA60+M60</f>
        <v>0</v>
      </c>
      <c r="BD60" s="183"/>
      <c r="BE60" s="6" t="n">
        <f aca="false">ROUND(BC60/1000,0)</f>
        <v>0</v>
      </c>
    </row>
    <row r="61" customFormat="false" ht="12.75" hidden="false" customHeight="false" outlineLevel="0" collapsed="false">
      <c r="A61" s="204" t="s">
        <v>99</v>
      </c>
      <c r="B61" s="178" t="s">
        <v>95</v>
      </c>
      <c r="C61" s="188"/>
      <c r="E61" s="188" t="n">
        <f aca="false">ROUND(C61/$BC$1,0)</f>
        <v>0</v>
      </c>
      <c r="G61" s="214" t="n">
        <f aca="false">IF(I61=0,0,I61/C61)</f>
        <v>0</v>
      </c>
      <c r="I61" s="5" t="n">
        <f aca="false">-K61</f>
        <v>-0</v>
      </c>
      <c r="J61" s="215"/>
      <c r="L61" s="215"/>
      <c r="M61" s="5" t="n">
        <f aca="false">+I61+K61</f>
        <v>0</v>
      </c>
      <c r="O61" s="216" t="n">
        <f aca="false">ROUND(M61/1000,0)</f>
        <v>0</v>
      </c>
      <c r="Q61" s="188"/>
      <c r="S61" s="217" t="n">
        <f aca="false">ROUND(Q61/$BC$2,0)</f>
        <v>0</v>
      </c>
      <c r="U61" s="214" t="n">
        <f aca="false">IF(W61=0,0,W61/Q61)</f>
        <v>0</v>
      </c>
      <c r="W61" s="5" t="n">
        <f aca="false">-Y61</f>
        <v>-0</v>
      </c>
      <c r="X61" s="218"/>
      <c r="Y61" s="5"/>
      <c r="Z61" s="218"/>
      <c r="AA61" s="218"/>
      <c r="AC61" s="216"/>
      <c r="AE61" s="217"/>
      <c r="AG61" s="217"/>
      <c r="AI61" s="214"/>
      <c r="AK61" s="5"/>
      <c r="AL61" s="5"/>
      <c r="AM61" s="5"/>
      <c r="AO61" s="191"/>
      <c r="AQ61" s="216"/>
      <c r="AS61" s="188" t="n">
        <f aca="false">+AE61+Q61+C61</f>
        <v>0</v>
      </c>
      <c r="AU61" s="188" t="n">
        <f aca="false">+AG61+S61+E61</f>
        <v>0</v>
      </c>
      <c r="AW61" s="214" t="n">
        <f aca="false">IF(AY61=0,0,AY61/AS61)</f>
        <v>0</v>
      </c>
      <c r="AX61" s="214"/>
      <c r="AY61" s="220" t="n">
        <f aca="false">+AK61+W61+I61</f>
        <v>0</v>
      </c>
      <c r="AZ61" s="220"/>
      <c r="BA61" s="220" t="n">
        <f aca="false">+AM61+Y61+K61</f>
        <v>0</v>
      </c>
      <c r="BB61" s="220"/>
      <c r="BC61" s="220" t="n">
        <f aca="false">+AO61+AA61+M61</f>
        <v>0</v>
      </c>
      <c r="BD61" s="183"/>
      <c r="BE61" s="6" t="n">
        <f aca="false">ROUND(BC61/1000,0)</f>
        <v>0</v>
      </c>
    </row>
    <row r="62" customFormat="false" ht="12.75" hidden="false" customHeight="false" outlineLevel="0" collapsed="false">
      <c r="A62" s="204" t="s">
        <v>100</v>
      </c>
      <c r="B62" s="178" t="s">
        <v>95</v>
      </c>
      <c r="C62" s="188" t="n">
        <v>288090</v>
      </c>
      <c r="E62" s="188" t="n">
        <f aca="false">ROUND(C62/$BC$1,0)</f>
        <v>9293</v>
      </c>
      <c r="G62" s="214" t="n">
        <f aca="false">IF(I62=0,0,I62/C62)</f>
        <v>0.053703148321705</v>
      </c>
      <c r="I62" s="5" t="n">
        <f aca="false">-K62+16029.36</f>
        <v>15471.34</v>
      </c>
      <c r="J62" s="215"/>
      <c r="K62" s="5" t="n">
        <v>558.02</v>
      </c>
      <c r="L62" s="215"/>
      <c r="M62" s="5" t="n">
        <f aca="false">+I62+K62</f>
        <v>16029.36</v>
      </c>
      <c r="O62" s="216" t="n">
        <f aca="false">ROUND(M62/1000,0)</f>
        <v>16</v>
      </c>
      <c r="Q62" s="188"/>
      <c r="S62" s="217" t="n">
        <f aca="false">ROUND(Q62/$BC$2,0)</f>
        <v>0</v>
      </c>
      <c r="U62" s="214" t="n">
        <f aca="false">IF(W62=0,0,W62/Q62)</f>
        <v>0</v>
      </c>
      <c r="W62" s="5" t="n">
        <f aca="false">-Y62</f>
        <v>-0</v>
      </c>
      <c r="X62" s="218"/>
      <c r="Y62" s="5"/>
      <c r="Z62" s="218"/>
      <c r="AA62" s="218" t="n">
        <f aca="false">+W62+Y62</f>
        <v>0</v>
      </c>
      <c r="AC62" s="216" t="n">
        <f aca="false">ROUND(AA62/1000,0)</f>
        <v>0</v>
      </c>
      <c r="AE62" s="217"/>
      <c r="AG62" s="217" t="n">
        <f aca="false">ROUND(AE62/$BC$3,0)</f>
        <v>0</v>
      </c>
      <c r="AI62" s="214" t="n">
        <f aca="false">IF(AK62=0,0,AK62/AE62)</f>
        <v>0</v>
      </c>
      <c r="AK62" s="5"/>
      <c r="AL62" s="5"/>
      <c r="AM62" s="5"/>
      <c r="AO62" s="191" t="n">
        <f aca="false">+AK62+AM62</f>
        <v>0</v>
      </c>
      <c r="AQ62" s="216" t="n">
        <f aca="false">ROUND(AO62/1000,0)</f>
        <v>0</v>
      </c>
      <c r="AS62" s="188" t="n">
        <f aca="false">+AE62+Q62+C62</f>
        <v>288090</v>
      </c>
      <c r="AU62" s="188" t="n">
        <f aca="false">+AG62+S62+E62</f>
        <v>9293</v>
      </c>
      <c r="AW62" s="214" t="n">
        <f aca="false">IF(AY62=0,0,AY62/AS62)</f>
        <v>0.053703148321705</v>
      </c>
      <c r="AX62" s="214"/>
      <c r="AY62" s="220" t="n">
        <f aca="false">+AK62+W62+I62</f>
        <v>15471.34</v>
      </c>
      <c r="AZ62" s="220"/>
      <c r="BA62" s="220" t="n">
        <f aca="false">+AM62+Y62+K62</f>
        <v>558.02</v>
      </c>
      <c r="BB62" s="220"/>
      <c r="BC62" s="220" t="n">
        <f aca="false">+AO62+AA62+M62</f>
        <v>16029.36</v>
      </c>
      <c r="BD62" s="183"/>
      <c r="BE62" s="6" t="n">
        <f aca="false">ROUND(BC62/1000,0)</f>
        <v>16</v>
      </c>
    </row>
    <row r="63" customFormat="false" ht="12.75" hidden="false" customHeight="false" outlineLevel="0" collapsed="false">
      <c r="A63" s="204" t="s">
        <v>114</v>
      </c>
      <c r="B63" s="221" t="s">
        <v>95</v>
      </c>
      <c r="C63" s="99" t="n">
        <v>4793</v>
      </c>
      <c r="D63" s="221"/>
      <c r="E63" s="246" t="n">
        <f aca="false">ROUND(C63/$BC$1,0)</f>
        <v>155</v>
      </c>
      <c r="F63" s="221"/>
      <c r="G63" s="214" t="n">
        <v>0</v>
      </c>
      <c r="H63" s="221"/>
      <c r="I63" s="117" t="n">
        <f aca="false">-K63+20073.86</f>
        <v>20073.86</v>
      </c>
      <c r="J63" s="226"/>
      <c r="K63" s="247"/>
      <c r="L63" s="226"/>
      <c r="M63" s="117" t="n">
        <f aca="false">+I63+K63</f>
        <v>20073.86</v>
      </c>
      <c r="N63" s="221"/>
      <c r="O63" s="248" t="n">
        <f aca="false">ROUND(M63/1000,0)</f>
        <v>20</v>
      </c>
      <c r="P63" s="221"/>
      <c r="Q63" s="249"/>
      <c r="R63" s="221"/>
      <c r="S63" s="250"/>
      <c r="T63" s="221"/>
      <c r="U63" s="231"/>
      <c r="V63" s="221"/>
      <c r="W63" s="117" t="n">
        <f aca="false">-Y63+600</f>
        <v>600</v>
      </c>
      <c r="X63" s="226"/>
      <c r="Y63" s="251"/>
      <c r="Z63" s="226"/>
      <c r="AA63" s="252" t="n">
        <f aca="false">+W63+Y63</f>
        <v>600</v>
      </c>
      <c r="AB63" s="221"/>
      <c r="AC63" s="253"/>
      <c r="AD63" s="221"/>
      <c r="AE63" s="249"/>
      <c r="AF63" s="221"/>
      <c r="AG63" s="250"/>
      <c r="AH63" s="221"/>
      <c r="AI63" s="231"/>
      <c r="AJ63" s="221"/>
      <c r="AK63" s="254"/>
      <c r="AL63" s="226"/>
      <c r="AM63" s="251"/>
      <c r="AN63" s="226"/>
      <c r="AO63" s="255" t="n">
        <f aca="false">+AK63+AM63</f>
        <v>0</v>
      </c>
      <c r="AP63" s="221"/>
      <c r="AQ63" s="216" t="n">
        <f aca="false">ROUND(AO63/1000,0)</f>
        <v>0</v>
      </c>
      <c r="AR63" s="221"/>
      <c r="AS63" s="246" t="n">
        <f aca="false">+AE63+Q63+C63</f>
        <v>4793</v>
      </c>
      <c r="AT63" s="221"/>
      <c r="AU63" s="246" t="n">
        <f aca="false">+AG63+S63+E63</f>
        <v>155</v>
      </c>
      <c r="AV63" s="221"/>
      <c r="AW63" s="256" t="n">
        <f aca="false">IF(AY63=0,0,AY63/AS63)</f>
        <v>4.31334446067181</v>
      </c>
      <c r="AX63" s="221"/>
      <c r="AY63" s="257" t="n">
        <f aca="false">+AK63+W63+I63</f>
        <v>20673.86</v>
      </c>
      <c r="AZ63" s="220"/>
      <c r="BA63" s="257" t="n">
        <f aca="false">+AM63+Y63+K63</f>
        <v>0</v>
      </c>
      <c r="BB63" s="220"/>
      <c r="BC63" s="257" t="n">
        <f aca="false">+AO63+AA63+M63</f>
        <v>20673.86</v>
      </c>
      <c r="BD63" s="183"/>
      <c r="BE63" s="118" t="n">
        <f aca="false">ROUND(BC63/1000,0)</f>
        <v>21</v>
      </c>
    </row>
    <row r="64" customFormat="false" ht="12.75" hidden="false" customHeight="false" outlineLevel="0" collapsed="false">
      <c r="A64" s="213" t="s">
        <v>37</v>
      </c>
      <c r="B64" s="221"/>
      <c r="C64" s="119" t="n">
        <f aca="false">SUM(C59:C63)</f>
        <v>8981636</v>
      </c>
      <c r="D64" s="119"/>
      <c r="E64" s="119" t="n">
        <f aca="false">SUM(E59:E63)</f>
        <v>289730</v>
      </c>
      <c r="F64" s="221"/>
      <c r="G64" s="223" t="n">
        <f aca="false">IF(I64=0,0,I64/C64)</f>
        <v>0.103225075030874</v>
      </c>
      <c r="H64" s="221"/>
      <c r="I64" s="74" t="n">
        <f aca="false">SUM(I58:I63)</f>
        <v>927130.05</v>
      </c>
      <c r="J64" s="226"/>
      <c r="K64" s="74" t="n">
        <f aca="false">SUM(K58:K63)</f>
        <v>23183.61</v>
      </c>
      <c r="L64" s="226"/>
      <c r="M64" s="74" t="n">
        <f aca="false">SUM(M58:M63)</f>
        <v>950313.66</v>
      </c>
      <c r="N64" s="221"/>
      <c r="O64" s="104" t="n">
        <f aca="false">SUM(O58:O63)</f>
        <v>950</v>
      </c>
      <c r="P64" s="221"/>
      <c r="Q64" s="119" t="n">
        <f aca="false">SUM(Q59:Q63)</f>
        <v>2001</v>
      </c>
      <c r="R64" s="119"/>
      <c r="S64" s="119" t="n">
        <f aca="false">SUM(S59:S63)</f>
        <v>67</v>
      </c>
      <c r="T64" s="221"/>
      <c r="U64" s="223" t="n">
        <f aca="false">IF(W64=0,0,W64/Q64)</f>
        <v>0.432658670664668</v>
      </c>
      <c r="V64" s="221"/>
      <c r="W64" s="74" t="n">
        <f aca="false">SUM(W58:W63)</f>
        <v>865.75</v>
      </c>
      <c r="X64" s="226"/>
      <c r="Y64" s="74" t="n">
        <f aca="false">SUM(Y58:Y63)</f>
        <v>25.88</v>
      </c>
      <c r="Z64" s="226"/>
      <c r="AA64" s="74" t="n">
        <f aca="false">SUM(AA58:AA63)</f>
        <v>891.63</v>
      </c>
      <c r="AB64" s="221"/>
      <c r="AC64" s="104" t="n">
        <f aca="false">SUM(AC58:AC63)</f>
        <v>0</v>
      </c>
      <c r="AD64" s="221"/>
      <c r="AE64" s="119" t="n">
        <f aca="false">SUM(AE58:AE63)</f>
        <v>0</v>
      </c>
      <c r="AF64" s="119"/>
      <c r="AG64" s="119" t="n">
        <f aca="false">SUM(AG59:AG63)</f>
        <v>0</v>
      </c>
      <c r="AH64" s="221"/>
      <c r="AI64" s="223" t="n">
        <f aca="false">IF(AK64=0,0,AK64/AE64)</f>
        <v>0</v>
      </c>
      <c r="AJ64" s="221"/>
      <c r="AK64" s="74" t="n">
        <f aca="false">SUM(AK58:AK63)</f>
        <v>0</v>
      </c>
      <c r="AL64" s="226"/>
      <c r="AM64" s="74" t="n">
        <f aca="false">SUM(AM58:AM63)</f>
        <v>0</v>
      </c>
      <c r="AN64" s="226"/>
      <c r="AO64" s="74" t="n">
        <f aca="false">SUM(AO58:AO63)</f>
        <v>0</v>
      </c>
      <c r="AP64" s="221"/>
      <c r="AQ64" s="104" t="n">
        <f aca="false">SUM(AQ58:AQ63)</f>
        <v>0</v>
      </c>
      <c r="AR64" s="221"/>
      <c r="AS64" s="119" t="n">
        <f aca="false">SUM(AS59:AS63)</f>
        <v>8983637</v>
      </c>
      <c r="AT64" s="119"/>
      <c r="AU64" s="119" t="n">
        <f aca="false">SUM(AU59:AU63)</f>
        <v>289797</v>
      </c>
      <c r="AV64" s="221"/>
      <c r="AW64" s="223" t="n">
        <f aca="false">IF(AY64=0,0,AY64/AS64)</f>
        <v>0.103298452508711</v>
      </c>
      <c r="AX64" s="221"/>
      <c r="AY64" s="74" t="n">
        <f aca="false">SUM(AY58:AY63)</f>
        <v>927995.8</v>
      </c>
      <c r="AZ64" s="226"/>
      <c r="BA64" s="74" t="n">
        <f aca="false">SUM(BA58:BA63)</f>
        <v>23209.49</v>
      </c>
      <c r="BB64" s="226"/>
      <c r="BC64" s="258" t="n">
        <f aca="false">SUM(BC58:BC63)</f>
        <v>951205.29</v>
      </c>
      <c r="BD64" s="221"/>
      <c r="BE64" s="104" t="n">
        <f aca="false">SUM(BE58:BE63)</f>
        <v>951</v>
      </c>
      <c r="BF64" s="25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59"/>
      <c r="BS64" s="259"/>
      <c r="BT64" s="259"/>
      <c r="BU64" s="259"/>
      <c r="BV64" s="259"/>
      <c r="BW64" s="259"/>
      <c r="BX64" s="259"/>
      <c r="BY64" s="259"/>
      <c r="BZ64" s="259"/>
      <c r="CA64" s="259"/>
      <c r="CB64" s="259"/>
      <c r="CC64" s="259"/>
      <c r="CD64" s="259"/>
      <c r="CE64" s="259"/>
      <c r="CF64" s="259"/>
      <c r="CG64" s="259"/>
      <c r="CH64" s="259"/>
      <c r="CI64" s="259"/>
      <c r="CJ64" s="259"/>
      <c r="CK64" s="259"/>
      <c r="CL64" s="259"/>
      <c r="CM64" s="259"/>
      <c r="CN64" s="259"/>
      <c r="CO64" s="259"/>
      <c r="CP64" s="259"/>
      <c r="CQ64" s="259"/>
      <c r="CR64" s="259"/>
      <c r="CS64" s="259"/>
      <c r="CT64" s="259"/>
      <c r="CU64" s="259"/>
      <c r="CV64" s="259"/>
      <c r="CW64" s="259"/>
      <c r="CX64" s="259"/>
      <c r="CY64" s="259"/>
      <c r="CZ64" s="259"/>
      <c r="DA64" s="259"/>
      <c r="DB64" s="259"/>
      <c r="DC64" s="259"/>
      <c r="DD64" s="259"/>
      <c r="DE64" s="259"/>
      <c r="DF64" s="259"/>
      <c r="DG64" s="259"/>
      <c r="DH64" s="259"/>
      <c r="DI64" s="259"/>
      <c r="DJ64" s="259"/>
      <c r="DK64" s="259"/>
      <c r="DL64" s="259"/>
      <c r="DM64" s="259"/>
      <c r="DN64" s="259"/>
      <c r="DO64" s="259"/>
      <c r="DP64" s="259"/>
      <c r="DQ64" s="259"/>
      <c r="DR64" s="259"/>
      <c r="DS64" s="259"/>
      <c r="DT64" s="259"/>
      <c r="DU64" s="259"/>
      <c r="DV64" s="259"/>
      <c r="DW64" s="259"/>
      <c r="DX64" s="259"/>
      <c r="DY64" s="259"/>
      <c r="DZ64" s="259"/>
      <c r="EA64" s="259"/>
      <c r="EB64" s="259"/>
      <c r="EC64" s="259"/>
      <c r="ED64" s="259"/>
      <c r="EE64" s="259"/>
      <c r="EF64" s="259"/>
      <c r="EG64" s="259"/>
      <c r="EH64" s="259"/>
      <c r="EI64" s="259"/>
      <c r="EJ64" s="259"/>
      <c r="EK64" s="259"/>
      <c r="EL64" s="259"/>
      <c r="EM64" s="259"/>
      <c r="EN64" s="259"/>
      <c r="EO64" s="259"/>
      <c r="EP64" s="259"/>
      <c r="EQ64" s="259"/>
      <c r="ER64" s="259"/>
      <c r="ES64" s="259"/>
      <c r="ET64" s="259"/>
      <c r="EU64" s="259"/>
      <c r="EV64" s="259"/>
      <c r="EW64" s="259"/>
      <c r="EX64" s="259"/>
      <c r="EY64" s="259"/>
      <c r="EZ64" s="259"/>
      <c r="FA64" s="259"/>
      <c r="FB64" s="259"/>
      <c r="FC64" s="259"/>
      <c r="FD64" s="259"/>
      <c r="FE64" s="259"/>
      <c r="FF64" s="259"/>
      <c r="FG64" s="259"/>
      <c r="FH64" s="259"/>
      <c r="FI64" s="259"/>
      <c r="FJ64" s="259"/>
      <c r="FK64" s="259"/>
      <c r="FL64" s="259"/>
      <c r="FM64" s="259"/>
      <c r="FN64" s="259"/>
      <c r="FO64" s="259"/>
      <c r="FP64" s="259"/>
      <c r="FQ64" s="259"/>
      <c r="FR64" s="259"/>
      <c r="FS64" s="259"/>
      <c r="FT64" s="259"/>
      <c r="FU64" s="259"/>
      <c r="FV64" s="259"/>
      <c r="FW64" s="259"/>
      <c r="FX64" s="259"/>
      <c r="FY64" s="259"/>
      <c r="FZ64" s="259"/>
      <c r="GA64" s="259"/>
      <c r="GB64" s="259"/>
      <c r="GC64" s="259"/>
      <c r="GD64" s="259"/>
      <c r="GE64" s="259"/>
      <c r="GF64" s="259"/>
      <c r="GG64" s="259"/>
      <c r="GH64" s="259"/>
      <c r="GI64" s="259"/>
      <c r="GJ64" s="259"/>
      <c r="GK64" s="259"/>
      <c r="GL64" s="259"/>
      <c r="GM64" s="259"/>
      <c r="GN64" s="259"/>
      <c r="GO64" s="259"/>
      <c r="GP64" s="259"/>
      <c r="GQ64" s="259"/>
      <c r="GR64" s="259"/>
      <c r="GS64" s="259"/>
      <c r="GT64" s="259"/>
      <c r="GU64" s="259"/>
      <c r="GV64" s="259"/>
      <c r="GW64" s="259"/>
      <c r="GX64" s="259"/>
      <c r="GY64" s="259"/>
      <c r="GZ64" s="259"/>
      <c r="HA64" s="259"/>
      <c r="HB64" s="259"/>
      <c r="HC64" s="259"/>
      <c r="HD64" s="259"/>
      <c r="HE64" s="259"/>
      <c r="HF64" s="259"/>
      <c r="HG64" s="259"/>
      <c r="HH64" s="259"/>
      <c r="HI64" s="259"/>
      <c r="HJ64" s="259"/>
      <c r="HK64" s="259"/>
      <c r="HL64" s="259"/>
      <c r="HM64" s="259"/>
      <c r="HN64" s="259"/>
      <c r="HO64" s="259"/>
      <c r="HP64" s="259"/>
      <c r="HQ64" s="259"/>
      <c r="HR64" s="259"/>
      <c r="HS64" s="259"/>
      <c r="HT64" s="259"/>
      <c r="HU64" s="259"/>
      <c r="HV64" s="259"/>
      <c r="HW64" s="259"/>
      <c r="HX64" s="259"/>
      <c r="HY64" s="259"/>
      <c r="HZ64" s="259"/>
      <c r="IA64" s="259"/>
      <c r="IB64" s="259"/>
      <c r="IC64" s="259"/>
      <c r="ID64" s="259"/>
      <c r="IE64" s="259"/>
      <c r="IF64" s="259"/>
      <c r="IG64" s="259"/>
      <c r="IH64" s="259"/>
      <c r="II64" s="259"/>
      <c r="IJ64" s="259"/>
      <c r="IK64" s="259"/>
      <c r="IL64" s="259"/>
      <c r="IM64" s="259"/>
      <c r="IN64" s="259"/>
      <c r="IO64" s="259"/>
      <c r="IP64" s="259"/>
      <c r="IQ64" s="259"/>
      <c r="IR64" s="259"/>
      <c r="IS64" s="259"/>
      <c r="IT64" s="259"/>
      <c r="IU64" s="259"/>
      <c r="IV64" s="259"/>
      <c r="IW64" s="259"/>
    </row>
    <row r="65" customFormat="false" ht="12.75" hidden="false" customHeight="false" outlineLevel="0" collapsed="false">
      <c r="A65" s="204"/>
      <c r="B65" s="221"/>
      <c r="C65" s="40"/>
      <c r="D65" s="221"/>
      <c r="E65" s="188"/>
      <c r="F65" s="221"/>
      <c r="G65" s="231"/>
      <c r="H65" s="221"/>
      <c r="I65" s="74"/>
      <c r="J65" s="226"/>
      <c r="K65" s="74"/>
      <c r="L65" s="226"/>
      <c r="M65" s="74"/>
      <c r="N65" s="221"/>
      <c r="O65" s="104"/>
      <c r="P65" s="221"/>
      <c r="Q65" s="140"/>
      <c r="R65" s="221"/>
      <c r="S65" s="230"/>
      <c r="T65" s="221"/>
      <c r="U65" s="231"/>
      <c r="V65" s="221"/>
      <c r="W65" s="260"/>
      <c r="X65" s="226"/>
      <c r="Y65" s="260"/>
      <c r="Z65" s="226"/>
      <c r="AA65" s="260"/>
      <c r="AB65" s="221"/>
      <c r="AC65" s="104"/>
      <c r="AD65" s="221"/>
      <c r="AE65" s="140"/>
      <c r="AF65" s="221"/>
      <c r="AG65" s="230"/>
      <c r="AH65" s="221"/>
      <c r="AI65" s="231"/>
      <c r="AJ65" s="221"/>
      <c r="AK65" s="260"/>
      <c r="AL65" s="226"/>
      <c r="AM65" s="260"/>
      <c r="AN65" s="226"/>
      <c r="AO65" s="260"/>
      <c r="AP65" s="221"/>
      <c r="AQ65" s="104"/>
      <c r="AR65" s="221"/>
      <c r="AS65" s="140"/>
      <c r="AT65" s="221"/>
      <c r="AU65" s="230"/>
      <c r="AV65" s="221"/>
      <c r="AW65" s="231"/>
      <c r="AX65" s="221"/>
      <c r="AY65" s="260"/>
      <c r="AZ65" s="226"/>
      <c r="BA65" s="260"/>
      <c r="BB65" s="226"/>
      <c r="BC65" s="260"/>
      <c r="BD65" s="221"/>
      <c r="BE65" s="104"/>
    </row>
    <row r="66" customFormat="false" ht="12.75" hidden="false" customHeight="false" outlineLevel="0" collapsed="false">
      <c r="A66" s="204" t="s">
        <v>32</v>
      </c>
      <c r="B66" s="221" t="s">
        <v>95</v>
      </c>
      <c r="C66" s="40" t="n">
        <f aca="false">992000+248000</f>
        <v>1240000</v>
      </c>
      <c r="E66" s="188" t="n">
        <f aca="false">ROUND(C66/$BC$1,0)</f>
        <v>40000</v>
      </c>
      <c r="G66" s="214" t="n">
        <f aca="false">IF(I66=0,0,I66/C66)</f>
        <v>0.207</v>
      </c>
      <c r="I66" s="5" t="n">
        <f aca="false">-K66+205344+51336</f>
        <v>256680</v>
      </c>
      <c r="J66" s="215"/>
      <c r="L66" s="215"/>
      <c r="M66" s="5" t="n">
        <f aca="false">+I66+K66</f>
        <v>256680</v>
      </c>
      <c r="O66" s="216" t="n">
        <f aca="false">ROUND(M66/1000,0)</f>
        <v>257</v>
      </c>
      <c r="Q66" s="188" t="n">
        <v>0</v>
      </c>
      <c r="S66" s="217" t="n">
        <f aca="false">ROUND(Q66/$BC$2,0)</f>
        <v>0</v>
      </c>
      <c r="U66" s="214" t="n">
        <f aca="false">IF(W66=0,0,W66/Q66)</f>
        <v>0</v>
      </c>
      <c r="W66" s="5" t="n">
        <f aca="false">-Y66</f>
        <v>-0</v>
      </c>
      <c r="X66" s="218"/>
      <c r="Y66" s="5" t="n">
        <v>0</v>
      </c>
      <c r="Z66" s="218"/>
      <c r="AA66" s="218" t="n">
        <f aca="false">+W66+Y66</f>
        <v>0</v>
      </c>
      <c r="AC66" s="216" t="n">
        <f aca="false">ROUND(AA66/1000,0)</f>
        <v>0</v>
      </c>
      <c r="AE66" s="217" t="n">
        <v>0</v>
      </c>
      <c r="AG66" s="217" t="n">
        <f aca="false">ROUND(AE66/$BC$3,0)</f>
        <v>0</v>
      </c>
      <c r="AI66" s="214" t="n">
        <f aca="false">IF(AK66=0,0,AK66/AE66)</f>
        <v>0</v>
      </c>
      <c r="AK66" s="5"/>
      <c r="AL66" s="5"/>
      <c r="AM66" s="5" t="n">
        <v>0</v>
      </c>
      <c r="AO66" s="191" t="n">
        <f aca="false">+AK66+AM66</f>
        <v>0</v>
      </c>
      <c r="AQ66" s="216" t="n">
        <f aca="false">ROUND(AO66/1000,0)</f>
        <v>0</v>
      </c>
      <c r="AS66" s="188" t="n">
        <f aca="false">+AE66+Q66+C66</f>
        <v>1240000</v>
      </c>
      <c r="AU66" s="188" t="n">
        <f aca="false">+AG66+S66+E66</f>
        <v>40000</v>
      </c>
      <c r="AW66" s="214" t="n">
        <f aca="false">IF(AY66=0,0,AY66/AS66)</f>
        <v>0.207</v>
      </c>
      <c r="AX66" s="214"/>
      <c r="AY66" s="220" t="n">
        <f aca="false">+AK66+W66+I66</f>
        <v>256680</v>
      </c>
      <c r="AZ66" s="220"/>
      <c r="BA66" s="220" t="n">
        <f aca="false">+AM66+Y66+K66</f>
        <v>0</v>
      </c>
      <c r="BB66" s="220"/>
      <c r="BC66" s="220" t="n">
        <f aca="false">+AO66+AA66+M66</f>
        <v>256680</v>
      </c>
      <c r="BD66" s="183"/>
      <c r="BE66" s="6" t="n">
        <f aca="false">ROUND(BC66/1000,0)</f>
        <v>257</v>
      </c>
    </row>
    <row r="67" customFormat="false" ht="12.75" hidden="false" customHeight="false" outlineLevel="0" collapsed="false">
      <c r="A67" s="204" t="s">
        <v>33</v>
      </c>
      <c r="B67" s="221" t="s">
        <v>95</v>
      </c>
      <c r="C67" s="40"/>
      <c r="E67" s="188" t="n">
        <f aca="false">ROUND(C67/$BC$1,0)</f>
        <v>0</v>
      </c>
      <c r="G67" s="214" t="n">
        <f aca="false">IF(I67=0,0,I67/C67)</f>
        <v>0</v>
      </c>
      <c r="I67" s="5" t="n">
        <f aca="false">-K67</f>
        <v>-0</v>
      </c>
      <c r="J67" s="215"/>
      <c r="L67" s="215"/>
      <c r="M67" s="5" t="n">
        <f aca="false">+I67+K67</f>
        <v>0</v>
      </c>
      <c r="O67" s="216" t="n">
        <f aca="false">ROUND(M67/1000,0)</f>
        <v>0</v>
      </c>
      <c r="Q67" s="188" t="n">
        <v>0</v>
      </c>
      <c r="S67" s="217" t="n">
        <f aca="false">ROUND(Q67/$BC$2,0)</f>
        <v>0</v>
      </c>
      <c r="U67" s="214" t="n">
        <f aca="false">IF(W67=0,0,W67/Q67)</f>
        <v>0</v>
      </c>
      <c r="W67" s="5" t="n">
        <f aca="false">-Y67</f>
        <v>-0</v>
      </c>
      <c r="X67" s="218"/>
      <c r="Y67" s="5" t="n">
        <v>0</v>
      </c>
      <c r="Z67" s="218"/>
      <c r="AA67" s="218" t="n">
        <f aca="false">+W67+Y67</f>
        <v>0</v>
      </c>
      <c r="AC67" s="216" t="n">
        <f aca="false">ROUND(AA67/1000,0)</f>
        <v>0</v>
      </c>
      <c r="AE67" s="217"/>
      <c r="AG67" s="217" t="n">
        <f aca="false">ROUND(AE67/$BC$3,0)</f>
        <v>0</v>
      </c>
      <c r="AI67" s="214" t="n">
        <f aca="false">IF(AK67=0,0,AK67/AE67)</f>
        <v>0</v>
      </c>
      <c r="AK67" s="5"/>
      <c r="AL67" s="5"/>
      <c r="AM67" s="5"/>
      <c r="AO67" s="191" t="n">
        <f aca="false">+AK67+AM67</f>
        <v>0</v>
      </c>
      <c r="AQ67" s="216" t="n">
        <f aca="false">ROUND(AO67/1000,0)</f>
        <v>0</v>
      </c>
      <c r="AS67" s="188" t="n">
        <f aca="false">+AE67+Q67+C67</f>
        <v>0</v>
      </c>
      <c r="AU67" s="188" t="n">
        <f aca="false">+AG67+S67+E67</f>
        <v>0</v>
      </c>
      <c r="AW67" s="214" t="n">
        <f aca="false">IF(AY67=0,0,AY67/AS67)</f>
        <v>0</v>
      </c>
      <c r="AX67" s="214"/>
      <c r="AY67" s="220" t="n">
        <f aca="false">+AK67+W67+I67</f>
        <v>0</v>
      </c>
      <c r="AZ67" s="220"/>
      <c r="BA67" s="220" t="n">
        <f aca="false">+AM67+Y67+K67</f>
        <v>0</v>
      </c>
      <c r="BB67" s="220"/>
      <c r="BC67" s="220" t="n">
        <f aca="false">+AO67+AA67+M67</f>
        <v>0</v>
      </c>
      <c r="BD67" s="183"/>
      <c r="BE67" s="6" t="n">
        <f aca="false">ROUND(BC67/1000,0)</f>
        <v>0</v>
      </c>
    </row>
    <row r="68" customFormat="false" ht="12.75" hidden="false" customHeight="false" outlineLevel="0" collapsed="false">
      <c r="A68" s="204" t="s">
        <v>34</v>
      </c>
      <c r="C68" s="40"/>
      <c r="E68" s="188" t="n">
        <f aca="false">ROUND(C68/$BC$1,0)</f>
        <v>0</v>
      </c>
      <c r="G68" s="214" t="n">
        <f aca="false">IF(I68=0,0,I68/C68)</f>
        <v>0</v>
      </c>
      <c r="I68" s="5" t="n">
        <f aca="false">-K68</f>
        <v>-0</v>
      </c>
      <c r="J68" s="215"/>
      <c r="L68" s="215"/>
      <c r="M68" s="5" t="n">
        <f aca="false">+I68+K68</f>
        <v>0</v>
      </c>
      <c r="O68" s="216" t="n">
        <f aca="false">ROUND(M68/1000,0)</f>
        <v>0</v>
      </c>
      <c r="Q68" s="188" t="n">
        <v>0</v>
      </c>
      <c r="S68" s="217" t="n">
        <f aca="false">ROUND(Q68/$BC$2,0)</f>
        <v>0</v>
      </c>
      <c r="U68" s="214" t="n">
        <f aca="false">IF(W68=0,0,W68/Q68)</f>
        <v>0</v>
      </c>
      <c r="W68" s="5" t="n">
        <f aca="false">-Y68</f>
        <v>-0</v>
      </c>
      <c r="X68" s="218"/>
      <c r="Y68" s="5" t="n">
        <v>0</v>
      </c>
      <c r="Z68" s="218"/>
      <c r="AA68" s="218" t="n">
        <f aca="false">+W68+Y68</f>
        <v>0</v>
      </c>
      <c r="AC68" s="216" t="n">
        <f aca="false">ROUND(AA68/1000,0)</f>
        <v>0</v>
      </c>
      <c r="AE68" s="217" t="n">
        <v>0</v>
      </c>
      <c r="AG68" s="217" t="n">
        <f aca="false">ROUND(AE68/$BC$3,0)</f>
        <v>0</v>
      </c>
      <c r="AI68" s="214" t="n">
        <f aca="false">IF(AK68=0,0,AK68/AE68)</f>
        <v>0</v>
      </c>
      <c r="AK68" s="5"/>
      <c r="AL68" s="5"/>
      <c r="AM68" s="5" t="n">
        <v>0</v>
      </c>
      <c r="AO68" s="191" t="n">
        <f aca="false">+AK68+AM68</f>
        <v>0</v>
      </c>
      <c r="AQ68" s="216" t="n">
        <f aca="false">ROUND(AO68/1000,0)</f>
        <v>0</v>
      </c>
      <c r="AS68" s="188" t="n">
        <f aca="false">+AE68+Q68+C68</f>
        <v>0</v>
      </c>
      <c r="AU68" s="188" t="n">
        <f aca="false">+AG68+S68+E68</f>
        <v>0</v>
      </c>
      <c r="AW68" s="214" t="n">
        <f aca="false">IF(AY68=0,0,AY68/AS68)</f>
        <v>0</v>
      </c>
      <c r="AX68" s="214"/>
      <c r="AY68" s="220" t="n">
        <f aca="false">+AK68+W68+I68</f>
        <v>0</v>
      </c>
      <c r="AZ68" s="220"/>
      <c r="BA68" s="220" t="n">
        <f aca="false">+AM68+Y68+K68</f>
        <v>0</v>
      </c>
      <c r="BB68" s="220"/>
      <c r="BC68" s="220" t="n">
        <f aca="false">+AO68+AA68+M68</f>
        <v>0</v>
      </c>
      <c r="BD68" s="183"/>
      <c r="BE68" s="6" t="n">
        <f aca="false">ROUND(BC68/1000,0)</f>
        <v>0</v>
      </c>
    </row>
    <row r="69" customFormat="false" ht="12.75" hidden="false" customHeight="false" outlineLevel="0" collapsed="false">
      <c r="A69" s="204" t="s">
        <v>35</v>
      </c>
      <c r="C69" s="40"/>
      <c r="E69" s="188" t="n">
        <f aca="false">ROUND(C69/$BC$1,0)</f>
        <v>0</v>
      </c>
      <c r="G69" s="214" t="n">
        <f aca="false">IF(I69=0,0,I69/C69)</f>
        <v>0</v>
      </c>
      <c r="I69" s="5" t="n">
        <f aca="false">-K69</f>
        <v>-0</v>
      </c>
      <c r="J69" s="215"/>
      <c r="L69" s="215"/>
      <c r="M69" s="5" t="n">
        <f aca="false">+I69+K69</f>
        <v>0</v>
      </c>
      <c r="O69" s="216" t="n">
        <f aca="false">ROUND(M69/1000,0)</f>
        <v>0</v>
      </c>
      <c r="Q69" s="188" t="n">
        <v>0</v>
      </c>
      <c r="S69" s="217" t="n">
        <f aca="false">ROUND(Q69/$BC$2,0)</f>
        <v>0</v>
      </c>
      <c r="U69" s="214" t="n">
        <f aca="false">IF(W69=0,0,W69/Q69)</f>
        <v>0</v>
      </c>
      <c r="W69" s="5" t="n">
        <f aca="false">-Y69</f>
        <v>-0</v>
      </c>
      <c r="X69" s="218"/>
      <c r="Y69" s="5"/>
      <c r="Z69" s="218"/>
      <c r="AA69" s="218"/>
      <c r="AC69" s="216"/>
      <c r="AE69" s="217"/>
      <c r="AG69" s="217"/>
      <c r="AI69" s="214"/>
      <c r="AK69" s="5"/>
      <c r="AL69" s="5"/>
      <c r="AM69" s="5"/>
      <c r="AO69" s="191"/>
      <c r="AQ69" s="216"/>
      <c r="AS69" s="188"/>
      <c r="AU69" s="188"/>
      <c r="AW69" s="214"/>
      <c r="AX69" s="214"/>
      <c r="AY69" s="220"/>
      <c r="AZ69" s="220"/>
      <c r="BA69" s="220" t="n">
        <f aca="false">+AM69+Y69+K69</f>
        <v>0</v>
      </c>
      <c r="BB69" s="220"/>
      <c r="BC69" s="220" t="n">
        <f aca="false">+AO69+AA69+M69</f>
        <v>0</v>
      </c>
      <c r="BD69" s="183"/>
      <c r="BE69" s="6" t="n">
        <f aca="false">ROUND(BC69/1000,0)</f>
        <v>0</v>
      </c>
    </row>
    <row r="70" customFormat="false" ht="12.75" hidden="false" customHeight="false" outlineLevel="0" collapsed="false">
      <c r="A70" s="204" t="s">
        <v>36</v>
      </c>
      <c r="C70" s="40"/>
      <c r="E70" s="188" t="n">
        <f aca="false">ROUND(C70/$BC$1,0)</f>
        <v>0</v>
      </c>
      <c r="G70" s="214" t="n">
        <f aca="false">IF(I70=0,0,I70/C70)</f>
        <v>0</v>
      </c>
      <c r="I70" s="5" t="n">
        <f aca="false">-K70</f>
        <v>-0</v>
      </c>
      <c r="J70" s="215"/>
      <c r="L70" s="215"/>
      <c r="M70" s="5" t="n">
        <f aca="false">+I70+K70</f>
        <v>0</v>
      </c>
      <c r="O70" s="216" t="n">
        <f aca="false">ROUND(M70/1000,0)</f>
        <v>0</v>
      </c>
      <c r="Q70" s="188" t="n">
        <v>0</v>
      </c>
      <c r="S70" s="217" t="n">
        <f aca="false">ROUND(Q70/$BC$2,0)</f>
        <v>0</v>
      </c>
      <c r="U70" s="214" t="n">
        <f aca="false">IF(W70=0,0,W70/Q70)</f>
        <v>0</v>
      </c>
      <c r="W70" s="5" t="n">
        <f aca="false">-Y70</f>
        <v>-0</v>
      </c>
      <c r="X70" s="218"/>
      <c r="Y70" s="5"/>
      <c r="Z70" s="218"/>
      <c r="AA70" s="218" t="n">
        <f aca="false">+W70+Y70</f>
        <v>0</v>
      </c>
      <c r="AC70" s="216" t="n">
        <f aca="false">ROUND(AA70/1000,0)</f>
        <v>0</v>
      </c>
      <c r="AE70" s="217" t="n">
        <v>0</v>
      </c>
      <c r="AG70" s="217" t="n">
        <f aca="false">ROUND(AE70/$BC$3,0)</f>
        <v>0</v>
      </c>
      <c r="AI70" s="214" t="n">
        <f aca="false">IF(AK70=0,0,AK70/AE70)</f>
        <v>0</v>
      </c>
      <c r="AK70" s="5"/>
      <c r="AL70" s="5"/>
      <c r="AM70" s="5" t="n">
        <v>0</v>
      </c>
      <c r="AO70" s="191" t="n">
        <f aca="false">+AK70+AM70</f>
        <v>0</v>
      </c>
      <c r="AQ70" s="216" t="n">
        <f aca="false">ROUND(AO70/1000,0)</f>
        <v>0</v>
      </c>
      <c r="AS70" s="188" t="n">
        <f aca="false">+AE70+Q70+C70</f>
        <v>0</v>
      </c>
      <c r="AU70" s="188" t="n">
        <f aca="false">+AG70+S70+E70</f>
        <v>0</v>
      </c>
      <c r="AW70" s="214" t="n">
        <f aca="false">IF(AY70=0,0,AY70/AS70)</f>
        <v>0</v>
      </c>
      <c r="AX70" s="214"/>
      <c r="AY70" s="220" t="n">
        <f aca="false">+AK70+W70+I70</f>
        <v>0</v>
      </c>
      <c r="AZ70" s="220"/>
      <c r="BA70" s="220" t="n">
        <f aca="false">+AM70+Y70+K70</f>
        <v>0</v>
      </c>
      <c r="BB70" s="220"/>
      <c r="BC70" s="220" t="n">
        <f aca="false">+AO70+AA70+M70</f>
        <v>0</v>
      </c>
      <c r="BD70" s="183"/>
      <c r="BE70" s="6" t="n">
        <f aca="false">ROUND(BC70/1000,0)</f>
        <v>0</v>
      </c>
    </row>
    <row r="71" customFormat="false" ht="12.75" hidden="false" customHeight="false" outlineLevel="0" collapsed="false">
      <c r="A71" s="213" t="s">
        <v>37</v>
      </c>
      <c r="B71" s="221"/>
      <c r="C71" s="105" t="n">
        <f aca="false">SUM(C67:C70)</f>
        <v>0</v>
      </c>
      <c r="D71" s="221"/>
      <c r="E71" s="222" t="n">
        <f aca="false">SUM(E67:E70)</f>
        <v>0</v>
      </c>
      <c r="F71" s="221"/>
      <c r="G71" s="223" t="e">
        <f aca="false">IF(I71=0,0,I71/C71)</f>
        <v>#DIV/0!</v>
      </c>
      <c r="H71" s="221"/>
      <c r="I71" s="73" t="n">
        <f aca="false">SUM(I66:I70)</f>
        <v>256680</v>
      </c>
      <c r="J71" s="226"/>
      <c r="K71" s="73" t="n">
        <f aca="false">SUM(K66:K70)</f>
        <v>0</v>
      </c>
      <c r="L71" s="226"/>
      <c r="M71" s="73" t="n">
        <f aca="false">SUM(M66:M70)</f>
        <v>256680</v>
      </c>
      <c r="N71" s="221"/>
      <c r="O71" s="75" t="n">
        <f aca="false">SUM(O66:O70)</f>
        <v>257</v>
      </c>
      <c r="P71" s="221"/>
      <c r="Q71" s="105" t="n">
        <f aca="false">SUM(Q66:Q70)</f>
        <v>0</v>
      </c>
      <c r="R71" s="221"/>
      <c r="S71" s="222" t="n">
        <f aca="false">SUM(S67:S70)</f>
        <v>0</v>
      </c>
      <c r="T71" s="221"/>
      <c r="U71" s="223" t="n">
        <f aca="false">IF(W71=0,0,W71/Q71)</f>
        <v>0</v>
      </c>
      <c r="V71" s="221"/>
      <c r="W71" s="261" t="n">
        <f aca="false">SUM(W66:W70)</f>
        <v>0</v>
      </c>
      <c r="X71" s="226"/>
      <c r="Y71" s="261" t="n">
        <f aca="false">SUM(Y66:Y70)</f>
        <v>0</v>
      </c>
      <c r="Z71" s="226"/>
      <c r="AA71" s="261" t="n">
        <f aca="false">SUM(AA66:AA70)</f>
        <v>0</v>
      </c>
      <c r="AB71" s="221"/>
      <c r="AC71" s="75" t="n">
        <f aca="false">SUM(AC66:AC70)</f>
        <v>0</v>
      </c>
      <c r="AD71" s="221"/>
      <c r="AE71" s="105" t="n">
        <f aca="false">SUM(AE67:AE70)</f>
        <v>0</v>
      </c>
      <c r="AF71" s="221"/>
      <c r="AG71" s="222" t="n">
        <f aca="false">SUM(AG67:AG70)</f>
        <v>0</v>
      </c>
      <c r="AH71" s="221"/>
      <c r="AI71" s="223" t="n">
        <f aca="false">IF(AK71=0,0,AK71/AE71)</f>
        <v>0</v>
      </c>
      <c r="AJ71" s="221"/>
      <c r="AK71" s="261" t="n">
        <f aca="false">SUM(AK66:AK70)</f>
        <v>0</v>
      </c>
      <c r="AL71" s="226"/>
      <c r="AM71" s="261" t="n">
        <f aca="false">SUM(AM66:AM70)</f>
        <v>0</v>
      </c>
      <c r="AN71" s="226"/>
      <c r="AO71" s="261" t="n">
        <f aca="false">SUM(AO66:AO70)</f>
        <v>0</v>
      </c>
      <c r="AP71" s="221"/>
      <c r="AQ71" s="75" t="n">
        <f aca="false">SUM(AQ66:AQ70)</f>
        <v>0</v>
      </c>
      <c r="AR71" s="221"/>
      <c r="AS71" s="105" t="n">
        <f aca="false">SUM(AS67:AS70)</f>
        <v>0</v>
      </c>
      <c r="AT71" s="221"/>
      <c r="AU71" s="222" t="n">
        <f aca="false">SUM(AU67:AU70)</f>
        <v>0</v>
      </c>
      <c r="AV71" s="221"/>
      <c r="AW71" s="223" t="e">
        <f aca="false">IF(AY71=0,0,AY71/AS71)</f>
        <v>#DIV/0!</v>
      </c>
      <c r="AX71" s="221"/>
      <c r="AY71" s="261" t="n">
        <f aca="false">SUM(AY66:AY70)</f>
        <v>256680</v>
      </c>
      <c r="AZ71" s="226"/>
      <c r="BA71" s="261" t="n">
        <f aca="false">SUM(BA66:BA70)</f>
        <v>0</v>
      </c>
      <c r="BB71" s="226"/>
      <c r="BC71" s="262" t="n">
        <f aca="false">SUM(BC66:BC70)</f>
        <v>256680</v>
      </c>
      <c r="BD71" s="221"/>
      <c r="BE71" s="75" t="n">
        <f aca="false">SUM(BE66:BE70)</f>
        <v>257</v>
      </c>
    </row>
    <row r="72" customFormat="false" ht="12.75" hidden="false" customHeight="false" outlineLevel="0" collapsed="false">
      <c r="A72" s="213"/>
      <c r="B72" s="221"/>
      <c r="C72" s="140"/>
      <c r="D72" s="221"/>
      <c r="E72" s="230"/>
      <c r="F72" s="221"/>
      <c r="G72" s="231"/>
      <c r="H72" s="221"/>
      <c r="I72" s="74"/>
      <c r="J72" s="226"/>
      <c r="K72" s="74"/>
      <c r="L72" s="226"/>
      <c r="M72" s="74"/>
      <c r="N72" s="221"/>
      <c r="O72" s="104"/>
      <c r="P72" s="221"/>
      <c r="Q72" s="140"/>
      <c r="R72" s="221"/>
      <c r="S72" s="230"/>
      <c r="T72" s="221"/>
      <c r="U72" s="231"/>
      <c r="V72" s="221"/>
      <c r="W72" s="260"/>
      <c r="X72" s="226"/>
      <c r="Y72" s="260"/>
      <c r="Z72" s="226"/>
      <c r="AA72" s="260"/>
      <c r="AB72" s="221"/>
      <c r="AC72" s="104"/>
      <c r="AD72" s="221"/>
      <c r="AE72" s="140"/>
      <c r="AF72" s="221"/>
      <c r="AG72" s="230"/>
      <c r="AH72" s="221"/>
      <c r="AI72" s="231"/>
      <c r="AJ72" s="221"/>
      <c r="AK72" s="260"/>
      <c r="AL72" s="226"/>
      <c r="AM72" s="260"/>
      <c r="AN72" s="226"/>
      <c r="AO72" s="260"/>
      <c r="AP72" s="221"/>
      <c r="AQ72" s="104"/>
      <c r="AR72" s="221"/>
      <c r="AS72" s="140"/>
      <c r="AT72" s="221"/>
      <c r="AU72" s="230"/>
      <c r="AV72" s="221"/>
      <c r="AW72" s="231"/>
      <c r="AX72" s="221"/>
      <c r="AY72" s="260"/>
      <c r="AZ72" s="226"/>
      <c r="BA72" s="260"/>
      <c r="BB72" s="226"/>
      <c r="BC72" s="260"/>
      <c r="BD72" s="221"/>
      <c r="BE72" s="104"/>
    </row>
    <row r="73" customFormat="false" ht="12.75" hidden="false" customHeight="false" outlineLevel="0" collapsed="false">
      <c r="A73" s="204" t="s">
        <v>32</v>
      </c>
      <c r="B73" s="178" t="s">
        <v>95</v>
      </c>
      <c r="C73" s="40" t="n">
        <f aca="false">3720000-1240000</f>
        <v>2480000</v>
      </c>
      <c r="E73" s="188" t="n">
        <f aca="false">ROUND(C73/$BC$1,0)</f>
        <v>80000</v>
      </c>
      <c r="G73" s="214" t="n">
        <f aca="false">IF(I73=0,0,I73/C73)</f>
        <v>0.133482657258065</v>
      </c>
      <c r="I73" s="5" t="n">
        <f aca="false">-K73+591436.99-256680</f>
        <v>331036.99</v>
      </c>
      <c r="J73" s="215"/>
      <c r="K73" s="5" t="n">
        <v>3720</v>
      </c>
      <c r="L73" s="215"/>
      <c r="M73" s="5" t="n">
        <f aca="false">+I73+K73</f>
        <v>334756.99</v>
      </c>
      <c r="O73" s="216" t="n">
        <f aca="false">ROUND(M73/1000,0)</f>
        <v>335</v>
      </c>
      <c r="Q73" s="188"/>
      <c r="S73" s="217" t="n">
        <f aca="false">ROUND(Q73/$BC$2,0)</f>
        <v>0</v>
      </c>
      <c r="U73" s="214" t="n">
        <f aca="false">IF(W73=0,0,W73/Q73)</f>
        <v>0</v>
      </c>
      <c r="W73" s="5" t="n">
        <f aca="false">-Y73</f>
        <v>-0</v>
      </c>
      <c r="X73" s="218"/>
      <c r="Y73" s="5" t="n">
        <v>0</v>
      </c>
      <c r="Z73" s="218"/>
      <c r="AA73" s="218" t="n">
        <f aca="false">+W73+Y73</f>
        <v>0</v>
      </c>
      <c r="AC73" s="216" t="n">
        <f aca="false">ROUND(AA73/1000,0)</f>
        <v>0</v>
      </c>
      <c r="AE73" s="217"/>
      <c r="AG73" s="217" t="n">
        <f aca="false">ROUND(AE73/$BC$3,0)</f>
        <v>0</v>
      </c>
      <c r="AI73" s="214" t="n">
        <v>0</v>
      </c>
      <c r="AK73" s="5"/>
      <c r="AL73" s="5"/>
      <c r="AM73" s="5"/>
      <c r="AO73" s="191" t="n">
        <f aca="false">+AK73+AM73</f>
        <v>0</v>
      </c>
      <c r="AQ73" s="216" t="n">
        <f aca="false">ROUND(AK73/1000,0)</f>
        <v>0</v>
      </c>
      <c r="AS73" s="188" t="n">
        <f aca="false">+AE73+Q73+C73</f>
        <v>2480000</v>
      </c>
      <c r="AU73" s="188" t="n">
        <f aca="false">+AG73+S73+E73</f>
        <v>80000</v>
      </c>
      <c r="AW73" s="214" t="n">
        <f aca="false">IF(AY73=0,0,AY73/AS73)</f>
        <v>0.133482657258065</v>
      </c>
      <c r="AX73" s="214"/>
      <c r="AY73" s="220" t="n">
        <f aca="false">+AK73+W73+I73</f>
        <v>331036.99</v>
      </c>
      <c r="AZ73" s="220"/>
      <c r="BA73" s="220" t="n">
        <f aca="false">+AM73+Y73+K73</f>
        <v>3720</v>
      </c>
      <c r="BB73" s="220"/>
      <c r="BC73" s="220" t="n">
        <f aca="false">+AO73+AA73+M73</f>
        <v>334756.99</v>
      </c>
      <c r="BD73" s="183"/>
      <c r="BE73" s="6" t="n">
        <f aca="false">ROUND(BC73/1000,0)</f>
        <v>335</v>
      </c>
    </row>
    <row r="74" customFormat="false" ht="12.75" hidden="false" customHeight="false" outlineLevel="0" collapsed="false">
      <c r="A74" s="204" t="s">
        <v>47</v>
      </c>
      <c r="B74" s="178" t="s">
        <v>95</v>
      </c>
      <c r="C74" s="40" t="n">
        <v>2499732</v>
      </c>
      <c r="E74" s="188" t="n">
        <f aca="false">ROUND(C74/$BC$1,0)</f>
        <v>80637</v>
      </c>
      <c r="G74" s="214" t="n">
        <f aca="false">IF(I74=0,0,I74/C74)</f>
        <v>0.00819999903989708</v>
      </c>
      <c r="I74" s="5" t="n">
        <f aca="false">-K74+25747.24</f>
        <v>20497.8</v>
      </c>
      <c r="J74" s="215"/>
      <c r="K74" s="5" t="n">
        <v>5249.44</v>
      </c>
      <c r="L74" s="215"/>
      <c r="M74" s="5" t="n">
        <f aca="false">+I74+K74</f>
        <v>25747.24</v>
      </c>
      <c r="O74" s="216" t="n">
        <f aca="false">ROUND(M74/1000,0)</f>
        <v>26</v>
      </c>
      <c r="Q74" s="188"/>
      <c r="S74" s="217" t="n">
        <f aca="false">ROUND(Q74/$BC$2,0)</f>
        <v>0</v>
      </c>
      <c r="U74" s="214" t="n">
        <f aca="false">IF(W74=0,0,W74/Q74)</f>
        <v>0</v>
      </c>
      <c r="W74" s="5" t="n">
        <f aca="false">-Y74</f>
        <v>-0</v>
      </c>
      <c r="X74" s="218"/>
      <c r="Y74" s="5"/>
      <c r="Z74" s="218"/>
      <c r="AA74" s="218" t="n">
        <f aca="false">+W74+Y74</f>
        <v>0</v>
      </c>
      <c r="AC74" s="216" t="n">
        <f aca="false">ROUND(AA74/1000,0)</f>
        <v>0</v>
      </c>
      <c r="AE74" s="217"/>
      <c r="AG74" s="217" t="n">
        <f aca="false">ROUND(AE74/$BC$3,0)</f>
        <v>0</v>
      </c>
      <c r="AI74" s="214" t="n">
        <f aca="false">IF(AK74=0,0,AK74/AE74)</f>
        <v>0</v>
      </c>
      <c r="AK74" s="5"/>
      <c r="AL74" s="5"/>
      <c r="AM74" s="5"/>
      <c r="AO74" s="191" t="n">
        <f aca="false">+AK74+AM74</f>
        <v>0</v>
      </c>
      <c r="AQ74" s="216" t="n">
        <f aca="false">ROUND(AK74/1000,0)</f>
        <v>0</v>
      </c>
      <c r="AS74" s="188" t="n">
        <f aca="false">+AE74+Q74+C74</f>
        <v>2499732</v>
      </c>
      <c r="AU74" s="188" t="n">
        <f aca="false">+AG74+S74+E74</f>
        <v>80637</v>
      </c>
      <c r="AW74" s="214" t="n">
        <f aca="false">IF(AY74=0,0,AY74/AS74)</f>
        <v>0.00819999903989708</v>
      </c>
      <c r="AX74" s="214"/>
      <c r="AY74" s="220" t="n">
        <f aca="false">+AK74+W74+I74</f>
        <v>20497.8</v>
      </c>
      <c r="AZ74" s="220"/>
      <c r="BA74" s="220" t="n">
        <f aca="false">+AM74+Y74+K74</f>
        <v>5249.44</v>
      </c>
      <c r="BB74" s="220"/>
      <c r="BC74" s="220" t="n">
        <f aca="false">+AO74+AA74+M74</f>
        <v>25747.24</v>
      </c>
      <c r="BD74" s="183"/>
      <c r="BE74" s="6" t="n">
        <f aca="false">ROUND(BC74/1000,0)</f>
        <v>26</v>
      </c>
    </row>
    <row r="75" customFormat="false" ht="12.75" hidden="false" customHeight="false" outlineLevel="0" collapsed="false">
      <c r="A75" s="204" t="s">
        <v>48</v>
      </c>
      <c r="C75" s="40"/>
      <c r="E75" s="188" t="n">
        <f aca="false">ROUND(C75/$BC$1,0)</f>
        <v>0</v>
      </c>
      <c r="G75" s="214" t="n">
        <f aca="false">IF(I75=0,0,I75/C75)</f>
        <v>0</v>
      </c>
      <c r="I75" s="5" t="n">
        <f aca="false">-K75</f>
        <v>-0</v>
      </c>
      <c r="J75" s="215"/>
      <c r="L75" s="215"/>
      <c r="M75" s="5" t="n">
        <f aca="false">+I75+K75</f>
        <v>0</v>
      </c>
      <c r="O75" s="216" t="n">
        <f aca="false">ROUND(M75/1000,0)</f>
        <v>0</v>
      </c>
      <c r="Q75" s="188" t="n">
        <v>0</v>
      </c>
      <c r="S75" s="217" t="n">
        <f aca="false">ROUND(Q75/$BC$2,0)</f>
        <v>0</v>
      </c>
      <c r="U75" s="214" t="n">
        <f aca="false">IF(W75=0,0,W75/Q75)</f>
        <v>0</v>
      </c>
      <c r="W75" s="5" t="n">
        <f aca="false">-Y75</f>
        <v>-0</v>
      </c>
      <c r="X75" s="218"/>
      <c r="Y75" s="5" t="n">
        <v>0</v>
      </c>
      <c r="Z75" s="218"/>
      <c r="AA75" s="218" t="n">
        <f aca="false">+W75+Y75</f>
        <v>0</v>
      </c>
      <c r="AC75" s="216" t="n">
        <f aca="false">ROUND(AA75/1000,0)</f>
        <v>0</v>
      </c>
      <c r="AE75" s="217" t="n">
        <v>0</v>
      </c>
      <c r="AG75" s="217" t="n">
        <f aca="false">ROUND(AE75/$BC$3,0)</f>
        <v>0</v>
      </c>
      <c r="AI75" s="214" t="n">
        <f aca="false">IF(AK75=0,0,AK75/AE75)</f>
        <v>0</v>
      </c>
      <c r="AK75" s="5"/>
      <c r="AL75" s="5"/>
      <c r="AM75" s="5"/>
      <c r="AO75" s="191" t="n">
        <f aca="false">+AK75+AM75</f>
        <v>0</v>
      </c>
      <c r="AQ75" s="216" t="n">
        <f aca="false">ROUND(AK75/1000,0)</f>
        <v>0</v>
      </c>
      <c r="AS75" s="188" t="n">
        <f aca="false">+AE75+Q75+C75</f>
        <v>0</v>
      </c>
      <c r="AU75" s="188" t="n">
        <f aca="false">+AG75+S75+E75</f>
        <v>0</v>
      </c>
      <c r="AW75" s="214" t="n">
        <f aca="false">IF(AY75=0,0,AY75/AS75)</f>
        <v>0</v>
      </c>
      <c r="AX75" s="214"/>
      <c r="AY75" s="220" t="n">
        <f aca="false">+AK75+W75+I75</f>
        <v>0</v>
      </c>
      <c r="AZ75" s="220"/>
      <c r="BA75" s="220" t="n">
        <f aca="false">+AM75+Y75+K75</f>
        <v>0</v>
      </c>
      <c r="BB75" s="220"/>
      <c r="BC75" s="220" t="n">
        <f aca="false">+AO75+AA75+M75</f>
        <v>0</v>
      </c>
      <c r="BD75" s="183"/>
      <c r="BE75" s="6" t="n">
        <f aca="false">ROUND(BC75/1000,0)</f>
        <v>0</v>
      </c>
    </row>
    <row r="76" customFormat="false" ht="12.75" hidden="false" customHeight="false" outlineLevel="0" collapsed="false">
      <c r="A76" s="204" t="s">
        <v>49</v>
      </c>
      <c r="C76" s="40"/>
      <c r="E76" s="188" t="n">
        <f aca="false">ROUND(C76/$BC$1,0)</f>
        <v>0</v>
      </c>
      <c r="G76" s="214" t="n">
        <f aca="false">IF(I76=0,0,I76/C76)</f>
        <v>0</v>
      </c>
      <c r="I76" s="5" t="n">
        <f aca="false">-K76</f>
        <v>-0</v>
      </c>
      <c r="J76" s="215"/>
      <c r="L76" s="215"/>
      <c r="M76" s="5" t="n">
        <f aca="false">+I76+K76</f>
        <v>0</v>
      </c>
      <c r="O76" s="216" t="n">
        <f aca="false">ROUND(M76/1000,0)</f>
        <v>0</v>
      </c>
      <c r="Q76" s="188" t="n">
        <v>0</v>
      </c>
      <c r="S76" s="217" t="n">
        <f aca="false">ROUND(Q76/$BC$2,0)</f>
        <v>0</v>
      </c>
      <c r="U76" s="214" t="n">
        <f aca="false">IF(W76=0,0,W76/Q76)</f>
        <v>0</v>
      </c>
      <c r="W76" s="5" t="n">
        <f aca="false">-Y76</f>
        <v>-0</v>
      </c>
      <c r="X76" s="218"/>
      <c r="Y76" s="5"/>
      <c r="Z76" s="218"/>
      <c r="AA76" s="218"/>
      <c r="AC76" s="216"/>
      <c r="AE76" s="217"/>
      <c r="AG76" s="217"/>
      <c r="AI76" s="214"/>
      <c r="AK76" s="5"/>
      <c r="AL76" s="5"/>
      <c r="AM76" s="5"/>
      <c r="AO76" s="191"/>
      <c r="AQ76" s="216"/>
      <c r="AS76" s="188" t="n">
        <f aca="false">+AE76+Q76+C76</f>
        <v>0</v>
      </c>
      <c r="AU76" s="188"/>
      <c r="AW76" s="214"/>
      <c r="AX76" s="214"/>
      <c r="AY76" s="220" t="n">
        <f aca="false">+AK76+W76+I76</f>
        <v>0</v>
      </c>
      <c r="AZ76" s="220"/>
      <c r="BA76" s="220" t="n">
        <f aca="false">+AM76+Y76+K76</f>
        <v>0</v>
      </c>
      <c r="BB76" s="220"/>
      <c r="BC76" s="220" t="n">
        <f aca="false">+AO76+AA76+M76</f>
        <v>0</v>
      </c>
      <c r="BD76" s="183"/>
      <c r="BE76" s="6" t="n">
        <f aca="false">ROUND(BC76/1000,0)</f>
        <v>0</v>
      </c>
    </row>
    <row r="77" customFormat="false" ht="12.75" hidden="false" customHeight="false" outlineLevel="0" collapsed="false">
      <c r="A77" s="204" t="s">
        <v>50</v>
      </c>
      <c r="B77" s="178" t="s">
        <v>95</v>
      </c>
      <c r="C77" s="40"/>
      <c r="E77" s="188" t="n">
        <f aca="false">ROUND(C77/$BC$1,0)</f>
        <v>0</v>
      </c>
      <c r="G77" s="256" t="n">
        <f aca="false">IF(I77=0,0,I77/C77)</f>
        <v>0</v>
      </c>
      <c r="I77" s="5" t="n">
        <f aca="false">-K77</f>
        <v>-0</v>
      </c>
      <c r="J77" s="215"/>
      <c r="L77" s="215"/>
      <c r="M77" s="5" t="n">
        <f aca="false">+I77+K77</f>
        <v>0</v>
      </c>
      <c r="O77" s="216" t="n">
        <f aca="false">ROUND(M77/1000,0)</f>
        <v>0</v>
      </c>
      <c r="Q77" s="188" t="n">
        <v>0</v>
      </c>
      <c r="S77" s="217" t="n">
        <f aca="false">ROUND(Q77/$BC$2,0)</f>
        <v>0</v>
      </c>
      <c r="U77" s="214" t="n">
        <f aca="false">IF(W77=0,0,W77/Q77)</f>
        <v>0</v>
      </c>
      <c r="W77" s="5" t="n">
        <f aca="false">-Y77</f>
        <v>-0</v>
      </c>
      <c r="X77" s="218"/>
      <c r="Y77" s="5" t="n">
        <f aca="false">-285.65+285.65</f>
        <v>0</v>
      </c>
      <c r="Z77" s="218"/>
      <c r="AA77" s="218" t="n">
        <f aca="false">+W77+Y77</f>
        <v>0</v>
      </c>
      <c r="AC77" s="216" t="n">
        <f aca="false">ROUND(AA77/1000,0)</f>
        <v>0</v>
      </c>
      <c r="AE77" s="217" t="n">
        <v>0</v>
      </c>
      <c r="AG77" s="217" t="n">
        <f aca="false">ROUND(AE77/$BC$3,0)</f>
        <v>0</v>
      </c>
      <c r="AI77" s="214" t="n">
        <f aca="false">IF(AK77=0,0,AK77/AE77)</f>
        <v>0</v>
      </c>
      <c r="AK77" s="5"/>
      <c r="AL77" s="5"/>
      <c r="AM77" s="5" t="n">
        <v>0</v>
      </c>
      <c r="AO77" s="191" t="n">
        <f aca="false">+AK77+AM77</f>
        <v>0</v>
      </c>
      <c r="AQ77" s="216" t="n">
        <f aca="false">ROUND(AK77/1000,0)</f>
        <v>0</v>
      </c>
      <c r="AS77" s="188" t="n">
        <f aca="false">+AE77+Q77+C77</f>
        <v>0</v>
      </c>
      <c r="AU77" s="188" t="n">
        <f aca="false">+AG77+S77+E77</f>
        <v>0</v>
      </c>
      <c r="AW77" s="256" t="n">
        <f aca="false">IF(AY77=0,0,AY77/AS77)</f>
        <v>0</v>
      </c>
      <c r="AX77" s="214"/>
      <c r="AY77" s="220" t="n">
        <f aca="false">+AK77+W77+I77</f>
        <v>0</v>
      </c>
      <c r="AZ77" s="220"/>
      <c r="BA77" s="220" t="n">
        <f aca="false">+AM77+Y77+K77</f>
        <v>0</v>
      </c>
      <c r="BB77" s="220"/>
      <c r="BC77" s="220" t="n">
        <f aca="false">+AO77+AA77+M77</f>
        <v>0</v>
      </c>
      <c r="BD77" s="183"/>
      <c r="BE77" s="6" t="n">
        <f aca="false">ROUND(BC77/1000,0)</f>
        <v>0</v>
      </c>
    </row>
    <row r="78" customFormat="false" ht="12.75" hidden="false" customHeight="false" outlineLevel="0" collapsed="false">
      <c r="A78" s="213" t="s">
        <v>37</v>
      </c>
      <c r="B78" s="221"/>
      <c r="C78" s="236" t="n">
        <f aca="false">SUM(C74:C77)</f>
        <v>2499732</v>
      </c>
      <c r="D78" s="236"/>
      <c r="E78" s="236" t="n">
        <f aca="false">SUM(E74:E77)</f>
        <v>80637</v>
      </c>
      <c r="F78" s="221"/>
      <c r="G78" s="214" t="n">
        <f aca="false">IF(I78=0,0,I78/C78)</f>
        <v>0.140628991427881</v>
      </c>
      <c r="H78" s="221"/>
      <c r="I78" s="73" t="n">
        <f aca="false">SUM(I73:I77)</f>
        <v>351534.79</v>
      </c>
      <c r="J78" s="226"/>
      <c r="K78" s="73" t="n">
        <f aca="false">SUM(K73:K77)</f>
        <v>8969.44</v>
      </c>
      <c r="L78" s="226"/>
      <c r="M78" s="73" t="n">
        <f aca="false">SUM(M73:M77)</f>
        <v>360504.23</v>
      </c>
      <c r="N78" s="221"/>
      <c r="O78" s="75" t="n">
        <f aca="false">SUM(O73:O77)</f>
        <v>361</v>
      </c>
      <c r="P78" s="221"/>
      <c r="Q78" s="227" t="n">
        <f aca="false">SUM(Q74:Q77)</f>
        <v>0</v>
      </c>
      <c r="R78" s="221"/>
      <c r="S78" s="227" t="n">
        <f aca="false">SUM(S74:S75)</f>
        <v>0</v>
      </c>
      <c r="T78" s="221"/>
      <c r="U78" s="214" t="n">
        <f aca="false">IF(W78=0,0,W78/Q78)</f>
        <v>0</v>
      </c>
      <c r="V78" s="221"/>
      <c r="W78" s="73" t="n">
        <f aca="false">SUM(W73:W77)</f>
        <v>0</v>
      </c>
      <c r="X78" s="224"/>
      <c r="Y78" s="228" t="n">
        <f aca="false">SUM(Y73:Y77)</f>
        <v>0</v>
      </c>
      <c r="Z78" s="224"/>
      <c r="AA78" s="228" t="n">
        <f aca="false">SUM(AA73:AA77)</f>
        <v>0</v>
      </c>
      <c r="AB78" s="221"/>
      <c r="AC78" s="222" t="n">
        <f aca="false">SUM(AC73:AC75)</f>
        <v>0</v>
      </c>
      <c r="AD78" s="221"/>
      <c r="AE78" s="227" t="n">
        <f aca="false">SUM(AE74:AE75)</f>
        <v>0</v>
      </c>
      <c r="AF78" s="221"/>
      <c r="AG78" s="227" t="n">
        <f aca="false">SUM(AG74:AG75)</f>
        <v>0</v>
      </c>
      <c r="AH78" s="221"/>
      <c r="AI78" s="223" t="n">
        <f aca="false">IF(AK78=0,0,AK78/AE78)</f>
        <v>0</v>
      </c>
      <c r="AJ78" s="221"/>
      <c r="AK78" s="228" t="n">
        <f aca="false">SUM(AK73:AK77)</f>
        <v>0</v>
      </c>
      <c r="AL78" s="221"/>
      <c r="AM78" s="228" t="n">
        <f aca="false">SUM(AM73:AM77)</f>
        <v>0</v>
      </c>
      <c r="AN78" s="221"/>
      <c r="AO78" s="228" t="n">
        <f aca="false">SUM(AO73:AO77)</f>
        <v>0</v>
      </c>
      <c r="AP78" s="221"/>
      <c r="AQ78" s="222" t="n">
        <f aca="false">SUM(AQ73:AQ75)</f>
        <v>0</v>
      </c>
      <c r="AR78" s="221"/>
      <c r="AS78" s="227" t="n">
        <f aca="false">SUM(AS74:AS77)</f>
        <v>2499732</v>
      </c>
      <c r="AT78" s="221"/>
      <c r="AU78" s="227" t="n">
        <f aca="false">SUM(AU74:AU77)</f>
        <v>80637</v>
      </c>
      <c r="AV78" s="221"/>
      <c r="AW78" s="214" t="n">
        <f aca="false">IF(AY78=0,0,AY78/AS78)</f>
        <v>0.140628991427881</v>
      </c>
      <c r="AX78" s="229"/>
      <c r="AY78" s="228" t="n">
        <f aca="false">SUM(AY73:AY77)</f>
        <v>351534.79</v>
      </c>
      <c r="AZ78" s="224"/>
      <c r="BA78" s="228" t="n">
        <f aca="false">SUM(BA73:BA77)</f>
        <v>8969.44</v>
      </c>
      <c r="BB78" s="224"/>
      <c r="BC78" s="228" t="n">
        <f aca="false">SUM(BC73:BC77)</f>
        <v>360504.23</v>
      </c>
      <c r="BD78" s="224"/>
      <c r="BE78" s="75" t="n">
        <f aca="false">SUM(BE73:BE77)</f>
        <v>361</v>
      </c>
    </row>
    <row r="79" customFormat="false" ht="12.75" hidden="false" customHeight="false" outlineLevel="0" collapsed="false">
      <c r="A79" s="213"/>
      <c r="B79" s="221"/>
      <c r="C79" s="140"/>
      <c r="D79" s="221"/>
      <c r="E79" s="230"/>
      <c r="F79" s="221"/>
      <c r="G79" s="231"/>
      <c r="H79" s="221"/>
      <c r="I79" s="74"/>
      <c r="J79" s="226"/>
      <c r="K79" s="74"/>
      <c r="L79" s="226"/>
      <c r="M79" s="74"/>
      <c r="N79" s="221"/>
      <c r="O79" s="104"/>
      <c r="P79" s="221"/>
      <c r="Q79" s="140"/>
      <c r="R79" s="221"/>
      <c r="S79" s="230"/>
      <c r="T79" s="221"/>
      <c r="U79" s="231"/>
      <c r="V79" s="221"/>
      <c r="W79" s="260"/>
      <c r="X79" s="226"/>
      <c r="Y79" s="260"/>
      <c r="Z79" s="226"/>
      <c r="AA79" s="260"/>
      <c r="AB79" s="221"/>
      <c r="AC79" s="104"/>
      <c r="AD79" s="221"/>
      <c r="AE79" s="140"/>
      <c r="AF79" s="221"/>
      <c r="AG79" s="230"/>
      <c r="AH79" s="221"/>
      <c r="AI79" s="231"/>
      <c r="AJ79" s="221"/>
      <c r="AK79" s="260"/>
      <c r="AL79" s="226"/>
      <c r="AM79" s="260"/>
      <c r="AN79" s="226"/>
      <c r="AO79" s="260"/>
      <c r="AP79" s="221"/>
      <c r="AQ79" s="104"/>
      <c r="AR79" s="221"/>
      <c r="AS79" s="140"/>
      <c r="AT79" s="221"/>
      <c r="AU79" s="230"/>
      <c r="AV79" s="221"/>
      <c r="AW79" s="231"/>
      <c r="AX79" s="221"/>
      <c r="AY79" s="260"/>
      <c r="AZ79" s="226"/>
      <c r="BA79" s="260"/>
      <c r="BB79" s="226"/>
      <c r="BC79" s="260"/>
      <c r="BD79" s="221"/>
      <c r="BE79" s="104"/>
    </row>
    <row r="80" customFormat="false" ht="12.75" hidden="false" customHeight="false" outlineLevel="0" collapsed="false">
      <c r="A80" s="204" t="s">
        <v>32</v>
      </c>
      <c r="B80" s="178" t="s">
        <v>95</v>
      </c>
      <c r="C80" s="40"/>
      <c r="E80" s="188" t="n">
        <f aca="false">ROUND(C80/$BC$1,0)</f>
        <v>0</v>
      </c>
      <c r="G80" s="214" t="n">
        <f aca="false">IF(I80=0,0,I80/C80)</f>
        <v>0</v>
      </c>
      <c r="I80" s="5" t="n">
        <f aca="false">-K80</f>
        <v>-0</v>
      </c>
      <c r="J80" s="215"/>
      <c r="L80" s="215"/>
      <c r="M80" s="5" t="n">
        <f aca="false">+I80+K80</f>
        <v>0</v>
      </c>
      <c r="O80" s="216" t="n">
        <f aca="false">ROUND(M80/1000,0)</f>
        <v>0</v>
      </c>
      <c r="Q80" s="188" t="n">
        <v>0</v>
      </c>
      <c r="S80" s="217" t="n">
        <f aca="false">ROUND(Q80/$BC$2,0)</f>
        <v>0</v>
      </c>
      <c r="U80" s="214" t="n">
        <f aca="false">IF(W80=0,0,W80/Q80)</f>
        <v>0</v>
      </c>
      <c r="W80" s="5" t="n">
        <f aca="false">-Y80</f>
        <v>-0</v>
      </c>
      <c r="X80" s="218"/>
      <c r="Y80" s="5"/>
      <c r="Z80" s="218"/>
      <c r="AA80" s="218" t="n">
        <f aca="false">+W80+Y80</f>
        <v>0</v>
      </c>
      <c r="AC80" s="216" t="n">
        <f aca="false">ROUND(AA80/1000,0)</f>
        <v>0</v>
      </c>
      <c r="AE80" s="217" t="n">
        <v>0</v>
      </c>
      <c r="AG80" s="217" t="n">
        <f aca="false">ROUND(AE80/$BC$3,0)</f>
        <v>0</v>
      </c>
      <c r="AI80" s="214" t="n">
        <f aca="false">IF(AK80=0,0,AK80/AE80)</f>
        <v>0</v>
      </c>
      <c r="AK80" s="5"/>
      <c r="AL80" s="5"/>
      <c r="AM80" s="5" t="n">
        <v>0</v>
      </c>
      <c r="AO80" s="191" t="n">
        <f aca="false">+AK80+AM80</f>
        <v>0</v>
      </c>
      <c r="AQ80" s="216" t="n">
        <f aca="false">ROUND(AK80/1000,0)</f>
        <v>0</v>
      </c>
      <c r="AS80" s="188" t="n">
        <f aca="false">+AE80+Q80+C80</f>
        <v>0</v>
      </c>
      <c r="AU80" s="188" t="n">
        <f aca="false">+AG80+S80+E80</f>
        <v>0</v>
      </c>
      <c r="AW80" s="214" t="n">
        <f aca="false">IF(AY80=0,0,AY80/AS80)</f>
        <v>0</v>
      </c>
      <c r="AX80" s="214"/>
      <c r="AY80" s="220" t="n">
        <f aca="false">+AK80+W80+I80</f>
        <v>0</v>
      </c>
      <c r="AZ80" s="220"/>
      <c r="BA80" s="220" t="n">
        <f aca="false">+AM80+Y80+K80</f>
        <v>0</v>
      </c>
      <c r="BB80" s="220"/>
      <c r="BC80" s="220" t="n">
        <f aca="false">+AO80+AA80+M80</f>
        <v>0</v>
      </c>
      <c r="BD80" s="183"/>
      <c r="BE80" s="6" t="n">
        <f aca="false">ROUND(BC80/1000,0)</f>
        <v>0</v>
      </c>
    </row>
    <row r="81" customFormat="false" ht="12.75" hidden="false" customHeight="false" outlineLevel="0" collapsed="false">
      <c r="A81" s="204" t="s">
        <v>51</v>
      </c>
      <c r="B81" s="178" t="s">
        <v>95</v>
      </c>
      <c r="C81" s="40"/>
      <c r="E81" s="188" t="n">
        <f aca="false">ROUND(C81/$BC$1,0)</f>
        <v>0</v>
      </c>
      <c r="G81" s="214" t="n">
        <f aca="false">IF(I81=0,0,I81/C81)</f>
        <v>0</v>
      </c>
      <c r="I81" s="5" t="n">
        <f aca="false">-K81</f>
        <v>-0</v>
      </c>
      <c r="J81" s="215"/>
      <c r="L81" s="215"/>
      <c r="M81" s="5" t="n">
        <f aca="false">+I81+K81</f>
        <v>0</v>
      </c>
      <c r="O81" s="216" t="n">
        <f aca="false">ROUND(M81/1000,0)</f>
        <v>0</v>
      </c>
      <c r="Q81" s="188" t="n">
        <v>0</v>
      </c>
      <c r="S81" s="217" t="n">
        <f aca="false">ROUND(Q81/$BC$2,0)</f>
        <v>0</v>
      </c>
      <c r="U81" s="214" t="n">
        <f aca="false">IF(W81=0,0,W81/Q81)</f>
        <v>0</v>
      </c>
      <c r="W81" s="5" t="n">
        <f aca="false">-Y81</f>
        <v>-0</v>
      </c>
      <c r="X81" s="218"/>
      <c r="Y81" s="5"/>
      <c r="Z81" s="218"/>
      <c r="AA81" s="218" t="n">
        <f aca="false">+W81+Y81</f>
        <v>0</v>
      </c>
      <c r="AC81" s="216" t="n">
        <f aca="false">ROUND(AA81/1000,0)</f>
        <v>0</v>
      </c>
      <c r="AE81" s="217" t="n">
        <v>0</v>
      </c>
      <c r="AG81" s="217" t="n">
        <f aca="false">ROUND(AE81/$BC$3,0)</f>
        <v>0</v>
      </c>
      <c r="AI81" s="214" t="n">
        <f aca="false">IF(AK81=0,0,AK81/AE81)</f>
        <v>0</v>
      </c>
      <c r="AK81" s="5"/>
      <c r="AL81" s="5"/>
      <c r="AM81" s="5"/>
      <c r="AO81" s="191" t="n">
        <f aca="false">+AK81+AM81</f>
        <v>0</v>
      </c>
      <c r="AQ81" s="216" t="n">
        <f aca="false">ROUND(AK81/1000,0)</f>
        <v>0</v>
      </c>
      <c r="AS81" s="188" t="n">
        <f aca="false">+AE81+Q81+C81</f>
        <v>0</v>
      </c>
      <c r="AU81" s="188" t="n">
        <f aca="false">+AG81+S81+E81</f>
        <v>0</v>
      </c>
      <c r="AW81" s="214" t="n">
        <f aca="false">IF(AY81=0,0,AY81/AS81)</f>
        <v>0</v>
      </c>
      <c r="AX81" s="214"/>
      <c r="AY81" s="220" t="n">
        <f aca="false">+AK81+W81+I81</f>
        <v>0</v>
      </c>
      <c r="AZ81" s="220"/>
      <c r="BA81" s="220" t="n">
        <f aca="false">+AM81+Y81+K81</f>
        <v>0</v>
      </c>
      <c r="BB81" s="220"/>
      <c r="BC81" s="220" t="n">
        <f aca="false">+AO81+AA81+M81</f>
        <v>0</v>
      </c>
      <c r="BD81" s="183"/>
      <c r="BE81" s="6" t="n">
        <f aca="false">ROUND(BC81/1000,0)</f>
        <v>0</v>
      </c>
    </row>
    <row r="82" customFormat="false" ht="12.75" hidden="false" customHeight="false" outlineLevel="0" collapsed="false">
      <c r="A82" s="204" t="s">
        <v>53</v>
      </c>
      <c r="C82" s="40"/>
      <c r="E82" s="188" t="n">
        <f aca="false">ROUND(C82/$BC$1,0)</f>
        <v>0</v>
      </c>
      <c r="G82" s="214" t="n">
        <f aca="false">IF(I82=0,0,I82/C82)</f>
        <v>0</v>
      </c>
      <c r="I82" s="5" t="n">
        <f aca="false">-K82</f>
        <v>-0</v>
      </c>
      <c r="J82" s="215"/>
      <c r="L82" s="215"/>
      <c r="M82" s="5" t="n">
        <f aca="false">+I82+K82</f>
        <v>0</v>
      </c>
      <c r="O82" s="216" t="n">
        <f aca="false">ROUND(M82/1000,0)</f>
        <v>0</v>
      </c>
      <c r="Q82" s="188" t="n">
        <v>0</v>
      </c>
      <c r="S82" s="217" t="n">
        <f aca="false">ROUND(Q82/$BC$2,0)</f>
        <v>0</v>
      </c>
      <c r="U82" s="214" t="n">
        <f aca="false">IF(W82=0,0,W82/Q82)</f>
        <v>0</v>
      </c>
      <c r="W82" s="5" t="n">
        <f aca="false">-Y82</f>
        <v>-0</v>
      </c>
      <c r="X82" s="218"/>
      <c r="Y82" s="5"/>
      <c r="Z82" s="218"/>
      <c r="AA82" s="218" t="n">
        <f aca="false">+W82+Y82</f>
        <v>0</v>
      </c>
      <c r="AC82" s="216" t="n">
        <f aca="false">ROUND(AA82/1000,0)</f>
        <v>0</v>
      </c>
      <c r="AE82" s="217" t="n">
        <v>0</v>
      </c>
      <c r="AG82" s="217" t="n">
        <f aca="false">ROUND(AE82/$BC$3,0)</f>
        <v>0</v>
      </c>
      <c r="AI82" s="214" t="n">
        <f aca="false">IF(AK82=0,0,AK82/AE82)</f>
        <v>0</v>
      </c>
      <c r="AK82" s="5"/>
      <c r="AL82" s="5"/>
      <c r="AM82" s="5" t="n">
        <v>0</v>
      </c>
      <c r="AO82" s="191" t="n">
        <f aca="false">+AK82+AM82</f>
        <v>0</v>
      </c>
      <c r="AQ82" s="216" t="n">
        <f aca="false">ROUND(AK82/1000,0)</f>
        <v>0</v>
      </c>
      <c r="AS82" s="188" t="n">
        <f aca="false">+AE82+Q82+C82</f>
        <v>0</v>
      </c>
      <c r="AU82" s="188" t="n">
        <f aca="false">+AG82+S82+E82</f>
        <v>0</v>
      </c>
      <c r="AW82" s="214" t="n">
        <f aca="false">IF(AY82=0,0,AY82/AS82)</f>
        <v>0</v>
      </c>
      <c r="AX82" s="214"/>
      <c r="AY82" s="220" t="n">
        <f aca="false">+AK82+W82+I82</f>
        <v>0</v>
      </c>
      <c r="AZ82" s="220"/>
      <c r="BA82" s="220" t="n">
        <f aca="false">+AM82+Y82+K82</f>
        <v>0</v>
      </c>
      <c r="BB82" s="220"/>
      <c r="BC82" s="220" t="n">
        <f aca="false">+AO82+AA82+M82</f>
        <v>0</v>
      </c>
      <c r="BD82" s="183"/>
      <c r="BE82" s="6" t="n">
        <f aca="false">ROUND(BC82/1000,0)</f>
        <v>0</v>
      </c>
    </row>
    <row r="83" customFormat="false" ht="12.75" hidden="false" customHeight="false" outlineLevel="0" collapsed="false">
      <c r="A83" s="204" t="s">
        <v>96</v>
      </c>
      <c r="C83" s="40"/>
      <c r="E83" s="188" t="n">
        <f aca="false">ROUND(C83/$BC$1,0)</f>
        <v>0</v>
      </c>
      <c r="G83" s="214" t="n">
        <f aca="false">IF(I83=0,0,I83/C83)</f>
        <v>0</v>
      </c>
      <c r="I83" s="5" t="n">
        <f aca="false">-K83</f>
        <v>-0</v>
      </c>
      <c r="J83" s="215"/>
      <c r="L83" s="215"/>
      <c r="M83" s="5" t="n">
        <f aca="false">+I83+K83</f>
        <v>0</v>
      </c>
      <c r="O83" s="216" t="n">
        <f aca="false">ROUND(M83/1000,0)</f>
        <v>0</v>
      </c>
      <c r="Q83" s="188" t="n">
        <v>0</v>
      </c>
      <c r="S83" s="217" t="n">
        <f aca="false">ROUND(Q83/$BC$2,0)</f>
        <v>0</v>
      </c>
      <c r="U83" s="214" t="n">
        <f aca="false">IF(W83=0,0,W83/Q83)</f>
        <v>0</v>
      </c>
      <c r="W83" s="5" t="n">
        <f aca="false">-Y83</f>
        <v>-0</v>
      </c>
      <c r="X83" s="218"/>
      <c r="Y83" s="5"/>
      <c r="Z83" s="218"/>
      <c r="AA83" s="218"/>
      <c r="AC83" s="216"/>
      <c r="AE83" s="217"/>
      <c r="AG83" s="217"/>
      <c r="AI83" s="214"/>
      <c r="AK83" s="5"/>
      <c r="AL83" s="5"/>
      <c r="AM83" s="5"/>
      <c r="AO83" s="191"/>
      <c r="AQ83" s="216"/>
      <c r="AS83" s="188"/>
      <c r="AU83" s="188"/>
      <c r="AW83" s="214"/>
      <c r="AX83" s="214"/>
      <c r="AY83" s="220" t="n">
        <f aca="false">+AK83+W83+I83</f>
        <v>0</v>
      </c>
      <c r="AZ83" s="220"/>
      <c r="BA83" s="220" t="n">
        <f aca="false">+AM83+Y83+K83</f>
        <v>0</v>
      </c>
      <c r="BB83" s="220"/>
      <c r="BC83" s="220" t="n">
        <f aca="false">+AO83+AA83+M83</f>
        <v>0</v>
      </c>
      <c r="BD83" s="183"/>
      <c r="BE83" s="6" t="n">
        <f aca="false">ROUND(BC83/1000,0)</f>
        <v>0</v>
      </c>
    </row>
    <row r="84" customFormat="false" ht="12.75" hidden="false" customHeight="false" outlineLevel="0" collapsed="false">
      <c r="A84" s="204" t="s">
        <v>54</v>
      </c>
      <c r="B84" s="178" t="s">
        <v>95</v>
      </c>
      <c r="C84" s="40"/>
      <c r="E84" s="246" t="n">
        <f aca="false">ROUND(C84/$BC$1,0)</f>
        <v>0</v>
      </c>
      <c r="G84" s="214" t="n">
        <f aca="false">IF(I84=0,0,I84/C84)</f>
        <v>0</v>
      </c>
      <c r="I84" s="5" t="n">
        <f aca="false">-K84</f>
        <v>-0</v>
      </c>
      <c r="J84" s="215"/>
      <c r="L84" s="215"/>
      <c r="M84" s="5" t="n">
        <f aca="false">+I84+K84</f>
        <v>0</v>
      </c>
      <c r="O84" s="216" t="n">
        <f aca="false">ROUND(M84/1000,0)</f>
        <v>0</v>
      </c>
      <c r="Q84" s="188" t="n">
        <v>0</v>
      </c>
      <c r="S84" s="217" t="n">
        <f aca="false">ROUND(Q84/$BC$2,0)</f>
        <v>0</v>
      </c>
      <c r="U84" s="214" t="n">
        <f aca="false">IF(W84=0,0,W84/Q84)</f>
        <v>0</v>
      </c>
      <c r="W84" s="5" t="n">
        <f aca="false">-Y84</f>
        <v>-0</v>
      </c>
      <c r="X84" s="218"/>
      <c r="Y84" s="5" t="n">
        <v>0</v>
      </c>
      <c r="Z84" s="218"/>
      <c r="AA84" s="218" t="n">
        <f aca="false">+W84+Y84</f>
        <v>0</v>
      </c>
      <c r="AC84" s="216" t="n">
        <f aca="false">ROUND(AA84/1000,0)</f>
        <v>0</v>
      </c>
      <c r="AE84" s="217" t="n">
        <v>0</v>
      </c>
      <c r="AG84" s="217" t="n">
        <f aca="false">ROUND(AE84/$BC$3,0)</f>
        <v>0</v>
      </c>
      <c r="AI84" s="214" t="n">
        <f aca="false">IF(AK84=0,0,AK84/AE84)</f>
        <v>0</v>
      </c>
      <c r="AK84" s="5"/>
      <c r="AL84" s="5"/>
      <c r="AM84" s="5" t="n">
        <v>0</v>
      </c>
      <c r="AO84" s="191" t="n">
        <f aca="false">+AK84+AM84</f>
        <v>0</v>
      </c>
      <c r="AQ84" s="216" t="n">
        <f aca="false">ROUND(AK84/1000,0)</f>
        <v>0</v>
      </c>
      <c r="AS84" s="188" t="n">
        <f aca="false">+AE84+Q84+C84</f>
        <v>0</v>
      </c>
      <c r="AU84" s="188" t="n">
        <f aca="false">+AG84+S84+E84</f>
        <v>0</v>
      </c>
      <c r="AW84" s="214" t="n">
        <f aca="false">IF(AY84=0,0,AY84/AS84)</f>
        <v>0</v>
      </c>
      <c r="AX84" s="214"/>
      <c r="AY84" s="220" t="n">
        <f aca="false">+AK84+W84+I84</f>
        <v>0</v>
      </c>
      <c r="AZ84" s="220"/>
      <c r="BA84" s="220" t="n">
        <f aca="false">+AM84+Y84+K84</f>
        <v>0</v>
      </c>
      <c r="BB84" s="220"/>
      <c r="BC84" s="220" t="n">
        <f aca="false">+AO84+AA84+M84</f>
        <v>0</v>
      </c>
      <c r="BD84" s="183"/>
      <c r="BE84" s="6" t="n">
        <f aca="false">ROUND(BC84/1000,0)</f>
        <v>0</v>
      </c>
    </row>
    <row r="85" customFormat="false" ht="12.75" hidden="false" customHeight="false" outlineLevel="0" collapsed="false">
      <c r="A85" s="213" t="s">
        <v>37</v>
      </c>
      <c r="B85" s="221"/>
      <c r="C85" s="105" t="n">
        <f aca="false">SUM(C81:C84)</f>
        <v>0</v>
      </c>
      <c r="D85" s="221"/>
      <c r="E85" s="188" t="n">
        <f aca="false">ROUND(C85/$BC$1,0)</f>
        <v>0</v>
      </c>
      <c r="F85" s="221"/>
      <c r="G85" s="263" t="e">
        <f aca="false">+I85/C85</f>
        <v>#DIV/0!</v>
      </c>
      <c r="H85" s="221"/>
      <c r="I85" s="73" t="n">
        <f aca="false">SUM(I80:I84)</f>
        <v>0</v>
      </c>
      <c r="J85" s="226"/>
      <c r="K85" s="73" t="n">
        <f aca="false">SUM(K80:K84)</f>
        <v>0</v>
      </c>
      <c r="L85" s="226"/>
      <c r="M85" s="73" t="n">
        <f aca="false">SUM(M80:M84)</f>
        <v>0</v>
      </c>
      <c r="N85" s="221"/>
      <c r="O85" s="222" t="n">
        <f aca="false">SUM(O80:O84)</f>
        <v>0</v>
      </c>
      <c r="P85" s="221"/>
      <c r="Q85" s="227" t="n">
        <f aca="false">SUM(Q80:Q84)</f>
        <v>0</v>
      </c>
      <c r="R85" s="221"/>
      <c r="S85" s="227" t="n">
        <f aca="false">SUM(S80:S84)</f>
        <v>0</v>
      </c>
      <c r="T85" s="221"/>
      <c r="U85" s="223" t="n">
        <f aca="false">IF(W85=0,0,W85/Q85)</f>
        <v>0</v>
      </c>
      <c r="V85" s="221"/>
      <c r="W85" s="73" t="n">
        <f aca="false">SUM(W80:W84)</f>
        <v>0</v>
      </c>
      <c r="X85" s="224"/>
      <c r="Y85" s="228" t="n">
        <f aca="false">SUM(Y80:Y84)</f>
        <v>0</v>
      </c>
      <c r="Z85" s="224"/>
      <c r="AA85" s="228" t="n">
        <f aca="false">SUM(AA80:AA84)</f>
        <v>0</v>
      </c>
      <c r="AB85" s="221"/>
      <c r="AC85" s="222" t="n">
        <f aca="false">SUM(AC80:AC84)</f>
        <v>0</v>
      </c>
      <c r="AD85" s="221"/>
      <c r="AE85" s="227" t="n">
        <f aca="false">SUM(AE81:AE84)</f>
        <v>0</v>
      </c>
      <c r="AF85" s="221"/>
      <c r="AG85" s="227" t="n">
        <f aca="false">SUM(AG81:AG84)</f>
        <v>0</v>
      </c>
      <c r="AH85" s="221"/>
      <c r="AI85" s="223" t="n">
        <f aca="false">IF(AK85=0,0,AK85/AE85)</f>
        <v>0</v>
      </c>
      <c r="AJ85" s="221"/>
      <c r="AK85" s="228" t="n">
        <f aca="false">SUM(AK80:AK84)</f>
        <v>0</v>
      </c>
      <c r="AL85" s="221"/>
      <c r="AM85" s="228" t="n">
        <f aca="false">SUM(AM80:AM84)</f>
        <v>0</v>
      </c>
      <c r="AN85" s="221"/>
      <c r="AO85" s="228" t="n">
        <f aca="false">SUM(AO80:AO84)</f>
        <v>0</v>
      </c>
      <c r="AP85" s="221"/>
      <c r="AQ85" s="222" t="n">
        <f aca="false">SUM(AQ80:AQ84)</f>
        <v>0</v>
      </c>
      <c r="AR85" s="221"/>
      <c r="AS85" s="227" t="n">
        <f aca="false">SUM(AS81:AS84)</f>
        <v>0</v>
      </c>
      <c r="AT85" s="221"/>
      <c r="AU85" s="227" t="n">
        <f aca="false">SUM(AU81:AU84)</f>
        <v>0</v>
      </c>
      <c r="AV85" s="221"/>
      <c r="AW85" s="263" t="e">
        <f aca="false">+AY85/AS85</f>
        <v>#DIV/0!</v>
      </c>
      <c r="AX85" s="229"/>
      <c r="AY85" s="228" t="n">
        <f aca="false">SUM(AY80:AY84)</f>
        <v>0</v>
      </c>
      <c r="AZ85" s="224"/>
      <c r="BA85" s="228" t="n">
        <f aca="false">SUM(BA80:BA84)</f>
        <v>0</v>
      </c>
      <c r="BB85" s="224"/>
      <c r="BC85" s="228" t="n">
        <f aca="false">SUM(BC80:BC84)</f>
        <v>0</v>
      </c>
      <c r="BD85" s="234"/>
      <c r="BE85" s="75" t="n">
        <f aca="false">SUM(BE80:BE84)</f>
        <v>0</v>
      </c>
    </row>
    <row r="86" customFormat="false" ht="12.75" hidden="false" customHeight="false" outlineLevel="0" collapsed="false">
      <c r="A86" s="204"/>
      <c r="C86" s="40"/>
      <c r="E86" s="188"/>
      <c r="G86" s="214"/>
      <c r="J86" s="215"/>
      <c r="L86" s="215"/>
      <c r="O86" s="216"/>
      <c r="Q86" s="188"/>
      <c r="S86" s="217"/>
      <c r="U86" s="214"/>
      <c r="X86" s="218"/>
      <c r="Y86" s="218"/>
      <c r="Z86" s="218"/>
      <c r="AA86" s="218"/>
      <c r="AC86" s="216"/>
      <c r="AE86" s="217"/>
      <c r="AG86" s="217"/>
      <c r="AI86" s="214"/>
      <c r="AK86" s="215"/>
      <c r="AM86" s="191"/>
      <c r="AO86" s="191"/>
      <c r="AQ86" s="216"/>
      <c r="AS86" s="188"/>
      <c r="AU86" s="217"/>
      <c r="AW86" s="214"/>
      <c r="AX86" s="214"/>
      <c r="AY86" s="220"/>
      <c r="AZ86" s="220"/>
      <c r="BA86" s="220"/>
      <c r="BB86" s="220"/>
      <c r="BC86" s="220"/>
      <c r="BD86" s="183"/>
    </row>
    <row r="87" customFormat="false" ht="12.75" hidden="false" customHeight="false" outlineLevel="0" collapsed="false">
      <c r="A87" s="204" t="s">
        <v>115</v>
      </c>
      <c r="C87" s="40"/>
      <c r="E87" s="188" t="n">
        <f aca="false">ROUND(C87/$BC$1,0)</f>
        <v>0</v>
      </c>
      <c r="G87" s="214" t="n">
        <f aca="false">IF(I87=0,0,I87/C87)</f>
        <v>0</v>
      </c>
      <c r="I87" s="5" t="n">
        <f aca="false">-K87</f>
        <v>-0</v>
      </c>
      <c r="J87" s="215"/>
      <c r="L87" s="215"/>
      <c r="M87" s="5" t="n">
        <f aca="false">+I87+K87</f>
        <v>0</v>
      </c>
      <c r="O87" s="216" t="n">
        <f aca="false">ROUND(M87/1000,0)</f>
        <v>0</v>
      </c>
      <c r="Q87" s="188" t="n">
        <v>0</v>
      </c>
      <c r="S87" s="217" t="n">
        <f aca="false">ROUND(Q87/$BC$2,0)</f>
        <v>0</v>
      </c>
      <c r="U87" s="214" t="n">
        <f aca="false">IF(W87=0,0,W87/Q87)</f>
        <v>0</v>
      </c>
      <c r="W87" s="5" t="n">
        <v>0</v>
      </c>
      <c r="X87" s="218"/>
      <c r="Y87" s="5" t="n">
        <v>0</v>
      </c>
      <c r="Z87" s="218"/>
      <c r="AA87" s="218" t="n">
        <f aca="false">+W87+Y87</f>
        <v>0</v>
      </c>
      <c r="AC87" s="216" t="n">
        <f aca="false">ROUND(AA87/1000,0)</f>
        <v>0</v>
      </c>
      <c r="AE87" s="217" t="n">
        <v>0</v>
      </c>
      <c r="AG87" s="217" t="n">
        <f aca="false">ROUND(AE87/$BC$3,0)</f>
        <v>0</v>
      </c>
      <c r="AI87" s="214" t="n">
        <f aca="false">IF(AK87=0,0,AK87/AE87)</f>
        <v>0</v>
      </c>
      <c r="AK87" s="5"/>
      <c r="AL87" s="5"/>
      <c r="AM87" s="5" t="n">
        <v>0</v>
      </c>
      <c r="AO87" s="191" t="n">
        <f aca="false">+AK87+AM87</f>
        <v>0</v>
      </c>
      <c r="AQ87" s="216" t="n">
        <f aca="false">ROUND(AK87/1000,0)</f>
        <v>0</v>
      </c>
      <c r="AS87" s="188" t="n">
        <f aca="false">+AE87+Q87+C87</f>
        <v>0</v>
      </c>
      <c r="AU87" s="188" t="n">
        <f aca="false">+AG87+S87+E87</f>
        <v>0</v>
      </c>
      <c r="AW87" s="214" t="n">
        <f aca="false">IF(AY87=0,0,AY87/AS87)</f>
        <v>0</v>
      </c>
      <c r="AX87" s="214"/>
      <c r="AY87" s="220" t="n">
        <f aca="false">+AK87+W87+I87</f>
        <v>0</v>
      </c>
      <c r="AZ87" s="220"/>
      <c r="BA87" s="220" t="n">
        <f aca="false">+AM87+Y87+K87</f>
        <v>0</v>
      </c>
      <c r="BB87" s="220"/>
      <c r="BC87" s="220" t="n">
        <f aca="false">+AO87+AA87+M87</f>
        <v>0</v>
      </c>
      <c r="BD87" s="183"/>
      <c r="BE87" s="6" t="n">
        <f aca="false">ROUND(BC87/1000,0)</f>
        <v>0</v>
      </c>
    </row>
    <row r="88" customFormat="false" ht="12.75" hidden="false" customHeight="false" outlineLevel="0" collapsed="false">
      <c r="A88" s="204" t="s">
        <v>116</v>
      </c>
      <c r="C88" s="40"/>
      <c r="E88" s="188" t="n">
        <f aca="false">ROUND(C88/$BC$1,0)</f>
        <v>0</v>
      </c>
      <c r="G88" s="214" t="n">
        <f aca="false">IF(I88=0,0,I88/C88)</f>
        <v>0</v>
      </c>
      <c r="I88" s="5" t="n">
        <f aca="false">-K88</f>
        <v>-0</v>
      </c>
      <c r="J88" s="215"/>
      <c r="L88" s="215"/>
      <c r="M88" s="5" t="n">
        <f aca="false">+I88+K88</f>
        <v>0</v>
      </c>
      <c r="O88" s="216" t="n">
        <f aca="false">ROUND(M88/1000,0)</f>
        <v>0</v>
      </c>
      <c r="Q88" s="188" t="n">
        <v>0</v>
      </c>
      <c r="S88" s="217" t="n">
        <f aca="false">ROUND(Q88/$BC$2,0)</f>
        <v>0</v>
      </c>
      <c r="U88" s="214" t="n">
        <f aca="false">IF(W88=0,0,W88/Q88)</f>
        <v>0</v>
      </c>
      <c r="W88" s="5" t="n">
        <v>0</v>
      </c>
      <c r="X88" s="218"/>
      <c r="Y88" s="5" t="n">
        <v>0</v>
      </c>
      <c r="Z88" s="218"/>
      <c r="AA88" s="218" t="n">
        <f aca="false">+W88+Y88</f>
        <v>0</v>
      </c>
      <c r="AC88" s="216" t="n">
        <f aca="false">ROUND(AA88/1000,0)</f>
        <v>0</v>
      </c>
      <c r="AE88" s="217" t="n">
        <v>0</v>
      </c>
      <c r="AG88" s="217" t="n">
        <f aca="false">ROUND(AE88/$BC$3,0)</f>
        <v>0</v>
      </c>
      <c r="AI88" s="214" t="n">
        <f aca="false">IF(AK88=0,0,AK88/AE88)</f>
        <v>0</v>
      </c>
      <c r="AK88" s="5"/>
      <c r="AL88" s="5"/>
      <c r="AM88" s="5" t="n">
        <v>0</v>
      </c>
      <c r="AO88" s="191" t="n">
        <f aca="false">+AK88+AM88</f>
        <v>0</v>
      </c>
      <c r="AQ88" s="216" t="n">
        <f aca="false">ROUND(AK88/1000,0)</f>
        <v>0</v>
      </c>
      <c r="AS88" s="188" t="n">
        <f aca="false">+AE88+Q88+C88</f>
        <v>0</v>
      </c>
      <c r="AU88" s="188" t="n">
        <f aca="false">+AG88+S88+E88</f>
        <v>0</v>
      </c>
      <c r="AW88" s="214" t="n">
        <f aca="false">IF(AY88=0,0,AY88/AS88)</f>
        <v>0</v>
      </c>
      <c r="AX88" s="214"/>
      <c r="AY88" s="220" t="n">
        <f aca="false">+AK88+W88+I88</f>
        <v>0</v>
      </c>
      <c r="AZ88" s="220"/>
      <c r="BA88" s="220" t="n">
        <f aca="false">+AM88+Y88+K88</f>
        <v>0</v>
      </c>
      <c r="BB88" s="220"/>
      <c r="BC88" s="220" t="n">
        <f aca="false">+AO88+AA88+M88</f>
        <v>0</v>
      </c>
      <c r="BD88" s="183"/>
      <c r="BE88" s="6" t="n">
        <f aca="false">ROUND(BC88/1000,0)</f>
        <v>0</v>
      </c>
    </row>
    <row r="89" customFormat="false" ht="12.75" hidden="false" customHeight="false" outlineLevel="0" collapsed="false">
      <c r="A89" s="204" t="s">
        <v>117</v>
      </c>
      <c r="C89" s="40"/>
      <c r="E89" s="188" t="n">
        <f aca="false">ROUND(C89/$BC$1,0)</f>
        <v>0</v>
      </c>
      <c r="G89" s="214" t="n">
        <f aca="false">IF(I89=0,0,I89/C89)</f>
        <v>0</v>
      </c>
      <c r="I89" s="5" t="n">
        <f aca="false">-K89</f>
        <v>-0</v>
      </c>
      <c r="J89" s="215"/>
      <c r="L89" s="215"/>
      <c r="M89" s="5" t="n">
        <f aca="false">+I89+K89</f>
        <v>0</v>
      </c>
      <c r="O89" s="216" t="n">
        <f aca="false">ROUND(M89/1000,0)</f>
        <v>0</v>
      </c>
      <c r="Q89" s="188" t="n">
        <v>0</v>
      </c>
      <c r="S89" s="217" t="n">
        <f aca="false">ROUND(Q89/$BC$2,0)</f>
        <v>0</v>
      </c>
      <c r="U89" s="214" t="n">
        <f aca="false">IF(W89=0,0,W89/Q89)</f>
        <v>0</v>
      </c>
      <c r="W89" s="5" t="n">
        <v>0</v>
      </c>
      <c r="X89" s="218"/>
      <c r="Y89" s="5" t="n">
        <v>0</v>
      </c>
      <c r="Z89" s="218"/>
      <c r="AA89" s="218" t="n">
        <f aca="false">+W89+Y89</f>
        <v>0</v>
      </c>
      <c r="AC89" s="216" t="n">
        <f aca="false">ROUND(AA89/1000,0)</f>
        <v>0</v>
      </c>
      <c r="AE89" s="217" t="n">
        <v>0</v>
      </c>
      <c r="AG89" s="217" t="n">
        <f aca="false">ROUND(AE89/$BC$3,0)</f>
        <v>0</v>
      </c>
      <c r="AI89" s="214" t="n">
        <f aca="false">IF(AK89=0,0,AK89/AE89)</f>
        <v>0</v>
      </c>
      <c r="AK89" s="5"/>
      <c r="AL89" s="5"/>
      <c r="AM89" s="5" t="n">
        <v>0</v>
      </c>
      <c r="AO89" s="191" t="n">
        <f aca="false">+AK89+AM89</f>
        <v>0</v>
      </c>
      <c r="AQ89" s="216" t="n">
        <f aca="false">ROUND(AK89/1000,0)</f>
        <v>0</v>
      </c>
      <c r="AS89" s="188" t="n">
        <f aca="false">+AE89+Q89+C89</f>
        <v>0</v>
      </c>
      <c r="AU89" s="188" t="n">
        <f aca="false">+AG89+S89+E89</f>
        <v>0</v>
      </c>
      <c r="AW89" s="214" t="n">
        <f aca="false">IF(AY89=0,0,AY89/AS89)</f>
        <v>0</v>
      </c>
      <c r="AX89" s="214"/>
      <c r="AY89" s="220" t="n">
        <f aca="false">+AK89+W89+I89</f>
        <v>0</v>
      </c>
      <c r="AZ89" s="220"/>
      <c r="BA89" s="220" t="n">
        <f aca="false">+AM89+Y89+K89</f>
        <v>0</v>
      </c>
      <c r="BB89" s="220"/>
      <c r="BC89" s="220" t="n">
        <f aca="false">+AO89+AA89+M89</f>
        <v>0</v>
      </c>
      <c r="BD89" s="183"/>
      <c r="BE89" s="6" t="n">
        <f aca="false">ROUND(BC89/1000,0)</f>
        <v>0</v>
      </c>
    </row>
    <row r="90" customFormat="false" ht="12.75" hidden="false" customHeight="false" outlineLevel="0" collapsed="false">
      <c r="A90" s="204" t="s">
        <v>118</v>
      </c>
      <c r="C90" s="40"/>
      <c r="E90" s="188" t="n">
        <f aca="false">ROUND(C90/$BC$1,0)</f>
        <v>0</v>
      </c>
      <c r="G90" s="214" t="n">
        <f aca="false">IF(I90=0,0,I90/C90)</f>
        <v>0</v>
      </c>
      <c r="I90" s="5" t="n">
        <f aca="false">-K90</f>
        <v>-0</v>
      </c>
      <c r="J90" s="215"/>
      <c r="L90" s="215"/>
      <c r="M90" s="5" t="n">
        <f aca="false">+I90+K90</f>
        <v>0</v>
      </c>
      <c r="O90" s="216" t="n">
        <f aca="false">ROUND(M90/1000,0)</f>
        <v>0</v>
      </c>
      <c r="Q90" s="188" t="n">
        <v>0</v>
      </c>
      <c r="S90" s="217" t="n">
        <f aca="false">ROUND(Q90/$BC$2,0)</f>
        <v>0</v>
      </c>
      <c r="U90" s="214" t="n">
        <f aca="false">IF(W90=0,0,W90/Q90)</f>
        <v>0</v>
      </c>
      <c r="W90" s="5" t="n">
        <v>0</v>
      </c>
      <c r="X90" s="218"/>
      <c r="Y90" s="5"/>
      <c r="Z90" s="218"/>
      <c r="AA90" s="218"/>
      <c r="AC90" s="216"/>
      <c r="AE90" s="217"/>
      <c r="AG90" s="217"/>
      <c r="AI90" s="214"/>
      <c r="AK90" s="5"/>
      <c r="AL90" s="5"/>
      <c r="AM90" s="5"/>
      <c r="AO90" s="191"/>
      <c r="AQ90" s="216"/>
      <c r="AS90" s="188"/>
      <c r="AU90" s="188"/>
      <c r="AW90" s="214"/>
      <c r="AX90" s="214"/>
      <c r="AY90" s="220" t="n">
        <f aca="false">+AK90+W90+I90</f>
        <v>0</v>
      </c>
      <c r="AZ90" s="220"/>
      <c r="BA90" s="220" t="n">
        <f aca="false">+AM90+Y90+K90</f>
        <v>0</v>
      </c>
      <c r="BB90" s="220"/>
      <c r="BC90" s="220" t="n">
        <f aca="false">+AO90+AA90+M90</f>
        <v>0</v>
      </c>
      <c r="BD90" s="183"/>
      <c r="BE90" s="6" t="n">
        <f aca="false">ROUND(BC90/1000,0)</f>
        <v>0</v>
      </c>
    </row>
    <row r="91" customFormat="false" ht="12.75" hidden="false" customHeight="false" outlineLevel="0" collapsed="false">
      <c r="A91" s="204" t="s">
        <v>119</v>
      </c>
      <c r="C91" s="40"/>
      <c r="E91" s="188" t="n">
        <f aca="false">ROUND(C91/$BC$1,0)</f>
        <v>0</v>
      </c>
      <c r="G91" s="214" t="n">
        <f aca="false">IF(I91=0,0,I91/C91)</f>
        <v>0</v>
      </c>
      <c r="I91" s="5" t="n">
        <f aca="false">-K91</f>
        <v>-0</v>
      </c>
      <c r="J91" s="215"/>
      <c r="L91" s="215"/>
      <c r="M91" s="5" t="n">
        <f aca="false">+I91+K91</f>
        <v>0</v>
      </c>
      <c r="O91" s="216" t="n">
        <f aca="false">ROUND(M91/1000,0)</f>
        <v>0</v>
      </c>
      <c r="Q91" s="188" t="n">
        <v>0</v>
      </c>
      <c r="S91" s="217" t="n">
        <f aca="false">ROUND(Q91/$BC$2,0)</f>
        <v>0</v>
      </c>
      <c r="U91" s="214" t="n">
        <f aca="false">IF(W91=0,0,W91/Q91)</f>
        <v>0</v>
      </c>
      <c r="W91" s="5" t="n">
        <v>0</v>
      </c>
      <c r="X91" s="218"/>
      <c r="Y91" s="5" t="n">
        <v>0</v>
      </c>
      <c r="Z91" s="218"/>
      <c r="AA91" s="218" t="n">
        <f aca="false">+W91+Y91</f>
        <v>0</v>
      </c>
      <c r="AC91" s="216" t="n">
        <f aca="false">ROUND(AA91/1000,0)</f>
        <v>0</v>
      </c>
      <c r="AE91" s="217" t="n">
        <v>0</v>
      </c>
      <c r="AG91" s="217" t="n">
        <f aca="false">ROUND(AE91/$BC$3,0)</f>
        <v>0</v>
      </c>
      <c r="AI91" s="214" t="n">
        <f aca="false">IF(AK91=0,0,AK91/AE91)</f>
        <v>0</v>
      </c>
      <c r="AK91" s="5"/>
      <c r="AL91" s="5"/>
      <c r="AM91" s="5" t="n">
        <v>0</v>
      </c>
      <c r="AO91" s="191" t="n">
        <f aca="false">+AK91+AM91</f>
        <v>0</v>
      </c>
      <c r="AQ91" s="216" t="n">
        <f aca="false">ROUND(AK91/1000,0)</f>
        <v>0</v>
      </c>
      <c r="AS91" s="188" t="n">
        <f aca="false">+AE91+Q91+C91</f>
        <v>0</v>
      </c>
      <c r="AU91" s="188" t="n">
        <f aca="false">+AG91+S91+E91</f>
        <v>0</v>
      </c>
      <c r="AW91" s="214" t="n">
        <f aca="false">IF(AY91=0,0,AY91/AS91)</f>
        <v>0</v>
      </c>
      <c r="AX91" s="214"/>
      <c r="AY91" s="220" t="n">
        <f aca="false">+AK91+W91+I91</f>
        <v>0</v>
      </c>
      <c r="AZ91" s="220"/>
      <c r="BA91" s="220" t="n">
        <f aca="false">+AM91+Y91+K91</f>
        <v>0</v>
      </c>
      <c r="BB91" s="220"/>
      <c r="BC91" s="220" t="n">
        <f aca="false">+AO91+AA91+M91</f>
        <v>0</v>
      </c>
      <c r="BD91" s="183"/>
      <c r="BE91" s="6" t="n">
        <f aca="false">ROUND(BC91/1000,0)</f>
        <v>0</v>
      </c>
    </row>
    <row r="92" customFormat="false" ht="12.75" hidden="false" customHeight="false" outlineLevel="0" collapsed="false">
      <c r="A92" s="213" t="s">
        <v>37</v>
      </c>
      <c r="C92" s="105" t="n">
        <f aca="false">SUM(C88:C91)</f>
        <v>0</v>
      </c>
      <c r="E92" s="222" t="n">
        <f aca="false">SUM(E88:E91)</f>
        <v>0</v>
      </c>
      <c r="G92" s="223" t="n">
        <f aca="false">IF(I92=0,0,I92/C92)</f>
        <v>0</v>
      </c>
      <c r="I92" s="73" t="n">
        <f aca="false">SUM(I87:I91)</f>
        <v>0</v>
      </c>
      <c r="J92" s="215"/>
      <c r="K92" s="73" t="n">
        <f aca="false">SUM(K87:K91)</f>
        <v>0</v>
      </c>
      <c r="L92" s="215"/>
      <c r="M92" s="73" t="n">
        <f aca="false">SUM(M87:M91)</f>
        <v>0</v>
      </c>
      <c r="O92" s="222" t="n">
        <f aca="false">SUM(O87:O91)</f>
        <v>0</v>
      </c>
      <c r="Q92" s="227" t="n">
        <f aca="false">SUM(Q88:Q91)</f>
        <v>0</v>
      </c>
      <c r="R92" s="221"/>
      <c r="S92" s="227" t="n">
        <f aca="false">SUM(S88:S91)</f>
        <v>0</v>
      </c>
      <c r="T92" s="221"/>
      <c r="U92" s="223" t="n">
        <f aca="false">IF(W92=0,0,W92/Q92)</f>
        <v>0</v>
      </c>
      <c r="V92" s="221"/>
      <c r="W92" s="73" t="n">
        <f aca="false">SUM(W87:W91)</f>
        <v>0</v>
      </c>
      <c r="X92" s="218"/>
      <c r="Y92" s="264" t="n">
        <f aca="false">SUM(Y87:Y91)</f>
        <v>0</v>
      </c>
      <c r="Z92" s="218"/>
      <c r="AA92" s="264" t="n">
        <f aca="false">SUM(AA87:AA91)</f>
        <v>0</v>
      </c>
      <c r="AC92" s="222" t="n">
        <f aca="false">SUM(AC87:AC91)</f>
        <v>0</v>
      </c>
      <c r="AE92" s="227" t="n">
        <f aca="false">SUM(AE88:AE91)</f>
        <v>0</v>
      </c>
      <c r="AF92" s="221"/>
      <c r="AG92" s="227" t="n">
        <f aca="false">SUM(AG88:AG91)</f>
        <v>0</v>
      </c>
      <c r="AH92" s="221"/>
      <c r="AI92" s="223" t="n">
        <f aca="false">IF(AK92=0,0,AK92/AE92)</f>
        <v>0</v>
      </c>
      <c r="AJ92" s="221"/>
      <c r="AK92" s="264" t="n">
        <f aca="false">SUM(AK87:AK91)</f>
        <v>0</v>
      </c>
      <c r="AL92" s="221"/>
      <c r="AM92" s="264" t="n">
        <f aca="false">SUM(AM87:AM91)</f>
        <v>0</v>
      </c>
      <c r="AN92" s="221"/>
      <c r="AO92" s="264" t="n">
        <f aca="false">SUM(AO87:AO91)</f>
        <v>0</v>
      </c>
      <c r="AP92" s="221"/>
      <c r="AQ92" s="222" t="n">
        <f aca="false">SUM(AQ87:AQ91)</f>
        <v>0</v>
      </c>
      <c r="AR92" s="221"/>
      <c r="AS92" s="227" t="n">
        <f aca="false">SUM(AS88:AS91)</f>
        <v>0</v>
      </c>
      <c r="AT92" s="221"/>
      <c r="AU92" s="227" t="n">
        <f aca="false">SUM(AU88:AU91)</f>
        <v>0</v>
      </c>
      <c r="AV92" s="221"/>
      <c r="AW92" s="223" t="n">
        <f aca="false">IF(AY92=0,0,AY92/AS92)</f>
        <v>0</v>
      </c>
      <c r="AX92" s="229"/>
      <c r="AY92" s="264" t="n">
        <f aca="false">SUM(AY87:AY91)</f>
        <v>0</v>
      </c>
      <c r="AZ92" s="226"/>
      <c r="BA92" s="264" t="n">
        <f aca="false">SUM(BA87:BA91)</f>
        <v>0</v>
      </c>
      <c r="BB92" s="226"/>
      <c r="BC92" s="264" t="n">
        <f aca="false">SUM(BC87:BC91)</f>
        <v>0</v>
      </c>
      <c r="BD92" s="234"/>
      <c r="BE92" s="75" t="n">
        <f aca="false">SUM(BE87:BE91)</f>
        <v>0</v>
      </c>
    </row>
    <row r="93" customFormat="false" ht="12.75" hidden="false" customHeight="false" outlineLevel="0" collapsed="false">
      <c r="A93" s="204"/>
      <c r="C93" s="140"/>
      <c r="E93" s="188"/>
      <c r="G93" s="214"/>
      <c r="J93" s="215"/>
      <c r="L93" s="215"/>
      <c r="O93" s="216"/>
      <c r="Q93" s="188"/>
      <c r="S93" s="217"/>
      <c r="U93" s="214"/>
      <c r="X93" s="218"/>
      <c r="Y93" s="218"/>
      <c r="Z93" s="218"/>
      <c r="AA93" s="218"/>
      <c r="AC93" s="216"/>
      <c r="AE93" s="217"/>
      <c r="AG93" s="217"/>
      <c r="AI93" s="214"/>
      <c r="AK93" s="215"/>
      <c r="AM93" s="191"/>
      <c r="AO93" s="191"/>
      <c r="AQ93" s="216"/>
      <c r="AS93" s="188"/>
      <c r="AU93" s="217"/>
      <c r="AW93" s="214"/>
      <c r="AX93" s="214"/>
      <c r="AY93" s="220"/>
      <c r="AZ93" s="220"/>
      <c r="BA93" s="220"/>
      <c r="BB93" s="220"/>
      <c r="BC93" s="220"/>
      <c r="BD93" s="183"/>
    </row>
    <row r="94" customFormat="false" ht="12.75" hidden="false" customHeight="false" outlineLevel="0" collapsed="false">
      <c r="A94" s="213" t="s">
        <v>120</v>
      </c>
      <c r="B94" s="221"/>
      <c r="C94" s="105" t="n">
        <f aca="false">+C92+C85+C78+C71+C64+C56</f>
        <v>11481368</v>
      </c>
      <c r="D94" s="221"/>
      <c r="E94" s="105" t="n">
        <f aca="false">+E92+E85+E78+E71+E64+E56</f>
        <v>370367</v>
      </c>
      <c r="F94" s="221"/>
      <c r="G94" s="139" t="e">
        <f aca="false">+G92+G85+G78+G71+G64+G56</f>
        <v>#DIV/0!</v>
      </c>
      <c r="H94" s="221"/>
      <c r="I94" s="139" t="n">
        <f aca="false">+I92+I85+I78+I71+I64+I56</f>
        <v>1597344.84</v>
      </c>
      <c r="J94" s="226"/>
      <c r="K94" s="265" t="n">
        <f aca="false">+K92+K85+K78+K71+K64+K56</f>
        <v>32153.05</v>
      </c>
      <c r="L94" s="226"/>
      <c r="M94" s="139" t="n">
        <f aca="false">+M92+M85+M78+M71+M64+M56</f>
        <v>1629497.89</v>
      </c>
      <c r="N94" s="221"/>
      <c r="O94" s="75" t="n">
        <f aca="false">+O92+O85+O78+O71+O64+O56</f>
        <v>1630</v>
      </c>
      <c r="P94" s="221"/>
      <c r="Q94" s="105" t="n">
        <f aca="false">+Q92+Q85+Q78+Q71+Q64+Q56</f>
        <v>2001</v>
      </c>
      <c r="R94" s="221"/>
      <c r="S94" s="105" t="n">
        <f aca="false">+S92+S85+S78+S71+S64+S56</f>
        <v>67</v>
      </c>
      <c r="T94" s="221"/>
      <c r="U94" s="139" t="n">
        <f aca="false">+U92+U85+U78+U71+U64+U56</f>
        <v>0.432658670664668</v>
      </c>
      <c r="V94" s="221"/>
      <c r="W94" s="139" t="n">
        <f aca="false">+W92+W85+W78+W71+W64+W56</f>
        <v>865.75</v>
      </c>
      <c r="X94" s="226"/>
      <c r="Y94" s="139" t="n">
        <f aca="false">+Y92+Y85+Y78+Y71+Y64+Y56</f>
        <v>25.88</v>
      </c>
      <c r="Z94" s="226"/>
      <c r="AA94" s="139" t="n">
        <f aca="false">+AA92+AA85+AA78+AA71+AA64+AA56</f>
        <v>891.63</v>
      </c>
      <c r="AB94" s="221"/>
      <c r="AC94" s="75" t="n">
        <f aca="false">+AC92+AC85+AC78+AC71+AC64+AC56</f>
        <v>0</v>
      </c>
      <c r="AD94" s="221"/>
      <c r="AE94" s="105" t="n">
        <f aca="false">+AE92+AE85+AE78+AE71+AE64+AE56</f>
        <v>0</v>
      </c>
      <c r="AF94" s="221"/>
      <c r="AG94" s="105" t="n">
        <f aca="false">+AG92+AG85+AG78+AG71+AG64+AG56</f>
        <v>0</v>
      </c>
      <c r="AH94" s="221"/>
      <c r="AI94" s="139" t="n">
        <f aca="false">+AI92+AI85+AI78+AI71+AI64+AI56</f>
        <v>0</v>
      </c>
      <c r="AJ94" s="221"/>
      <c r="AK94" s="139" t="n">
        <f aca="false">+AK92+AK85+AK78+AK71+AK64+AK56</f>
        <v>0</v>
      </c>
      <c r="AL94" s="226"/>
      <c r="AM94" s="139" t="n">
        <f aca="false">+AM92+AM85+AM78+AM71+AM64+AM56</f>
        <v>0</v>
      </c>
      <c r="AN94" s="226"/>
      <c r="AO94" s="139" t="n">
        <f aca="false">+AO92+AO85+AO78+AO71+AO64+AO56</f>
        <v>0</v>
      </c>
      <c r="AP94" s="221"/>
      <c r="AQ94" s="75" t="n">
        <f aca="false">+AQ92+AQ85+AQ78+AQ71+AQ64+AQ56</f>
        <v>0</v>
      </c>
      <c r="AR94" s="221"/>
      <c r="AS94" s="105" t="n">
        <f aca="false">+AS92+AS85+AS78+AS71+AS64+AS56</f>
        <v>11483369</v>
      </c>
      <c r="AT94" s="221"/>
      <c r="AU94" s="105" t="n">
        <f aca="false">+AU92+AU85+AU78+AU71+AU64+AU56</f>
        <v>370434</v>
      </c>
      <c r="AV94" s="221"/>
      <c r="AW94" s="139" t="n">
        <f aca="false">+AY94/AS94</f>
        <v>0.13917610676797</v>
      </c>
      <c r="AX94" s="221"/>
      <c r="AY94" s="139" t="n">
        <f aca="false">+AY92+AY85+AY78+AY71+AY64+AY56</f>
        <v>1598210.59</v>
      </c>
      <c r="AZ94" s="226"/>
      <c r="BA94" s="139" t="n">
        <f aca="false">+BA92+BA85+BA78+BA71+BA64+BA56</f>
        <v>32178.93</v>
      </c>
      <c r="BB94" s="226"/>
      <c r="BC94" s="139" t="n">
        <f aca="false">+BC92+BC85+BC78+BC71+BC64+BC56</f>
        <v>1630389.52</v>
      </c>
      <c r="BD94" s="221"/>
      <c r="BE94" s="75" t="n">
        <f aca="false">+BE92+BE85+BE78+BE71+BE64+BE56</f>
        <v>1631</v>
      </c>
    </row>
    <row r="95" customFormat="false" ht="12.75" hidden="false" customHeight="false" outlineLevel="0" collapsed="false">
      <c r="A95" s="213"/>
      <c r="C95" s="40"/>
      <c r="E95" s="188"/>
      <c r="G95" s="214"/>
      <c r="J95" s="215"/>
      <c r="L95" s="215"/>
      <c r="O95" s="216"/>
      <c r="Q95" s="188"/>
      <c r="S95" s="217"/>
      <c r="U95" s="214"/>
      <c r="X95" s="218"/>
      <c r="Y95" s="218"/>
      <c r="Z95" s="218"/>
      <c r="AA95" s="218"/>
      <c r="AC95" s="216"/>
      <c r="AE95" s="217"/>
      <c r="AG95" s="217"/>
      <c r="AI95" s="214"/>
      <c r="AK95" s="215"/>
      <c r="AM95" s="191"/>
      <c r="AO95" s="191"/>
      <c r="AQ95" s="216"/>
      <c r="AS95" s="188"/>
      <c r="AU95" s="217"/>
      <c r="AW95" s="214"/>
      <c r="AX95" s="214"/>
      <c r="AY95" s="220"/>
      <c r="AZ95" s="220"/>
      <c r="BA95" s="220"/>
      <c r="BB95" s="220"/>
      <c r="BC95" s="220"/>
      <c r="BD95" s="183"/>
    </row>
    <row r="96" customFormat="false" ht="12.75" hidden="false" customHeight="false" outlineLevel="0" collapsed="false">
      <c r="A96" s="213" t="s">
        <v>121</v>
      </c>
      <c r="C96" s="40"/>
      <c r="E96" s="188"/>
      <c r="G96" s="214"/>
      <c r="J96" s="215"/>
      <c r="L96" s="215"/>
      <c r="O96" s="216"/>
      <c r="Q96" s="188"/>
      <c r="S96" s="217"/>
      <c r="U96" s="214"/>
      <c r="X96" s="218"/>
      <c r="Y96" s="218"/>
      <c r="Z96" s="218"/>
      <c r="AA96" s="218"/>
      <c r="AC96" s="216"/>
      <c r="AE96" s="217"/>
      <c r="AG96" s="217"/>
      <c r="AI96" s="214"/>
      <c r="AK96" s="215"/>
      <c r="AM96" s="191"/>
      <c r="AO96" s="191"/>
      <c r="AQ96" s="216"/>
      <c r="AS96" s="188"/>
      <c r="AU96" s="217"/>
      <c r="AW96" s="214"/>
      <c r="AX96" s="214"/>
      <c r="AY96" s="220"/>
      <c r="AZ96" s="220"/>
      <c r="BA96" s="220"/>
      <c r="BB96" s="220"/>
      <c r="BC96" s="220"/>
      <c r="BD96" s="183"/>
    </row>
    <row r="97" customFormat="false" ht="12.75" hidden="false" customHeight="false" outlineLevel="0" collapsed="false">
      <c r="A97" s="204" t="s">
        <v>122</v>
      </c>
      <c r="B97" s="178" t="s">
        <v>95</v>
      </c>
      <c r="C97" s="40" t="n">
        <v>8664832</v>
      </c>
      <c r="E97" s="188" t="n">
        <f aca="false">ROUND(C97/$BC$1,0)</f>
        <v>279511</v>
      </c>
      <c r="G97" s="214" t="n">
        <f aca="false">IF(I97=0,0,I97/C97)</f>
        <v>0.0480152056035247</v>
      </c>
      <c r="I97" s="5" t="n">
        <f aca="false">-K97+416043.69</f>
        <v>416043.69</v>
      </c>
      <c r="J97" s="215"/>
      <c r="L97" s="215"/>
      <c r="M97" s="5" t="n">
        <f aca="false">+I97+K97</f>
        <v>416043.69</v>
      </c>
      <c r="O97" s="216" t="n">
        <f aca="false">ROUND(M97/1000,0)</f>
        <v>416</v>
      </c>
      <c r="Q97" s="188"/>
      <c r="S97" s="217" t="n">
        <f aca="false">ROUND(Q97/$BC$2,0)</f>
        <v>0</v>
      </c>
      <c r="U97" s="214" t="n">
        <f aca="false">IF(W97=0,0,W97/Q97)</f>
        <v>0</v>
      </c>
      <c r="W97" s="5" t="n">
        <v>0</v>
      </c>
      <c r="X97" s="218"/>
      <c r="Y97" s="5" t="n">
        <v>0</v>
      </c>
      <c r="Z97" s="218"/>
      <c r="AA97" s="218" t="n">
        <f aca="false">+W97+Y97</f>
        <v>0</v>
      </c>
      <c r="AC97" s="216" t="n">
        <f aca="false">ROUND(AA97/1000,0)</f>
        <v>0</v>
      </c>
      <c r="AE97" s="217" t="n">
        <v>0</v>
      </c>
      <c r="AG97" s="217" t="n">
        <f aca="false">ROUND(AE97/$BC$3,0)</f>
        <v>0</v>
      </c>
      <c r="AI97" s="214" t="n">
        <f aca="false">IF(AK97=0,0,AK97/AE97)</f>
        <v>0</v>
      </c>
      <c r="AK97" s="5"/>
      <c r="AL97" s="5"/>
      <c r="AM97" s="5" t="n">
        <v>0</v>
      </c>
      <c r="AO97" s="191" t="n">
        <f aca="false">+AK97+AM97</f>
        <v>0</v>
      </c>
      <c r="AQ97" s="216" t="n">
        <f aca="false">ROUND(AK97/1000,0)</f>
        <v>0</v>
      </c>
      <c r="AS97" s="188" t="n">
        <f aca="false">+AE97+Q97+C97</f>
        <v>8664832</v>
      </c>
      <c r="AU97" s="188" t="n">
        <f aca="false">+AG97+S97+E97</f>
        <v>279511</v>
      </c>
      <c r="AW97" s="214" t="n">
        <f aca="false">IF(AY97=0,0,AY97/AS97)</f>
        <v>0.0480152056035247</v>
      </c>
      <c r="AX97" s="214"/>
      <c r="AY97" s="220" t="n">
        <f aca="false">+AK97+W97+I97</f>
        <v>416043.69</v>
      </c>
      <c r="AZ97" s="220"/>
      <c r="BA97" s="220" t="n">
        <f aca="false">+AM97+Y97+K97</f>
        <v>0</v>
      </c>
      <c r="BB97" s="220"/>
      <c r="BC97" s="220" t="n">
        <f aca="false">+AO97+AA97+M97</f>
        <v>416043.69</v>
      </c>
      <c r="BD97" s="183"/>
      <c r="BE97" s="6" t="n">
        <f aca="false">ROUND(BC97/1000,0)</f>
        <v>416</v>
      </c>
    </row>
    <row r="98" customFormat="false" ht="12.75" hidden="false" customHeight="false" outlineLevel="0" collapsed="false">
      <c r="A98" s="204" t="s">
        <v>123</v>
      </c>
      <c r="B98" s="178" t="s">
        <v>95</v>
      </c>
      <c r="C98" s="3" t="n">
        <v>8676424</v>
      </c>
      <c r="E98" s="188" t="n">
        <f aca="false">ROUND(C98/$BC$1,0)</f>
        <v>279885</v>
      </c>
      <c r="G98" s="214" t="n">
        <f aca="false">IF(I98=0,0,I98/C98)</f>
        <v>0.00110000156746604</v>
      </c>
      <c r="I98" s="5" t="n">
        <f aca="false">-K98+9544.08</f>
        <v>9544.08</v>
      </c>
      <c r="J98" s="215"/>
      <c r="L98" s="215"/>
      <c r="M98" s="5" t="n">
        <f aca="false">+I98+K98</f>
        <v>9544.08</v>
      </c>
      <c r="O98" s="216" t="n">
        <f aca="false">ROUND(M98/1000,0)</f>
        <v>10</v>
      </c>
      <c r="Q98" s="188"/>
      <c r="S98" s="217" t="n">
        <f aca="false">ROUND(Q98/$BC$2,0)</f>
        <v>0</v>
      </c>
      <c r="U98" s="214" t="n">
        <f aca="false">IF(W98=0,0,W98/Q98)</f>
        <v>0</v>
      </c>
      <c r="W98" s="5" t="n">
        <v>0</v>
      </c>
      <c r="X98" s="218"/>
      <c r="Y98" s="5" t="n">
        <v>0</v>
      </c>
      <c r="Z98" s="218"/>
      <c r="AA98" s="218" t="n">
        <f aca="false">+W98+Y98</f>
        <v>0</v>
      </c>
      <c r="AC98" s="216" t="n">
        <f aca="false">ROUND(AA98/1000,0)</f>
        <v>0</v>
      </c>
      <c r="AE98" s="217" t="n">
        <v>0</v>
      </c>
      <c r="AG98" s="217" t="n">
        <f aca="false">ROUND(AE98/$BC$3,0)</f>
        <v>0</v>
      </c>
      <c r="AI98" s="214" t="n">
        <f aca="false">IF(AK98=0,0,AK98/AE98)</f>
        <v>0</v>
      </c>
      <c r="AK98" s="5"/>
      <c r="AL98" s="5"/>
      <c r="AM98" s="5" t="n">
        <v>0</v>
      </c>
      <c r="AO98" s="191" t="n">
        <f aca="false">+AK98+AM98</f>
        <v>0</v>
      </c>
      <c r="AQ98" s="216" t="n">
        <f aca="false">ROUND(AK98/1000,0)</f>
        <v>0</v>
      </c>
      <c r="AS98" s="188" t="n">
        <f aca="false">+AE98+Q98+C98</f>
        <v>8676424</v>
      </c>
      <c r="AU98" s="188" t="n">
        <f aca="false">+AG98+S98+E98</f>
        <v>279885</v>
      </c>
      <c r="AW98" s="214" t="n">
        <f aca="false">IF(AY98=0,0,AY98/AS98)</f>
        <v>0.00110000156746604</v>
      </c>
      <c r="AX98" s="214"/>
      <c r="AY98" s="220" t="n">
        <f aca="false">+AK98+W98+I98</f>
        <v>9544.08</v>
      </c>
      <c r="AZ98" s="220"/>
      <c r="BA98" s="220" t="n">
        <f aca="false">+AM98+Y98+K98</f>
        <v>0</v>
      </c>
      <c r="BB98" s="220"/>
      <c r="BC98" s="220" t="n">
        <f aca="false">+AO98+AA98+M98</f>
        <v>9544.08</v>
      </c>
      <c r="BD98" s="183"/>
      <c r="BE98" s="6" t="n">
        <f aca="false">ROUND(BC98/1000,0)</f>
        <v>10</v>
      </c>
    </row>
    <row r="99" customFormat="false" ht="12.75" hidden="false" customHeight="false" outlineLevel="0" collapsed="false">
      <c r="A99" s="204" t="s">
        <v>124</v>
      </c>
      <c r="C99" s="40" t="n">
        <v>465000</v>
      </c>
      <c r="E99" s="188" t="n">
        <f aca="false">ROUND(C99/$BC$1,0)</f>
        <v>15000</v>
      </c>
      <c r="G99" s="214" t="n">
        <f aca="false">IF(I99=0,0,I99/C99)</f>
        <v>0.0011</v>
      </c>
      <c r="I99" s="5" t="n">
        <f aca="false">-K99+511.5</f>
        <v>511.5</v>
      </c>
      <c r="J99" s="215"/>
      <c r="L99" s="215"/>
      <c r="M99" s="5" t="n">
        <f aca="false">+I99+K99</f>
        <v>511.5</v>
      </c>
      <c r="O99" s="216" t="n">
        <f aca="false">ROUND(M99/1000,0)</f>
        <v>1</v>
      </c>
      <c r="Q99" s="188"/>
      <c r="S99" s="217" t="n">
        <f aca="false">ROUND(Q99/$BC$2,0)</f>
        <v>0</v>
      </c>
      <c r="U99" s="214" t="n">
        <f aca="false">IF(W99=0,0,W99/Q99)</f>
        <v>0</v>
      </c>
      <c r="W99" s="5" t="n">
        <v>0</v>
      </c>
      <c r="X99" s="218"/>
      <c r="Y99" s="5" t="n">
        <v>0</v>
      </c>
      <c r="Z99" s="218"/>
      <c r="AA99" s="218" t="n">
        <f aca="false">+W99+Y99</f>
        <v>0</v>
      </c>
      <c r="AC99" s="216" t="n">
        <f aca="false">ROUND(AA99/1000,0)</f>
        <v>0</v>
      </c>
      <c r="AE99" s="217" t="n">
        <v>0</v>
      </c>
      <c r="AG99" s="217" t="n">
        <f aca="false">ROUND(AE99/$BC$3,0)</f>
        <v>0</v>
      </c>
      <c r="AI99" s="214" t="n">
        <f aca="false">IF(AK99=0,0,AK99/AE99)</f>
        <v>0</v>
      </c>
      <c r="AK99" s="5"/>
      <c r="AL99" s="5"/>
      <c r="AM99" s="5" t="n">
        <v>0</v>
      </c>
      <c r="AO99" s="191" t="n">
        <f aca="false">+AK99+AM99</f>
        <v>0</v>
      </c>
      <c r="AQ99" s="216" t="n">
        <f aca="false">ROUND(AK99/1000,0)</f>
        <v>0</v>
      </c>
      <c r="AS99" s="188" t="n">
        <f aca="false">+AE99+Q99+C99</f>
        <v>465000</v>
      </c>
      <c r="AU99" s="188" t="n">
        <f aca="false">+AG99+S99+E99</f>
        <v>15000</v>
      </c>
      <c r="AW99" s="214" t="n">
        <f aca="false">IF(AY99=0,0,AY99/AS99)</f>
        <v>0.0011</v>
      </c>
      <c r="AX99" s="214"/>
      <c r="AY99" s="220" t="n">
        <f aca="false">+AK99+W99+I99</f>
        <v>511.5</v>
      </c>
      <c r="AZ99" s="220"/>
      <c r="BA99" s="220" t="n">
        <f aca="false">+AM99+Y99+K99</f>
        <v>0</v>
      </c>
      <c r="BB99" s="220"/>
      <c r="BC99" s="220" t="n">
        <f aca="false">+AO99+AA99+M99</f>
        <v>511.5</v>
      </c>
      <c r="BD99" s="183"/>
      <c r="BE99" s="6" t="n">
        <f aca="false">ROUND(BC99/1000,0)</f>
        <v>1</v>
      </c>
    </row>
    <row r="100" customFormat="false" ht="12.75" hidden="false" customHeight="false" outlineLevel="0" collapsed="false">
      <c r="A100" s="204" t="s">
        <v>125</v>
      </c>
      <c r="C100" s="40"/>
      <c r="E100" s="188" t="n">
        <f aca="false">ROUND(C100/$BC$1,0)</f>
        <v>0</v>
      </c>
      <c r="G100" s="214" t="n">
        <f aca="false">IF(I100=0,0,I100/C100)</f>
        <v>0</v>
      </c>
      <c r="I100" s="5" t="n">
        <f aca="false">-K100</f>
        <v>-0</v>
      </c>
      <c r="J100" s="215"/>
      <c r="L100" s="215"/>
      <c r="M100" s="5" t="n">
        <f aca="false">+I100+K100</f>
        <v>0</v>
      </c>
      <c r="O100" s="216" t="n">
        <f aca="false">ROUND(M100/1000,0)</f>
        <v>0</v>
      </c>
      <c r="Q100" s="188"/>
      <c r="S100" s="217" t="n">
        <f aca="false">ROUND(Q100/$BC$2,0)</f>
        <v>0</v>
      </c>
      <c r="U100" s="214" t="n">
        <f aca="false">IF(W100=0,0,W100/Q100)</f>
        <v>0</v>
      </c>
      <c r="W100" s="5" t="n">
        <v>0</v>
      </c>
      <c r="X100" s="218"/>
      <c r="Y100" s="5"/>
      <c r="Z100" s="218"/>
      <c r="AA100" s="218"/>
      <c r="AC100" s="216"/>
      <c r="AE100" s="217"/>
      <c r="AG100" s="217"/>
      <c r="AI100" s="214"/>
      <c r="AK100" s="5"/>
      <c r="AL100" s="5"/>
      <c r="AM100" s="5"/>
      <c r="AO100" s="191"/>
      <c r="AQ100" s="216"/>
      <c r="AS100" s="188"/>
      <c r="AU100" s="188"/>
      <c r="AW100" s="214"/>
      <c r="AX100" s="214"/>
      <c r="AY100" s="220" t="n">
        <f aca="false">+AK100+W100+I100</f>
        <v>0</v>
      </c>
      <c r="AZ100" s="220"/>
      <c r="BA100" s="220" t="n">
        <f aca="false">+AM100+Y100+K100</f>
        <v>0</v>
      </c>
      <c r="BB100" s="220"/>
      <c r="BC100" s="220" t="n">
        <f aca="false">+AO100+AA100+M100</f>
        <v>0</v>
      </c>
      <c r="BD100" s="183"/>
      <c r="BE100" s="6" t="n">
        <f aca="false">ROUND(BC100/1000,0)</f>
        <v>0</v>
      </c>
    </row>
    <row r="101" customFormat="false" ht="12.75" hidden="false" customHeight="false" outlineLevel="0" collapsed="false">
      <c r="A101" s="204" t="s">
        <v>126</v>
      </c>
      <c r="B101" s="178" t="s">
        <v>95</v>
      </c>
      <c r="C101" s="40" t="n">
        <v>58851</v>
      </c>
      <c r="E101" s="188" t="n">
        <f aca="false">ROUND(C101/$BC$1,0)</f>
        <v>1898</v>
      </c>
      <c r="G101" s="214" t="n">
        <f aca="false">IF(I101=0,0,I101/C101)</f>
        <v>0.103100032284923</v>
      </c>
      <c r="I101" s="5" t="n">
        <f aca="false">-K101+6067.54</f>
        <v>6067.54</v>
      </c>
      <c r="J101" s="215"/>
      <c r="L101" s="215"/>
      <c r="M101" s="5" t="n">
        <f aca="false">+I101+K101</f>
        <v>6067.54</v>
      </c>
      <c r="O101" s="216" t="n">
        <f aca="false">ROUND(M101/1000,0)</f>
        <v>6</v>
      </c>
      <c r="Q101" s="188"/>
      <c r="S101" s="217" t="n">
        <f aca="false">ROUND(Q101/$BC$2,0)</f>
        <v>0</v>
      </c>
      <c r="U101" s="214" t="n">
        <f aca="false">IF(W101=0,0,W101/Q101)</f>
        <v>0</v>
      </c>
      <c r="W101" s="5" t="n">
        <v>0</v>
      </c>
      <c r="X101" s="218"/>
      <c r="Y101" s="5"/>
      <c r="Z101" s="218"/>
      <c r="AA101" s="218" t="n">
        <f aca="false">+W101+Y101</f>
        <v>0</v>
      </c>
      <c r="AC101" s="216" t="n">
        <f aca="false">ROUND(AA101/1000,0)</f>
        <v>0</v>
      </c>
      <c r="AE101" s="217" t="n">
        <v>0</v>
      </c>
      <c r="AG101" s="217" t="n">
        <f aca="false">ROUND(AE101/$BC$3,0)</f>
        <v>0</v>
      </c>
      <c r="AI101" s="214" t="n">
        <f aca="false">IF(AK101=0,0,AK101/AE101)</f>
        <v>0</v>
      </c>
      <c r="AK101" s="5"/>
      <c r="AL101" s="5"/>
      <c r="AM101" s="5" t="n">
        <v>0</v>
      </c>
      <c r="AO101" s="191" t="n">
        <f aca="false">+AK101+AM101</f>
        <v>0</v>
      </c>
      <c r="AQ101" s="216" t="n">
        <f aca="false">ROUND(AK101/1000,0)</f>
        <v>0</v>
      </c>
      <c r="AS101" s="188" t="n">
        <f aca="false">+AE101+Q101+C101</f>
        <v>58851</v>
      </c>
      <c r="AU101" s="188" t="n">
        <f aca="false">+AG101+S101+E101</f>
        <v>1898</v>
      </c>
      <c r="AW101" s="214" t="n">
        <f aca="false">IF(AY101=0,0,AY101/AS101)</f>
        <v>0.103100032284923</v>
      </c>
      <c r="AX101" s="214"/>
      <c r="AY101" s="220" t="n">
        <f aca="false">+AK101+W101+I101</f>
        <v>6067.54</v>
      </c>
      <c r="AZ101" s="220"/>
      <c r="BA101" s="220" t="n">
        <f aca="false">+AM101+Y101+K101</f>
        <v>0</v>
      </c>
      <c r="BB101" s="220"/>
      <c r="BC101" s="220" t="n">
        <f aca="false">+AO101+AA101+M101</f>
        <v>6067.54</v>
      </c>
      <c r="BD101" s="183"/>
      <c r="BE101" s="6" t="n">
        <f aca="false">ROUND(BC101/1000,0)</f>
        <v>6</v>
      </c>
    </row>
    <row r="102" customFormat="false" ht="12.75" hidden="false" customHeight="false" outlineLevel="0" collapsed="false">
      <c r="A102" s="213" t="s">
        <v>127</v>
      </c>
      <c r="B102" s="221"/>
      <c r="C102" s="105" t="n">
        <f aca="false">SUM(C98:C101)</f>
        <v>9200275</v>
      </c>
      <c r="D102" s="221"/>
      <c r="E102" s="222" t="n">
        <f aca="false">SUM(E98:E101)</f>
        <v>296783</v>
      </c>
      <c r="F102" s="221"/>
      <c r="G102" s="223" t="n">
        <f aca="false">IF(I102=0,0,I102/C102)</f>
        <v>0.0469732491691824</v>
      </c>
      <c r="H102" s="221"/>
      <c r="I102" s="73" t="n">
        <f aca="false">SUM(I97:I101)</f>
        <v>432166.81</v>
      </c>
      <c r="J102" s="226"/>
      <c r="K102" s="73" t="n">
        <f aca="false">SUM(K97:K101)</f>
        <v>0</v>
      </c>
      <c r="L102" s="226"/>
      <c r="M102" s="73" t="n">
        <f aca="false">SUM(M97:M101)</f>
        <v>432166.81</v>
      </c>
      <c r="N102" s="221"/>
      <c r="O102" s="222" t="n">
        <f aca="false">SUM(O97:O101)</f>
        <v>433</v>
      </c>
      <c r="P102" s="221"/>
      <c r="Q102" s="227" t="n">
        <f aca="false">SUM(Q98:Q101)</f>
        <v>0</v>
      </c>
      <c r="R102" s="221"/>
      <c r="S102" s="227" t="n">
        <f aca="false">SUM(S98:S101)</f>
        <v>0</v>
      </c>
      <c r="T102" s="221"/>
      <c r="U102" s="223" t="n">
        <f aca="false">IF(W102=0,0,W102/Q102)</f>
        <v>0</v>
      </c>
      <c r="V102" s="221"/>
      <c r="W102" s="73" t="n">
        <f aca="false">SUM(W97:W101)</f>
        <v>0</v>
      </c>
      <c r="X102" s="226"/>
      <c r="Y102" s="264" t="n">
        <f aca="false">SUM(Y97:Y101)</f>
        <v>0</v>
      </c>
      <c r="Z102" s="226"/>
      <c r="AA102" s="264" t="n">
        <f aca="false">SUM(AA97:AA101)</f>
        <v>0</v>
      </c>
      <c r="AB102" s="221"/>
      <c r="AC102" s="222" t="n">
        <f aca="false">SUM(AC97:AC101)</f>
        <v>0</v>
      </c>
      <c r="AD102" s="221"/>
      <c r="AE102" s="227" t="n">
        <f aca="false">SUM(AE98:AE101)</f>
        <v>0</v>
      </c>
      <c r="AF102" s="221"/>
      <c r="AG102" s="227" t="n">
        <f aca="false">SUM(AG98:AG101)</f>
        <v>0</v>
      </c>
      <c r="AH102" s="221"/>
      <c r="AI102" s="223" t="n">
        <f aca="false">IF(AK102=0,0,AK102/AE102)</f>
        <v>0</v>
      </c>
      <c r="AJ102" s="221"/>
      <c r="AK102" s="264" t="n">
        <f aca="false">SUM(AK97:AK101)</f>
        <v>0</v>
      </c>
      <c r="AL102" s="221"/>
      <c r="AM102" s="264" t="n">
        <f aca="false">SUM(AM97:AM101)</f>
        <v>0</v>
      </c>
      <c r="AN102" s="221"/>
      <c r="AO102" s="264" t="n">
        <f aca="false">SUM(AO97:AO101)</f>
        <v>0</v>
      </c>
      <c r="AP102" s="221"/>
      <c r="AQ102" s="222" t="n">
        <f aca="false">SUM(AQ97:AQ101)</f>
        <v>0</v>
      </c>
      <c r="AR102" s="221"/>
      <c r="AS102" s="227" t="n">
        <f aca="false">SUM(AS98:AS101)</f>
        <v>9200275</v>
      </c>
      <c r="AT102" s="221"/>
      <c r="AU102" s="227" t="n">
        <f aca="false">SUM(AU98:AU101)</f>
        <v>296783</v>
      </c>
      <c r="AV102" s="221"/>
      <c r="AW102" s="223" t="n">
        <f aca="false">IF(AY102=0,0,AY102/AS102)</f>
        <v>0.0469732491691824</v>
      </c>
      <c r="AX102" s="229"/>
      <c r="AY102" s="264" t="n">
        <f aca="false">SUM(AY97:AY101)</f>
        <v>432166.81</v>
      </c>
      <c r="AZ102" s="226"/>
      <c r="BA102" s="264" t="n">
        <f aca="false">SUM(BA97:BA101)</f>
        <v>0</v>
      </c>
      <c r="BB102" s="226"/>
      <c r="BC102" s="264" t="n">
        <f aca="false">SUM(BC97:BC101)</f>
        <v>432166.81</v>
      </c>
      <c r="BD102" s="234"/>
      <c r="BE102" s="75" t="n">
        <f aca="false">SUM(BE97:BE101)</f>
        <v>433</v>
      </c>
    </row>
    <row r="103" customFormat="false" ht="12.75" hidden="false" customHeight="false" outlineLevel="0" collapsed="false">
      <c r="A103" s="213"/>
      <c r="B103" s="221"/>
      <c r="C103" s="140"/>
      <c r="D103" s="221"/>
      <c r="E103" s="230"/>
      <c r="F103" s="221"/>
      <c r="G103" s="231"/>
      <c r="H103" s="221"/>
      <c r="I103" s="74"/>
      <c r="J103" s="226"/>
      <c r="K103" s="74"/>
      <c r="L103" s="226"/>
      <c r="M103" s="74" t="n">
        <f aca="false">+M101+M109</f>
        <v>66665.22</v>
      </c>
      <c r="N103" s="221"/>
      <c r="O103" s="230"/>
      <c r="P103" s="221"/>
      <c r="Q103" s="232"/>
      <c r="R103" s="221"/>
      <c r="S103" s="232"/>
      <c r="T103" s="221"/>
      <c r="U103" s="231"/>
      <c r="V103" s="221"/>
      <c r="W103" s="74"/>
      <c r="X103" s="226"/>
      <c r="Y103" s="226"/>
      <c r="Z103" s="226"/>
      <c r="AA103" s="226"/>
      <c r="AB103" s="221"/>
      <c r="AC103" s="230"/>
      <c r="AD103" s="221"/>
      <c r="AE103" s="232"/>
      <c r="AF103" s="221"/>
      <c r="AG103" s="232"/>
      <c r="AH103" s="221"/>
      <c r="AI103" s="231"/>
      <c r="AJ103" s="221"/>
      <c r="AK103" s="226"/>
      <c r="AL103" s="221"/>
      <c r="AM103" s="226"/>
      <c r="AN103" s="221"/>
      <c r="AO103" s="226"/>
      <c r="AP103" s="221"/>
      <c r="AQ103" s="230"/>
      <c r="AR103" s="221"/>
      <c r="AS103" s="232"/>
      <c r="AT103" s="221"/>
      <c r="AU103" s="232"/>
      <c r="AV103" s="221"/>
      <c r="AW103" s="231"/>
      <c r="AX103" s="233"/>
      <c r="AY103" s="226"/>
      <c r="AZ103" s="226"/>
      <c r="BA103" s="226"/>
      <c r="BB103" s="226"/>
      <c r="BC103" s="226"/>
      <c r="BD103" s="234"/>
      <c r="BE103" s="104"/>
    </row>
    <row r="104" customFormat="false" ht="12.75" hidden="false" customHeight="false" outlineLevel="0" collapsed="false">
      <c r="A104" s="213" t="s">
        <v>128</v>
      </c>
      <c r="B104" s="221"/>
      <c r="C104" s="140"/>
      <c r="D104" s="221"/>
      <c r="E104" s="230"/>
      <c r="F104" s="221"/>
      <c r="G104" s="231"/>
      <c r="H104" s="221"/>
      <c r="I104" s="74"/>
      <c r="J104" s="226"/>
      <c r="K104" s="74"/>
      <c r="L104" s="226"/>
      <c r="M104" s="74"/>
      <c r="N104" s="221"/>
      <c r="O104" s="230"/>
      <c r="P104" s="221"/>
      <c r="Q104" s="232"/>
      <c r="R104" s="221"/>
      <c r="S104" s="232"/>
      <c r="T104" s="221"/>
      <c r="U104" s="231"/>
      <c r="V104" s="221"/>
      <c r="W104" s="74"/>
      <c r="X104" s="226"/>
      <c r="Y104" s="226"/>
      <c r="Z104" s="226"/>
      <c r="AA104" s="226"/>
      <c r="AB104" s="221"/>
      <c r="AC104" s="230"/>
      <c r="AD104" s="221"/>
      <c r="AE104" s="232"/>
      <c r="AF104" s="221"/>
      <c r="AG104" s="232"/>
      <c r="AH104" s="221"/>
      <c r="AI104" s="231"/>
      <c r="AJ104" s="221"/>
      <c r="AK104" s="226"/>
      <c r="AL104" s="221"/>
      <c r="AM104" s="226"/>
      <c r="AN104" s="221"/>
      <c r="AO104" s="226"/>
      <c r="AP104" s="221"/>
      <c r="AQ104" s="230"/>
      <c r="AR104" s="221"/>
      <c r="AS104" s="232"/>
      <c r="AT104" s="221"/>
      <c r="AU104" s="232"/>
      <c r="AV104" s="221"/>
      <c r="AW104" s="231"/>
      <c r="AX104" s="233"/>
      <c r="AY104" s="226"/>
      <c r="AZ104" s="226"/>
      <c r="BA104" s="226"/>
      <c r="BB104" s="226"/>
      <c r="BC104" s="226"/>
      <c r="BD104" s="234"/>
      <c r="BE104" s="104"/>
    </row>
    <row r="105" customFormat="false" ht="12.75" hidden="false" customHeight="false" outlineLevel="0" collapsed="false">
      <c r="A105" s="204" t="s">
        <v>32</v>
      </c>
      <c r="B105" s="178" t="s">
        <v>95</v>
      </c>
      <c r="C105" s="40" t="n">
        <v>9494983</v>
      </c>
      <c r="E105" s="188" t="n">
        <f aca="false">ROUND(C105/$BC$1,0)</f>
        <v>306290</v>
      </c>
      <c r="G105" s="214" t="n">
        <f aca="false">IF(I105=0,0,I105/C105)</f>
        <v>0.0345328759409048</v>
      </c>
      <c r="I105" s="5" t="n">
        <f aca="false">-K105+401126.57-73237.5</f>
        <v>327889.07</v>
      </c>
      <c r="J105" s="215"/>
      <c r="L105" s="215"/>
      <c r="M105" s="5" t="n">
        <f aca="false">+I105+K105</f>
        <v>327889.07</v>
      </c>
      <c r="O105" s="216" t="n">
        <f aca="false">ROUND(M105/1000,0)</f>
        <v>328</v>
      </c>
      <c r="Q105" s="188"/>
      <c r="S105" s="217" t="n">
        <f aca="false">ROUND(Q105/$BC$2,0)</f>
        <v>0</v>
      </c>
      <c r="U105" s="214" t="n">
        <f aca="false">IF(W105=0,0,W105/Q105)</f>
        <v>0</v>
      </c>
      <c r="W105" s="5" t="n">
        <v>0</v>
      </c>
      <c r="X105" s="218"/>
      <c r="Y105" s="5"/>
      <c r="Z105" s="218"/>
      <c r="AA105" s="218" t="n">
        <f aca="false">+W105+Y105</f>
        <v>0</v>
      </c>
      <c r="AC105" s="216" t="n">
        <f aca="false">ROUND(AA105/1000,0)</f>
        <v>0</v>
      </c>
      <c r="AE105" s="217" t="n">
        <v>0</v>
      </c>
      <c r="AG105" s="217" t="n">
        <f aca="false">ROUND(AE105/$BC$3,0)</f>
        <v>0</v>
      </c>
      <c r="AI105" s="214" t="n">
        <f aca="false">IF(AK105=0,0,AK105/AE105)</f>
        <v>0</v>
      </c>
      <c r="AK105" s="5"/>
      <c r="AL105" s="5"/>
      <c r="AM105" s="5" t="n">
        <v>0</v>
      </c>
      <c r="AO105" s="191" t="n">
        <f aca="false">+AK105+AM105</f>
        <v>0</v>
      </c>
      <c r="AQ105" s="216" t="n">
        <f aca="false">ROUND(AK105/1000,0)</f>
        <v>0</v>
      </c>
      <c r="AS105" s="188" t="n">
        <f aca="false">+AE105+Q105+C105</f>
        <v>9494983</v>
      </c>
      <c r="AU105" s="188" t="n">
        <f aca="false">+AG105+S105+E105</f>
        <v>306290</v>
      </c>
      <c r="AW105" s="214" t="n">
        <f aca="false">IF(AY105=0,0,AY105/AS105)</f>
        <v>0.0345328759409048</v>
      </c>
      <c r="AX105" s="214"/>
      <c r="AY105" s="220" t="n">
        <f aca="false">+AK105+W105+I105</f>
        <v>327889.07</v>
      </c>
      <c r="AZ105" s="220"/>
      <c r="BA105" s="220" t="n">
        <f aca="false">+AM105+Y105+K105</f>
        <v>0</v>
      </c>
      <c r="BB105" s="220"/>
      <c r="BC105" s="220" t="n">
        <f aca="false">+AO105+AA105+M105</f>
        <v>327889.07</v>
      </c>
      <c r="BD105" s="183"/>
      <c r="BE105" s="6" t="n">
        <f aca="false">ROUND(BC105/1000,0)</f>
        <v>328</v>
      </c>
    </row>
    <row r="106" customFormat="false" ht="12.75" hidden="false" customHeight="false" outlineLevel="0" collapsed="false">
      <c r="A106" s="204" t="s">
        <v>58</v>
      </c>
      <c r="B106" s="178" t="s">
        <v>95</v>
      </c>
      <c r="C106" s="40" t="n">
        <v>6275753</v>
      </c>
      <c r="E106" s="188" t="n">
        <f aca="false">ROUND(C106/$BC$1,0)</f>
        <v>202444</v>
      </c>
      <c r="G106" s="214" t="n">
        <f aca="false">IF(I106=0,0,I106/C106)</f>
        <v>0.00110000027088383</v>
      </c>
      <c r="I106" s="5" t="n">
        <f aca="false">-K106+20082.41</f>
        <v>6903.33</v>
      </c>
      <c r="J106" s="215"/>
      <c r="K106" s="5" t="n">
        <v>13179.08</v>
      </c>
      <c r="L106" s="215"/>
      <c r="M106" s="5" t="n">
        <f aca="false">+I106+K106</f>
        <v>20082.41</v>
      </c>
      <c r="O106" s="216" t="n">
        <f aca="false">ROUND(M106/1000,0)</f>
        <v>20</v>
      </c>
      <c r="Q106" s="188"/>
      <c r="S106" s="217" t="n">
        <f aca="false">ROUND(Q106/$BC$2,0)</f>
        <v>0</v>
      </c>
      <c r="U106" s="214" t="n">
        <f aca="false">IF(W106=0,0,W106/Q106)</f>
        <v>0</v>
      </c>
      <c r="W106" s="5" t="n">
        <v>0</v>
      </c>
      <c r="X106" s="218"/>
      <c r="Y106" s="5"/>
      <c r="Z106" s="218"/>
      <c r="AA106" s="218" t="n">
        <f aca="false">+W106+Y106</f>
        <v>0</v>
      </c>
      <c r="AC106" s="216" t="n">
        <f aca="false">ROUND(AA106/1000,0)</f>
        <v>0</v>
      </c>
      <c r="AE106" s="217" t="n">
        <v>0</v>
      </c>
      <c r="AG106" s="217" t="n">
        <f aca="false">ROUND(AE106/$BC$3,0)</f>
        <v>0</v>
      </c>
      <c r="AI106" s="214" t="n">
        <f aca="false">IF(AK106=0,0,AK106/AE106)</f>
        <v>0</v>
      </c>
      <c r="AK106" s="5"/>
      <c r="AL106" s="5"/>
      <c r="AM106" s="5" t="n">
        <v>0</v>
      </c>
      <c r="AO106" s="191" t="n">
        <f aca="false">+AK106+AM106</f>
        <v>0</v>
      </c>
      <c r="AQ106" s="216" t="n">
        <f aca="false">ROUND(AK106/1000,0)</f>
        <v>0</v>
      </c>
      <c r="AS106" s="188" t="n">
        <f aca="false">+AE106+Q106+C106</f>
        <v>6275753</v>
      </c>
      <c r="AU106" s="188" t="n">
        <f aca="false">+AG106+S106+E106</f>
        <v>202444</v>
      </c>
      <c r="AW106" s="214" t="n">
        <f aca="false">IF(AY106=0,0,AY106/AS106)</f>
        <v>0.00110000027088383</v>
      </c>
      <c r="AX106" s="214"/>
      <c r="AY106" s="220" t="n">
        <f aca="false">+AK106+W106+I106</f>
        <v>6903.33</v>
      </c>
      <c r="AZ106" s="220"/>
      <c r="BA106" s="220" t="n">
        <f aca="false">+AM106+Y106+K106</f>
        <v>13179.08</v>
      </c>
      <c r="BB106" s="220"/>
      <c r="BC106" s="220" t="n">
        <f aca="false">+AO106+AA106+M106</f>
        <v>20082.41</v>
      </c>
      <c r="BD106" s="183"/>
      <c r="BE106" s="6" t="n">
        <f aca="false">ROUND(BC106/1000,0)</f>
        <v>20</v>
      </c>
    </row>
    <row r="107" customFormat="false" ht="12.75" hidden="false" customHeight="false" outlineLevel="0" collapsed="false">
      <c r="A107" s="204" t="s">
        <v>129</v>
      </c>
      <c r="C107" s="40"/>
      <c r="E107" s="188" t="n">
        <f aca="false">ROUND(C107/$BC$1,0)</f>
        <v>0</v>
      </c>
      <c r="G107" s="214" t="n">
        <f aca="false">IF(I107=0,0,I107/C107)</f>
        <v>0</v>
      </c>
      <c r="I107" s="5" t="n">
        <f aca="false">-K107</f>
        <v>-0</v>
      </c>
      <c r="J107" s="215"/>
      <c r="L107" s="215"/>
      <c r="M107" s="5" t="n">
        <f aca="false">+I107+K107</f>
        <v>0</v>
      </c>
      <c r="O107" s="216" t="n">
        <f aca="false">ROUND(M107/1000,0)</f>
        <v>0</v>
      </c>
      <c r="Q107" s="188"/>
      <c r="S107" s="217" t="n">
        <f aca="false">ROUND(Q107/$BC$2,0)</f>
        <v>0</v>
      </c>
      <c r="U107" s="214" t="n">
        <f aca="false">IF(W107=0,0,W107/Q107)</f>
        <v>0</v>
      </c>
      <c r="W107" s="5" t="n">
        <v>0</v>
      </c>
      <c r="X107" s="218"/>
      <c r="Y107" s="5"/>
      <c r="Z107" s="218"/>
      <c r="AA107" s="218" t="n">
        <f aca="false">+W107+Y107</f>
        <v>0</v>
      </c>
      <c r="AC107" s="216" t="n">
        <f aca="false">ROUND(AA107/1000,0)</f>
        <v>0</v>
      </c>
      <c r="AE107" s="217" t="n">
        <v>0</v>
      </c>
      <c r="AG107" s="217" t="n">
        <f aca="false">ROUND(AE107/$BC$3,0)</f>
        <v>0</v>
      </c>
      <c r="AI107" s="214" t="n">
        <f aca="false">IF(AK107=0,0,AK107/AE107)</f>
        <v>0</v>
      </c>
      <c r="AK107" s="5"/>
      <c r="AL107" s="5"/>
      <c r="AM107" s="5" t="n">
        <v>0</v>
      </c>
      <c r="AO107" s="191" t="n">
        <f aca="false">+AK107+AM107</f>
        <v>0</v>
      </c>
      <c r="AQ107" s="216" t="n">
        <f aca="false">ROUND(AK107/1000,0)</f>
        <v>0</v>
      </c>
      <c r="AS107" s="188" t="n">
        <f aca="false">+AE107+Q107+C107</f>
        <v>0</v>
      </c>
      <c r="AU107" s="188" t="n">
        <f aca="false">+AG107+S107+E107</f>
        <v>0</v>
      </c>
      <c r="AW107" s="214" t="n">
        <f aca="false">IF(AY107=0,0,AY107/AS107)</f>
        <v>0</v>
      </c>
      <c r="AX107" s="214"/>
      <c r="AY107" s="220" t="n">
        <f aca="false">+AK107+W107+I107</f>
        <v>0</v>
      </c>
      <c r="AZ107" s="220"/>
      <c r="BA107" s="220" t="n">
        <f aca="false">+AM107+Y107+K107</f>
        <v>0</v>
      </c>
      <c r="BB107" s="220"/>
      <c r="BC107" s="220" t="n">
        <f aca="false">+AO107+AA107+M107</f>
        <v>0</v>
      </c>
      <c r="BD107" s="183"/>
      <c r="BE107" s="6" t="n">
        <f aca="false">ROUND(BC107/1000,0)</f>
        <v>0</v>
      </c>
    </row>
    <row r="108" customFormat="false" ht="12.75" hidden="false" customHeight="false" outlineLevel="0" collapsed="false">
      <c r="A108" s="204" t="s">
        <v>130</v>
      </c>
      <c r="C108" s="40"/>
      <c r="E108" s="188" t="n">
        <f aca="false">ROUND(C108/$BC$1,0)</f>
        <v>0</v>
      </c>
      <c r="G108" s="214" t="n">
        <f aca="false">IF(I108=0,0,I108/C108)</f>
        <v>0</v>
      </c>
      <c r="I108" s="5" t="n">
        <f aca="false">-K108</f>
        <v>-0</v>
      </c>
      <c r="J108" s="215"/>
      <c r="L108" s="215"/>
      <c r="M108" s="5" t="n">
        <f aca="false">+I108+K108</f>
        <v>0</v>
      </c>
      <c r="O108" s="216" t="n">
        <f aca="false">ROUND(M108/1000,0)</f>
        <v>0</v>
      </c>
      <c r="Q108" s="188"/>
      <c r="S108" s="217" t="n">
        <f aca="false">ROUND(Q108/$BC$2,0)</f>
        <v>0</v>
      </c>
      <c r="U108" s="214" t="n">
        <f aca="false">IF(W108=0,0,W108/Q108)</f>
        <v>0</v>
      </c>
      <c r="W108" s="5" t="n">
        <v>0</v>
      </c>
      <c r="X108" s="218"/>
      <c r="Y108" s="5"/>
      <c r="Z108" s="218"/>
      <c r="AA108" s="218"/>
      <c r="AC108" s="216"/>
      <c r="AE108" s="217"/>
      <c r="AG108" s="217"/>
      <c r="AI108" s="214"/>
      <c r="AK108" s="5"/>
      <c r="AL108" s="5"/>
      <c r="AM108" s="5"/>
      <c r="AO108" s="191"/>
      <c r="AQ108" s="216"/>
      <c r="AS108" s="188"/>
      <c r="AU108" s="188"/>
      <c r="AW108" s="214"/>
      <c r="AX108" s="214"/>
      <c r="AY108" s="220" t="n">
        <f aca="false">+AK108+W108+I108</f>
        <v>0</v>
      </c>
      <c r="AZ108" s="220"/>
      <c r="BA108" s="220" t="n">
        <f aca="false">+AM108+Y108+K108</f>
        <v>0</v>
      </c>
      <c r="BB108" s="220"/>
      <c r="BC108" s="220" t="n">
        <f aca="false">+AO108+AA108+M108</f>
        <v>0</v>
      </c>
      <c r="BD108" s="183"/>
      <c r="BE108" s="6" t="n">
        <f aca="false">ROUND(BC108/1000,0)</f>
        <v>0</v>
      </c>
    </row>
    <row r="109" customFormat="false" ht="12.75" hidden="false" customHeight="false" outlineLevel="0" collapsed="false">
      <c r="A109" s="204" t="s">
        <v>57</v>
      </c>
      <c r="B109" s="178" t="s">
        <v>95</v>
      </c>
      <c r="C109" s="40" t="n">
        <f aca="false">2052671+248</f>
        <v>2052919</v>
      </c>
      <c r="E109" s="188" t="n">
        <f aca="false">ROUND(C109/$BC$1,0)</f>
        <v>66223</v>
      </c>
      <c r="G109" s="214" t="n">
        <f aca="false">IF(I109=0,0,I109/C109)</f>
        <v>0.0274178133672103</v>
      </c>
      <c r="I109" s="5" t="n">
        <f aca="false">-K109+60597.68</f>
        <v>56286.55</v>
      </c>
      <c r="J109" s="215"/>
      <c r="K109" s="5" t="n">
        <v>4311.13</v>
      </c>
      <c r="L109" s="215"/>
      <c r="M109" s="5" t="n">
        <f aca="false">+I109+K109</f>
        <v>60597.68</v>
      </c>
      <c r="O109" s="216" t="n">
        <f aca="false">ROUND(M109/1000,0)</f>
        <v>61</v>
      </c>
      <c r="Q109" s="188"/>
      <c r="S109" s="217" t="n">
        <f aca="false">ROUND(Q109/$BC$2,0)</f>
        <v>0</v>
      </c>
      <c r="U109" s="214" t="n">
        <f aca="false">IF(W109=0,0,W109/Q109)</f>
        <v>0</v>
      </c>
      <c r="W109" s="5" t="n">
        <v>0</v>
      </c>
      <c r="X109" s="218"/>
      <c r="Y109" s="5" t="n">
        <v>0</v>
      </c>
      <c r="Z109" s="218"/>
      <c r="AA109" s="218" t="n">
        <f aca="false">+W109+Y109</f>
        <v>0</v>
      </c>
      <c r="AC109" s="216" t="n">
        <f aca="false">ROUND(AA109/1000,0)</f>
        <v>0</v>
      </c>
      <c r="AE109" s="217"/>
      <c r="AG109" s="217" t="n">
        <f aca="false">ROUND(AE109/$BC$3,0)</f>
        <v>0</v>
      </c>
      <c r="AI109" s="214" t="n">
        <f aca="false">IF(AK109=0,0,AK109/AE109)</f>
        <v>0</v>
      </c>
      <c r="AK109" s="5"/>
      <c r="AL109" s="5"/>
      <c r="AM109" s="5"/>
      <c r="AO109" s="191" t="n">
        <f aca="false">+AK109+AM109</f>
        <v>0</v>
      </c>
      <c r="AQ109" s="216" t="n">
        <f aca="false">ROUND(AK109/1000,0)</f>
        <v>0</v>
      </c>
      <c r="AS109" s="188" t="n">
        <f aca="false">+AE109+Q109+C109</f>
        <v>2052919</v>
      </c>
      <c r="AU109" s="188" t="n">
        <f aca="false">+AG109+S109+E109</f>
        <v>66223</v>
      </c>
      <c r="AW109" s="214" t="n">
        <f aca="false">IF(AY109=0,0,AY109/AS109)</f>
        <v>0.0274178133672103</v>
      </c>
      <c r="AX109" s="214"/>
      <c r="AY109" s="220" t="n">
        <f aca="false">+AK109+W109+I109</f>
        <v>56286.55</v>
      </c>
      <c r="AZ109" s="220"/>
      <c r="BA109" s="220" t="n">
        <f aca="false">+AM109+Y109+K109</f>
        <v>4311.13</v>
      </c>
      <c r="BB109" s="220"/>
      <c r="BC109" s="220" t="n">
        <f aca="false">+AO109+AA109+M109</f>
        <v>60597.68</v>
      </c>
      <c r="BD109" s="183"/>
      <c r="BE109" s="6" t="n">
        <f aca="false">ROUND(BC109/1000,0)</f>
        <v>61</v>
      </c>
    </row>
    <row r="110" customFormat="false" ht="12.75" hidden="false" customHeight="false" outlineLevel="0" collapsed="false">
      <c r="A110" s="213" t="s">
        <v>131</v>
      </c>
      <c r="B110" s="221"/>
      <c r="C110" s="105" t="n">
        <f aca="false">SUM(C106:C109)</f>
        <v>8328672</v>
      </c>
      <c r="D110" s="221"/>
      <c r="E110" s="222" t="n">
        <f aca="false">SUM(E106:E109)</f>
        <v>268667</v>
      </c>
      <c r="F110" s="221"/>
      <c r="G110" s="223" t="n">
        <f aca="false">IF(I110=0,0,I110/C110)</f>
        <v>0.0469557391622578</v>
      </c>
      <c r="H110" s="221"/>
      <c r="I110" s="73" t="n">
        <f aca="false">SUM(I105:I109)</f>
        <v>391078.95</v>
      </c>
      <c r="J110" s="226"/>
      <c r="K110" s="73" t="n">
        <f aca="false">SUM(K105:K109)</f>
        <v>17490.21</v>
      </c>
      <c r="L110" s="226"/>
      <c r="M110" s="73" t="n">
        <f aca="false">SUM(M105:M109)</f>
        <v>408569.16</v>
      </c>
      <c r="N110" s="221"/>
      <c r="O110" s="222" t="n">
        <f aca="false">SUM(O105:O109)</f>
        <v>409</v>
      </c>
      <c r="P110" s="221"/>
      <c r="Q110" s="227" t="n">
        <f aca="false">SUM(Q106:Q109)</f>
        <v>0</v>
      </c>
      <c r="R110" s="221"/>
      <c r="S110" s="227" t="n">
        <f aca="false">SUM(S106:S109)</f>
        <v>0</v>
      </c>
      <c r="T110" s="221"/>
      <c r="U110" s="223" t="n">
        <f aca="false">IF(W110=0,0,W110/Q110)</f>
        <v>0</v>
      </c>
      <c r="V110" s="221"/>
      <c r="W110" s="73" t="n">
        <f aca="false">SUM(W105:W109)</f>
        <v>0</v>
      </c>
      <c r="X110" s="226"/>
      <c r="Y110" s="264" t="n">
        <f aca="false">SUM(Y105:Y109)</f>
        <v>0</v>
      </c>
      <c r="Z110" s="226"/>
      <c r="AA110" s="264" t="n">
        <f aca="false">SUM(AA105:AA109)</f>
        <v>0</v>
      </c>
      <c r="AB110" s="221"/>
      <c r="AC110" s="222" t="n">
        <f aca="false">SUM(AC105:AC109)</f>
        <v>0</v>
      </c>
      <c r="AD110" s="221"/>
      <c r="AE110" s="227" t="n">
        <f aca="false">SUM(AE106:AE109)</f>
        <v>0</v>
      </c>
      <c r="AF110" s="221"/>
      <c r="AG110" s="227" t="n">
        <f aca="false">SUM(AG106:AG109)</f>
        <v>0</v>
      </c>
      <c r="AH110" s="221"/>
      <c r="AI110" s="223" t="n">
        <f aca="false">IF(AK110=0,0,AK110/AE110)</f>
        <v>0</v>
      </c>
      <c r="AJ110" s="221"/>
      <c r="AK110" s="264" t="n">
        <f aca="false">SUM(AK105:AK109)</f>
        <v>0</v>
      </c>
      <c r="AL110" s="221"/>
      <c r="AM110" s="264" t="n">
        <f aca="false">SUM(AM105:AM109)</f>
        <v>0</v>
      </c>
      <c r="AN110" s="221"/>
      <c r="AO110" s="264" t="n">
        <f aca="false">SUM(AO105:AO109)</f>
        <v>0</v>
      </c>
      <c r="AP110" s="221"/>
      <c r="AQ110" s="222" t="n">
        <f aca="false">SUM(AQ105:AQ109)</f>
        <v>0</v>
      </c>
      <c r="AR110" s="221"/>
      <c r="AS110" s="227" t="n">
        <f aca="false">SUM(AS106:AS109)</f>
        <v>8328672</v>
      </c>
      <c r="AT110" s="221"/>
      <c r="AU110" s="227" t="n">
        <f aca="false">SUM(AU106:AU109)</f>
        <v>268667</v>
      </c>
      <c r="AV110" s="221"/>
      <c r="AW110" s="223" t="n">
        <f aca="false">IF(AY110=0,0,AY110/AS110)</f>
        <v>0.0469557391622578</v>
      </c>
      <c r="AX110" s="229"/>
      <c r="AY110" s="264" t="n">
        <f aca="false">SUM(AY105:AY109)</f>
        <v>391078.95</v>
      </c>
      <c r="AZ110" s="226"/>
      <c r="BA110" s="264" t="n">
        <f aca="false">SUM(BA105:BA109)</f>
        <v>17490.21</v>
      </c>
      <c r="BB110" s="226"/>
      <c r="BC110" s="264" t="n">
        <f aca="false">SUM(BC105:BC109)</f>
        <v>408569.16</v>
      </c>
      <c r="BD110" s="234"/>
      <c r="BE110" s="75" t="n">
        <f aca="false">SUM(BE105:BE109)</f>
        <v>409</v>
      </c>
    </row>
    <row r="111" customFormat="false" ht="12.75" hidden="false" customHeight="false" outlineLevel="0" collapsed="false">
      <c r="A111" s="213"/>
      <c r="B111" s="221"/>
      <c r="C111" s="140"/>
      <c r="D111" s="221"/>
      <c r="E111" s="230"/>
      <c r="F111" s="221"/>
      <c r="G111" s="231"/>
      <c r="H111" s="221"/>
      <c r="I111" s="74"/>
      <c r="J111" s="226"/>
      <c r="K111" s="74"/>
      <c r="L111" s="226"/>
      <c r="M111" s="74"/>
      <c r="N111" s="221"/>
      <c r="O111" s="230"/>
      <c r="P111" s="221"/>
      <c r="Q111" s="232"/>
      <c r="R111" s="221"/>
      <c r="S111" s="232"/>
      <c r="T111" s="221"/>
      <c r="U111" s="231"/>
      <c r="V111" s="221"/>
      <c r="W111" s="74"/>
      <c r="X111" s="226"/>
      <c r="Y111" s="226"/>
      <c r="Z111" s="226"/>
      <c r="AA111" s="226"/>
      <c r="AB111" s="221"/>
      <c r="AC111" s="230"/>
      <c r="AD111" s="221"/>
      <c r="AE111" s="232"/>
      <c r="AF111" s="221"/>
      <c r="AG111" s="232"/>
      <c r="AH111" s="221"/>
      <c r="AI111" s="231"/>
      <c r="AJ111" s="221"/>
      <c r="AK111" s="226"/>
      <c r="AL111" s="221"/>
      <c r="AM111" s="226"/>
      <c r="AN111" s="221"/>
      <c r="AO111" s="226"/>
      <c r="AP111" s="221"/>
      <c r="AQ111" s="230"/>
      <c r="AR111" s="221"/>
      <c r="AS111" s="232"/>
      <c r="AT111" s="221"/>
      <c r="AU111" s="232"/>
      <c r="AV111" s="221"/>
      <c r="AW111" s="231"/>
      <c r="AX111" s="233"/>
      <c r="AY111" s="226"/>
      <c r="AZ111" s="226"/>
      <c r="BA111" s="226"/>
      <c r="BB111" s="226"/>
      <c r="BC111" s="226"/>
      <c r="BD111" s="234"/>
      <c r="BE111" s="104"/>
    </row>
    <row r="112" customFormat="false" ht="12.75" hidden="false" customHeight="false" outlineLevel="0" collapsed="false">
      <c r="A112" s="213" t="s">
        <v>132</v>
      </c>
      <c r="C112" s="40"/>
      <c r="E112" s="188"/>
      <c r="G112" s="214"/>
      <c r="J112" s="215"/>
      <c r="L112" s="215"/>
      <c r="O112" s="216"/>
      <c r="Q112" s="188"/>
      <c r="S112" s="217"/>
      <c r="U112" s="214"/>
      <c r="X112" s="218"/>
      <c r="Y112" s="218"/>
      <c r="Z112" s="218"/>
      <c r="AA112" s="218"/>
      <c r="AC112" s="216"/>
      <c r="AE112" s="217"/>
      <c r="AG112" s="217"/>
      <c r="AI112" s="214"/>
      <c r="AK112" s="215"/>
      <c r="AM112" s="191"/>
      <c r="AO112" s="191"/>
      <c r="AQ112" s="216"/>
      <c r="AS112" s="188"/>
      <c r="AU112" s="217"/>
      <c r="AW112" s="214"/>
      <c r="AX112" s="214"/>
      <c r="AY112" s="220"/>
      <c r="AZ112" s="220"/>
      <c r="BA112" s="220"/>
      <c r="BB112" s="220"/>
      <c r="BC112" s="220"/>
      <c r="BD112" s="183"/>
    </row>
    <row r="113" customFormat="false" ht="12.75" hidden="false" customHeight="false" outlineLevel="0" collapsed="false">
      <c r="A113" s="204" t="s">
        <v>32</v>
      </c>
      <c r="C113" s="40" t="n">
        <f aca="false">17835409-8444472-9390937+18159815-9494983-8664832</f>
        <v>0</v>
      </c>
      <c r="E113" s="188" t="n">
        <f aca="false">ROUND(C113/$BC$1,0)</f>
        <v>0</v>
      </c>
      <c r="G113" s="214" t="n">
        <f aca="false">IF(I113=0,0,I113/C113)</f>
        <v>0</v>
      </c>
      <c r="I113" s="5" t="n">
        <f aca="false">-K113+743932.76-401126.57-416043.69+73237.5</f>
        <v>0</v>
      </c>
      <c r="J113" s="215"/>
      <c r="L113" s="215"/>
      <c r="M113" s="5" t="n">
        <f aca="false">+I113+K113</f>
        <v>0</v>
      </c>
      <c r="O113" s="216" t="n">
        <f aca="false">ROUND(M113/1000,0)</f>
        <v>0</v>
      </c>
      <c r="Q113" s="188" t="n">
        <v>773</v>
      </c>
      <c r="S113" s="217" t="n">
        <f aca="false">ROUND(Q113/$BC$2,0)</f>
        <v>26</v>
      </c>
      <c r="U113" s="214" t="n">
        <f aca="false">IF(W113=0,0,W113/Q113)</f>
        <v>0.132794307891332</v>
      </c>
      <c r="W113" s="5" t="n">
        <f aca="false">-Y113+112.78</f>
        <v>102.65</v>
      </c>
      <c r="X113" s="218"/>
      <c r="Y113" s="5" t="n">
        <v>10.13</v>
      </c>
      <c r="Z113" s="218"/>
      <c r="AA113" s="218" t="n">
        <f aca="false">+W113+Y113</f>
        <v>112.78</v>
      </c>
      <c r="AC113" s="216" t="n">
        <f aca="false">ROUND(AA113/1000,0)</f>
        <v>0</v>
      </c>
      <c r="AE113" s="217" t="n">
        <v>0</v>
      </c>
      <c r="AG113" s="217" t="n">
        <f aca="false">ROUND(AE113/$BC$3,0)</f>
        <v>0</v>
      </c>
      <c r="AI113" s="214" t="n">
        <f aca="false">IF(AK113=0,0,AK113/AE113)</f>
        <v>0</v>
      </c>
      <c r="AK113" s="5" t="n">
        <v>0</v>
      </c>
      <c r="AL113" s="5"/>
      <c r="AM113" s="5" t="n">
        <v>0</v>
      </c>
      <c r="AO113" s="191" t="n">
        <f aca="false">+AK113+AM113</f>
        <v>0</v>
      </c>
      <c r="AQ113" s="216" t="n">
        <f aca="false">ROUND(AK113/1000,0)</f>
        <v>0</v>
      </c>
      <c r="AS113" s="188" t="n">
        <f aca="false">+AE113+Q113+C113</f>
        <v>773</v>
      </c>
      <c r="AU113" s="188" t="n">
        <f aca="false">+AG113+S113+E113</f>
        <v>26</v>
      </c>
      <c r="AW113" s="214" t="n">
        <f aca="false">IF(AY113=0,0,AY113/AS113)</f>
        <v>0.132794307891332</v>
      </c>
      <c r="AX113" s="214"/>
      <c r="AY113" s="220" t="n">
        <f aca="false">+AK113+W113+I113</f>
        <v>102.65</v>
      </c>
      <c r="AZ113" s="220"/>
      <c r="BA113" s="220" t="n">
        <f aca="false">+AM113+Y113+K113</f>
        <v>10.13</v>
      </c>
      <c r="BB113" s="220"/>
      <c r="BC113" s="220" t="n">
        <f aca="false">+AO113+AA113+M113</f>
        <v>112.78</v>
      </c>
      <c r="BD113" s="183"/>
      <c r="BE113" s="6" t="n">
        <f aca="false">ROUND(BC113/1000,0)</f>
        <v>0</v>
      </c>
    </row>
    <row r="114" customFormat="false" ht="12.75" hidden="false" customHeight="false" outlineLevel="0" collapsed="false">
      <c r="A114" s="204" t="s">
        <v>47</v>
      </c>
      <c r="C114" s="40" t="n">
        <f aca="false">14952177-6275753-8676424</f>
        <v>0</v>
      </c>
      <c r="E114" s="188" t="n">
        <f aca="false">ROUND(C114/$BC$1,0)</f>
        <v>0</v>
      </c>
      <c r="G114" s="214" t="n">
        <f aca="false">IF(I114=0,0,I114/C114)</f>
        <v>0</v>
      </c>
      <c r="I114" s="5" t="n">
        <f aca="false">-K114+29626.49-20082.41-9544.08</f>
        <v>0</v>
      </c>
      <c r="J114" s="215"/>
      <c r="K114" s="5" t="n">
        <f aca="false">13179.08-13179.08</f>
        <v>0</v>
      </c>
      <c r="L114" s="215"/>
      <c r="M114" s="5" t="n">
        <f aca="false">+I114+K114</f>
        <v>0</v>
      </c>
      <c r="O114" s="216" t="n">
        <f aca="false">ROUND(M114/1000,0)</f>
        <v>0</v>
      </c>
      <c r="Q114" s="188"/>
      <c r="S114" s="217" t="n">
        <f aca="false">ROUND(Q114/$BC$2,0)</f>
        <v>0</v>
      </c>
      <c r="U114" s="214" t="n">
        <f aca="false">IF(W114=0,0,W114/Q114)</f>
        <v>0</v>
      </c>
      <c r="W114" s="5" t="n">
        <f aca="false">-Y114</f>
        <v>-0</v>
      </c>
      <c r="X114" s="218"/>
      <c r="Y114" s="5"/>
      <c r="Z114" s="218"/>
      <c r="AA114" s="218" t="n">
        <f aca="false">+W114+Y114</f>
        <v>0</v>
      </c>
      <c r="AC114" s="216" t="n">
        <f aca="false">ROUND(AA114/1000,0)</f>
        <v>0</v>
      </c>
      <c r="AE114" s="217"/>
      <c r="AG114" s="217" t="n">
        <f aca="false">ROUND(AE114/$BC$3,0)</f>
        <v>0</v>
      </c>
      <c r="AI114" s="214" t="n">
        <f aca="false">IF(AK114=0,0,AK114/AE114)</f>
        <v>0</v>
      </c>
      <c r="AK114" s="5" t="n">
        <f aca="false">-AM114</f>
        <v>-0</v>
      </c>
      <c r="AL114" s="5"/>
      <c r="AM114" s="5"/>
      <c r="AO114" s="191" t="n">
        <f aca="false">+AK114+AM114</f>
        <v>0</v>
      </c>
      <c r="AQ114" s="216" t="n">
        <f aca="false">ROUND(AK114/1000,0)</f>
        <v>-0</v>
      </c>
      <c r="AS114" s="188" t="n">
        <f aca="false">+AE114+Q114+C114</f>
        <v>0</v>
      </c>
      <c r="AU114" s="188" t="n">
        <f aca="false">+AG114+S114+E114</f>
        <v>0</v>
      </c>
      <c r="AW114" s="214" t="n">
        <f aca="false">IF(AY114=0,0,AY114/AS114)</f>
        <v>0</v>
      </c>
      <c r="AX114" s="214"/>
      <c r="AY114" s="220" t="n">
        <f aca="false">+AK114+W114+I114</f>
        <v>0</v>
      </c>
      <c r="AZ114" s="220"/>
      <c r="BA114" s="220" t="n">
        <f aca="false">+AM114+Y114+K114</f>
        <v>0</v>
      </c>
      <c r="BB114" s="220"/>
      <c r="BC114" s="220" t="n">
        <f aca="false">+AO114+AA114+M114</f>
        <v>0</v>
      </c>
      <c r="BD114" s="183"/>
      <c r="BE114" s="6" t="n">
        <f aca="false">ROUND(BC114/1000,0)</f>
        <v>0</v>
      </c>
    </row>
    <row r="115" customFormat="false" ht="12.75" hidden="false" customHeight="false" outlineLevel="0" collapsed="false">
      <c r="A115" s="204" t="s">
        <v>101</v>
      </c>
      <c r="C115" s="40" t="n">
        <f aca="false">465000-465000</f>
        <v>0</v>
      </c>
      <c r="E115" s="188" t="n">
        <f aca="false">ROUND(C115/$BC$1,0)</f>
        <v>0</v>
      </c>
      <c r="G115" s="214" t="n">
        <f aca="false">IF(I115=0,0,I115/C115)</f>
        <v>0</v>
      </c>
      <c r="I115" s="5" t="n">
        <f aca="false">-K115+511.5-511.5</f>
        <v>0</v>
      </c>
      <c r="J115" s="215"/>
      <c r="K115" s="5" t="n">
        <f aca="false">972.14-972.14</f>
        <v>0</v>
      </c>
      <c r="L115" s="215"/>
      <c r="M115" s="5" t="n">
        <f aca="false">+I115+K115</f>
        <v>0</v>
      </c>
      <c r="O115" s="216" t="n">
        <f aca="false">ROUND(M115/1000,0)</f>
        <v>0</v>
      </c>
      <c r="Q115" s="188"/>
      <c r="S115" s="217" t="n">
        <f aca="false">ROUND(Q115/$BC$2,0)</f>
        <v>0</v>
      </c>
      <c r="U115" s="214" t="n">
        <f aca="false">IF(W115=0,0,W115/Q115)</f>
        <v>0</v>
      </c>
      <c r="W115" s="5" t="n">
        <v>0</v>
      </c>
      <c r="X115" s="218"/>
      <c r="Y115" s="5"/>
      <c r="Z115" s="218"/>
      <c r="AA115" s="218" t="n">
        <f aca="false">+W115+Y115</f>
        <v>0</v>
      </c>
      <c r="AC115" s="216" t="n">
        <f aca="false">ROUND(AA115/1000,0)</f>
        <v>0</v>
      </c>
      <c r="AE115" s="217" t="n">
        <v>0</v>
      </c>
      <c r="AG115" s="217" t="n">
        <f aca="false">ROUND(AE115/$BC$3,0)</f>
        <v>0</v>
      </c>
      <c r="AI115" s="214" t="n">
        <f aca="false">IF(AK115=0,0,AK115/AE115)</f>
        <v>0</v>
      </c>
      <c r="AK115" s="5"/>
      <c r="AL115" s="5"/>
      <c r="AM115" s="5" t="n">
        <v>0</v>
      </c>
      <c r="AO115" s="191" t="n">
        <f aca="false">+AK115+AM115</f>
        <v>0</v>
      </c>
      <c r="AQ115" s="216" t="n">
        <f aca="false">ROUND(AK115/1000,0)</f>
        <v>0</v>
      </c>
      <c r="AS115" s="188" t="n">
        <f aca="false">+AE115+Q115+C115</f>
        <v>0</v>
      </c>
      <c r="AU115" s="188" t="n">
        <f aca="false">+AG115+S115+E115</f>
        <v>0</v>
      </c>
      <c r="AW115" s="214" t="n">
        <f aca="false">IF(AY115=0,0,AY115/AS115)</f>
        <v>0</v>
      </c>
      <c r="AX115" s="214"/>
      <c r="AY115" s="220" t="n">
        <f aca="false">+AK115+W115+I115</f>
        <v>0</v>
      </c>
      <c r="AZ115" s="220"/>
      <c r="BA115" s="220" t="n">
        <f aca="false">+AM115+Y115+K115</f>
        <v>0</v>
      </c>
      <c r="BB115" s="220"/>
      <c r="BC115" s="220" t="n">
        <f aca="false">+AO115+AA115+M115</f>
        <v>0</v>
      </c>
      <c r="BD115" s="183"/>
      <c r="BE115" s="6" t="n">
        <f aca="false">ROUND(BC115/1000,0)</f>
        <v>0</v>
      </c>
    </row>
    <row r="116" customFormat="false" ht="12.75" hidden="false" customHeight="false" outlineLevel="0" collapsed="false">
      <c r="A116" s="204" t="s">
        <v>102</v>
      </c>
      <c r="C116" s="40"/>
      <c r="E116" s="188" t="n">
        <f aca="false">ROUND(C116/$BC$1,0)</f>
        <v>0</v>
      </c>
      <c r="G116" s="214" t="n">
        <f aca="false">IF(I116=0,0,I116/C116)</f>
        <v>0</v>
      </c>
      <c r="I116" s="5" t="n">
        <f aca="false">-K116</f>
        <v>-0</v>
      </c>
      <c r="J116" s="215"/>
      <c r="L116" s="215"/>
      <c r="M116" s="5" t="n">
        <f aca="false">+I116+K116</f>
        <v>0</v>
      </c>
      <c r="O116" s="216" t="n">
        <f aca="false">ROUND(M116/1000,0)</f>
        <v>0</v>
      </c>
      <c r="Q116" s="188"/>
      <c r="S116" s="217" t="n">
        <f aca="false">ROUND(Q116/$BC$2,0)</f>
        <v>0</v>
      </c>
      <c r="U116" s="214" t="n">
        <f aca="false">IF(W116=0,0,W116/Q116)</f>
        <v>0</v>
      </c>
      <c r="W116" s="5" t="n">
        <v>0</v>
      </c>
      <c r="X116" s="218"/>
      <c r="Y116" s="5"/>
      <c r="Z116" s="218"/>
      <c r="AA116" s="218"/>
      <c r="AC116" s="216"/>
      <c r="AE116" s="217"/>
      <c r="AG116" s="217"/>
      <c r="AI116" s="214"/>
      <c r="AK116" s="5"/>
      <c r="AL116" s="5"/>
      <c r="AM116" s="5"/>
      <c r="AO116" s="191"/>
      <c r="AQ116" s="216"/>
      <c r="AS116" s="188"/>
      <c r="AU116" s="188"/>
      <c r="AW116" s="214"/>
      <c r="AX116" s="214"/>
      <c r="AY116" s="220" t="n">
        <f aca="false">+AK116+W116+I116</f>
        <v>0</v>
      </c>
      <c r="AZ116" s="220"/>
      <c r="BA116" s="220" t="n">
        <f aca="false">+AM116+Y116+K116</f>
        <v>0</v>
      </c>
      <c r="BB116" s="220"/>
      <c r="BC116" s="220" t="n">
        <f aca="false">+AO116+AA116+M116</f>
        <v>0</v>
      </c>
      <c r="BD116" s="183"/>
      <c r="BE116" s="6" t="n">
        <f aca="false">ROUND(BC116/1000,0)</f>
        <v>0</v>
      </c>
    </row>
    <row r="117" customFormat="false" ht="12.75" hidden="false" customHeight="false" outlineLevel="0" collapsed="false">
      <c r="A117" s="204" t="s">
        <v>50</v>
      </c>
      <c r="C117" s="40" t="n">
        <f aca="false">2226782-2226782+2111770-2052671-58851-248</f>
        <v>0</v>
      </c>
      <c r="E117" s="188" t="n">
        <f aca="false">ROUND(C117/$BC$1,0)</f>
        <v>0</v>
      </c>
      <c r="G117" s="214" t="n">
        <f aca="false">IF(I117=0,0,I117/C117)</f>
        <v>0</v>
      </c>
      <c r="I117" s="5" t="n">
        <f aca="false">-K117+66665.22-60597.68+6067.54-7823.95-5-4306.13</f>
        <v>0</v>
      </c>
      <c r="J117" s="215"/>
      <c r="K117" s="5" t="n">
        <f aca="false">4311.13-4311.13</f>
        <v>0</v>
      </c>
      <c r="L117" s="215"/>
      <c r="M117" s="5" t="n">
        <f aca="false">+I117+K117</f>
        <v>0</v>
      </c>
      <c r="O117" s="216" t="n">
        <f aca="false">ROUND(M117/1000,0)</f>
        <v>0</v>
      </c>
      <c r="Q117" s="188"/>
      <c r="S117" s="217" t="n">
        <f aca="false">ROUND(Q117/$BC$2,0)</f>
        <v>0</v>
      </c>
      <c r="U117" s="214" t="n">
        <v>0</v>
      </c>
      <c r="W117" s="5" t="n">
        <v>0</v>
      </c>
      <c r="X117" s="218"/>
      <c r="Y117" s="5"/>
      <c r="Z117" s="218"/>
      <c r="AA117" s="218" t="n">
        <f aca="false">+W117+Y117</f>
        <v>0</v>
      </c>
      <c r="AC117" s="216" t="n">
        <f aca="false">ROUND(AA117/1000,0)</f>
        <v>0</v>
      </c>
      <c r="AE117" s="217" t="n">
        <v>0</v>
      </c>
      <c r="AG117" s="217" t="n">
        <f aca="false">ROUND(AE117/$BC$3,0)</f>
        <v>0</v>
      </c>
      <c r="AI117" s="214" t="n">
        <f aca="false">IF(AK117=0,0,AK117/AE117)</f>
        <v>0</v>
      </c>
      <c r="AK117" s="5"/>
      <c r="AL117" s="5"/>
      <c r="AM117" s="5" t="n">
        <v>0</v>
      </c>
      <c r="AO117" s="191" t="n">
        <f aca="false">+AK117+AM117</f>
        <v>0</v>
      </c>
      <c r="AQ117" s="216" t="n">
        <f aca="false">ROUND(AK117/1000,0)</f>
        <v>0</v>
      </c>
      <c r="AS117" s="188" t="n">
        <f aca="false">+AE117+Q117+C117</f>
        <v>0</v>
      </c>
      <c r="AU117" s="188" t="n">
        <f aca="false">+AG117+S117+E117</f>
        <v>0</v>
      </c>
      <c r="AW117" s="214" t="n">
        <f aca="false">IF(AY117=0,0,AY117/AS117)</f>
        <v>0</v>
      </c>
      <c r="AX117" s="214"/>
      <c r="AY117" s="220" t="n">
        <f aca="false">+AK117+W117+I117</f>
        <v>0</v>
      </c>
      <c r="AZ117" s="220"/>
      <c r="BA117" s="220" t="n">
        <f aca="false">+AM117+Y117+K117</f>
        <v>0</v>
      </c>
      <c r="BB117" s="220"/>
      <c r="BC117" s="220" t="n">
        <f aca="false">+AO117+AA117+M117</f>
        <v>0</v>
      </c>
      <c r="BD117" s="183"/>
      <c r="BE117" s="6" t="n">
        <f aca="false">ROUND(BC117/1000,0)</f>
        <v>0</v>
      </c>
    </row>
    <row r="118" customFormat="false" ht="12.75" hidden="false" customHeight="false" outlineLevel="0" collapsed="false">
      <c r="A118" s="213" t="s">
        <v>37</v>
      </c>
      <c r="B118" s="221"/>
      <c r="C118" s="105" t="n">
        <f aca="false">SUM(C114:C117)</f>
        <v>0</v>
      </c>
      <c r="D118" s="221"/>
      <c r="E118" s="222" t="n">
        <f aca="false">SUM(E114:E117)</f>
        <v>0</v>
      </c>
      <c r="F118" s="221"/>
      <c r="G118" s="223" t="n">
        <f aca="false">IF(I118=0,0,I118/C118)</f>
        <v>0</v>
      </c>
      <c r="H118" s="221"/>
      <c r="I118" s="73" t="n">
        <f aca="false">SUM(I113:I117)</f>
        <v>0</v>
      </c>
      <c r="J118" s="226"/>
      <c r="K118" s="73" t="n">
        <f aca="false">SUM(K113:K117)</f>
        <v>0</v>
      </c>
      <c r="L118" s="226"/>
      <c r="M118" s="73" t="n">
        <f aca="false">SUM(M113:M117)</f>
        <v>0</v>
      </c>
      <c r="N118" s="221"/>
      <c r="O118" s="222" t="n">
        <f aca="false">SUM(O113:O117)</f>
        <v>0</v>
      </c>
      <c r="P118" s="221"/>
      <c r="Q118" s="227" t="n">
        <f aca="false">SUM(Q114:Q117)</f>
        <v>0</v>
      </c>
      <c r="R118" s="221"/>
      <c r="S118" s="227" t="n">
        <f aca="false">SUM(S114:S117)</f>
        <v>0</v>
      </c>
      <c r="T118" s="221"/>
      <c r="U118" s="223" t="e">
        <f aca="false">IF(W118=0,0,W118/Q118)</f>
        <v>#DIV/0!</v>
      </c>
      <c r="V118" s="221"/>
      <c r="W118" s="73" t="n">
        <f aca="false">SUM(W113:W117)</f>
        <v>102.65</v>
      </c>
      <c r="X118" s="226"/>
      <c r="Y118" s="264" t="n">
        <f aca="false">SUM(Y113:Y117)</f>
        <v>10.13</v>
      </c>
      <c r="Z118" s="226"/>
      <c r="AA118" s="264" t="n">
        <f aca="false">SUM(AA113:AA117)</f>
        <v>112.78</v>
      </c>
      <c r="AB118" s="221"/>
      <c r="AC118" s="222" t="n">
        <f aca="false">SUM(AC113:AC117)</f>
        <v>0</v>
      </c>
      <c r="AD118" s="221"/>
      <c r="AE118" s="227" t="n">
        <f aca="false">SUM(AE114:AE117)</f>
        <v>0</v>
      </c>
      <c r="AF118" s="221"/>
      <c r="AG118" s="227" t="n">
        <f aca="false">SUM(AG114:AG117)</f>
        <v>0</v>
      </c>
      <c r="AH118" s="221"/>
      <c r="AI118" s="223" t="n">
        <f aca="false">IF(AK118=0,0,AK118/AE118)</f>
        <v>0</v>
      </c>
      <c r="AJ118" s="221"/>
      <c r="AK118" s="264" t="n">
        <f aca="false">SUM(AK113:AK117)</f>
        <v>0</v>
      </c>
      <c r="AL118" s="221"/>
      <c r="AM118" s="264" t="n">
        <f aca="false">SUM(AM113:AM117)</f>
        <v>0</v>
      </c>
      <c r="AN118" s="221"/>
      <c r="AO118" s="264" t="n">
        <f aca="false">SUM(AO113:AO117)</f>
        <v>0</v>
      </c>
      <c r="AP118" s="221"/>
      <c r="AQ118" s="222" t="n">
        <f aca="false">SUM(AQ113:AQ117)</f>
        <v>0</v>
      </c>
      <c r="AR118" s="221"/>
      <c r="AS118" s="227" t="n">
        <f aca="false">SUM(AS114:AS117)</f>
        <v>0</v>
      </c>
      <c r="AT118" s="221"/>
      <c r="AU118" s="227" t="n">
        <f aca="false">SUM(AU114:AU117)</f>
        <v>0</v>
      </c>
      <c r="AV118" s="221"/>
      <c r="AW118" s="223" t="e">
        <f aca="false">IF(AY118=0,0,AY118/AS118)</f>
        <v>#DIV/0!</v>
      </c>
      <c r="AX118" s="229"/>
      <c r="AY118" s="264" t="n">
        <f aca="false">SUM(AY113:AY117)</f>
        <v>102.65</v>
      </c>
      <c r="AZ118" s="226"/>
      <c r="BA118" s="264" t="n">
        <f aca="false">SUM(BA113:BA117)</f>
        <v>10.13</v>
      </c>
      <c r="BB118" s="226"/>
      <c r="BC118" s="264" t="n">
        <f aca="false">SUM(BC113:BC117)</f>
        <v>112.78</v>
      </c>
      <c r="BD118" s="234"/>
      <c r="BE118" s="75" t="n">
        <f aca="false">SUM(BE113:BE117)</f>
        <v>0</v>
      </c>
    </row>
    <row r="119" customFormat="false" ht="12.75" hidden="false" customHeight="false" outlineLevel="0" collapsed="false">
      <c r="A119" s="204"/>
      <c r="C119" s="40"/>
      <c r="E119" s="188"/>
      <c r="G119" s="214"/>
      <c r="J119" s="215"/>
      <c r="L119" s="215"/>
      <c r="O119" s="216"/>
      <c r="Q119" s="188"/>
      <c r="S119" s="217"/>
      <c r="U119" s="214"/>
      <c r="X119" s="218"/>
      <c r="Y119" s="218"/>
      <c r="Z119" s="218"/>
      <c r="AA119" s="218"/>
      <c r="AC119" s="216"/>
      <c r="AE119" s="217"/>
      <c r="AG119" s="217"/>
      <c r="AI119" s="214"/>
      <c r="AK119" s="215"/>
      <c r="AM119" s="191"/>
      <c r="AO119" s="191"/>
      <c r="AQ119" s="216"/>
      <c r="AS119" s="188"/>
      <c r="AU119" s="217"/>
      <c r="AW119" s="214"/>
      <c r="AX119" s="214"/>
      <c r="AY119" s="220"/>
      <c r="AZ119" s="220"/>
      <c r="BA119" s="220"/>
      <c r="BB119" s="220"/>
      <c r="BC119" s="220"/>
      <c r="BD119" s="183"/>
    </row>
    <row r="120" customFormat="false" ht="12.75" hidden="false" customHeight="false" outlineLevel="0" collapsed="false">
      <c r="A120" s="204" t="s">
        <v>32</v>
      </c>
      <c r="C120" s="40"/>
      <c r="E120" s="188" t="n">
        <f aca="false">ROUND(C120/$BC$1,0)</f>
        <v>0</v>
      </c>
      <c r="G120" s="214" t="n">
        <f aca="false">IF(I120=0,0,I120/C120)</f>
        <v>0</v>
      </c>
      <c r="I120" s="5" t="n">
        <f aca="false">-K120</f>
        <v>-0</v>
      </c>
      <c r="J120" s="215"/>
      <c r="L120" s="215"/>
      <c r="M120" s="5" t="n">
        <f aca="false">+I120+K120</f>
        <v>0</v>
      </c>
      <c r="O120" s="216" t="n">
        <f aca="false">ROUND(M120/1000,0)</f>
        <v>0</v>
      </c>
      <c r="Q120" s="188" t="n">
        <v>0</v>
      </c>
      <c r="S120" s="217" t="n">
        <f aca="false">ROUND(Q120/$BC$2,0)</f>
        <v>0</v>
      </c>
      <c r="U120" s="214" t="n">
        <f aca="false">IF(W120=0,0,W120/Q120)</f>
        <v>0</v>
      </c>
      <c r="W120" s="5" t="n">
        <v>0</v>
      </c>
      <c r="X120" s="218"/>
      <c r="Y120" s="5" t="n">
        <v>0</v>
      </c>
      <c r="Z120" s="218"/>
      <c r="AA120" s="218" t="n">
        <f aca="false">+W120+Y120</f>
        <v>0</v>
      </c>
      <c r="AC120" s="216" t="n">
        <f aca="false">ROUND(AA120/1000,0)</f>
        <v>0</v>
      </c>
      <c r="AE120" s="217" t="n">
        <v>0</v>
      </c>
      <c r="AG120" s="217" t="n">
        <f aca="false">ROUND(AE120/$BC$3,0)</f>
        <v>0</v>
      </c>
      <c r="AI120" s="214" t="n">
        <f aca="false">IF(AK120=0,0,AK120/AE120)</f>
        <v>0</v>
      </c>
      <c r="AK120" s="5"/>
      <c r="AL120" s="5"/>
      <c r="AM120" s="5" t="n">
        <v>0</v>
      </c>
      <c r="AO120" s="191" t="n">
        <f aca="false">+AK120+AM120</f>
        <v>0</v>
      </c>
      <c r="AQ120" s="216" t="n">
        <f aca="false">ROUND(AK120/1000,0)</f>
        <v>0</v>
      </c>
      <c r="AS120" s="188" t="n">
        <f aca="false">+AE120+Q120+C120</f>
        <v>0</v>
      </c>
      <c r="AU120" s="188" t="n">
        <f aca="false">+AG120+S120+E120</f>
        <v>0</v>
      </c>
      <c r="AW120" s="214" t="n">
        <f aca="false">IF(AY120=0,0,AY120/AS120)</f>
        <v>0</v>
      </c>
      <c r="AX120" s="214"/>
      <c r="AY120" s="220" t="n">
        <f aca="false">+AK120+W120+I120</f>
        <v>0</v>
      </c>
      <c r="AZ120" s="220"/>
      <c r="BA120" s="220" t="n">
        <f aca="false">+AM120+Y120+K120</f>
        <v>0</v>
      </c>
      <c r="BB120" s="220"/>
      <c r="BC120" s="220" t="n">
        <f aca="false">+AO120+AA120+M120</f>
        <v>0</v>
      </c>
      <c r="BD120" s="183"/>
      <c r="BE120" s="6" t="n">
        <f aca="false">ROUND(BC120/1000,0)</f>
        <v>0</v>
      </c>
    </row>
    <row r="121" customFormat="false" ht="12.75" hidden="false" customHeight="false" outlineLevel="0" collapsed="false">
      <c r="A121" s="204" t="s">
        <v>100</v>
      </c>
      <c r="C121" s="40"/>
      <c r="E121" s="188" t="n">
        <f aca="false">ROUND(C121/$BC$1,0)</f>
        <v>0</v>
      </c>
      <c r="G121" s="214" t="n">
        <f aca="false">IF(I121=0,0,I121/C121)</f>
        <v>0</v>
      </c>
      <c r="I121" s="5" t="n">
        <f aca="false">-K121</f>
        <v>-0</v>
      </c>
      <c r="J121" s="215"/>
      <c r="L121" s="215"/>
      <c r="M121" s="5" t="n">
        <f aca="false">+I121+K121</f>
        <v>0</v>
      </c>
      <c r="O121" s="216" t="n">
        <f aca="false">ROUND(M121/1000,0)</f>
        <v>0</v>
      </c>
      <c r="Q121" s="188" t="n">
        <v>0</v>
      </c>
      <c r="S121" s="217" t="n">
        <f aca="false">ROUND(Q121/$BC$2,0)</f>
        <v>0</v>
      </c>
      <c r="U121" s="214" t="n">
        <f aca="false">IF(W121=0,0,W121/Q121)</f>
        <v>0</v>
      </c>
      <c r="W121" s="5" t="n">
        <v>0</v>
      </c>
      <c r="X121" s="218"/>
      <c r="Y121" s="5" t="n">
        <v>0</v>
      </c>
      <c r="Z121" s="218"/>
      <c r="AA121" s="218" t="n">
        <f aca="false">+W121+Y121</f>
        <v>0</v>
      </c>
      <c r="AC121" s="216" t="n">
        <f aca="false">ROUND(AA121/1000,0)</f>
        <v>0</v>
      </c>
      <c r="AE121" s="217" t="n">
        <v>0</v>
      </c>
      <c r="AG121" s="217" t="n">
        <f aca="false">ROUND(AE121/$BC$3,0)</f>
        <v>0</v>
      </c>
      <c r="AI121" s="214" t="n">
        <f aca="false">IF(AK121=0,0,AK121/AE121)</f>
        <v>0</v>
      </c>
      <c r="AK121" s="5"/>
      <c r="AL121" s="5"/>
      <c r="AM121" s="5" t="n">
        <v>0</v>
      </c>
      <c r="AO121" s="191" t="n">
        <f aca="false">+AK121+AM121</f>
        <v>0</v>
      </c>
      <c r="AQ121" s="216" t="n">
        <f aca="false">ROUND(AK121/1000,0)</f>
        <v>0</v>
      </c>
      <c r="AS121" s="188" t="n">
        <f aca="false">+AE121+Q121+C121</f>
        <v>0</v>
      </c>
      <c r="AU121" s="188" t="n">
        <f aca="false">+AG121+S121+E121</f>
        <v>0</v>
      </c>
      <c r="AW121" s="214" t="n">
        <f aca="false">IF(AY121=0,0,AY121/AS121)</f>
        <v>0</v>
      </c>
      <c r="AX121" s="214"/>
      <c r="AY121" s="220" t="n">
        <f aca="false">+AK121+W121+I121</f>
        <v>0</v>
      </c>
      <c r="AZ121" s="220"/>
      <c r="BA121" s="220" t="n">
        <f aca="false">+AM121+Y121+K121</f>
        <v>0</v>
      </c>
      <c r="BB121" s="220"/>
      <c r="BC121" s="220" t="n">
        <f aca="false">+AO121+AA121+M121</f>
        <v>0</v>
      </c>
      <c r="BD121" s="183"/>
      <c r="BE121" s="6" t="n">
        <f aca="false">ROUND(BC121/1000,0)</f>
        <v>0</v>
      </c>
    </row>
    <row r="122" customFormat="false" ht="12.75" hidden="false" customHeight="false" outlineLevel="0" collapsed="false">
      <c r="A122" s="204" t="s">
        <v>97</v>
      </c>
      <c r="C122" s="40"/>
      <c r="E122" s="188" t="n">
        <f aca="false">ROUND(C122/$BC$1,0)</f>
        <v>0</v>
      </c>
      <c r="G122" s="214" t="n">
        <f aca="false">IF(I122=0,0,I122/C122)</f>
        <v>0</v>
      </c>
      <c r="I122" s="5" t="n">
        <f aca="false">-K122</f>
        <v>-0</v>
      </c>
      <c r="J122" s="215"/>
      <c r="L122" s="215"/>
      <c r="M122" s="5" t="n">
        <f aca="false">+I122+K122</f>
        <v>0</v>
      </c>
      <c r="O122" s="216" t="n">
        <f aca="false">ROUND(M122/1000,0)</f>
        <v>0</v>
      </c>
      <c r="Q122" s="188"/>
      <c r="S122" s="217" t="n">
        <f aca="false">ROUND(Q122/$BC$2,0)</f>
        <v>0</v>
      </c>
      <c r="U122" s="214" t="n">
        <f aca="false">IF(W122=0,0,W122/Q122)</f>
        <v>0</v>
      </c>
      <c r="W122" s="5" t="n">
        <v>0</v>
      </c>
      <c r="X122" s="218"/>
      <c r="Y122" s="5"/>
      <c r="Z122" s="218"/>
      <c r="AA122" s="218" t="n">
        <f aca="false">+W122+Y122</f>
        <v>0</v>
      </c>
      <c r="AC122" s="216" t="n">
        <f aca="false">ROUND(AA122/1000,0)</f>
        <v>0</v>
      </c>
      <c r="AE122" s="217" t="n">
        <v>0</v>
      </c>
      <c r="AG122" s="217" t="n">
        <f aca="false">ROUND(AE122/$BC$3,0)</f>
        <v>0</v>
      </c>
      <c r="AI122" s="214" t="n">
        <f aca="false">IF(AK122=0,0,AK122/AE122)</f>
        <v>0</v>
      </c>
      <c r="AK122" s="5"/>
      <c r="AL122" s="5"/>
      <c r="AM122" s="5" t="n">
        <v>0</v>
      </c>
      <c r="AO122" s="191" t="n">
        <f aca="false">+AK122+AM122</f>
        <v>0</v>
      </c>
      <c r="AQ122" s="216" t="n">
        <f aca="false">ROUND(AK122/1000,0)</f>
        <v>0</v>
      </c>
      <c r="AS122" s="188" t="n">
        <f aca="false">+AE122+Q122+C122</f>
        <v>0</v>
      </c>
      <c r="AU122" s="188" t="n">
        <f aca="false">+AG122+S122+E122</f>
        <v>0</v>
      </c>
      <c r="AW122" s="214" t="n">
        <f aca="false">IF(AY122=0,0,AY122/AS122)</f>
        <v>0</v>
      </c>
      <c r="AX122" s="214"/>
      <c r="AY122" s="220" t="n">
        <f aca="false">+AK122+W122+I122</f>
        <v>0</v>
      </c>
      <c r="AZ122" s="220"/>
      <c r="BA122" s="220" t="n">
        <f aca="false">+AM122+Y122+K122</f>
        <v>0</v>
      </c>
      <c r="BB122" s="220"/>
      <c r="BC122" s="220" t="n">
        <f aca="false">+AO122+AA122+M122</f>
        <v>0</v>
      </c>
      <c r="BD122" s="183"/>
      <c r="BE122" s="6" t="n">
        <f aca="false">ROUND(BC122/1000,0)</f>
        <v>0</v>
      </c>
    </row>
    <row r="123" customFormat="false" ht="12.75" hidden="false" customHeight="false" outlineLevel="0" collapsed="false">
      <c r="A123" s="204" t="s">
        <v>99</v>
      </c>
      <c r="C123" s="40"/>
      <c r="E123" s="188" t="n">
        <f aca="false">ROUND(C123/$BC$1,0)</f>
        <v>0</v>
      </c>
      <c r="G123" s="214" t="n">
        <f aca="false">IF(I123=0,0,I123/C123)</f>
        <v>0</v>
      </c>
      <c r="I123" s="5" t="n">
        <f aca="false">-K123</f>
        <v>-0</v>
      </c>
      <c r="J123" s="215"/>
      <c r="L123" s="215"/>
      <c r="M123" s="5" t="n">
        <f aca="false">+I123+K123</f>
        <v>0</v>
      </c>
      <c r="O123" s="216" t="n">
        <f aca="false">ROUND(M123/1000,0)</f>
        <v>0</v>
      </c>
      <c r="Q123" s="188" t="n">
        <v>0</v>
      </c>
      <c r="S123" s="217" t="n">
        <f aca="false">ROUND(Q123/$BC$2,0)</f>
        <v>0</v>
      </c>
      <c r="U123" s="214" t="n">
        <f aca="false">IF(W123=0,0,W123/Q123)</f>
        <v>0</v>
      </c>
      <c r="W123" s="5" t="n">
        <v>0</v>
      </c>
      <c r="X123" s="218"/>
      <c r="Y123" s="5"/>
      <c r="Z123" s="218"/>
      <c r="AA123" s="218"/>
      <c r="AC123" s="216"/>
      <c r="AE123" s="217"/>
      <c r="AG123" s="217"/>
      <c r="AI123" s="214"/>
      <c r="AK123" s="5"/>
      <c r="AL123" s="5"/>
      <c r="AM123" s="5"/>
      <c r="AO123" s="191"/>
      <c r="AQ123" s="216"/>
      <c r="AS123" s="188"/>
      <c r="AU123" s="188"/>
      <c r="AW123" s="214"/>
      <c r="AX123" s="214"/>
      <c r="AY123" s="220" t="n">
        <f aca="false">+AK123+W123+I123</f>
        <v>0</v>
      </c>
      <c r="AZ123" s="220"/>
      <c r="BA123" s="220" t="n">
        <f aca="false">+AM123+Y123+K123</f>
        <v>0</v>
      </c>
      <c r="BB123" s="220"/>
      <c r="BC123" s="220" t="n">
        <f aca="false">+AO123+AA123+M123</f>
        <v>0</v>
      </c>
      <c r="BD123" s="183"/>
      <c r="BE123" s="6" t="n">
        <f aca="false">ROUND(BC123/1000,0)</f>
        <v>0</v>
      </c>
    </row>
    <row r="124" customFormat="false" ht="12.75" hidden="false" customHeight="false" outlineLevel="0" collapsed="false">
      <c r="A124" s="204" t="s">
        <v>133</v>
      </c>
      <c r="C124" s="40"/>
      <c r="E124" s="188" t="n">
        <f aca="false">ROUND(C124/$BC$1,0)</f>
        <v>0</v>
      </c>
      <c r="G124" s="214" t="n">
        <f aca="false">IF(I124=0,0,I124/C124)</f>
        <v>0</v>
      </c>
      <c r="I124" s="5" t="n">
        <f aca="false">-K124</f>
        <v>-0</v>
      </c>
      <c r="J124" s="215"/>
      <c r="L124" s="215"/>
      <c r="M124" s="5" t="n">
        <f aca="false">+I124+K124</f>
        <v>0</v>
      </c>
      <c r="O124" s="216" t="n">
        <f aca="false">ROUND(M124/1000,0)</f>
        <v>0</v>
      </c>
      <c r="Q124" s="188" t="n">
        <v>0</v>
      </c>
      <c r="S124" s="217" t="n">
        <f aca="false">ROUND(Q124/$BC$2,0)</f>
        <v>0</v>
      </c>
      <c r="U124" s="214" t="n">
        <f aca="false">IF(W124=0,0,W124/Q124)</f>
        <v>0</v>
      </c>
      <c r="W124" s="5" t="n">
        <v>0</v>
      </c>
      <c r="X124" s="218"/>
      <c r="Y124" s="5" t="n">
        <v>0</v>
      </c>
      <c r="Z124" s="218"/>
      <c r="AA124" s="218" t="n">
        <f aca="false">+W124+Y124</f>
        <v>0</v>
      </c>
      <c r="AC124" s="216" t="n">
        <f aca="false">ROUND(AA124/1000,0)</f>
        <v>0</v>
      </c>
      <c r="AE124" s="217" t="n">
        <v>0</v>
      </c>
      <c r="AG124" s="217" t="n">
        <f aca="false">ROUND(AE124/$BC$3,0)</f>
        <v>0</v>
      </c>
      <c r="AI124" s="214" t="n">
        <f aca="false">IF(AK124=0,0,AK124/AE124)</f>
        <v>0</v>
      </c>
      <c r="AK124" s="5"/>
      <c r="AL124" s="5"/>
      <c r="AM124" s="5" t="n">
        <v>0</v>
      </c>
      <c r="AO124" s="191" t="n">
        <f aca="false">+AK124+AM124</f>
        <v>0</v>
      </c>
      <c r="AQ124" s="216" t="n">
        <f aca="false">ROUND(AK124/1000,0)</f>
        <v>0</v>
      </c>
      <c r="AS124" s="188" t="n">
        <f aca="false">+AE124+Q124+C124</f>
        <v>0</v>
      </c>
      <c r="AU124" s="188" t="n">
        <f aca="false">+AG124+S124+E124</f>
        <v>0</v>
      </c>
      <c r="AW124" s="214" t="n">
        <f aca="false">IF(AY124=0,0,AY124/AS124)</f>
        <v>0</v>
      </c>
      <c r="AX124" s="214"/>
      <c r="AY124" s="220" t="n">
        <f aca="false">+AK124+W124+I124</f>
        <v>0</v>
      </c>
      <c r="AZ124" s="220"/>
      <c r="BA124" s="220" t="n">
        <f aca="false">+AM124+Y124+K124</f>
        <v>0</v>
      </c>
      <c r="BB124" s="220"/>
      <c r="BC124" s="220" t="n">
        <f aca="false">+AO124+AA124+M124</f>
        <v>0</v>
      </c>
      <c r="BD124" s="183"/>
      <c r="BE124" s="6" t="n">
        <f aca="false">ROUND(BC124/1000,0)</f>
        <v>0</v>
      </c>
    </row>
    <row r="125" customFormat="false" ht="12.75" hidden="false" customHeight="false" outlineLevel="0" collapsed="false">
      <c r="A125" s="213" t="s">
        <v>37</v>
      </c>
      <c r="B125" s="221"/>
      <c r="C125" s="105" t="n">
        <f aca="false">SUM(C121:C124)</f>
        <v>0</v>
      </c>
      <c r="D125" s="221"/>
      <c r="E125" s="222" t="n">
        <f aca="false">SUM(E121:E124)</f>
        <v>0</v>
      </c>
      <c r="F125" s="221"/>
      <c r="G125" s="223" t="n">
        <f aca="false">IF(I125=0,0,I125/C125)</f>
        <v>0</v>
      </c>
      <c r="H125" s="221"/>
      <c r="I125" s="73" t="n">
        <f aca="false">SUM(I120:I124)</f>
        <v>0</v>
      </c>
      <c r="J125" s="226"/>
      <c r="K125" s="73" t="n">
        <f aca="false">SUM(K120:K124)</f>
        <v>0</v>
      </c>
      <c r="L125" s="226"/>
      <c r="M125" s="73" t="n">
        <f aca="false">SUM(M120:M124)</f>
        <v>0</v>
      </c>
      <c r="N125" s="221"/>
      <c r="O125" s="222" t="n">
        <f aca="false">SUM(O120:O124)</f>
        <v>0</v>
      </c>
      <c r="P125" s="221"/>
      <c r="Q125" s="227" t="n">
        <f aca="false">SUM(Q121:Q124)</f>
        <v>0</v>
      </c>
      <c r="R125" s="221"/>
      <c r="S125" s="227" t="n">
        <f aca="false">SUM(S121:S124)</f>
        <v>0</v>
      </c>
      <c r="T125" s="221"/>
      <c r="U125" s="223" t="n">
        <f aca="false">IF(W125=0,0,W125/Q125)</f>
        <v>0</v>
      </c>
      <c r="V125" s="221"/>
      <c r="W125" s="73" t="n">
        <f aca="false">SUM(W120:W124)</f>
        <v>0</v>
      </c>
      <c r="X125" s="226"/>
      <c r="Y125" s="264" t="n">
        <f aca="false">SUM(Y120:Y124)</f>
        <v>0</v>
      </c>
      <c r="Z125" s="226"/>
      <c r="AA125" s="264" t="n">
        <f aca="false">SUM(AA120:AA124)</f>
        <v>0</v>
      </c>
      <c r="AB125" s="221"/>
      <c r="AC125" s="222" t="n">
        <f aca="false">SUM(AC120:AC124)</f>
        <v>0</v>
      </c>
      <c r="AD125" s="221"/>
      <c r="AE125" s="227" t="n">
        <f aca="false">SUM(AE121:AE124)</f>
        <v>0</v>
      </c>
      <c r="AF125" s="221"/>
      <c r="AG125" s="227" t="n">
        <f aca="false">SUM(AG121:AG124)</f>
        <v>0</v>
      </c>
      <c r="AH125" s="221"/>
      <c r="AI125" s="223" t="n">
        <f aca="false">IF(AK125=0,0,AK125/AE125)</f>
        <v>0</v>
      </c>
      <c r="AJ125" s="221"/>
      <c r="AK125" s="264" t="n">
        <f aca="false">SUM(AK120:AK124)</f>
        <v>0</v>
      </c>
      <c r="AL125" s="221"/>
      <c r="AM125" s="264" t="n">
        <f aca="false">SUM(AM120:AM124)</f>
        <v>0</v>
      </c>
      <c r="AN125" s="221"/>
      <c r="AO125" s="264" t="n">
        <f aca="false">SUM(AO120:AO124)</f>
        <v>0</v>
      </c>
      <c r="AP125" s="221"/>
      <c r="AQ125" s="222" t="n">
        <f aca="false">SUM(AQ120:AQ124)</f>
        <v>0</v>
      </c>
      <c r="AR125" s="221"/>
      <c r="AS125" s="227" t="n">
        <f aca="false">SUM(AS121:AS124)</f>
        <v>0</v>
      </c>
      <c r="AT125" s="221"/>
      <c r="AU125" s="227" t="n">
        <f aca="false">SUM(AU121:AU124)</f>
        <v>0</v>
      </c>
      <c r="AV125" s="221"/>
      <c r="AW125" s="223" t="n">
        <f aca="false">IF(AY125=0,0,AY125/AS125)</f>
        <v>0</v>
      </c>
      <c r="AX125" s="229"/>
      <c r="AY125" s="264" t="n">
        <f aca="false">SUM(AY120:AY124)</f>
        <v>0</v>
      </c>
      <c r="AZ125" s="226"/>
      <c r="BA125" s="264" t="n">
        <f aca="false">SUM(BA120:BA124)</f>
        <v>0</v>
      </c>
      <c r="BB125" s="226"/>
      <c r="BC125" s="264" t="n">
        <f aca="false">SUM(BC120:BC124)</f>
        <v>0</v>
      </c>
      <c r="BD125" s="234"/>
      <c r="BE125" s="75" t="n">
        <f aca="false">SUM(BE120:BE124)</f>
        <v>0</v>
      </c>
    </row>
    <row r="126" customFormat="false" ht="12.75" hidden="false" customHeight="false" outlineLevel="0" collapsed="false">
      <c r="A126" s="213"/>
      <c r="B126" s="221"/>
      <c r="C126" s="140"/>
      <c r="D126" s="221"/>
      <c r="E126" s="230"/>
      <c r="F126" s="221"/>
      <c r="G126" s="231"/>
      <c r="H126" s="221"/>
      <c r="I126" s="74"/>
      <c r="J126" s="226"/>
      <c r="K126" s="74"/>
      <c r="L126" s="226"/>
      <c r="M126" s="74"/>
      <c r="N126" s="221"/>
      <c r="O126" s="237"/>
      <c r="P126" s="221"/>
      <c r="Q126" s="238"/>
      <c r="R126" s="221"/>
      <c r="S126" s="239"/>
      <c r="T126" s="221"/>
      <c r="U126" s="231"/>
      <c r="V126" s="221"/>
      <c r="W126" s="74"/>
      <c r="X126" s="240"/>
      <c r="Y126" s="240"/>
      <c r="Z126" s="240"/>
      <c r="AA126" s="240"/>
      <c r="AB126" s="221"/>
      <c r="AC126" s="237"/>
      <c r="AD126" s="221"/>
      <c r="AE126" s="239"/>
      <c r="AF126" s="221"/>
      <c r="AG126" s="239"/>
      <c r="AH126" s="221"/>
      <c r="AI126" s="231"/>
      <c r="AJ126" s="221"/>
      <c r="AK126" s="241"/>
      <c r="AL126" s="221"/>
      <c r="AM126" s="242"/>
      <c r="AN126" s="221"/>
      <c r="AO126" s="242"/>
      <c r="AP126" s="221"/>
      <c r="AQ126" s="237"/>
      <c r="AR126" s="221"/>
      <c r="AS126" s="238"/>
      <c r="AT126" s="221"/>
      <c r="AU126" s="239"/>
      <c r="AV126" s="221"/>
      <c r="AW126" s="231"/>
      <c r="AX126" s="243"/>
      <c r="AY126" s="244"/>
      <c r="AZ126" s="244"/>
      <c r="BA126" s="244"/>
      <c r="BB126" s="244"/>
      <c r="BC126" s="244"/>
      <c r="BD126" s="234"/>
      <c r="BE126" s="104"/>
    </row>
    <row r="127" customFormat="false" ht="12.75" hidden="false" customHeight="false" outlineLevel="0" collapsed="false">
      <c r="A127" s="213" t="s">
        <v>134</v>
      </c>
      <c r="B127" s="221"/>
      <c r="C127" s="105" t="n">
        <f aca="false">+C125+C118</f>
        <v>0</v>
      </c>
      <c r="D127" s="221"/>
      <c r="E127" s="222" t="n">
        <f aca="false">+E125+E118</f>
        <v>0</v>
      </c>
      <c r="F127" s="221"/>
      <c r="G127" s="223" t="n">
        <f aca="false">IF(I127=0,0,I127/C127)</f>
        <v>0</v>
      </c>
      <c r="H127" s="221"/>
      <c r="I127" s="73" t="n">
        <f aca="false">+I125+I118</f>
        <v>0</v>
      </c>
      <c r="J127" s="226"/>
      <c r="K127" s="73" t="n">
        <f aca="false">+K125+K118</f>
        <v>0</v>
      </c>
      <c r="L127" s="226"/>
      <c r="M127" s="73" t="n">
        <f aca="false">+M125+M118</f>
        <v>0</v>
      </c>
      <c r="N127" s="221"/>
      <c r="O127" s="222" t="n">
        <f aca="false">+O125+O118</f>
        <v>0</v>
      </c>
      <c r="P127" s="221"/>
      <c r="Q127" s="227" t="n">
        <f aca="false">+Q125+Q118</f>
        <v>0</v>
      </c>
      <c r="R127" s="221"/>
      <c r="S127" s="227" t="n">
        <f aca="false">+S125+S118</f>
        <v>0</v>
      </c>
      <c r="T127" s="221"/>
      <c r="U127" s="223" t="e">
        <f aca="false">IF(W127=0,0,W127/Q127)</f>
        <v>#DIV/0!</v>
      </c>
      <c r="V127" s="221"/>
      <c r="W127" s="73" t="n">
        <f aca="false">+W125+W118</f>
        <v>102.65</v>
      </c>
      <c r="X127" s="226"/>
      <c r="Y127" s="264" t="n">
        <f aca="false">+Y125+Y118</f>
        <v>10.13</v>
      </c>
      <c r="Z127" s="226"/>
      <c r="AA127" s="264" t="n">
        <f aca="false">+AA125+AA118</f>
        <v>112.78</v>
      </c>
      <c r="AB127" s="221"/>
      <c r="AC127" s="222" t="n">
        <f aca="false">+AC125+AC118</f>
        <v>0</v>
      </c>
      <c r="AD127" s="221"/>
      <c r="AE127" s="227" t="n">
        <f aca="false">+AE125+AE118</f>
        <v>0</v>
      </c>
      <c r="AF127" s="221"/>
      <c r="AG127" s="227" t="n">
        <f aca="false">+AG125+AG118</f>
        <v>0</v>
      </c>
      <c r="AH127" s="221"/>
      <c r="AI127" s="223" t="n">
        <f aca="false">IF(AK127=0,0,AK127/AE127)</f>
        <v>0</v>
      </c>
      <c r="AJ127" s="221"/>
      <c r="AK127" s="264" t="n">
        <f aca="false">+AK125+AK118</f>
        <v>0</v>
      </c>
      <c r="AL127" s="221"/>
      <c r="AM127" s="264" t="n">
        <f aca="false">+AM125+AM118</f>
        <v>0</v>
      </c>
      <c r="AN127" s="221"/>
      <c r="AO127" s="264" t="n">
        <f aca="false">+AO125+AO118</f>
        <v>0</v>
      </c>
      <c r="AP127" s="221"/>
      <c r="AQ127" s="222" t="n">
        <f aca="false">+AQ125+AQ118</f>
        <v>0</v>
      </c>
      <c r="AR127" s="221"/>
      <c r="AS127" s="227" t="n">
        <f aca="false">+AS125+AS118</f>
        <v>0</v>
      </c>
      <c r="AT127" s="221"/>
      <c r="AU127" s="227" t="n">
        <f aca="false">+AU125+AU118</f>
        <v>0</v>
      </c>
      <c r="AV127" s="221"/>
      <c r="AW127" s="223" t="e">
        <f aca="false">IF(AY127=0,0,AY127/AS127)</f>
        <v>#DIV/0!</v>
      </c>
      <c r="AX127" s="229"/>
      <c r="AY127" s="264" t="n">
        <f aca="false">+AY125+AY118</f>
        <v>102.65</v>
      </c>
      <c r="AZ127" s="226"/>
      <c r="BA127" s="264" t="n">
        <f aca="false">+BA125+BA118</f>
        <v>10.13</v>
      </c>
      <c r="BB127" s="226"/>
      <c r="BC127" s="264" t="n">
        <f aca="false">+BC125+BC118</f>
        <v>112.78</v>
      </c>
      <c r="BD127" s="226"/>
      <c r="BE127" s="75" t="n">
        <f aca="false">+BE125+BE118</f>
        <v>0</v>
      </c>
    </row>
    <row r="128" customFormat="false" ht="12.75" hidden="false" customHeight="false" outlineLevel="0" collapsed="false">
      <c r="A128" s="213"/>
      <c r="C128" s="40"/>
      <c r="E128" s="188"/>
      <c r="G128" s="214"/>
      <c r="J128" s="215"/>
      <c r="L128" s="215"/>
      <c r="O128" s="216"/>
      <c r="Q128" s="188"/>
      <c r="S128" s="217"/>
      <c r="U128" s="214"/>
      <c r="X128" s="218"/>
      <c r="Y128" s="218"/>
      <c r="Z128" s="218"/>
      <c r="AA128" s="218"/>
      <c r="AC128" s="216"/>
      <c r="AE128" s="217"/>
      <c r="AG128" s="217"/>
      <c r="AI128" s="214"/>
      <c r="AK128" s="215"/>
      <c r="AM128" s="191"/>
      <c r="AO128" s="191"/>
      <c r="AQ128" s="216"/>
      <c r="AS128" s="188"/>
      <c r="AU128" s="217"/>
      <c r="AW128" s="214"/>
      <c r="AX128" s="214"/>
      <c r="AY128" s="220"/>
      <c r="AZ128" s="220"/>
      <c r="BA128" s="220"/>
      <c r="BB128" s="220"/>
      <c r="BC128" s="220"/>
      <c r="BD128" s="183"/>
    </row>
    <row r="129" customFormat="false" ht="12.75" hidden="false" customHeight="false" outlineLevel="0" collapsed="false">
      <c r="A129" s="213" t="s">
        <v>135</v>
      </c>
      <c r="C129" s="40"/>
      <c r="E129" s="188"/>
      <c r="G129" s="214"/>
      <c r="J129" s="215"/>
      <c r="L129" s="215"/>
      <c r="O129" s="216"/>
      <c r="Q129" s="188"/>
      <c r="S129" s="217"/>
      <c r="U129" s="214"/>
      <c r="X129" s="218"/>
      <c r="Y129" s="218"/>
      <c r="Z129" s="218"/>
      <c r="AA129" s="218"/>
      <c r="AC129" s="216"/>
      <c r="AE129" s="217"/>
      <c r="AG129" s="217"/>
      <c r="AI129" s="214"/>
      <c r="AK129" s="215"/>
      <c r="AM129" s="191"/>
      <c r="AO129" s="191"/>
      <c r="AQ129" s="216"/>
      <c r="AS129" s="188"/>
      <c r="AU129" s="217"/>
      <c r="AW129" s="214"/>
      <c r="AX129" s="214"/>
      <c r="AY129" s="220"/>
      <c r="AZ129" s="220"/>
      <c r="BA129" s="220"/>
      <c r="BB129" s="220"/>
      <c r="BC129" s="220"/>
      <c r="BD129" s="183"/>
    </row>
    <row r="130" customFormat="false" ht="12.75" hidden="false" customHeight="false" outlineLevel="0" collapsed="false">
      <c r="A130" s="204" t="s">
        <v>32</v>
      </c>
      <c r="C130" s="40" t="n">
        <f aca="false">9765000+4650000</f>
        <v>14415000</v>
      </c>
      <c r="E130" s="188" t="n">
        <f aca="false">ROUND(C130/$BC$1,0)</f>
        <v>465000</v>
      </c>
      <c r="G130" s="214" t="n">
        <f aca="false">IF(I130=0,0,I130/C130)</f>
        <v>0.1074</v>
      </c>
      <c r="I130" s="5" t="n">
        <f aca="false">-K130+1548171</f>
        <v>1548171</v>
      </c>
      <c r="J130" s="215"/>
      <c r="L130" s="215"/>
      <c r="M130" s="5" t="n">
        <f aca="false">+I130+K130</f>
        <v>1548171</v>
      </c>
      <c r="O130" s="216" t="n">
        <f aca="false">ROUND(M130/1000,0)</f>
        <v>1548</v>
      </c>
      <c r="Q130" s="188"/>
      <c r="S130" s="217" t="n">
        <f aca="false">ROUND(Q130/$BC$2,0)</f>
        <v>0</v>
      </c>
      <c r="U130" s="214" t="n">
        <f aca="false">IF(W130=0,0,W130/Q130)</f>
        <v>0</v>
      </c>
      <c r="W130" s="5" t="n">
        <v>0</v>
      </c>
      <c r="X130" s="218"/>
      <c r="Y130" s="5" t="n">
        <v>0</v>
      </c>
      <c r="Z130" s="218"/>
      <c r="AA130" s="218" t="n">
        <f aca="false">+W130+Y130</f>
        <v>0</v>
      </c>
      <c r="AC130" s="216" t="n">
        <f aca="false">ROUND(AA130/1000,0)</f>
        <v>0</v>
      </c>
      <c r="AE130" s="217" t="n">
        <v>0</v>
      </c>
      <c r="AG130" s="217" t="n">
        <f aca="false">ROUND(AE130/$BC$3,0)</f>
        <v>0</v>
      </c>
      <c r="AI130" s="214" t="n">
        <f aca="false">IF(AK130=0,0,AK130/AE130)</f>
        <v>0</v>
      </c>
      <c r="AK130" s="5"/>
      <c r="AL130" s="5"/>
      <c r="AM130" s="5" t="n">
        <v>0</v>
      </c>
      <c r="AO130" s="191" t="n">
        <f aca="false">+AK130+AM130</f>
        <v>0</v>
      </c>
      <c r="AQ130" s="216" t="n">
        <f aca="false">ROUND(AK130/1000,0)</f>
        <v>0</v>
      </c>
      <c r="AS130" s="188" t="n">
        <f aca="false">+AE130+Q130+C130</f>
        <v>14415000</v>
      </c>
      <c r="AU130" s="188" t="n">
        <f aca="false">+AG130+S130+E130</f>
        <v>465000</v>
      </c>
      <c r="AW130" s="214" t="n">
        <f aca="false">IF(AY130=0,0,AY130/AS130)</f>
        <v>0.1074</v>
      </c>
      <c r="AX130" s="214"/>
      <c r="AY130" s="220" t="n">
        <f aca="false">+AK130+W130+I130</f>
        <v>1548171</v>
      </c>
      <c r="AZ130" s="220"/>
      <c r="BA130" s="220" t="n">
        <f aca="false">+AM130+Y130+K130</f>
        <v>0</v>
      </c>
      <c r="BB130" s="220"/>
      <c r="BC130" s="220" t="n">
        <f aca="false">+AO130+AA130+M130</f>
        <v>1548171</v>
      </c>
      <c r="BD130" s="183"/>
      <c r="BE130" s="6" t="n">
        <f aca="false">ROUND(BC130/1000,0)</f>
        <v>1548</v>
      </c>
    </row>
    <row r="131" customFormat="false" ht="12.75" hidden="false" customHeight="false" outlineLevel="0" collapsed="false">
      <c r="A131" s="204" t="s">
        <v>47</v>
      </c>
      <c r="C131" s="40" t="n">
        <v>14517867</v>
      </c>
      <c r="E131" s="188" t="n">
        <f aca="false">ROUND(C131/$BC$1,0)</f>
        <v>468318</v>
      </c>
      <c r="G131" s="214" t="n">
        <f aca="false">IF(I131=0,0,I131/C131)</f>
        <v>0.0010999990563352</v>
      </c>
      <c r="I131" s="5" t="n">
        <f aca="false">-K131+15969.64</f>
        <v>15969.64</v>
      </c>
      <c r="J131" s="215"/>
      <c r="L131" s="215"/>
      <c r="M131" s="5" t="n">
        <f aca="false">+I131+K131</f>
        <v>15969.64</v>
      </c>
      <c r="O131" s="216" t="n">
        <f aca="false">ROUND(M131/1000,0)</f>
        <v>16</v>
      </c>
      <c r="Q131" s="188"/>
      <c r="S131" s="217" t="n">
        <f aca="false">ROUND(Q131/$BC$2,0)</f>
        <v>0</v>
      </c>
      <c r="U131" s="214" t="n">
        <f aca="false">IF(W131=0,0,W131/Q131)</f>
        <v>0</v>
      </c>
      <c r="W131" s="5" t="n">
        <v>0</v>
      </c>
      <c r="X131" s="218"/>
      <c r="Y131" s="5" t="n">
        <v>0</v>
      </c>
      <c r="Z131" s="218"/>
      <c r="AA131" s="218" t="n">
        <f aca="false">+W131+Y131</f>
        <v>0</v>
      </c>
      <c r="AC131" s="216" t="n">
        <f aca="false">ROUND(AA131/1000,0)</f>
        <v>0</v>
      </c>
      <c r="AE131" s="217" t="n">
        <v>0</v>
      </c>
      <c r="AG131" s="217" t="n">
        <f aca="false">ROUND(AE131/$BC$3,0)</f>
        <v>0</v>
      </c>
      <c r="AI131" s="214" t="n">
        <f aca="false">IF(AK131=0,0,AK131/AE131)</f>
        <v>0</v>
      </c>
      <c r="AK131" s="5"/>
      <c r="AL131" s="5"/>
      <c r="AM131" s="5" t="n">
        <v>0</v>
      </c>
      <c r="AO131" s="191" t="n">
        <f aca="false">+AK131+AM131</f>
        <v>0</v>
      </c>
      <c r="AQ131" s="216" t="n">
        <f aca="false">ROUND(AK131/1000,0)</f>
        <v>0</v>
      </c>
      <c r="AS131" s="188" t="n">
        <f aca="false">+AE131+Q131+C131</f>
        <v>14517867</v>
      </c>
      <c r="AU131" s="188" t="n">
        <f aca="false">+AG131+S131+E131</f>
        <v>468318</v>
      </c>
      <c r="AW131" s="214" t="n">
        <f aca="false">IF(AY131=0,0,AY131/AS131)</f>
        <v>0.0010999990563352</v>
      </c>
      <c r="AX131" s="214"/>
      <c r="AY131" s="220" t="n">
        <f aca="false">+AK131+W131+I131</f>
        <v>15969.64</v>
      </c>
      <c r="AZ131" s="220"/>
      <c r="BA131" s="220" t="n">
        <f aca="false">+AM131+Y131+K131</f>
        <v>0</v>
      </c>
      <c r="BB131" s="220"/>
      <c r="BC131" s="220" t="n">
        <f aca="false">+AO131+AA131+M131</f>
        <v>15969.64</v>
      </c>
      <c r="BD131" s="183"/>
      <c r="BE131" s="6" t="n">
        <f aca="false">ROUND(BC131/1000,0)</f>
        <v>16</v>
      </c>
    </row>
    <row r="132" customFormat="false" ht="12.75" hidden="false" customHeight="false" outlineLevel="0" collapsed="false">
      <c r="A132" s="204" t="s">
        <v>101</v>
      </c>
      <c r="B132" s="178" t="s">
        <v>95</v>
      </c>
      <c r="C132" s="40"/>
      <c r="E132" s="188" t="n">
        <f aca="false">ROUND(C132/$BC$1,0)</f>
        <v>0</v>
      </c>
      <c r="G132" s="214" t="n">
        <f aca="false">IF(I132=0,0,I132/C132)</f>
        <v>0</v>
      </c>
      <c r="I132" s="5" t="n">
        <f aca="false">-K132</f>
        <v>-0</v>
      </c>
      <c r="J132" s="215"/>
      <c r="L132" s="215"/>
      <c r="M132" s="5" t="n">
        <f aca="false">+I132+K132</f>
        <v>0</v>
      </c>
      <c r="O132" s="216" t="n">
        <f aca="false">ROUND(M132/1000,0)</f>
        <v>0</v>
      </c>
      <c r="Q132" s="188"/>
      <c r="S132" s="217" t="n">
        <f aca="false">ROUND(Q132/$BC$2,0)</f>
        <v>0</v>
      </c>
      <c r="U132" s="214" t="n">
        <v>0</v>
      </c>
      <c r="W132" s="5" t="n">
        <v>0</v>
      </c>
      <c r="X132" s="218"/>
      <c r="Y132" s="5" t="n">
        <v>0</v>
      </c>
      <c r="Z132" s="218"/>
      <c r="AA132" s="218" t="n">
        <f aca="false">+W132+Y132</f>
        <v>0</v>
      </c>
      <c r="AC132" s="216" t="n">
        <f aca="false">ROUND(AA132/1000,0)</f>
        <v>0</v>
      </c>
      <c r="AE132" s="217" t="n">
        <v>0</v>
      </c>
      <c r="AG132" s="217" t="n">
        <f aca="false">ROUND(AE132/$BC$3,0)</f>
        <v>0</v>
      </c>
      <c r="AI132" s="214" t="n">
        <v>0</v>
      </c>
      <c r="AK132" s="5"/>
      <c r="AL132" s="5"/>
      <c r="AM132" s="5" t="n">
        <v>0</v>
      </c>
      <c r="AO132" s="191" t="n">
        <f aca="false">+AK132+AM132</f>
        <v>0</v>
      </c>
      <c r="AQ132" s="216" t="n">
        <f aca="false">ROUND(AK132/1000,0)</f>
        <v>0</v>
      </c>
      <c r="AS132" s="188" t="n">
        <f aca="false">+AE132+Q132+C132</f>
        <v>0</v>
      </c>
      <c r="AU132" s="188" t="n">
        <f aca="false">+AG132+S132+E132</f>
        <v>0</v>
      </c>
      <c r="AW132" s="214" t="n">
        <f aca="false">IF(AY132=0,0,AY132/AS132)</f>
        <v>0</v>
      </c>
      <c r="AX132" s="214"/>
      <c r="AY132" s="220" t="n">
        <f aca="false">+AK132+W132+I132</f>
        <v>0</v>
      </c>
      <c r="AZ132" s="220"/>
      <c r="BA132" s="220" t="n">
        <f aca="false">+AM132+Y132+K132</f>
        <v>0</v>
      </c>
      <c r="BB132" s="220"/>
      <c r="BC132" s="220" t="n">
        <f aca="false">+AO132+AA132+M132</f>
        <v>0</v>
      </c>
      <c r="BD132" s="183"/>
      <c r="BE132" s="6" t="n">
        <f aca="false">ROUND(BC132/1000,0)</f>
        <v>0</v>
      </c>
    </row>
    <row r="133" customFormat="false" ht="12.75" hidden="false" customHeight="false" outlineLevel="0" collapsed="false">
      <c r="A133" s="204" t="s">
        <v>102</v>
      </c>
      <c r="C133" s="40"/>
      <c r="E133" s="188" t="n">
        <f aca="false">ROUND(C133/$BC$1,0)</f>
        <v>0</v>
      </c>
      <c r="G133" s="214" t="n">
        <f aca="false">IF(I133=0,0,I133/C133)</f>
        <v>0</v>
      </c>
      <c r="I133" s="5" t="n">
        <f aca="false">-K133</f>
        <v>-0</v>
      </c>
      <c r="J133" s="215"/>
      <c r="L133" s="215"/>
      <c r="M133" s="5" t="n">
        <f aca="false">+I133+K133</f>
        <v>0</v>
      </c>
      <c r="O133" s="216" t="n">
        <f aca="false">ROUND(M133/1000,0)</f>
        <v>0</v>
      </c>
      <c r="Q133" s="188"/>
      <c r="S133" s="217" t="n">
        <f aca="false">ROUND(Q133/$BC$2,0)</f>
        <v>0</v>
      </c>
      <c r="U133" s="214" t="n">
        <v>0</v>
      </c>
      <c r="W133" s="5" t="n">
        <v>0</v>
      </c>
      <c r="X133" s="218"/>
      <c r="Y133" s="5"/>
      <c r="Z133" s="218"/>
      <c r="AA133" s="218"/>
      <c r="AC133" s="216"/>
      <c r="AE133" s="217"/>
      <c r="AG133" s="217"/>
      <c r="AI133" s="214"/>
      <c r="AK133" s="5"/>
      <c r="AL133" s="5"/>
      <c r="AM133" s="5"/>
      <c r="AO133" s="191"/>
      <c r="AQ133" s="216"/>
      <c r="AS133" s="188"/>
      <c r="AU133" s="188"/>
      <c r="AW133" s="214"/>
      <c r="AX133" s="214"/>
      <c r="AY133" s="220" t="n">
        <f aca="false">+AK133+W133+I133</f>
        <v>0</v>
      </c>
      <c r="AZ133" s="220"/>
      <c r="BA133" s="220" t="n">
        <f aca="false">+AM133+Y133+K133</f>
        <v>0</v>
      </c>
      <c r="BB133" s="220"/>
      <c r="BC133" s="220" t="n">
        <f aca="false">+AO133+AA133+M133</f>
        <v>0</v>
      </c>
      <c r="BD133" s="183"/>
      <c r="BE133" s="6" t="n">
        <f aca="false">ROUND(BC133/1000,0)</f>
        <v>0</v>
      </c>
    </row>
    <row r="134" customFormat="false" ht="12.75" hidden="false" customHeight="false" outlineLevel="0" collapsed="false">
      <c r="A134" s="204" t="s">
        <v>50</v>
      </c>
      <c r="B134" s="178" t="s">
        <v>95</v>
      </c>
      <c r="C134" s="40"/>
      <c r="E134" s="188" t="n">
        <f aca="false">ROUND(C134/$BC$1,0)</f>
        <v>0</v>
      </c>
      <c r="G134" s="214" t="n">
        <f aca="false">IF(I134=0,0,I134/C134)</f>
        <v>0</v>
      </c>
      <c r="I134" s="5" t="n">
        <f aca="false">-K134</f>
        <v>-0</v>
      </c>
      <c r="J134" s="215"/>
      <c r="L134" s="215"/>
      <c r="M134" s="5" t="n">
        <f aca="false">+I134+K134</f>
        <v>0</v>
      </c>
      <c r="O134" s="216" t="n">
        <f aca="false">ROUND(M134/1000,0)</f>
        <v>0</v>
      </c>
      <c r="Q134" s="188"/>
      <c r="S134" s="217" t="n">
        <f aca="false">ROUND(Q134/$BC$2,0)</f>
        <v>0</v>
      </c>
      <c r="U134" s="214" t="n">
        <f aca="false">IF(W134=0,0,W134/Q134)</f>
        <v>0</v>
      </c>
      <c r="W134" s="5" t="n">
        <v>0</v>
      </c>
      <c r="X134" s="218"/>
      <c r="Y134" s="5" t="n">
        <v>0</v>
      </c>
      <c r="Z134" s="218"/>
      <c r="AA134" s="218" t="n">
        <f aca="false">+W134+Y134</f>
        <v>0</v>
      </c>
      <c r="AC134" s="216" t="n">
        <f aca="false">ROUND(AA134/1000,0)</f>
        <v>0</v>
      </c>
      <c r="AE134" s="217" t="n">
        <v>0</v>
      </c>
      <c r="AG134" s="217" t="n">
        <f aca="false">ROUND(AE134/$BC$3,0)</f>
        <v>0</v>
      </c>
      <c r="AI134" s="214" t="n">
        <f aca="false">IF(AK134=0,0,AK134/AE134)</f>
        <v>0</v>
      </c>
      <c r="AK134" s="5"/>
      <c r="AL134" s="5"/>
      <c r="AM134" s="5" t="n">
        <v>0</v>
      </c>
      <c r="AO134" s="191" t="n">
        <f aca="false">+AK134+AM134</f>
        <v>0</v>
      </c>
      <c r="AQ134" s="216" t="n">
        <f aca="false">ROUND(AK134/1000,0)</f>
        <v>0</v>
      </c>
      <c r="AS134" s="188" t="n">
        <f aca="false">+AE134+Q134+C134</f>
        <v>0</v>
      </c>
      <c r="AU134" s="188" t="n">
        <f aca="false">+AG134+S134+E134</f>
        <v>0</v>
      </c>
      <c r="AW134" s="214" t="n">
        <f aca="false">IF(AY134=0,0,AY134/AS134)</f>
        <v>0</v>
      </c>
      <c r="AX134" s="214"/>
      <c r="AY134" s="220" t="n">
        <f aca="false">+AK134+W134+I134</f>
        <v>0</v>
      </c>
      <c r="AZ134" s="220"/>
      <c r="BA134" s="220" t="n">
        <f aca="false">+AM134+Y134+K134</f>
        <v>0</v>
      </c>
      <c r="BB134" s="220"/>
      <c r="BC134" s="220" t="n">
        <f aca="false">+AO134+AA134+M134</f>
        <v>0</v>
      </c>
      <c r="BD134" s="183"/>
      <c r="BE134" s="6" t="n">
        <f aca="false">ROUND(BC134/1000,0)</f>
        <v>0</v>
      </c>
    </row>
    <row r="135" customFormat="false" ht="12.75" hidden="false" customHeight="false" outlineLevel="0" collapsed="false">
      <c r="A135" s="213" t="s">
        <v>136</v>
      </c>
      <c r="B135" s="221"/>
      <c r="C135" s="105" t="n">
        <f aca="false">SUM(C131:C134)</f>
        <v>14517867</v>
      </c>
      <c r="D135" s="221"/>
      <c r="E135" s="222" t="n">
        <f aca="false">SUM(E131:E134)</f>
        <v>468318</v>
      </c>
      <c r="F135" s="221"/>
      <c r="G135" s="223" t="n">
        <f aca="false">IF(I135=0,0,I135/C135)</f>
        <v>0.107739011522836</v>
      </c>
      <c r="H135" s="221"/>
      <c r="I135" s="73" t="n">
        <f aca="false">SUM(I130:I134)</f>
        <v>1564140.64</v>
      </c>
      <c r="J135" s="226"/>
      <c r="K135" s="73" t="n">
        <f aca="false">SUM(K130:K134)</f>
        <v>0</v>
      </c>
      <c r="L135" s="226"/>
      <c r="M135" s="73" t="n">
        <f aca="false">SUM(M130:M134)</f>
        <v>1564140.64</v>
      </c>
      <c r="N135" s="221"/>
      <c r="O135" s="222" t="n">
        <f aca="false">SUM(O130:O134)</f>
        <v>1564</v>
      </c>
      <c r="P135" s="221"/>
      <c r="Q135" s="227" t="n">
        <f aca="false">SUM(Q130:Q134)</f>
        <v>0</v>
      </c>
      <c r="R135" s="221"/>
      <c r="S135" s="227" t="n">
        <f aca="false">SUM(S130:S134)</f>
        <v>0</v>
      </c>
      <c r="T135" s="221"/>
      <c r="U135" s="223" t="n">
        <f aca="false">IF(W135=0,0,W135/Q135)</f>
        <v>0</v>
      </c>
      <c r="V135" s="221"/>
      <c r="W135" s="73" t="n">
        <f aca="false">SUM(W130:W134)</f>
        <v>0</v>
      </c>
      <c r="X135" s="226"/>
      <c r="Y135" s="264" t="n">
        <f aca="false">SUM(Y130:Y134)</f>
        <v>0</v>
      </c>
      <c r="Z135" s="226"/>
      <c r="AA135" s="264" t="n">
        <f aca="false">SUM(AA130:AA134)</f>
        <v>0</v>
      </c>
      <c r="AB135" s="221"/>
      <c r="AC135" s="222" t="n">
        <f aca="false">SUM(AC130:AC134)</f>
        <v>0</v>
      </c>
      <c r="AD135" s="221"/>
      <c r="AE135" s="227" t="n">
        <f aca="false">SUM(AE131:AE134)</f>
        <v>0</v>
      </c>
      <c r="AF135" s="221"/>
      <c r="AG135" s="227" t="n">
        <f aca="false">SUM(AG131:AG134)</f>
        <v>0</v>
      </c>
      <c r="AH135" s="221"/>
      <c r="AI135" s="223" t="n">
        <f aca="false">IF(AK135=0,0,AK135/AE135)</f>
        <v>0</v>
      </c>
      <c r="AJ135" s="221"/>
      <c r="AK135" s="264" t="n">
        <f aca="false">SUM(AK130:AK134)</f>
        <v>0</v>
      </c>
      <c r="AL135" s="221"/>
      <c r="AM135" s="264" t="n">
        <f aca="false">SUM(AM130:AM134)</f>
        <v>0</v>
      </c>
      <c r="AN135" s="221"/>
      <c r="AO135" s="264" t="n">
        <f aca="false">SUM(AO130:AO134)</f>
        <v>0</v>
      </c>
      <c r="AP135" s="221"/>
      <c r="AQ135" s="222" t="n">
        <f aca="false">SUM(AQ130:AQ134)</f>
        <v>0</v>
      </c>
      <c r="AR135" s="221"/>
      <c r="AS135" s="227" t="n">
        <f aca="false">SUM(AS131:AS134)</f>
        <v>14517867</v>
      </c>
      <c r="AT135" s="221"/>
      <c r="AU135" s="227" t="n">
        <f aca="false">SUM(AU131:AU134)</f>
        <v>468318</v>
      </c>
      <c r="AV135" s="221"/>
      <c r="AW135" s="223" t="n">
        <f aca="false">IF(AY135=0,0,AY135/AS135)</f>
        <v>0.107739011522836</v>
      </c>
      <c r="AX135" s="229"/>
      <c r="AY135" s="264" t="n">
        <f aca="false">SUM(AY130:AY134)</f>
        <v>1564140.64</v>
      </c>
      <c r="AZ135" s="226"/>
      <c r="BA135" s="264" t="n">
        <f aca="false">SUM(BA130:BA134)</f>
        <v>0</v>
      </c>
      <c r="BB135" s="226"/>
      <c r="BC135" s="264" t="n">
        <f aca="false">SUM(BC130:BC134)</f>
        <v>1564140.64</v>
      </c>
      <c r="BD135" s="234"/>
      <c r="BE135" s="75" t="n">
        <f aca="false">SUM(BE130:BE134)</f>
        <v>1564</v>
      </c>
    </row>
    <row r="136" customFormat="false" ht="12.75" hidden="false" customHeight="false" outlineLevel="0" collapsed="false">
      <c r="A136" s="204"/>
      <c r="C136" s="40"/>
      <c r="E136" s="188"/>
      <c r="G136" s="214"/>
      <c r="J136" s="215"/>
      <c r="L136" s="215"/>
      <c r="O136" s="216"/>
      <c r="Q136" s="188"/>
      <c r="S136" s="217"/>
      <c r="U136" s="214"/>
      <c r="X136" s="218"/>
      <c r="Y136" s="218"/>
      <c r="Z136" s="218"/>
      <c r="AA136" s="218"/>
      <c r="AC136" s="216"/>
      <c r="AE136" s="217"/>
      <c r="AG136" s="217"/>
      <c r="AI136" s="214"/>
      <c r="AK136" s="215"/>
      <c r="AM136" s="191"/>
      <c r="AO136" s="191"/>
      <c r="AQ136" s="216"/>
      <c r="AS136" s="188"/>
      <c r="AU136" s="217"/>
      <c r="AW136" s="214"/>
      <c r="AX136" s="214"/>
      <c r="AY136" s="220"/>
      <c r="AZ136" s="220"/>
      <c r="BA136" s="220"/>
      <c r="BB136" s="220"/>
      <c r="BC136" s="220"/>
      <c r="BD136" s="183"/>
    </row>
    <row r="137" customFormat="false" ht="12.75" hidden="false" customHeight="false" outlineLevel="0" collapsed="false">
      <c r="A137" s="213" t="s">
        <v>65</v>
      </c>
      <c r="C137" s="40"/>
      <c r="E137" s="188"/>
      <c r="G137" s="214"/>
      <c r="J137" s="215"/>
      <c r="L137" s="215"/>
      <c r="O137" s="216"/>
      <c r="Q137" s="188"/>
      <c r="S137" s="217"/>
      <c r="U137" s="214"/>
      <c r="X137" s="218"/>
      <c r="Y137" s="218"/>
      <c r="Z137" s="218"/>
      <c r="AA137" s="218"/>
      <c r="AC137" s="216"/>
      <c r="AE137" s="217"/>
      <c r="AG137" s="217"/>
      <c r="AI137" s="214"/>
      <c r="AK137" s="215"/>
      <c r="AM137" s="191"/>
      <c r="AO137" s="191"/>
      <c r="AQ137" s="216"/>
      <c r="AS137" s="188"/>
      <c r="AU137" s="217"/>
      <c r="AW137" s="214"/>
      <c r="AX137" s="214"/>
      <c r="AY137" s="220"/>
      <c r="AZ137" s="220"/>
      <c r="BA137" s="220"/>
      <c r="BB137" s="220"/>
      <c r="BC137" s="220"/>
      <c r="BD137" s="183"/>
    </row>
    <row r="138" customFormat="false" ht="12.75" hidden="false" customHeight="false" outlineLevel="0" collapsed="false">
      <c r="A138" s="204" t="s">
        <v>32</v>
      </c>
      <c r="C138" s="40"/>
      <c r="E138" s="188" t="n">
        <f aca="false">ROUND(C138/$BC$1,0)</f>
        <v>0</v>
      </c>
      <c r="G138" s="214" t="n">
        <f aca="false">IF(I138=0,0,I138/C138)</f>
        <v>0</v>
      </c>
      <c r="I138" s="5" t="n">
        <f aca="false">-K138</f>
        <v>-0</v>
      </c>
      <c r="J138" s="215"/>
      <c r="L138" s="215"/>
      <c r="M138" s="5" t="n">
        <f aca="false">+I138+K138</f>
        <v>0</v>
      </c>
      <c r="O138" s="216" t="n">
        <f aca="false">ROUND(M138/1000,0)</f>
        <v>0</v>
      </c>
      <c r="Q138" s="188" t="n">
        <v>0</v>
      </c>
      <c r="S138" s="217" t="n">
        <f aca="false">ROUND(Q138/$BC$2,0)</f>
        <v>0</v>
      </c>
      <c r="U138" s="214" t="n">
        <f aca="false">IF(W138=0,0,W138/Q138)</f>
        <v>0</v>
      </c>
      <c r="W138" s="5" t="n">
        <v>0</v>
      </c>
      <c r="X138" s="218"/>
      <c r="Y138" s="5" t="n">
        <v>0</v>
      </c>
      <c r="Z138" s="218"/>
      <c r="AA138" s="218" t="n">
        <f aca="false">+W138+Y138</f>
        <v>0</v>
      </c>
      <c r="AC138" s="216" t="n">
        <f aca="false">ROUND(AA138/1000,0)</f>
        <v>0</v>
      </c>
      <c r="AE138" s="217" t="n">
        <v>0</v>
      </c>
      <c r="AG138" s="217" t="n">
        <f aca="false">ROUND(AE138/$BC$3,0)</f>
        <v>0</v>
      </c>
      <c r="AI138" s="214" t="n">
        <f aca="false">IF(AK138=0,0,AK138/AE138)</f>
        <v>0</v>
      </c>
      <c r="AK138" s="5"/>
      <c r="AL138" s="5"/>
      <c r="AM138" s="5" t="n">
        <v>0</v>
      </c>
      <c r="AO138" s="191" t="n">
        <f aca="false">+AK138+AM138</f>
        <v>0</v>
      </c>
      <c r="AQ138" s="216" t="n">
        <f aca="false">ROUND(AK138/1000,0)</f>
        <v>0</v>
      </c>
      <c r="AS138" s="188" t="n">
        <f aca="false">+AE138+Q138+C138</f>
        <v>0</v>
      </c>
      <c r="AU138" s="188" t="n">
        <f aca="false">+AG138+S138+E138</f>
        <v>0</v>
      </c>
      <c r="AW138" s="214" t="n">
        <f aca="false">IF(AY138=0,0,AY138/AS138)</f>
        <v>0</v>
      </c>
      <c r="AX138" s="214"/>
      <c r="AY138" s="220" t="n">
        <f aca="false">+AK138+W138+I138</f>
        <v>0</v>
      </c>
      <c r="AZ138" s="220"/>
      <c r="BA138" s="220" t="n">
        <f aca="false">+AM138+Y138+K138</f>
        <v>0</v>
      </c>
      <c r="BB138" s="220"/>
      <c r="BC138" s="220" t="n">
        <f aca="false">+AO138+AA138+M138</f>
        <v>0</v>
      </c>
      <c r="BD138" s="183"/>
      <c r="BE138" s="6" t="n">
        <f aca="false">ROUND(BC138/1000,0)</f>
        <v>0</v>
      </c>
    </row>
    <row r="139" customFormat="false" ht="12.75" hidden="false" customHeight="false" outlineLevel="0" collapsed="false">
      <c r="A139" s="204" t="s">
        <v>66</v>
      </c>
      <c r="C139" s="40"/>
      <c r="E139" s="188" t="n">
        <f aca="false">ROUND(C139/$BC$1,0)</f>
        <v>0</v>
      </c>
      <c r="G139" s="214" t="n">
        <f aca="false">IF(I139=0,0,I139/C139)</f>
        <v>0</v>
      </c>
      <c r="I139" s="5" t="n">
        <f aca="false">-K139</f>
        <v>-0</v>
      </c>
      <c r="J139" s="215"/>
      <c r="L139" s="215"/>
      <c r="M139" s="5" t="n">
        <f aca="false">+I139+K139</f>
        <v>0</v>
      </c>
      <c r="O139" s="216" t="n">
        <f aca="false">ROUND(M139/1000,0)</f>
        <v>0</v>
      </c>
      <c r="Q139" s="188" t="n">
        <v>0</v>
      </c>
      <c r="S139" s="217" t="n">
        <f aca="false">ROUND(Q139/$BC$2,0)</f>
        <v>0</v>
      </c>
      <c r="U139" s="214" t="n">
        <f aca="false">IF(W139=0,0,W139/Q139)</f>
        <v>0</v>
      </c>
      <c r="W139" s="5" t="n">
        <v>0</v>
      </c>
      <c r="X139" s="218"/>
      <c r="Y139" s="5" t="n">
        <v>0</v>
      </c>
      <c r="Z139" s="218"/>
      <c r="AA139" s="218" t="n">
        <f aca="false">+W139+Y139</f>
        <v>0</v>
      </c>
      <c r="AC139" s="216" t="n">
        <f aca="false">ROUND(AA139/1000,0)</f>
        <v>0</v>
      </c>
      <c r="AE139" s="217" t="n">
        <v>0</v>
      </c>
      <c r="AG139" s="217" t="n">
        <f aca="false">ROUND(AE139/$BC$3,0)</f>
        <v>0</v>
      </c>
      <c r="AI139" s="214" t="n">
        <f aca="false">IF(AK139=0,0,AK139/AE139)</f>
        <v>0</v>
      </c>
      <c r="AK139" s="5"/>
      <c r="AL139" s="5"/>
      <c r="AM139" s="5" t="n">
        <v>0</v>
      </c>
      <c r="AO139" s="191" t="n">
        <f aca="false">+AK139+AM139</f>
        <v>0</v>
      </c>
      <c r="AQ139" s="216" t="n">
        <f aca="false">ROUND(AK139/1000,0)</f>
        <v>0</v>
      </c>
      <c r="AS139" s="188" t="n">
        <f aca="false">+AE139+Q139+C139</f>
        <v>0</v>
      </c>
      <c r="AU139" s="188" t="n">
        <f aca="false">+AG139+S139+E139</f>
        <v>0</v>
      </c>
      <c r="AW139" s="214" t="n">
        <f aca="false">IF(AY139=0,0,AY139/AS139)</f>
        <v>0</v>
      </c>
      <c r="AX139" s="214"/>
      <c r="AY139" s="220" t="n">
        <f aca="false">+AK139+W139+I139</f>
        <v>0</v>
      </c>
      <c r="AZ139" s="220"/>
      <c r="BA139" s="220" t="n">
        <f aca="false">+AM139+Y139+K139</f>
        <v>0</v>
      </c>
      <c r="BB139" s="220"/>
      <c r="BC139" s="220" t="n">
        <f aca="false">+AO139+AA139+M139</f>
        <v>0</v>
      </c>
      <c r="BD139" s="183"/>
      <c r="BE139" s="6" t="n">
        <f aca="false">ROUND(BC139/1000,0)</f>
        <v>0</v>
      </c>
    </row>
    <row r="140" customFormat="false" ht="12.75" hidden="false" customHeight="false" outlineLevel="0" collapsed="false">
      <c r="A140" s="204" t="s">
        <v>67</v>
      </c>
      <c r="C140" s="40"/>
      <c r="E140" s="188" t="n">
        <f aca="false">ROUND(C140/$BC$1,0)</f>
        <v>0</v>
      </c>
      <c r="G140" s="214" t="n">
        <f aca="false">IF(I140=0,0,I140/C140)</f>
        <v>0</v>
      </c>
      <c r="I140" s="5" t="n">
        <f aca="false">-K140</f>
        <v>-0</v>
      </c>
      <c r="J140" s="215"/>
      <c r="L140" s="215"/>
      <c r="M140" s="5" t="n">
        <f aca="false">+I140+K140</f>
        <v>0</v>
      </c>
      <c r="O140" s="216" t="n">
        <f aca="false">ROUND(M140/1000,0)</f>
        <v>0</v>
      </c>
      <c r="Q140" s="188" t="n">
        <v>0</v>
      </c>
      <c r="S140" s="217" t="n">
        <f aca="false">ROUND(Q140/$BC$2,0)</f>
        <v>0</v>
      </c>
      <c r="U140" s="214" t="n">
        <f aca="false">IF(W140=0,0,W140/Q140)</f>
        <v>0</v>
      </c>
      <c r="W140" s="5" t="n">
        <v>0</v>
      </c>
      <c r="X140" s="218"/>
      <c r="Y140" s="5" t="n">
        <v>0</v>
      </c>
      <c r="Z140" s="218"/>
      <c r="AA140" s="218" t="n">
        <f aca="false">+W140+Y140</f>
        <v>0</v>
      </c>
      <c r="AC140" s="216" t="n">
        <f aca="false">ROUND(AA140/1000,0)</f>
        <v>0</v>
      </c>
      <c r="AE140" s="217" t="n">
        <v>0</v>
      </c>
      <c r="AG140" s="217" t="n">
        <f aca="false">ROUND(AE140/$BC$3,0)</f>
        <v>0</v>
      </c>
      <c r="AI140" s="214" t="n">
        <f aca="false">IF(AK140=0,0,AK140/AE140)</f>
        <v>0</v>
      </c>
      <c r="AK140" s="5"/>
      <c r="AL140" s="5"/>
      <c r="AM140" s="5" t="n">
        <v>0</v>
      </c>
      <c r="AO140" s="191" t="n">
        <f aca="false">+AK140+AM140</f>
        <v>0</v>
      </c>
      <c r="AQ140" s="216" t="n">
        <f aca="false">ROUND(AK140/1000,0)</f>
        <v>0</v>
      </c>
      <c r="AS140" s="188" t="n">
        <f aca="false">+AE140+Q140+C140</f>
        <v>0</v>
      </c>
      <c r="AU140" s="188" t="n">
        <f aca="false">+AG140+S140+E140</f>
        <v>0</v>
      </c>
      <c r="AW140" s="214" t="n">
        <f aca="false">IF(AY140=0,0,AY140/AS140)</f>
        <v>0</v>
      </c>
      <c r="AX140" s="214"/>
      <c r="AY140" s="220" t="n">
        <f aca="false">+AK140+W140+I140</f>
        <v>0</v>
      </c>
      <c r="AZ140" s="220"/>
      <c r="BA140" s="220" t="n">
        <f aca="false">+AM140+Y140+K140</f>
        <v>0</v>
      </c>
      <c r="BB140" s="220"/>
      <c r="BC140" s="220" t="n">
        <f aca="false">+AO140+AA140+M140</f>
        <v>0</v>
      </c>
      <c r="BD140" s="183"/>
      <c r="BE140" s="6" t="n">
        <f aca="false">ROUND(BC140/1000,0)</f>
        <v>0</v>
      </c>
    </row>
    <row r="141" customFormat="false" ht="12.75" hidden="false" customHeight="false" outlineLevel="0" collapsed="false">
      <c r="A141" s="204" t="s">
        <v>137</v>
      </c>
      <c r="C141" s="40"/>
      <c r="E141" s="188" t="n">
        <f aca="false">ROUND(C141/$BC$1,0)</f>
        <v>0</v>
      </c>
      <c r="G141" s="214" t="n">
        <f aca="false">IF(I141=0,0,I141/C141)</f>
        <v>0</v>
      </c>
      <c r="I141" s="5" t="n">
        <f aca="false">-K141</f>
        <v>-0</v>
      </c>
      <c r="J141" s="215"/>
      <c r="L141" s="215"/>
      <c r="M141" s="5" t="n">
        <f aca="false">+I141+K141</f>
        <v>0</v>
      </c>
      <c r="O141" s="216" t="n">
        <f aca="false">ROUND(M141/1000,0)</f>
        <v>0</v>
      </c>
      <c r="Q141" s="188" t="n">
        <v>0</v>
      </c>
      <c r="S141" s="217" t="n">
        <f aca="false">ROUND(Q141/$BC$2,0)</f>
        <v>0</v>
      </c>
      <c r="U141" s="214" t="n">
        <f aca="false">IF(W141=0,0,W141/Q141)</f>
        <v>0</v>
      </c>
      <c r="W141" s="5" t="n">
        <v>0</v>
      </c>
      <c r="X141" s="218"/>
      <c r="Y141" s="5"/>
      <c r="Z141" s="218"/>
      <c r="AA141" s="218" t="n">
        <f aca="false">+W141+Y141</f>
        <v>0</v>
      </c>
      <c r="AC141" s="216"/>
      <c r="AE141" s="217"/>
      <c r="AG141" s="217"/>
      <c r="AI141" s="214"/>
      <c r="AK141" s="5"/>
      <c r="AL141" s="5"/>
      <c r="AM141" s="5"/>
      <c r="AO141" s="191"/>
      <c r="AQ141" s="216"/>
      <c r="AS141" s="188"/>
      <c r="AU141" s="188"/>
      <c r="AW141" s="214"/>
      <c r="AX141" s="214"/>
      <c r="AY141" s="220" t="n">
        <f aca="false">+AK141+W141+I141</f>
        <v>0</v>
      </c>
      <c r="AZ141" s="220"/>
      <c r="BA141" s="220" t="n">
        <f aca="false">+AM141+Y141+K141</f>
        <v>0</v>
      </c>
      <c r="BB141" s="220"/>
      <c r="BC141" s="220" t="n">
        <f aca="false">+AO141+AA141+M141</f>
        <v>0</v>
      </c>
      <c r="BD141" s="183"/>
      <c r="BE141" s="6" t="n">
        <f aca="false">ROUND(BC141/1000,0)</f>
        <v>0</v>
      </c>
    </row>
    <row r="142" customFormat="false" ht="12.75" hidden="false" customHeight="false" outlineLevel="0" collapsed="false">
      <c r="A142" s="204" t="s">
        <v>68</v>
      </c>
      <c r="C142" s="40"/>
      <c r="E142" s="188" t="n">
        <f aca="false">ROUND(C142/$BC$1,0)</f>
        <v>0</v>
      </c>
      <c r="G142" s="214" t="n">
        <f aca="false">IF(I142=0,0,I142/C142)</f>
        <v>0</v>
      </c>
      <c r="I142" s="5" t="n">
        <f aca="false">-K142</f>
        <v>-0</v>
      </c>
      <c r="J142" s="215"/>
      <c r="L142" s="215"/>
      <c r="M142" s="5" t="n">
        <f aca="false">+I142+K142</f>
        <v>0</v>
      </c>
      <c r="O142" s="216" t="n">
        <f aca="false">ROUND(M142/1000,0)</f>
        <v>0</v>
      </c>
      <c r="Q142" s="188" t="n">
        <v>0</v>
      </c>
      <c r="S142" s="217" t="n">
        <f aca="false">ROUND(Q142/$BC$2,0)</f>
        <v>0</v>
      </c>
      <c r="U142" s="214" t="n">
        <f aca="false">IF(W142=0,0,W142/Q142)</f>
        <v>0</v>
      </c>
      <c r="W142" s="5" t="n">
        <v>0</v>
      </c>
      <c r="X142" s="218"/>
      <c r="Y142" s="5" t="n">
        <v>0</v>
      </c>
      <c r="Z142" s="218"/>
      <c r="AA142" s="218" t="n">
        <f aca="false">+W142+Y142</f>
        <v>0</v>
      </c>
      <c r="AC142" s="216" t="n">
        <f aca="false">ROUND(AA142/1000,0)</f>
        <v>0</v>
      </c>
      <c r="AE142" s="217" t="n">
        <v>0</v>
      </c>
      <c r="AG142" s="217" t="n">
        <f aca="false">ROUND(AE142/$BC$3,0)</f>
        <v>0</v>
      </c>
      <c r="AI142" s="214" t="n">
        <f aca="false">IF(AK142=0,0,AK142/AE142)</f>
        <v>0</v>
      </c>
      <c r="AK142" s="5"/>
      <c r="AL142" s="5"/>
      <c r="AM142" s="5" t="n">
        <v>0</v>
      </c>
      <c r="AO142" s="191" t="n">
        <f aca="false">+AK142+AM142</f>
        <v>0</v>
      </c>
      <c r="AQ142" s="216" t="n">
        <f aca="false">ROUND(AK142/1000,0)</f>
        <v>0</v>
      </c>
      <c r="AS142" s="188" t="n">
        <f aca="false">+AE142+Q142+C142</f>
        <v>0</v>
      </c>
      <c r="AU142" s="188" t="n">
        <f aca="false">+AG142+S142+E142</f>
        <v>0</v>
      </c>
      <c r="AW142" s="214" t="n">
        <f aca="false">IF(AY142=0,0,AY142/AS142)</f>
        <v>0</v>
      </c>
      <c r="AX142" s="214"/>
      <c r="AY142" s="220" t="n">
        <f aca="false">+AK142+W142+I142</f>
        <v>0</v>
      </c>
      <c r="AZ142" s="220"/>
      <c r="BA142" s="220" t="n">
        <f aca="false">+AM142+Y142+K142</f>
        <v>0</v>
      </c>
      <c r="BB142" s="220"/>
      <c r="BC142" s="220" t="n">
        <f aca="false">+AO142+AA142+M142</f>
        <v>0</v>
      </c>
      <c r="BD142" s="183"/>
      <c r="BE142" s="6" t="n">
        <f aca="false">ROUND(BC142/1000,0)</f>
        <v>0</v>
      </c>
    </row>
    <row r="143" customFormat="false" ht="12.75" hidden="false" customHeight="false" outlineLevel="0" collapsed="false">
      <c r="A143" s="213" t="s">
        <v>69</v>
      </c>
      <c r="C143" s="105" t="n">
        <f aca="false">SUM(C139:C142)</f>
        <v>0</v>
      </c>
      <c r="D143" s="221"/>
      <c r="E143" s="222" t="n">
        <f aca="false">SUM(E139:E142)</f>
        <v>0</v>
      </c>
      <c r="F143" s="221"/>
      <c r="G143" s="223" t="n">
        <f aca="false">IF(I143=0,0,I143/C143)</f>
        <v>0</v>
      </c>
      <c r="H143" s="221"/>
      <c r="I143" s="73" t="n">
        <f aca="false">SUM(I138:I142)</f>
        <v>0</v>
      </c>
      <c r="J143" s="226"/>
      <c r="K143" s="73" t="n">
        <f aca="false">SUM(K138:K142)</f>
        <v>0</v>
      </c>
      <c r="L143" s="226"/>
      <c r="M143" s="73" t="n">
        <f aca="false">SUM(M138:M142)</f>
        <v>0</v>
      </c>
      <c r="N143" s="221"/>
      <c r="O143" s="222" t="n">
        <f aca="false">SUM(O138:O142)</f>
        <v>0</v>
      </c>
      <c r="P143" s="221"/>
      <c r="Q143" s="227" t="n">
        <f aca="false">SUM(Q138:Q142)</f>
        <v>0</v>
      </c>
      <c r="R143" s="221"/>
      <c r="S143" s="227" t="n">
        <f aca="false">SUM(S138:S142)</f>
        <v>0</v>
      </c>
      <c r="T143" s="221"/>
      <c r="U143" s="223" t="n">
        <f aca="false">IF(W143=0,0,W143/Q143)</f>
        <v>0</v>
      </c>
      <c r="V143" s="221"/>
      <c r="W143" s="73" t="n">
        <f aca="false">SUM(W138:W142)</f>
        <v>0</v>
      </c>
      <c r="X143" s="226"/>
      <c r="Y143" s="264" t="n">
        <f aca="false">SUM(Y138:Y142)</f>
        <v>0</v>
      </c>
      <c r="Z143" s="226"/>
      <c r="AA143" s="264" t="n">
        <f aca="false">SUM(AA138:AA142)</f>
        <v>0</v>
      </c>
      <c r="AB143" s="221"/>
      <c r="AC143" s="222" t="n">
        <f aca="false">SUM(AC138:AC142)</f>
        <v>0</v>
      </c>
      <c r="AD143" s="221"/>
      <c r="AE143" s="227" t="n">
        <f aca="false">SUM(AE139:AE142)</f>
        <v>0</v>
      </c>
      <c r="AF143" s="221"/>
      <c r="AG143" s="227" t="n">
        <f aca="false">SUM(AG139:AG142)</f>
        <v>0</v>
      </c>
      <c r="AH143" s="221"/>
      <c r="AI143" s="223" t="n">
        <f aca="false">IF(AK143=0,0,AK143/AE143)</f>
        <v>0</v>
      </c>
      <c r="AJ143" s="221"/>
      <c r="AK143" s="264" t="n">
        <f aca="false">SUM(AK138:AK142)</f>
        <v>0</v>
      </c>
      <c r="AL143" s="221"/>
      <c r="AM143" s="264" t="n">
        <f aca="false">SUM(AM138:AM142)</f>
        <v>0</v>
      </c>
      <c r="AN143" s="221"/>
      <c r="AO143" s="264" t="n">
        <f aca="false">SUM(AO138:AO142)</f>
        <v>0</v>
      </c>
      <c r="AP143" s="221"/>
      <c r="AQ143" s="222" t="n">
        <f aca="false">SUM(AQ138:AQ142)</f>
        <v>0</v>
      </c>
      <c r="AR143" s="221"/>
      <c r="AS143" s="227" t="n">
        <f aca="false">SUM(AS139:AS142)</f>
        <v>0</v>
      </c>
      <c r="AT143" s="221"/>
      <c r="AU143" s="227" t="n">
        <f aca="false">SUM(AU139:AU142)</f>
        <v>0</v>
      </c>
      <c r="AV143" s="221"/>
      <c r="AW143" s="223" t="n">
        <f aca="false">IF(AY143=0,0,AY143/AS143)</f>
        <v>0</v>
      </c>
      <c r="AX143" s="229"/>
      <c r="AY143" s="264" t="n">
        <f aca="false">SUM(AY138:AY142)</f>
        <v>0</v>
      </c>
      <c r="AZ143" s="226"/>
      <c r="BA143" s="264" t="n">
        <f aca="false">SUM(BA138:BA142)</f>
        <v>0</v>
      </c>
      <c r="BB143" s="226"/>
      <c r="BC143" s="264" t="n">
        <f aca="false">SUM(BC138:BC142)</f>
        <v>0</v>
      </c>
      <c r="BD143" s="234"/>
      <c r="BE143" s="75" t="n">
        <f aca="false">SUM(BE138:BE142)</f>
        <v>0</v>
      </c>
    </row>
    <row r="144" customFormat="false" ht="12.75" hidden="false" customHeight="false" outlineLevel="0" collapsed="false">
      <c r="A144" s="204"/>
      <c r="C144" s="40"/>
      <c r="E144" s="188"/>
      <c r="G144" s="214"/>
      <c r="J144" s="215"/>
      <c r="L144" s="215"/>
      <c r="O144" s="216"/>
      <c r="Q144" s="188"/>
      <c r="S144" s="217"/>
      <c r="U144" s="214"/>
      <c r="X144" s="218"/>
      <c r="Y144" s="218"/>
      <c r="Z144" s="218"/>
      <c r="AA144" s="218"/>
      <c r="AC144" s="216"/>
      <c r="AE144" s="217"/>
      <c r="AG144" s="217"/>
      <c r="AI144" s="214"/>
      <c r="AK144" s="215"/>
      <c r="AM144" s="191"/>
      <c r="AO144" s="191"/>
      <c r="AQ144" s="216"/>
      <c r="AS144" s="188"/>
      <c r="AU144" s="217"/>
      <c r="AW144" s="214"/>
      <c r="AX144" s="214"/>
      <c r="AY144" s="220"/>
      <c r="AZ144" s="220"/>
      <c r="BA144" s="220"/>
      <c r="BB144" s="220"/>
      <c r="BC144" s="220"/>
      <c r="BD144" s="183"/>
    </row>
    <row r="145" customFormat="false" ht="12.75" hidden="false" customHeight="false" outlineLevel="0" collapsed="false">
      <c r="A145" s="213"/>
      <c r="C145" s="40"/>
      <c r="E145" s="188"/>
      <c r="G145" s="214"/>
      <c r="J145" s="215"/>
      <c r="L145" s="215"/>
      <c r="O145" s="216"/>
      <c r="Q145" s="188"/>
      <c r="S145" s="217"/>
      <c r="U145" s="214"/>
      <c r="X145" s="218"/>
      <c r="Y145" s="218"/>
      <c r="Z145" s="218"/>
      <c r="AA145" s="218"/>
      <c r="AC145" s="216"/>
      <c r="AE145" s="217"/>
      <c r="AG145" s="217"/>
      <c r="AI145" s="214"/>
      <c r="AK145" s="215"/>
      <c r="AM145" s="191"/>
      <c r="AO145" s="191"/>
      <c r="AQ145" s="216"/>
      <c r="AS145" s="188"/>
      <c r="AU145" s="217"/>
      <c r="AW145" s="214"/>
      <c r="AX145" s="214"/>
      <c r="AY145" s="220"/>
      <c r="AZ145" s="220"/>
      <c r="BA145" s="220"/>
      <c r="BB145" s="220"/>
      <c r="BC145" s="220"/>
      <c r="BD145" s="183"/>
    </row>
    <row r="146" customFormat="false" ht="12.75" hidden="false" customHeight="false" outlineLevel="0" collapsed="false">
      <c r="A146" s="204" t="s">
        <v>138</v>
      </c>
      <c r="C146" s="40"/>
      <c r="D146" s="212"/>
      <c r="E146" s="188"/>
      <c r="G146" s="214"/>
      <c r="I146" s="5" t="n">
        <v>-15578.07</v>
      </c>
      <c r="J146" s="215"/>
      <c r="L146" s="215"/>
      <c r="M146" s="5" t="n">
        <f aca="false">+I146+K146</f>
        <v>-15578.07</v>
      </c>
      <c r="O146" s="216" t="n">
        <f aca="false">ROUND(I146/1000,0)</f>
        <v>-16</v>
      </c>
      <c r="Q146" s="188"/>
      <c r="R146" s="212"/>
      <c r="S146" s="217"/>
      <c r="U146" s="214"/>
      <c r="W146" s="5" t="n">
        <v>0</v>
      </c>
      <c r="X146" s="218"/>
      <c r="Y146" s="5" t="n">
        <v>0</v>
      </c>
      <c r="Z146" s="218"/>
      <c r="AA146" s="218" t="n">
        <f aca="false">+W146+Y146</f>
        <v>0</v>
      </c>
      <c r="AC146" s="216" t="n">
        <f aca="false">ROUND(AA146/1000,0)</f>
        <v>0</v>
      </c>
      <c r="AE146" s="217"/>
      <c r="AF146" s="212"/>
      <c r="AG146" s="217"/>
      <c r="AI146" s="214"/>
      <c r="AK146" s="215"/>
      <c r="AM146" s="191"/>
      <c r="AO146" s="191" t="n">
        <f aca="false">+AK146+AM146</f>
        <v>0</v>
      </c>
      <c r="AQ146" s="216" t="n">
        <f aca="false">ROUND(AK146/1000,0)</f>
        <v>0</v>
      </c>
      <c r="AS146" s="188" t="n">
        <f aca="false">+AE146+Q146+C146</f>
        <v>0</v>
      </c>
      <c r="AU146" s="188" t="n">
        <f aca="false">+AG146+S146+E146</f>
        <v>0</v>
      </c>
      <c r="AW146" s="214"/>
      <c r="AX146" s="214"/>
      <c r="AY146" s="220" t="n">
        <f aca="false">+AK146+W146+I146</f>
        <v>-15578.07</v>
      </c>
      <c r="AZ146" s="220"/>
      <c r="BA146" s="220" t="n">
        <f aca="false">+AM146+Y146+K146</f>
        <v>0</v>
      </c>
      <c r="BB146" s="220"/>
      <c r="BC146" s="220" t="n">
        <f aca="false">+AO146+AA146+M146</f>
        <v>-15578.07</v>
      </c>
      <c r="BD146" s="183"/>
      <c r="BE146" s="6" t="n">
        <f aca="false">ROUND(BC146/1000,0)</f>
        <v>-16</v>
      </c>
    </row>
    <row r="147" customFormat="false" ht="12.75" hidden="false" customHeight="false" outlineLevel="0" collapsed="false">
      <c r="A147" s="204" t="s">
        <v>71</v>
      </c>
      <c r="C147" s="40"/>
      <c r="E147" s="188"/>
      <c r="G147" s="214"/>
      <c r="I147" s="5" t="n">
        <v>-405000</v>
      </c>
      <c r="J147" s="215"/>
      <c r="K147" s="5" t="n">
        <v>0</v>
      </c>
      <c r="L147" s="215"/>
      <c r="M147" s="5" t="n">
        <f aca="false">+I147+K147</f>
        <v>-405000</v>
      </c>
      <c r="O147" s="216" t="n">
        <f aca="false">ROUND(I147/1000,0)</f>
        <v>-405</v>
      </c>
      <c r="Q147" s="188"/>
      <c r="S147" s="217"/>
      <c r="U147" s="214"/>
      <c r="W147" s="5" t="n">
        <v>7862.78</v>
      </c>
      <c r="X147" s="218"/>
      <c r="Y147" s="5" t="n">
        <v>0</v>
      </c>
      <c r="Z147" s="218"/>
      <c r="AA147" s="218" t="n">
        <f aca="false">+W147+Y147</f>
        <v>7862.78</v>
      </c>
      <c r="AC147" s="216" t="n">
        <f aca="false">ROUND(AA147/1000,0)</f>
        <v>8</v>
      </c>
      <c r="AE147" s="217"/>
      <c r="AG147" s="217"/>
      <c r="AI147" s="214"/>
      <c r="AK147" s="215" t="n">
        <v>-89.63</v>
      </c>
      <c r="AM147" s="191"/>
      <c r="AO147" s="191" t="n">
        <f aca="false">+AK147+AM147</f>
        <v>-89.63</v>
      </c>
      <c r="AQ147" s="216" t="n">
        <f aca="false">ROUND(AK147/1000,0)</f>
        <v>-0</v>
      </c>
      <c r="AS147" s="188" t="n">
        <f aca="false">+AE147+Q147+C147</f>
        <v>0</v>
      </c>
      <c r="AU147" s="188" t="n">
        <f aca="false">+AG147+S147+E147</f>
        <v>0</v>
      </c>
      <c r="AW147" s="214"/>
      <c r="AX147" s="214"/>
      <c r="AY147" s="220" t="n">
        <f aca="false">+AK147+W147+I147</f>
        <v>-397226.85</v>
      </c>
      <c r="AZ147" s="220"/>
      <c r="BA147" s="220" t="n">
        <f aca="false">+AM147+Y147+K147</f>
        <v>0</v>
      </c>
      <c r="BB147" s="220"/>
      <c r="BC147" s="220" t="n">
        <f aca="false">+AO147+AA147+M147</f>
        <v>-397226.85</v>
      </c>
      <c r="BD147" s="183"/>
      <c r="BE147" s="6" t="n">
        <f aca="false">ROUND(BC147/1000,0)</f>
        <v>-397</v>
      </c>
    </row>
    <row r="148" customFormat="false" ht="12.75" hidden="false" customHeight="false" outlineLevel="0" collapsed="false">
      <c r="A148" s="204" t="s">
        <v>139</v>
      </c>
      <c r="C148" s="40"/>
      <c r="E148" s="188"/>
      <c r="G148" s="214"/>
      <c r="I148" s="5" t="n">
        <v>-12500</v>
      </c>
      <c r="J148" s="215"/>
      <c r="L148" s="215"/>
      <c r="M148" s="5" t="n">
        <f aca="false">+I148+K148</f>
        <v>-12500</v>
      </c>
      <c r="O148" s="216" t="n">
        <f aca="false">ROUND(I148/1000,0)</f>
        <v>-13</v>
      </c>
      <c r="Q148" s="188"/>
      <c r="S148" s="217"/>
      <c r="U148" s="214"/>
      <c r="W148" s="5" t="n">
        <v>0</v>
      </c>
      <c r="X148" s="218"/>
      <c r="Y148" s="5" t="n">
        <v>0</v>
      </c>
      <c r="Z148" s="218"/>
      <c r="AA148" s="218" t="n">
        <f aca="false">+W148+Y148</f>
        <v>0</v>
      </c>
      <c r="AC148" s="216" t="n">
        <f aca="false">ROUND(AA148/1000,0)</f>
        <v>0</v>
      </c>
      <c r="AE148" s="217"/>
      <c r="AG148" s="217"/>
      <c r="AI148" s="214"/>
      <c r="AK148" s="215"/>
      <c r="AM148" s="191"/>
      <c r="AO148" s="191" t="n">
        <f aca="false">+AK148+AM148</f>
        <v>0</v>
      </c>
      <c r="AQ148" s="216" t="n">
        <f aca="false">ROUND(AK148/1000,0)</f>
        <v>0</v>
      </c>
      <c r="AS148" s="188" t="n">
        <f aca="false">+AE148+Q148+C148</f>
        <v>0</v>
      </c>
      <c r="AU148" s="188" t="n">
        <f aca="false">+AG148+S148+E148</f>
        <v>0</v>
      </c>
      <c r="AW148" s="214"/>
      <c r="AX148" s="214"/>
      <c r="AY148" s="220" t="n">
        <f aca="false">+AK148+W148+I148</f>
        <v>-12500</v>
      </c>
      <c r="AZ148" s="220"/>
      <c r="BA148" s="220" t="n">
        <f aca="false">+AM148+Y148+K148</f>
        <v>0</v>
      </c>
      <c r="BB148" s="220"/>
      <c r="BC148" s="220" t="n">
        <f aca="false">+AO148+AA148+M148</f>
        <v>-12500</v>
      </c>
      <c r="BD148" s="183"/>
      <c r="BE148" s="6" t="n">
        <f aca="false">ROUND(BC148/1000,0)</f>
        <v>-13</v>
      </c>
    </row>
    <row r="149" customFormat="false" ht="12.75" hidden="false" customHeight="false" outlineLevel="0" collapsed="false">
      <c r="A149" s="266"/>
      <c r="C149" s="48"/>
      <c r="E149" s="205"/>
      <c r="G149" s="267"/>
      <c r="J149" s="268"/>
      <c r="K149" s="51"/>
      <c r="L149" s="268"/>
      <c r="M149" s="51"/>
      <c r="O149" s="269"/>
      <c r="Q149" s="205"/>
      <c r="S149" s="267"/>
      <c r="U149" s="267"/>
      <c r="W149" s="51"/>
      <c r="X149" s="270"/>
      <c r="Y149" s="270"/>
      <c r="Z149" s="270"/>
      <c r="AA149" s="270"/>
      <c r="AC149" s="267"/>
      <c r="AE149" s="267"/>
      <c r="AG149" s="267"/>
      <c r="AI149" s="267"/>
      <c r="AK149" s="271"/>
      <c r="AM149" s="271"/>
      <c r="AO149" s="271"/>
      <c r="AQ149" s="267"/>
      <c r="AS149" s="267"/>
      <c r="AU149" s="267"/>
      <c r="AW149" s="267"/>
      <c r="AX149" s="267"/>
      <c r="AY149" s="272" t="s">
        <v>6</v>
      </c>
      <c r="AZ149" s="267"/>
      <c r="BA149" s="267"/>
      <c r="BB149" s="267"/>
      <c r="BC149" s="267"/>
      <c r="BD149" s="183"/>
      <c r="BE149" s="52"/>
    </row>
    <row r="150" customFormat="false" ht="12.75" hidden="false" customHeight="false" outlineLevel="0" collapsed="false">
      <c r="A150" s="204" t="s">
        <v>140</v>
      </c>
      <c r="C150" s="57" t="n">
        <f aca="false">+C48+C94+C110+C125</f>
        <v>52290577</v>
      </c>
      <c r="D150" s="212"/>
      <c r="E150" s="57" t="n">
        <f aca="false">+E48+E94+E110+E125</f>
        <v>1686792</v>
      </c>
      <c r="F150" s="212"/>
      <c r="G150" s="273" t="n">
        <f aca="false">IF(I150=0,0,I150/C150)</f>
        <v>0.231154986490205</v>
      </c>
      <c r="I150" s="60" t="n">
        <f aca="false">+I148+I147+I146+I143+I135+I127+I110+I102+I94+I48</f>
        <v>12087227.62</v>
      </c>
      <c r="J150" s="215"/>
      <c r="K150" s="60" t="n">
        <f aca="false">+K148+K147+K146+K143+K135+K127+K110+K102+K94+K48</f>
        <v>391470.08</v>
      </c>
      <c r="L150" s="215"/>
      <c r="M150" s="60" t="n">
        <f aca="false">+M148+M147+M146+M143+M135+M127+M110+M102+M94+M48</f>
        <v>12478697.7</v>
      </c>
      <c r="O150" s="63" t="n">
        <f aca="false">+O148+O147+O146+O143+O135+O127+O110+O102+O94+O48</f>
        <v>12479</v>
      </c>
      <c r="Q150" s="57" t="n">
        <f aca="false">+Q48+Q94+Q110+Q125</f>
        <v>5181</v>
      </c>
      <c r="R150" s="212"/>
      <c r="S150" s="57" t="n">
        <f aca="false">+S48+S94+S110+S125</f>
        <v>173</v>
      </c>
      <c r="T150" s="212"/>
      <c r="U150" s="273" t="n">
        <f aca="false">IF(W150=0,0,W150/Q150)</f>
        <v>1.78604130476742</v>
      </c>
      <c r="W150" s="60" t="n">
        <f aca="false">+W148+W147+W146+W143+W135+W127+W110+W102+W94+W48</f>
        <v>9253.48</v>
      </c>
      <c r="X150" s="215"/>
      <c r="Y150" s="60" t="n">
        <f aca="false">+Y148+Y147+Y146+Y143+Y135+Y127+Y110+Y102+Y94+Y48</f>
        <v>77.67</v>
      </c>
      <c r="Z150" s="215"/>
      <c r="AA150" s="60" t="n">
        <f aca="false">+AA148+AA147+AA146+AA143+AA135+AA127+AA110+AA102+AA94+AA48</f>
        <v>9331.15</v>
      </c>
      <c r="AC150" s="63" t="n">
        <f aca="false">+AC148+AC147+AC146+AC143+AC135+AC127+AC110+AC102+AC94+AC48</f>
        <v>8</v>
      </c>
      <c r="AE150" s="57" t="n">
        <f aca="false">+AE48+AE94+AE110+AE125</f>
        <v>0</v>
      </c>
      <c r="AF150" s="212"/>
      <c r="AG150" s="57" t="n">
        <f aca="false">+AG48+AG94+AG110+AG125</f>
        <v>0</v>
      </c>
      <c r="AH150" s="212"/>
      <c r="AI150" s="273" t="e">
        <f aca="false">IF(AK150=0,0,AK150/AE150)</f>
        <v>#DIV/0!</v>
      </c>
      <c r="AK150" s="60" t="n">
        <f aca="false">+AK148+AK147+AK146+AK143+AK135+AK127+AK110+AK102+AK94+AK48</f>
        <v>-89.63</v>
      </c>
      <c r="AL150" s="215"/>
      <c r="AM150" s="60" t="n">
        <f aca="false">+AM148+AM147+AM146+AM143+AM135+AM127+AM110+AM102+AM94+AM48</f>
        <v>0</v>
      </c>
      <c r="AN150" s="215"/>
      <c r="AO150" s="60" t="n">
        <f aca="false">+AO148+AO147+AO146+AO143+AO135+AO127+AO110+AO102+AO94+AO48</f>
        <v>-89.63</v>
      </c>
      <c r="AQ150" s="63" t="n">
        <f aca="false">+AQ148+AQ147+AQ146+AQ143+AQ135+AQ127+AQ110+AQ102+AQ94+AQ48</f>
        <v>0</v>
      </c>
      <c r="AR150" s="212" t="s">
        <v>6</v>
      </c>
      <c r="AS150" s="57" t="n">
        <f aca="false">+AS48+AS94+AS110+AS125</f>
        <v>52295758</v>
      </c>
      <c r="AT150" s="212"/>
      <c r="AU150" s="57" t="n">
        <f aca="false">+AU48+AU94+AU110+AU125</f>
        <v>1686965</v>
      </c>
      <c r="AV150" s="212"/>
      <c r="AW150" s="273" t="n">
        <f aca="false">IF(AY150=0,0,AY150/AS150)</f>
        <v>0.231307316933813</v>
      </c>
      <c r="AY150" s="60" t="n">
        <f aca="false">+AY148+AY147+AY146+AY143+AY135+AY127+AY110+AY102+AY94+AY48</f>
        <v>12096391.47</v>
      </c>
      <c r="AZ150" s="215"/>
      <c r="BA150" s="60" t="n">
        <f aca="false">+BA148+BA147+BA146+BA143+BA135+BA127+BA110+BA102+BA94+BA48</f>
        <v>391547.75</v>
      </c>
      <c r="BB150" s="215"/>
      <c r="BC150" s="60" t="n">
        <f aca="false">+BC148+BC147+BC146+BC143+BC135+BC127+BC110+BC102+BC94+BC48</f>
        <v>12487939.22</v>
      </c>
      <c r="BE150" s="63" t="n">
        <f aca="false">+BE148+BE147+BE146+BE143+BE135+BE127+BE110+BE102+BE94+BE48</f>
        <v>12488</v>
      </c>
    </row>
    <row r="151" customFormat="false" ht="12.75" hidden="false" customHeight="false" outlineLevel="0" collapsed="false">
      <c r="A151" s="266"/>
      <c r="C151" s="48"/>
      <c r="E151" s="205"/>
      <c r="G151" s="267"/>
      <c r="J151" s="268"/>
      <c r="L151" s="268"/>
      <c r="M151" s="51"/>
      <c r="O151" s="269"/>
      <c r="Q151" s="274"/>
      <c r="S151" s="267"/>
      <c r="U151" s="267"/>
      <c r="X151" s="270"/>
      <c r="Y151" s="270"/>
      <c r="Z151" s="270"/>
      <c r="AA151" s="270"/>
      <c r="AC151" s="267"/>
      <c r="AE151" s="272"/>
      <c r="AG151" s="267"/>
      <c r="AI151" s="267"/>
      <c r="AK151" s="275"/>
      <c r="AM151" s="276"/>
      <c r="AO151" s="276"/>
      <c r="AQ151" s="267"/>
      <c r="AS151" s="267"/>
      <c r="AU151" s="267"/>
      <c r="AW151" s="267"/>
      <c r="AX151" s="267"/>
      <c r="AY151" s="267"/>
      <c r="AZ151" s="267"/>
      <c r="BA151" s="51"/>
      <c r="BB151" s="267"/>
      <c r="BC151" s="5" t="n">
        <f aca="false">12892939.11-BC150</f>
        <v>404999.889999999</v>
      </c>
      <c r="BD151" s="183"/>
      <c r="BE151" s="52"/>
    </row>
    <row r="152" customFormat="false" ht="12.75" hidden="false" customHeight="false" outlineLevel="0" collapsed="false">
      <c r="A152" s="266"/>
      <c r="C152" s="40"/>
      <c r="E152" s="190"/>
      <c r="I152" s="277"/>
      <c r="J152" s="189"/>
      <c r="L152" s="189"/>
      <c r="O152" s="278"/>
      <c r="Q152" s="190"/>
      <c r="W152" s="191"/>
      <c r="Y152" s="191"/>
      <c r="Z152" s="191"/>
      <c r="AA152" s="191"/>
      <c r="AE152" s="279"/>
      <c r="AK152" s="192"/>
      <c r="AM152" s="191"/>
      <c r="AO152" s="191"/>
      <c r="AS152" s="3"/>
      <c r="AY152" s="280"/>
      <c r="BA152" s="281"/>
      <c r="BC152" s="281"/>
      <c r="BD152" s="183"/>
    </row>
    <row r="153" customFormat="false" ht="12.75" hidden="false" customHeight="false" outlineLevel="0" collapsed="false">
      <c r="A153" s="204" t="s">
        <v>141</v>
      </c>
      <c r="C153" s="40"/>
      <c r="E153" s="190"/>
      <c r="I153" s="277" t="n">
        <f aca="false">-SLS_COS!AX34+109545.19</f>
        <v>2445214.65</v>
      </c>
      <c r="J153" s="189"/>
      <c r="L153" s="189"/>
      <c r="M153" s="5" t="n">
        <f aca="false">+I153+K153</f>
        <v>2445214.65</v>
      </c>
      <c r="O153" s="216" t="n">
        <f aca="false">ROUND(I153/1000,0)</f>
        <v>2445</v>
      </c>
      <c r="Q153" s="190"/>
      <c r="X153" s="191"/>
      <c r="Y153" s="191"/>
      <c r="Z153" s="191"/>
      <c r="AA153" s="191"/>
      <c r="AK153" s="192"/>
      <c r="AM153" s="191"/>
      <c r="AO153" s="191"/>
      <c r="AQ153" s="217"/>
      <c r="AS153" s="279"/>
      <c r="AW153" s="281" t="n">
        <f aca="false">+AY150</f>
        <v>12096391.47</v>
      </c>
      <c r="AY153" s="220" t="n">
        <f aca="false">+AK153+W153+I153</f>
        <v>2445214.65</v>
      </c>
      <c r="BA153" s="220" t="n">
        <f aca="false">+AM153+Y153+K153</f>
        <v>0</v>
      </c>
      <c r="BC153" s="220" t="n">
        <f aca="false">+AO153+AA153+M153</f>
        <v>2445214.65</v>
      </c>
      <c r="BD153" s="183"/>
      <c r="BE153" s="6" t="n">
        <f aca="false">ROUND(BC153/1000,0)</f>
        <v>2445</v>
      </c>
      <c r="BF153" s="178" t="n">
        <v>12651309.05</v>
      </c>
      <c r="BG153" s="183"/>
    </row>
    <row r="154" customFormat="false" ht="12.75" hidden="false" customHeight="false" outlineLevel="0" collapsed="false">
      <c r="A154" s="204" t="s">
        <v>142</v>
      </c>
      <c r="C154" s="40"/>
      <c r="E154" s="5"/>
      <c r="G154" s="212" t="s">
        <v>6</v>
      </c>
      <c r="H154" s="212" t="s">
        <v>6</v>
      </c>
      <c r="I154" s="5" t="n">
        <f aca="false">954.29+18048.34+31484.99+88521</f>
        <v>139008.62</v>
      </c>
      <c r="J154" s="215" t="s">
        <v>95</v>
      </c>
      <c r="L154" s="215"/>
      <c r="M154" s="5" t="n">
        <f aca="false">+I154+K154</f>
        <v>139008.62</v>
      </c>
      <c r="O154" s="216" t="n">
        <f aca="false">ROUND(I154/1000,0)</f>
        <v>139</v>
      </c>
      <c r="Q154" s="190"/>
      <c r="U154" s="212" t="s">
        <v>6</v>
      </c>
      <c r="X154" s="218"/>
      <c r="Y154" s="218"/>
      <c r="Z154" s="218"/>
      <c r="AA154" s="218"/>
      <c r="AC154" s="216"/>
      <c r="AI154" s="212" t="s">
        <v>6</v>
      </c>
      <c r="AK154" s="192"/>
      <c r="AM154" s="191"/>
      <c r="AO154" s="191"/>
      <c r="AQ154" s="216"/>
      <c r="AU154" s="281"/>
      <c r="AW154" s="212" t="s">
        <v>6</v>
      </c>
      <c r="AY154" s="220" t="n">
        <f aca="false">+AK154+W154+I154</f>
        <v>139008.62</v>
      </c>
      <c r="AZ154" s="220"/>
      <c r="BA154" s="220" t="n">
        <f aca="false">+AM154+Y154+K154</f>
        <v>0</v>
      </c>
      <c r="BB154" s="220"/>
      <c r="BC154" s="220" t="n">
        <f aca="false">+AO154+AA154+M154</f>
        <v>139008.62</v>
      </c>
      <c r="BD154" s="183" t="s">
        <v>95</v>
      </c>
      <c r="BE154" s="6" t="n">
        <f aca="false">ROUND(BC154/1000,0)</f>
        <v>139</v>
      </c>
      <c r="BF154" s="280" t="n">
        <f aca="false">-353850.48+363658.84</f>
        <v>9808.36000000004</v>
      </c>
      <c r="BG154" s="282"/>
    </row>
    <row r="155" customFormat="false" ht="12.75" hidden="false" customHeight="false" outlineLevel="0" collapsed="false">
      <c r="A155" s="204" t="s">
        <v>143</v>
      </c>
      <c r="C155" s="40"/>
      <c r="E155" s="277"/>
      <c r="G155" s="212" t="s">
        <v>6</v>
      </c>
      <c r="H155" s="212" t="s">
        <v>6</v>
      </c>
      <c r="I155" s="277" t="n">
        <f aca="false">-SLS_COS!AX29-4038784.78</f>
        <v>-3917821.34</v>
      </c>
      <c r="J155" s="215" t="s">
        <v>95</v>
      </c>
      <c r="L155" s="218"/>
      <c r="M155" s="5" t="n">
        <f aca="false">+I155+K155</f>
        <v>-3917821.34</v>
      </c>
      <c r="O155" s="216" t="n">
        <f aca="false">ROUND(I155/1000,0)</f>
        <v>-3918</v>
      </c>
      <c r="Q155" s="190"/>
      <c r="X155" s="218"/>
      <c r="Y155" s="218"/>
      <c r="Z155" s="218"/>
      <c r="AA155" s="218"/>
      <c r="AC155" s="216"/>
      <c r="AE155" s="217"/>
      <c r="AG155" s="283"/>
      <c r="AK155" s="218"/>
      <c r="AM155" s="191"/>
      <c r="AO155" s="191"/>
      <c r="AQ155" s="216"/>
      <c r="AW155" s="281" t="n">
        <f aca="false">-AW153</f>
        <v>-12096391.47</v>
      </c>
      <c r="AY155" s="220" t="n">
        <f aca="false">+AK155+W155+I155</f>
        <v>-3917821.34</v>
      </c>
      <c r="AZ155" s="220"/>
      <c r="BA155" s="220" t="n">
        <f aca="false">+AM155+Y155+K155</f>
        <v>0</v>
      </c>
      <c r="BB155" s="220"/>
      <c r="BC155" s="220" t="n">
        <f aca="false">+AO155+AA155+M155</f>
        <v>-3917821.34</v>
      </c>
      <c r="BD155" s="183"/>
      <c r="BE155" s="6" t="n">
        <f aca="false">ROUND(BC155/1000,0)</f>
        <v>-3918</v>
      </c>
      <c r="BF155" s="280" t="n">
        <v>-3532.27</v>
      </c>
      <c r="BG155" s="282"/>
    </row>
    <row r="156" customFormat="false" ht="12.75" hidden="false" customHeight="false" outlineLevel="0" collapsed="false">
      <c r="A156" s="204" t="s">
        <v>144</v>
      </c>
      <c r="C156" s="40"/>
      <c r="E156" s="5"/>
      <c r="G156" s="212" t="s">
        <v>6</v>
      </c>
      <c r="H156" s="212"/>
      <c r="I156" s="5" t="n">
        <v>181520.2</v>
      </c>
      <c r="J156" s="215" t="s">
        <v>95</v>
      </c>
      <c r="L156" s="215"/>
      <c r="M156" s="5" t="n">
        <f aca="false">+I156+K156</f>
        <v>181520.2</v>
      </c>
      <c r="N156" s="212"/>
      <c r="O156" s="216" t="n">
        <f aca="false">ROUND(I156/1000,0)</f>
        <v>182</v>
      </c>
      <c r="Q156" s="190"/>
      <c r="U156" s="284"/>
      <c r="X156" s="218"/>
      <c r="Y156" s="218"/>
      <c r="Z156" s="218"/>
      <c r="AA156" s="218"/>
      <c r="AC156" s="216"/>
      <c r="AE156" s="217"/>
      <c r="AI156" s="284"/>
      <c r="AK156" s="192"/>
      <c r="AM156" s="191"/>
      <c r="AO156" s="191"/>
      <c r="AQ156" s="216"/>
      <c r="AW156" s="284"/>
      <c r="AY156" s="220" t="n">
        <f aca="false">+AK156+W156+I156</f>
        <v>181520.2</v>
      </c>
      <c r="AZ156" s="220"/>
      <c r="BA156" s="220" t="n">
        <f aca="false">+AM156+Y156+K156</f>
        <v>0</v>
      </c>
      <c r="BB156" s="220"/>
      <c r="BC156" s="220" t="n">
        <f aca="false">+AO156+AA156+M156</f>
        <v>181520.2</v>
      </c>
      <c r="BD156" s="183" t="s">
        <v>95</v>
      </c>
      <c r="BE156" s="6" t="n">
        <f aca="false">ROUND(BC156/1000,0)</f>
        <v>182</v>
      </c>
      <c r="BF156" s="178" t="n">
        <v>-16668.73</v>
      </c>
      <c r="BG156" s="282"/>
    </row>
    <row r="157" customFormat="false" ht="12.75" hidden="false" customHeight="false" outlineLevel="0" collapsed="false">
      <c r="A157" s="204" t="s">
        <v>145</v>
      </c>
      <c r="C157" s="40"/>
      <c r="E157" s="5"/>
      <c r="G157" s="284"/>
      <c r="H157" s="212"/>
      <c r="I157" s="5" t="n">
        <v>109003.67</v>
      </c>
      <c r="J157" s="215" t="s">
        <v>95</v>
      </c>
      <c r="L157" s="215"/>
      <c r="M157" s="5" t="n">
        <f aca="false">+I157+K157</f>
        <v>109003.67</v>
      </c>
      <c r="N157" s="212"/>
      <c r="O157" s="216" t="n">
        <f aca="false">ROUND(I157/1000,0)</f>
        <v>109</v>
      </c>
      <c r="Q157" s="190"/>
      <c r="U157" s="284"/>
      <c r="X157" s="218"/>
      <c r="Y157" s="218"/>
      <c r="Z157" s="218"/>
      <c r="AA157" s="218"/>
      <c r="AC157" s="216"/>
      <c r="AE157" s="217"/>
      <c r="AI157" s="284"/>
      <c r="AK157" s="192"/>
      <c r="AM157" s="191"/>
      <c r="AO157" s="191"/>
      <c r="AQ157" s="216"/>
      <c r="AW157" s="284"/>
      <c r="AY157" s="220" t="n">
        <f aca="false">+AK157+W157+I157</f>
        <v>109003.67</v>
      </c>
      <c r="AZ157" s="220"/>
      <c r="BA157" s="220" t="n">
        <f aca="false">+AM157+Y157+K157</f>
        <v>0</v>
      </c>
      <c r="BB157" s="220"/>
      <c r="BC157" s="220" t="n">
        <f aca="false">+AO157+AA157+M157</f>
        <v>109003.67</v>
      </c>
      <c r="BD157" s="183" t="s">
        <v>95</v>
      </c>
      <c r="BE157" s="6" t="n">
        <f aca="false">ROUND(BC157/1000,0)</f>
        <v>109</v>
      </c>
      <c r="BF157" s="280" t="n">
        <v>-12500</v>
      </c>
      <c r="BG157" s="282"/>
    </row>
    <row r="158" customFormat="false" ht="12.75" hidden="false" customHeight="false" outlineLevel="0" collapsed="false">
      <c r="A158" s="204" t="s">
        <v>146</v>
      </c>
      <c r="C158" s="40"/>
      <c r="E158" s="5"/>
      <c r="G158" s="212" t="s">
        <v>6</v>
      </c>
      <c r="H158" s="212"/>
      <c r="I158" s="5" t="n">
        <v>44741.17</v>
      </c>
      <c r="J158" s="215" t="s">
        <v>95</v>
      </c>
      <c r="L158" s="215"/>
      <c r="M158" s="5" t="n">
        <f aca="false">+I158+K158</f>
        <v>44741.17</v>
      </c>
      <c r="O158" s="216" t="n">
        <f aca="false">ROUND(I158/1000,0)</f>
        <v>45</v>
      </c>
      <c r="Q158" s="190"/>
      <c r="U158" s="284"/>
      <c r="X158" s="218"/>
      <c r="Y158" s="218"/>
      <c r="Z158" s="218"/>
      <c r="AA158" s="218"/>
      <c r="AC158" s="216"/>
      <c r="AE158" s="217"/>
      <c r="AI158" s="284"/>
      <c r="AK158" s="192"/>
      <c r="AM158" s="191"/>
      <c r="AO158" s="191"/>
      <c r="AQ158" s="216"/>
      <c r="AW158" s="284"/>
      <c r="AY158" s="220" t="n">
        <f aca="false">+AK158+W158+I158</f>
        <v>44741.17</v>
      </c>
      <c r="AZ158" s="220"/>
      <c r="BA158" s="220" t="n">
        <f aca="false">+AM158+Y158+K158</f>
        <v>0</v>
      </c>
      <c r="BB158" s="220"/>
      <c r="BC158" s="220" t="n">
        <f aca="false">+AO158+AA158+M158</f>
        <v>44741.17</v>
      </c>
      <c r="BD158" s="183" t="s">
        <v>95</v>
      </c>
      <c r="BE158" s="6" t="n">
        <f aca="false">ROUND(BC158/1000,0)</f>
        <v>45</v>
      </c>
      <c r="BF158" s="178" t="n">
        <f aca="false">SUM(BF153:BF157)</f>
        <v>12628416.41</v>
      </c>
      <c r="BG158" s="282"/>
    </row>
    <row r="159" customFormat="false" ht="12.75" hidden="false" customHeight="false" outlineLevel="0" collapsed="false">
      <c r="A159" s="204" t="s">
        <v>147</v>
      </c>
      <c r="C159" s="40"/>
      <c r="E159" s="277"/>
      <c r="G159" s="212" t="s">
        <v>6</v>
      </c>
      <c r="H159" s="212"/>
      <c r="I159" s="277" t="n">
        <f aca="false">-SLS_COS!AX26-SLS_COS!AX28-SLS_COS!AX33</f>
        <v>2302230.12</v>
      </c>
      <c r="J159" s="215" t="s">
        <v>95</v>
      </c>
      <c r="K159" s="277"/>
      <c r="L159" s="218"/>
      <c r="M159" s="5" t="n">
        <f aca="false">+I159+K159</f>
        <v>2302230.12</v>
      </c>
      <c r="O159" s="216" t="n">
        <f aca="false">ROUND(I159/1000,0)</f>
        <v>2302</v>
      </c>
      <c r="Q159" s="285"/>
      <c r="S159" s="217"/>
      <c r="U159" s="286"/>
      <c r="V159" s="216"/>
      <c r="X159" s="218"/>
      <c r="Y159" s="218"/>
      <c r="Z159" s="218"/>
      <c r="AA159" s="218"/>
      <c r="AC159" s="216"/>
      <c r="AE159" s="217"/>
      <c r="AG159" s="217"/>
      <c r="AI159" s="286"/>
      <c r="AK159" s="200"/>
      <c r="AM159" s="191"/>
      <c r="AO159" s="191"/>
      <c r="AQ159" s="216"/>
      <c r="AS159" s="217"/>
      <c r="AU159" s="283" t="s">
        <v>6</v>
      </c>
      <c r="AW159" s="286"/>
      <c r="AY159" s="220" t="n">
        <f aca="false">+AK159+W159+I159</f>
        <v>2302230.12</v>
      </c>
      <c r="AZ159" s="220"/>
      <c r="BA159" s="220" t="n">
        <f aca="false">+AM159+Y159+K159</f>
        <v>0</v>
      </c>
      <c r="BB159" s="220"/>
      <c r="BC159" s="220" t="n">
        <f aca="false">+AO159+AA159+M159</f>
        <v>2302230.12</v>
      </c>
      <c r="BD159" s="183"/>
      <c r="BE159" s="6" t="n">
        <f aca="false">ROUND(BC159/1000,0)</f>
        <v>2302</v>
      </c>
      <c r="BF159" s="178" t="n">
        <f aca="false">-1277355-499410+1212750+473400</f>
        <v>-90615</v>
      </c>
      <c r="BG159" s="287"/>
    </row>
    <row r="160" customFormat="false" ht="12.75" hidden="false" customHeight="false" outlineLevel="0" collapsed="false">
      <c r="A160" s="204" t="s">
        <v>148</v>
      </c>
      <c r="C160" s="40"/>
      <c r="E160" s="277"/>
      <c r="G160" s="286"/>
      <c r="H160" s="212"/>
      <c r="I160" s="277" t="n">
        <f aca="false">-[8]SLS_COS!AX26</f>
        <v>-0</v>
      </c>
      <c r="J160" s="215"/>
      <c r="L160" s="218"/>
      <c r="M160" s="5" t="n">
        <f aca="false">+I160+K160</f>
        <v>0</v>
      </c>
      <c r="O160" s="216" t="n">
        <f aca="false">ROUND(I160/1000,0)</f>
        <v>-0</v>
      </c>
      <c r="Q160" s="285"/>
      <c r="S160" s="217"/>
      <c r="U160" s="286"/>
      <c r="V160" s="216"/>
      <c r="X160" s="218"/>
      <c r="Y160" s="218"/>
      <c r="Z160" s="218"/>
      <c r="AA160" s="218"/>
      <c r="AC160" s="216"/>
      <c r="AE160" s="217"/>
      <c r="AG160" s="217"/>
      <c r="AI160" s="286"/>
      <c r="AK160" s="200"/>
      <c r="AM160" s="191"/>
      <c r="AO160" s="191"/>
      <c r="AQ160" s="216"/>
      <c r="AS160" s="217"/>
      <c r="AU160" s="283"/>
      <c r="AW160" s="286"/>
      <c r="AY160" s="220" t="n">
        <f aca="false">+AK160+W160+I160</f>
        <v>0</v>
      </c>
      <c r="AZ160" s="220"/>
      <c r="BA160" s="220" t="n">
        <f aca="false">+AM160+Y160+K160</f>
        <v>0</v>
      </c>
      <c r="BB160" s="220"/>
      <c r="BC160" s="220" t="n">
        <f aca="false">+AO160+AA160+M160</f>
        <v>0</v>
      </c>
      <c r="BD160" s="183"/>
      <c r="BE160" s="6" t="n">
        <f aca="false">ROUND(BC160/1000,0)</f>
        <v>0</v>
      </c>
      <c r="BF160" s="6" t="n">
        <f aca="false">+BF158+BF159</f>
        <v>12537801.41</v>
      </c>
      <c r="BG160" s="282"/>
    </row>
    <row r="161" customFormat="false" ht="12.75" hidden="false" customHeight="false" outlineLevel="0" collapsed="false">
      <c r="A161" s="204" t="s">
        <v>149</v>
      </c>
      <c r="C161" s="40"/>
      <c r="E161" s="277"/>
      <c r="G161" s="212" t="s">
        <v>6</v>
      </c>
      <c r="H161" s="212"/>
      <c r="I161" s="277" t="n">
        <f aca="false">-SLS_COS!AX25-SLS_COS!AX21</f>
        <v>-4235136.97</v>
      </c>
      <c r="J161" s="215" t="s">
        <v>95</v>
      </c>
      <c r="K161" s="277"/>
      <c r="L161" s="218"/>
      <c r="M161" s="5" t="n">
        <f aca="false">+I161+K161</f>
        <v>-4235136.97</v>
      </c>
      <c r="O161" s="216" t="n">
        <f aca="false">ROUND(I161/1000,0)</f>
        <v>-4235</v>
      </c>
      <c r="Q161" s="285"/>
      <c r="S161" s="217"/>
      <c r="U161" s="286"/>
      <c r="V161" s="216"/>
      <c r="X161" s="218"/>
      <c r="Y161" s="218"/>
      <c r="Z161" s="218"/>
      <c r="AA161" s="218"/>
      <c r="AC161" s="216"/>
      <c r="AE161" s="217"/>
      <c r="AG161" s="217"/>
      <c r="AI161" s="286"/>
      <c r="AK161" s="200"/>
      <c r="AM161" s="191"/>
      <c r="AO161" s="191"/>
      <c r="AQ161" s="216"/>
      <c r="AS161" s="217"/>
      <c r="AU161" s="283"/>
      <c r="AW161" s="286"/>
      <c r="AY161" s="220" t="n">
        <f aca="false">+AK161+W161+I161</f>
        <v>-4235136.97</v>
      </c>
      <c r="AZ161" s="220"/>
      <c r="BA161" s="220" t="n">
        <f aca="false">+AM161+Y161+K161</f>
        <v>0</v>
      </c>
      <c r="BB161" s="220"/>
      <c r="BC161" s="220" t="n">
        <f aca="false">+AO161+AA161+M161</f>
        <v>-4235136.97</v>
      </c>
      <c r="BD161" s="183"/>
      <c r="BE161" s="6" t="n">
        <f aca="false">ROUND(BC161/1000,0)</f>
        <v>-4235</v>
      </c>
      <c r="BF161" s="288" t="n">
        <v>12535274.85</v>
      </c>
      <c r="BG161" s="183"/>
    </row>
    <row r="162" customFormat="false" ht="12.75" hidden="false" customHeight="false" outlineLevel="0" collapsed="false">
      <c r="A162" s="204" t="s">
        <v>150</v>
      </c>
      <c r="C162" s="40"/>
      <c r="E162" s="5"/>
      <c r="G162" s="212" t="s">
        <v>6</v>
      </c>
      <c r="H162" s="212"/>
      <c r="I162" s="5" t="n">
        <f aca="false">+I146</f>
        <v>-15578.07</v>
      </c>
      <c r="J162" s="215" t="s">
        <v>95</v>
      </c>
      <c r="L162" s="218"/>
      <c r="M162" s="5" t="n">
        <f aca="false">+I162+K162</f>
        <v>-15578.07</v>
      </c>
      <c r="O162" s="216" t="n">
        <f aca="false">ROUND(I162/1000,0)</f>
        <v>-16</v>
      </c>
      <c r="Q162" s="285"/>
      <c r="S162" s="217"/>
      <c r="U162" s="286"/>
      <c r="V162" s="216"/>
      <c r="X162" s="218"/>
      <c r="Y162" s="218"/>
      <c r="Z162" s="218"/>
      <c r="AA162" s="218"/>
      <c r="AC162" s="216"/>
      <c r="AE162" s="217"/>
      <c r="AG162" s="217"/>
      <c r="AI162" s="286"/>
      <c r="AK162" s="200"/>
      <c r="AM162" s="191"/>
      <c r="AO162" s="191"/>
      <c r="AQ162" s="216"/>
      <c r="AS162" s="217"/>
      <c r="AU162" s="283"/>
      <c r="AW162" s="286"/>
      <c r="AY162" s="220" t="n">
        <f aca="false">+AK162+W162+I162</f>
        <v>-15578.07</v>
      </c>
      <c r="AZ162" s="220"/>
      <c r="BA162" s="220" t="n">
        <f aca="false">+AM162+Y162+K162</f>
        <v>0</v>
      </c>
      <c r="BB162" s="220"/>
      <c r="BC162" s="220" t="n">
        <f aca="false">+AO162+AA162+M162</f>
        <v>-15578.07</v>
      </c>
      <c r="BD162" s="183"/>
      <c r="BE162" s="6" t="n">
        <f aca="false">ROUND(BC162/1000,0)</f>
        <v>-16</v>
      </c>
      <c r="BF162" s="288" t="n">
        <f aca="false">+BF161-BF160</f>
        <v>-2526.56000000052</v>
      </c>
      <c r="BG162" s="287"/>
    </row>
    <row r="163" customFormat="false" ht="12.75" hidden="false" customHeight="false" outlineLevel="0" collapsed="false">
      <c r="A163" s="204" t="s">
        <v>151</v>
      </c>
      <c r="C163" s="40"/>
      <c r="E163" s="5"/>
      <c r="G163" s="212" t="s">
        <v>6</v>
      </c>
      <c r="H163" s="212"/>
      <c r="I163" s="5" t="n">
        <f aca="false">6945.66+37793.48+63345.87</f>
        <v>108085.01</v>
      </c>
      <c r="J163" s="215" t="s">
        <v>95</v>
      </c>
      <c r="L163" s="215"/>
      <c r="M163" s="5" t="n">
        <f aca="false">+I163+K163</f>
        <v>108085.01</v>
      </c>
      <c r="O163" s="216" t="n">
        <f aca="false">ROUND(I163/1000,0)</f>
        <v>108</v>
      </c>
      <c r="Q163" s="285"/>
      <c r="S163" s="217"/>
      <c r="V163" s="216"/>
      <c r="X163" s="218"/>
      <c r="Y163" s="218"/>
      <c r="Z163" s="218"/>
      <c r="AA163" s="218"/>
      <c r="AC163" s="216"/>
      <c r="AE163" s="217"/>
      <c r="AG163" s="217"/>
      <c r="AK163" s="289"/>
      <c r="AM163" s="191"/>
      <c r="AO163" s="191"/>
      <c r="AQ163" s="216"/>
      <c r="AS163" s="217"/>
      <c r="AU163" s="283"/>
      <c r="AY163" s="220" t="n">
        <f aca="false">+AK163+W163+I163</f>
        <v>108085.01</v>
      </c>
      <c r="AZ163" s="220"/>
      <c r="BA163" s="220" t="n">
        <f aca="false">+AM163+Y163+K163</f>
        <v>0</v>
      </c>
      <c r="BB163" s="220"/>
      <c r="BC163" s="220" t="n">
        <f aca="false">+AO163+AA163+M163</f>
        <v>108085.01</v>
      </c>
      <c r="BD163" s="183"/>
      <c r="BE163" s="6" t="n">
        <f aca="false">ROUND(BC163/1000,0)</f>
        <v>108</v>
      </c>
      <c r="BG163" s="183"/>
    </row>
    <row r="164" customFormat="false" ht="12.75" hidden="false" customHeight="false" outlineLevel="0" collapsed="false">
      <c r="A164" s="204" t="s">
        <v>152</v>
      </c>
      <c r="C164" s="40"/>
      <c r="E164" s="5"/>
      <c r="G164" s="212" t="s">
        <v>6</v>
      </c>
      <c r="H164" s="212"/>
      <c r="I164" s="5" t="n">
        <f aca="false">42011.34+30212.77</f>
        <v>72224.11</v>
      </c>
      <c r="J164" s="215" t="s">
        <v>95</v>
      </c>
      <c r="L164" s="215"/>
      <c r="M164" s="5" t="n">
        <f aca="false">+I164+K164</f>
        <v>72224.11</v>
      </c>
      <c r="O164" s="216" t="n">
        <f aca="false">ROUND(I164/1000,0)</f>
        <v>72</v>
      </c>
      <c r="Q164" s="285"/>
      <c r="S164" s="217"/>
      <c r="V164" s="216"/>
      <c r="X164" s="218"/>
      <c r="Y164" s="218"/>
      <c r="Z164" s="218"/>
      <c r="AA164" s="218"/>
      <c r="AC164" s="216"/>
      <c r="AE164" s="217"/>
      <c r="AG164" s="217"/>
      <c r="AK164" s="289"/>
      <c r="AM164" s="191"/>
      <c r="AO164" s="191"/>
      <c r="AQ164" s="216"/>
      <c r="AS164" s="217"/>
      <c r="AU164" s="283"/>
      <c r="AY164" s="220" t="n">
        <f aca="false">+AK164+W164+I164</f>
        <v>72224.11</v>
      </c>
      <c r="AZ164" s="220"/>
      <c r="BA164" s="220" t="n">
        <f aca="false">+AM164+Y164+K164</f>
        <v>0</v>
      </c>
      <c r="BB164" s="220"/>
      <c r="BC164" s="220" t="n">
        <f aca="false">+AO164+AA164+M164</f>
        <v>72224.11</v>
      </c>
      <c r="BD164" s="183"/>
      <c r="BE164" s="6" t="n">
        <f aca="false">ROUND(BC164/1000,0)</f>
        <v>72</v>
      </c>
      <c r="BF164" s="288"/>
      <c r="BG164" s="183"/>
    </row>
    <row r="165" customFormat="false" ht="12.75" hidden="false" customHeight="false" outlineLevel="0" collapsed="false">
      <c r="A165" s="204" t="s">
        <v>153</v>
      </c>
      <c r="C165" s="40"/>
      <c r="E165" s="5"/>
      <c r="G165" s="212" t="s">
        <v>6</v>
      </c>
      <c r="H165" s="212"/>
      <c r="I165" s="5" t="n">
        <v>7472.9</v>
      </c>
      <c r="J165" s="215" t="s">
        <v>95</v>
      </c>
      <c r="L165" s="215"/>
      <c r="M165" s="5" t="n">
        <f aca="false">+I165+K165</f>
        <v>7472.9</v>
      </c>
      <c r="O165" s="216" t="n">
        <f aca="false">ROUND(I165/1000,0)</f>
        <v>7</v>
      </c>
      <c r="Q165" s="285"/>
      <c r="S165" s="217"/>
      <c r="V165" s="216"/>
      <c r="X165" s="218"/>
      <c r="Y165" s="218"/>
      <c r="Z165" s="218"/>
      <c r="AA165" s="218"/>
      <c r="AC165" s="216"/>
      <c r="AE165" s="217"/>
      <c r="AG165" s="217"/>
      <c r="AK165" s="289"/>
      <c r="AM165" s="191"/>
      <c r="AO165" s="191"/>
      <c r="AQ165" s="216"/>
      <c r="AS165" s="217"/>
      <c r="AU165" s="283"/>
      <c r="AY165" s="220" t="n">
        <f aca="false">+AK165+W165+I165</f>
        <v>7472.9</v>
      </c>
      <c r="AZ165" s="220"/>
      <c r="BA165" s="220" t="n">
        <f aca="false">+AM165+Y165+K165</f>
        <v>0</v>
      </c>
      <c r="BB165" s="220"/>
      <c r="BC165" s="220" t="n">
        <f aca="false">+AO165+AA165+M165</f>
        <v>7472.9</v>
      </c>
      <c r="BD165" s="183" t="s">
        <v>95</v>
      </c>
      <c r="BE165" s="6" t="n">
        <f aca="false">ROUND(BC165/1000,0)</f>
        <v>7</v>
      </c>
      <c r="BF165" s="280"/>
      <c r="BG165" s="183"/>
    </row>
    <row r="166" customFormat="false" ht="12.75" hidden="false" customHeight="false" outlineLevel="0" collapsed="false">
      <c r="A166" s="204" t="s">
        <v>154</v>
      </c>
      <c r="C166" s="40"/>
      <c r="E166" s="5"/>
      <c r="G166" s="212" t="s">
        <v>6</v>
      </c>
      <c r="H166" s="212"/>
      <c r="I166" s="5" t="n">
        <v>10479.26</v>
      </c>
      <c r="J166" s="215" t="s">
        <v>95</v>
      </c>
      <c r="L166" s="215"/>
      <c r="M166" s="5" t="n">
        <f aca="false">+I166+K166</f>
        <v>10479.26</v>
      </c>
      <c r="O166" s="216" t="n">
        <f aca="false">ROUND(I166/1000,0)</f>
        <v>10</v>
      </c>
      <c r="Q166" s="285"/>
      <c r="S166" s="217"/>
      <c r="V166" s="216"/>
      <c r="X166" s="218"/>
      <c r="Y166" s="218"/>
      <c r="Z166" s="218"/>
      <c r="AA166" s="218"/>
      <c r="AC166" s="216"/>
      <c r="AE166" s="217"/>
      <c r="AG166" s="217"/>
      <c r="AK166" s="289"/>
      <c r="AM166" s="191"/>
      <c r="AO166" s="191"/>
      <c r="AQ166" s="216"/>
      <c r="AS166" s="217"/>
      <c r="AU166" s="283"/>
      <c r="AY166" s="220" t="n">
        <f aca="false">+AK166+W166+I166</f>
        <v>10479.26</v>
      </c>
      <c r="AZ166" s="220"/>
      <c r="BA166" s="220" t="n">
        <f aca="false">+AM166+Y166+K166</f>
        <v>0</v>
      </c>
      <c r="BB166" s="220"/>
      <c r="BC166" s="220" t="n">
        <f aca="false">+AO166+AA166+M166</f>
        <v>10479.26</v>
      </c>
      <c r="BD166" s="183" t="s">
        <v>95</v>
      </c>
      <c r="BE166" s="6" t="n">
        <f aca="false">ROUND(BC166/1000,0)</f>
        <v>10</v>
      </c>
      <c r="BF166" s="280"/>
      <c r="BG166" s="183"/>
    </row>
    <row r="167" customFormat="false" ht="12.75" hidden="false" customHeight="false" outlineLevel="0" collapsed="false">
      <c r="A167" s="204" t="s">
        <v>155</v>
      </c>
      <c r="C167" s="40"/>
      <c r="E167" s="5"/>
      <c r="G167" s="212" t="s">
        <v>6</v>
      </c>
      <c r="H167" s="212"/>
      <c r="I167" s="5" t="n">
        <v>4044</v>
      </c>
      <c r="J167" s="215" t="s">
        <v>95</v>
      </c>
      <c r="L167" s="215"/>
      <c r="M167" s="5" t="n">
        <f aca="false">+I167+K167</f>
        <v>4044</v>
      </c>
      <c r="O167" s="216" t="n">
        <f aca="false">ROUND(I167/1000,0)</f>
        <v>4</v>
      </c>
      <c r="Q167" s="285"/>
      <c r="S167" s="217"/>
      <c r="V167" s="216"/>
      <c r="X167" s="218"/>
      <c r="Y167" s="218"/>
      <c r="Z167" s="218"/>
      <c r="AA167" s="218"/>
      <c r="AC167" s="216"/>
      <c r="AE167" s="217"/>
      <c r="AG167" s="217"/>
      <c r="AK167" s="289"/>
      <c r="AM167" s="191"/>
      <c r="AO167" s="191"/>
      <c r="AQ167" s="216"/>
      <c r="AS167" s="217"/>
      <c r="AU167" s="283"/>
      <c r="AY167" s="220" t="n">
        <f aca="false">+AK167+W167+I167</f>
        <v>4044</v>
      </c>
      <c r="AZ167" s="220"/>
      <c r="BA167" s="220" t="n">
        <f aca="false">+AM167+Y167+K167</f>
        <v>0</v>
      </c>
      <c r="BB167" s="220"/>
      <c r="BC167" s="220" t="n">
        <f aca="false">+AO167+AA167+M167</f>
        <v>4044</v>
      </c>
      <c r="BD167" s="183" t="s">
        <v>95</v>
      </c>
      <c r="BE167" s="6" t="n">
        <f aca="false">ROUND(BC167/1000,0)</f>
        <v>4</v>
      </c>
      <c r="BF167" s="280"/>
      <c r="BG167" s="282"/>
    </row>
    <row r="168" customFormat="false" ht="12.75" hidden="false" customHeight="false" outlineLevel="0" collapsed="false">
      <c r="A168" s="204" t="s">
        <v>156</v>
      </c>
      <c r="C168" s="40"/>
      <c r="E168" s="5"/>
      <c r="H168" s="212"/>
      <c r="J168" s="215"/>
      <c r="L168" s="215"/>
      <c r="M168" s="5" t="n">
        <f aca="false">+I168+K168</f>
        <v>0</v>
      </c>
      <c r="O168" s="216" t="n">
        <f aca="false">ROUND(I168/1000,0)</f>
        <v>0</v>
      </c>
      <c r="Q168" s="285"/>
      <c r="S168" s="217"/>
      <c r="V168" s="216"/>
      <c r="X168" s="218"/>
      <c r="Y168" s="218"/>
      <c r="Z168" s="218"/>
      <c r="AA168" s="218"/>
      <c r="AC168" s="216"/>
      <c r="AE168" s="217"/>
      <c r="AG168" s="217"/>
      <c r="AK168" s="289"/>
      <c r="AM168" s="191"/>
      <c r="AO168" s="191"/>
      <c r="AQ168" s="216"/>
      <c r="AS168" s="217"/>
      <c r="AU168" s="283"/>
      <c r="AY168" s="220" t="n">
        <f aca="false">+AK168+W168+I168</f>
        <v>0</v>
      </c>
      <c r="AZ168" s="220"/>
      <c r="BA168" s="220" t="n">
        <f aca="false">+AM168+Y168+K168</f>
        <v>0</v>
      </c>
      <c r="BB168" s="220"/>
      <c r="BC168" s="220" t="n">
        <f aca="false">+AO168+AA168+M168</f>
        <v>0</v>
      </c>
      <c r="BD168" s="183"/>
      <c r="BE168" s="6" t="n">
        <f aca="false">ROUND(BC168/1000,0)</f>
        <v>0</v>
      </c>
      <c r="BF168" s="280"/>
      <c r="BG168" s="183"/>
    </row>
    <row r="169" customFormat="false" ht="12.75" hidden="false" customHeight="false" outlineLevel="0" collapsed="false">
      <c r="A169" s="204" t="s">
        <v>157</v>
      </c>
      <c r="C169" s="40"/>
      <c r="E169" s="5"/>
      <c r="G169" s="212" t="s">
        <v>6</v>
      </c>
      <c r="H169" s="212"/>
      <c r="I169" s="5" t="n">
        <f aca="false">9685.68</f>
        <v>9685.68</v>
      </c>
      <c r="J169" s="215" t="s">
        <v>95</v>
      </c>
      <c r="L169" s="215"/>
      <c r="M169" s="5" t="n">
        <f aca="false">+I169+K169</f>
        <v>9685.68</v>
      </c>
      <c r="O169" s="216" t="n">
        <f aca="false">ROUND(I169/1000,0)</f>
        <v>10</v>
      </c>
      <c r="Q169" s="285"/>
      <c r="S169" s="217"/>
      <c r="V169" s="216"/>
      <c r="X169" s="218"/>
      <c r="Y169" s="218"/>
      <c r="Z169" s="218"/>
      <c r="AA169" s="218"/>
      <c r="AC169" s="216"/>
      <c r="AE169" s="217"/>
      <c r="AG169" s="217"/>
      <c r="AK169" s="289"/>
      <c r="AM169" s="191"/>
      <c r="AO169" s="191"/>
      <c r="AQ169" s="216"/>
      <c r="AS169" s="217"/>
      <c r="AU169" s="283"/>
      <c r="AY169" s="220" t="n">
        <f aca="false">+AK169+W169+I169</f>
        <v>9685.68</v>
      </c>
      <c r="AZ169" s="220"/>
      <c r="BA169" s="220" t="n">
        <f aca="false">+AM169+Y169+K169</f>
        <v>0</v>
      </c>
      <c r="BB169" s="220"/>
      <c r="BC169" s="220" t="n">
        <f aca="false">+AO169+AA169+M169</f>
        <v>9685.68</v>
      </c>
      <c r="BD169" s="183" t="s">
        <v>95</v>
      </c>
      <c r="BE169" s="6" t="n">
        <f aca="false">ROUND(BC169/1000,0)</f>
        <v>10</v>
      </c>
      <c r="BF169" s="288"/>
      <c r="BG169" s="183"/>
    </row>
    <row r="170" customFormat="false" ht="12.75" hidden="false" customHeight="false" outlineLevel="0" collapsed="false">
      <c r="A170" s="266" t="s">
        <v>158</v>
      </c>
      <c r="C170" s="48"/>
      <c r="E170" s="5"/>
      <c r="F170" s="212"/>
      <c r="G170" s="212" t="s">
        <v>6</v>
      </c>
      <c r="I170" s="5" t="n">
        <f aca="false">3178.77-111997.62</f>
        <v>-108818.85</v>
      </c>
      <c r="J170" s="215"/>
      <c r="L170" s="268"/>
      <c r="M170" s="5" t="n">
        <f aca="false">+I170+K170</f>
        <v>-108818.85</v>
      </c>
      <c r="O170" s="216" t="n">
        <f aca="false">ROUND(I170/1000,0)</f>
        <v>-109</v>
      </c>
      <c r="Q170" s="205"/>
      <c r="S170" s="267"/>
      <c r="U170" s="267"/>
      <c r="W170" s="51"/>
      <c r="X170" s="270"/>
      <c r="Y170" s="270"/>
      <c r="Z170" s="270"/>
      <c r="AA170" s="270"/>
      <c r="AC170" s="267"/>
      <c r="AE170" s="267"/>
      <c r="AG170" s="267"/>
      <c r="AI170" s="267"/>
      <c r="AK170" s="271"/>
      <c r="AM170" s="271"/>
      <c r="AO170" s="271"/>
      <c r="AQ170" s="267"/>
      <c r="AS170" s="267"/>
      <c r="AU170" s="267"/>
      <c r="AW170" s="267"/>
      <c r="AX170" s="267"/>
      <c r="AY170" s="220" t="n">
        <f aca="false">+AK170+W170+I170</f>
        <v>-108818.85</v>
      </c>
      <c r="AZ170" s="267"/>
      <c r="BA170" s="220" t="n">
        <f aca="false">+AM170+Y170+K170</f>
        <v>0</v>
      </c>
      <c r="BB170" s="267"/>
      <c r="BC170" s="220" t="n">
        <f aca="false">+AO170+AA170+M170</f>
        <v>-108818.85</v>
      </c>
      <c r="BD170" s="183"/>
      <c r="BE170" s="6" t="n">
        <f aca="false">ROUND(BC170/1000,0)</f>
        <v>-109</v>
      </c>
      <c r="BF170" s="288" t="n">
        <f aca="false">+BC154+BC156+BC157+BC158+BC163+BC164+BC165+BC166+BC168+BC169</f>
        <v>682220.62</v>
      </c>
      <c r="BG170" s="183"/>
    </row>
    <row r="171" customFormat="false" ht="12.75" hidden="false" customHeight="false" outlineLevel="0" collapsed="false">
      <c r="A171" s="204" t="s">
        <v>159</v>
      </c>
      <c r="C171" s="57" t="n">
        <f aca="false">SUM(C154:C170)</f>
        <v>0</v>
      </c>
      <c r="E171" s="290" t="n">
        <f aca="false">SUM(E154:E170)</f>
        <v>0</v>
      </c>
      <c r="F171" s="217"/>
      <c r="G171" s="291"/>
      <c r="I171" s="292" t="n">
        <f aca="false">SUM(I153:I170)</f>
        <v>-2843645.84</v>
      </c>
      <c r="J171" s="215"/>
      <c r="K171" s="60" t="n">
        <f aca="false">SUM(K154:K170)</f>
        <v>0</v>
      </c>
      <c r="L171" s="215"/>
      <c r="M171" s="292" t="n">
        <f aca="false">SUM(M153:M170)</f>
        <v>-2843645.84</v>
      </c>
      <c r="O171" s="292" t="n">
        <f aca="false">SUM(O153:O170)</f>
        <v>-2845</v>
      </c>
      <c r="Q171" s="290" t="n">
        <f aca="false">SUM(Q154:Q170)</f>
        <v>0</v>
      </c>
      <c r="S171" s="291" t="n">
        <f aca="false">SUM(S154:S170)</f>
        <v>0</v>
      </c>
      <c r="U171" s="291" t="n">
        <f aca="false">SUM(U154:U170)</f>
        <v>0</v>
      </c>
      <c r="W171" s="60" t="n">
        <f aca="false">SUM(W154:W170)</f>
        <v>0</v>
      </c>
      <c r="X171" s="218"/>
      <c r="Y171" s="293" t="n">
        <f aca="false">SUM(Y154:Y170)</f>
        <v>0</v>
      </c>
      <c r="Z171" s="218"/>
      <c r="AA171" s="293" t="n">
        <f aca="false">SUM(AA154:AA170)</f>
        <v>0</v>
      </c>
      <c r="AC171" s="294" t="n">
        <f aca="false">SUM(AC154:AC170)</f>
        <v>0</v>
      </c>
      <c r="AE171" s="295" t="n">
        <f aca="false">SUM(AE154:AE170)</f>
        <v>0</v>
      </c>
      <c r="AG171" s="291" t="n">
        <f aca="false">SUM(AG154:AG170)</f>
        <v>0</v>
      </c>
      <c r="AI171" s="291" t="n">
        <f aca="false">SUM(AI154:AI170)</f>
        <v>0</v>
      </c>
      <c r="AK171" s="296" t="n">
        <f aca="false">SUM(AK154:AK170)</f>
        <v>0</v>
      </c>
      <c r="AM171" s="296" t="n">
        <f aca="false">SUM(AM154:AM170)</f>
        <v>0</v>
      </c>
      <c r="AO171" s="296" t="n">
        <f aca="false">SUM(AO154:AO170)</f>
        <v>0</v>
      </c>
      <c r="AQ171" s="294" t="n">
        <f aca="false">SUM(AQ154:AQ170)</f>
        <v>0</v>
      </c>
      <c r="AS171" s="295" t="n">
        <f aca="false">SUM(AS154:AS170)</f>
        <v>0</v>
      </c>
      <c r="AU171" s="295" t="n">
        <f aca="false">SUM(AU154:AU170)</f>
        <v>0</v>
      </c>
      <c r="AW171" s="291" t="n">
        <f aca="false">SUM(AW154:AW170)</f>
        <v>-12096391.47</v>
      </c>
      <c r="AY171" s="292" t="n">
        <f aca="false">SUM(AY153:AY170)</f>
        <v>-2843645.84</v>
      </c>
      <c r="AZ171" s="220"/>
      <c r="BA171" s="292" t="n">
        <f aca="false">SUM(BA153:BA170)</f>
        <v>0</v>
      </c>
      <c r="BB171" s="220"/>
      <c r="BC171" s="292" t="n">
        <f aca="false">SUM(BC153:BC170)</f>
        <v>-2843645.84</v>
      </c>
      <c r="BD171" s="183"/>
      <c r="BE171" s="63" t="n">
        <f aca="false">SUM(BE153:BE170)</f>
        <v>-2845</v>
      </c>
      <c r="BG171" s="183"/>
    </row>
    <row r="172" customFormat="false" ht="12.75" hidden="false" customHeight="false" outlineLevel="0" collapsed="false">
      <c r="A172" s="266"/>
      <c r="C172" s="48"/>
      <c r="E172" s="205"/>
      <c r="F172" s="212"/>
      <c r="G172" s="267"/>
      <c r="I172" s="51"/>
      <c r="J172" s="268"/>
      <c r="K172" s="51"/>
      <c r="L172" s="268"/>
      <c r="M172" s="51"/>
      <c r="O172" s="269"/>
      <c r="Q172" s="205"/>
      <c r="S172" s="267"/>
      <c r="U172" s="267"/>
      <c r="W172" s="51"/>
      <c r="X172" s="270"/>
      <c r="Y172" s="270"/>
      <c r="Z172" s="270"/>
      <c r="AA172" s="270"/>
      <c r="AC172" s="267"/>
      <c r="AE172" s="267"/>
      <c r="AG172" s="267"/>
      <c r="AI172" s="267"/>
      <c r="AK172" s="271"/>
      <c r="AM172" s="271"/>
      <c r="AO172" s="271"/>
      <c r="AQ172" s="267"/>
      <c r="AS172" s="267"/>
      <c r="AU172" s="267"/>
      <c r="AW172" s="267"/>
      <c r="AX172" s="267"/>
      <c r="AY172" s="267"/>
      <c r="AZ172" s="267"/>
      <c r="BA172" s="267"/>
      <c r="BB172" s="267"/>
      <c r="BC172" s="297"/>
      <c r="BD172" s="183"/>
      <c r="BE172" s="52"/>
      <c r="BG172" s="183"/>
    </row>
    <row r="173" customFormat="false" ht="13.5" hidden="false" customHeight="false" outlineLevel="0" collapsed="false">
      <c r="A173" s="204" t="s">
        <v>160</v>
      </c>
      <c r="C173" s="298" t="n">
        <f aca="false">C150+C171</f>
        <v>52290577</v>
      </c>
      <c r="E173" s="299" t="n">
        <f aca="false">E150+E171</f>
        <v>1686792</v>
      </c>
      <c r="G173" s="300" t="n">
        <f aca="false">+I173/C173</f>
        <v>0.285536597922796</v>
      </c>
      <c r="I173" s="165" t="n">
        <f aca="false">I150-I171</f>
        <v>14930873.46</v>
      </c>
      <c r="J173" s="215"/>
      <c r="K173" s="165" t="n">
        <f aca="false">K150-K171</f>
        <v>391470.08</v>
      </c>
      <c r="L173" s="215"/>
      <c r="M173" s="165" t="n">
        <f aca="false">M150-M171</f>
        <v>15322343.54</v>
      </c>
      <c r="O173" s="301" t="n">
        <f aca="false">O150-O171</f>
        <v>15324</v>
      </c>
      <c r="Q173" s="302" t="n">
        <f aca="false">Q150+Q171</f>
        <v>5181</v>
      </c>
      <c r="S173" s="302" t="n">
        <f aca="false">S150+S171</f>
        <v>173</v>
      </c>
      <c r="U173" s="300" t="n">
        <f aca="false">+W173/Q173</f>
        <v>1.78604130476742</v>
      </c>
      <c r="W173" s="165" t="n">
        <f aca="false">+W150-W171</f>
        <v>9253.48</v>
      </c>
      <c r="X173" s="215"/>
      <c r="Y173" s="303" t="n">
        <f aca="false">Y150-Y171</f>
        <v>77.67</v>
      </c>
      <c r="Z173" s="215"/>
      <c r="AA173" s="303" t="n">
        <f aca="false">AA150-AA171</f>
        <v>9331.15</v>
      </c>
      <c r="AC173" s="301" t="n">
        <f aca="false">AC150-AC171</f>
        <v>8</v>
      </c>
      <c r="AE173" s="302" t="n">
        <f aca="false">AE150+AE171</f>
        <v>0</v>
      </c>
      <c r="AG173" s="302" t="n">
        <f aca="false">AG150+AG171</f>
        <v>0</v>
      </c>
      <c r="AI173" s="300" t="e">
        <f aca="false">IF(AK173=0,0,AK173/AE173)</f>
        <v>#DIV/0!</v>
      </c>
      <c r="AK173" s="303" t="n">
        <f aca="false">AK150-AK171</f>
        <v>-89.63</v>
      </c>
      <c r="AM173" s="303" t="n">
        <f aca="false">AM150-AM171</f>
        <v>0</v>
      </c>
      <c r="AO173" s="303" t="n">
        <f aca="false">AO150-AO171</f>
        <v>-89.63</v>
      </c>
      <c r="AQ173" s="301" t="n">
        <f aca="false">AQ150-AQ171</f>
        <v>0</v>
      </c>
      <c r="AS173" s="302" t="n">
        <f aca="false">AS150+AS171</f>
        <v>52295758</v>
      </c>
      <c r="AU173" s="302" t="n">
        <f aca="false">AU150+AU171</f>
        <v>1686965</v>
      </c>
      <c r="AW173" s="300" t="n">
        <f aca="false">+AY173/AS173</f>
        <v>0.285683540718542</v>
      </c>
      <c r="AY173" s="303" t="n">
        <f aca="false">AY150-AY171</f>
        <v>14940037.31</v>
      </c>
      <c r="AZ173" s="215"/>
      <c r="BA173" s="303" t="n">
        <f aca="false">BA150-BA171</f>
        <v>391547.75</v>
      </c>
      <c r="BB173" s="215"/>
      <c r="BC173" s="303" t="n">
        <f aca="false">BC150-BC171</f>
        <v>15331585.06</v>
      </c>
      <c r="BD173" s="183"/>
      <c r="BE173" s="170" t="n">
        <f aca="false">BE150-BE171</f>
        <v>15333</v>
      </c>
      <c r="BG173" s="183"/>
    </row>
    <row r="174" customFormat="false" ht="13.5" hidden="false" customHeight="false" outlineLevel="0" collapsed="false">
      <c r="A174" s="266"/>
      <c r="C174" s="48"/>
      <c r="E174" s="209"/>
      <c r="G174" s="206"/>
      <c r="J174" s="207"/>
      <c r="K174" s="51"/>
      <c r="L174" s="207"/>
      <c r="M174" s="51"/>
      <c r="O174" s="206"/>
      <c r="Q174" s="209"/>
      <c r="S174" s="206"/>
      <c r="U174" s="206"/>
      <c r="W174" s="51"/>
      <c r="X174" s="208"/>
      <c r="Y174" s="208"/>
      <c r="Z174" s="208"/>
      <c r="AA174" s="208"/>
      <c r="AC174" s="206"/>
      <c r="AE174" s="206"/>
      <c r="AG174" s="206"/>
      <c r="AI174" s="206"/>
      <c r="AK174" s="210"/>
      <c r="AM174" s="210"/>
      <c r="AO174" s="210"/>
      <c r="AQ174" s="206"/>
      <c r="AS174" s="206"/>
      <c r="AU174" s="206"/>
      <c r="AW174" s="206"/>
      <c r="AX174" s="206"/>
      <c r="AY174" s="206"/>
      <c r="AZ174" s="206"/>
      <c r="BA174" s="206"/>
      <c r="BB174" s="206"/>
      <c r="BC174" s="304"/>
      <c r="BD174" s="183"/>
      <c r="BE174" s="52"/>
      <c r="BG174" s="183"/>
    </row>
    <row r="175" customFormat="false" ht="12.75" hidden="false" customHeight="false" outlineLevel="0" collapsed="false">
      <c r="A175" s="266"/>
      <c r="C175" s="40"/>
      <c r="E175" s="190"/>
      <c r="I175" s="277"/>
      <c r="J175" s="189"/>
      <c r="L175" s="189"/>
      <c r="Q175" s="190"/>
      <c r="X175" s="191"/>
      <c r="Y175" s="191"/>
      <c r="Z175" s="191"/>
      <c r="AA175" s="191"/>
      <c r="AK175" s="192"/>
      <c r="AM175" s="191"/>
      <c r="AO175" s="191"/>
      <c r="AY175" s="215"/>
      <c r="AZ175" s="215"/>
      <c r="BA175" s="215"/>
      <c r="BB175" s="215"/>
      <c r="BC175" s="215"/>
      <c r="BD175" s="183"/>
      <c r="BF175" s="305"/>
      <c r="BG175" s="183"/>
    </row>
    <row r="176" customFormat="false" ht="12.75" hidden="false" customHeight="false" outlineLevel="0" collapsed="false">
      <c r="A176" s="266" t="s">
        <v>80</v>
      </c>
      <c r="C176" s="40"/>
      <c r="E176" s="190"/>
      <c r="I176" s="129"/>
      <c r="J176" s="129"/>
      <c r="K176" s="129"/>
      <c r="L176" s="189"/>
      <c r="Q176" s="190"/>
      <c r="X176" s="191"/>
      <c r="Y176" s="191"/>
      <c r="Z176" s="191"/>
      <c r="AA176" s="191"/>
      <c r="AK176" s="192"/>
      <c r="AM176" s="191"/>
      <c r="AO176" s="191"/>
      <c r="BC176" s="189"/>
      <c r="BD176" s="183"/>
      <c r="BF176" s="183"/>
      <c r="BG176" s="305"/>
    </row>
    <row r="177" customFormat="false" ht="12.75" hidden="false" customHeight="false" outlineLevel="0" collapsed="false">
      <c r="BC177" s="6"/>
      <c r="BG177" s="287"/>
    </row>
    <row r="178" customFormat="false" ht="12.75" hidden="false" customHeight="false" outlineLevel="0" collapsed="false">
      <c r="BC178" s="189"/>
      <c r="BG178" s="287"/>
    </row>
    <row r="179" customFormat="false" ht="12.75" hidden="false" customHeight="false" outlineLevel="0" collapsed="false">
      <c r="I179" s="277"/>
      <c r="BC179" s="189"/>
      <c r="BG179" s="287"/>
    </row>
    <row r="180" customFormat="false" ht="12.75" hidden="false" customHeight="false" outlineLevel="0" collapsed="false">
      <c r="BC180" s="189"/>
    </row>
    <row r="181" customFormat="false" ht="12.75" hidden="false" customHeight="false" outlineLevel="0" collapsed="false">
      <c r="BG181" s="288"/>
    </row>
    <row r="182" customFormat="false" ht="12.75" hidden="false" customHeight="false" outlineLevel="0" collapsed="false">
      <c r="BF182" s="6"/>
    </row>
  </sheetData>
  <mergeCells count="3">
    <mergeCell ref="Q6:AC6"/>
    <mergeCell ref="AE6:AQ6"/>
    <mergeCell ref="AS6:BE6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615" ySplit="0" topLeftCell="AW1" activePane="topRight" state="split"/>
      <selection pane="topLeft" activeCell="A1" activeCellId="0" sqref="A1"/>
      <selection pane="topRight" activeCell="AZ1" activeCellId="0" sqref="AZ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8" width="9.14"/>
    <col collapsed="false" customWidth="true" hidden="false" outlineLevel="0" max="2" min="2" style="178" width="21.56"/>
    <col collapsed="false" customWidth="true" hidden="false" outlineLevel="0" max="3" min="3" style="178" width="10.99"/>
    <col collapsed="false" customWidth="true" hidden="false" outlineLevel="0" max="4" min="4" style="40" width="10.28"/>
    <col collapsed="false" customWidth="true" hidden="false" outlineLevel="0" max="5" min="5" style="3" width="2.7"/>
    <col collapsed="false" customWidth="true" hidden="false" outlineLevel="0" max="6" min="6" style="190" width="8.41"/>
    <col collapsed="false" customWidth="true" hidden="false" outlineLevel="0" max="7" min="7" style="178" width="2.7"/>
    <col collapsed="false" customWidth="true" hidden="false" outlineLevel="0" max="8" min="8" style="306" width="9.7"/>
    <col collapsed="false" customWidth="true" hidden="false" outlineLevel="0" max="9" min="9" style="178" width="2.7"/>
    <col collapsed="false" customWidth="true" hidden="false" outlineLevel="0" max="10" min="10" style="277" width="14.85"/>
    <col collapsed="false" customWidth="true" hidden="false" outlineLevel="0" max="11" min="11" style="5" width="2.7"/>
    <col collapsed="false" customWidth="true" hidden="false" outlineLevel="0" max="12" min="12" style="307" width="8.41"/>
    <col collapsed="false" customWidth="true" hidden="false" outlineLevel="0" max="13" min="13" style="308" width="4.7"/>
    <col collapsed="false" customWidth="true" hidden="false" outlineLevel="0" max="14" min="14" style="40" width="12.28"/>
    <col collapsed="false" customWidth="true" hidden="false" outlineLevel="0" max="15" min="15" style="178" width="2.7"/>
    <col collapsed="false" customWidth="true" hidden="false" outlineLevel="0" max="16" min="16" style="190" width="8.7"/>
    <col collapsed="false" customWidth="true" hidden="false" outlineLevel="0" max="17" min="17" style="178" width="2.7"/>
    <col collapsed="false" customWidth="true" hidden="false" outlineLevel="0" max="18" min="18" style="309" width="12.42"/>
    <col collapsed="false" customWidth="true" hidden="false" outlineLevel="0" max="19" min="19" style="178" width="2.7"/>
    <col collapsed="false" customWidth="true" hidden="false" outlineLevel="0" max="20" min="20" style="277" width="14.85"/>
    <col collapsed="false" customWidth="true" hidden="false" outlineLevel="0" max="21" min="21" style="178" width="2.7"/>
    <col collapsed="false" customWidth="true" hidden="false" outlineLevel="0" max="22" min="22" style="307" width="8.28"/>
    <col collapsed="false" customWidth="true" hidden="false" outlineLevel="0" max="23" min="23" style="178" width="4.7"/>
    <col collapsed="false" customWidth="true" hidden="false" outlineLevel="0" max="24" min="24" style="40" width="12.28"/>
    <col collapsed="false" customWidth="true" hidden="false" outlineLevel="0" max="25" min="25" style="178" width="2.7"/>
    <col collapsed="false" customWidth="true" hidden="false" outlineLevel="0" max="26" min="26" style="190" width="8.28"/>
    <col collapsed="false" customWidth="true" hidden="false" outlineLevel="0" max="27" min="27" style="178" width="2.7"/>
    <col collapsed="false" customWidth="true" hidden="false" outlineLevel="0" max="28" min="28" style="306" width="9.99"/>
    <col collapsed="false" customWidth="true" hidden="false" outlineLevel="0" max="29" min="29" style="178" width="2.7"/>
    <col collapsed="false" customWidth="true" hidden="false" outlineLevel="0" max="30" min="30" style="277" width="14.85"/>
    <col collapsed="false" customWidth="true" hidden="false" outlineLevel="0" max="31" min="31" style="178" width="2.7"/>
    <col collapsed="false" customWidth="true" hidden="false" outlineLevel="0" max="32" min="32" style="307" width="8.7"/>
    <col collapsed="false" customWidth="true" hidden="false" outlineLevel="0" max="33" min="33" style="183" width="2.7"/>
    <col collapsed="false" customWidth="true" hidden="false" outlineLevel="0" max="34" min="34" style="40" width="10.71"/>
    <col collapsed="false" customWidth="true" hidden="false" outlineLevel="0" max="35" min="35" style="178" width="2.7"/>
    <col collapsed="false" customWidth="false" hidden="false" outlineLevel="0" max="36" min="36" style="190" width="9.14"/>
    <col collapsed="false" customWidth="true" hidden="false" outlineLevel="0" max="37" min="37" style="178" width="2.7"/>
    <col collapsed="false" customWidth="false" hidden="false" outlineLevel="0" max="38" min="38" style="306" width="9.14"/>
    <col collapsed="false" customWidth="true" hidden="false" outlineLevel="0" max="39" min="39" style="178" width="2.7"/>
    <col collapsed="false" customWidth="true" hidden="false" outlineLevel="0" max="40" min="40" style="192" width="15.7"/>
    <col collapsed="false" customWidth="true" hidden="false" outlineLevel="0" max="41" min="41" style="178" width="2.7"/>
    <col collapsed="false" customWidth="false" hidden="false" outlineLevel="0" max="42" min="42" style="310" width="9.14"/>
    <col collapsed="false" customWidth="true" hidden="false" outlineLevel="0" max="43" min="43" style="178" width="4.7"/>
    <col collapsed="false" customWidth="true" hidden="false" outlineLevel="0" max="44" min="44" style="190" width="11.28"/>
    <col collapsed="false" customWidth="true" hidden="false" outlineLevel="0" max="45" min="45" style="178" width="2.7"/>
    <col collapsed="false" customWidth="true" hidden="false" outlineLevel="0" max="46" min="46" style="190" width="8.28"/>
    <col collapsed="false" customWidth="true" hidden="false" outlineLevel="0" max="47" min="47" style="178" width="2.7"/>
    <col collapsed="false" customWidth="false" hidden="false" outlineLevel="0" max="48" min="48" style="178" width="9.14"/>
    <col collapsed="false" customWidth="true" hidden="false" outlineLevel="0" max="49" min="49" style="178" width="2.7"/>
    <col collapsed="false" customWidth="true" hidden="false" outlineLevel="0" max="50" min="50" style="178" width="15.85"/>
    <col collapsed="false" customWidth="true" hidden="false" outlineLevel="0" max="51" min="51" style="178" width="2.7"/>
    <col collapsed="false" customWidth="true" hidden="false" outlineLevel="0" max="52" min="52" style="310" width="8.7"/>
    <col collapsed="false" customWidth="true" hidden="false" outlineLevel="0" max="53" min="53" style="178" width="19.85"/>
    <col collapsed="false" customWidth="true" hidden="false" outlineLevel="0" max="54" min="54" style="178" width="30.28"/>
    <col collapsed="false" customWidth="false" hidden="false" outlineLevel="0" max="257" min="55" style="178" width="9.14"/>
  </cols>
  <sheetData>
    <row r="1" customFormat="false" ht="12.75" hidden="false" customHeight="false" outlineLevel="0" collapsed="false">
      <c r="A1" s="178" t="s">
        <v>161</v>
      </c>
      <c r="AH1" s="190"/>
      <c r="AR1" s="311" t="s">
        <v>162</v>
      </c>
      <c r="AS1" s="180"/>
      <c r="AT1" s="312" t="s">
        <v>163</v>
      </c>
      <c r="AU1" s="180"/>
      <c r="AV1" s="183" t="s">
        <v>164</v>
      </c>
      <c r="AW1" s="313"/>
      <c r="AX1" s="314" t="n">
        <v>31</v>
      </c>
    </row>
    <row r="2" customFormat="false" ht="12.75" hidden="false" customHeight="false" outlineLevel="0" collapsed="false">
      <c r="A2" s="178" t="s">
        <v>165</v>
      </c>
      <c r="AH2" s="190"/>
      <c r="AR2" s="315"/>
      <c r="AS2" s="183"/>
      <c r="AT2" s="316" t="s">
        <v>166</v>
      </c>
      <c r="AU2" s="183"/>
      <c r="AV2" s="183" t="s">
        <v>167</v>
      </c>
      <c r="AW2" s="317"/>
      <c r="AX2" s="318" t="n">
        <v>30</v>
      </c>
    </row>
    <row r="3" customFormat="false" ht="12.75" hidden="false" customHeight="false" outlineLevel="0" collapsed="false">
      <c r="A3" s="319" t="s">
        <v>168</v>
      </c>
      <c r="AH3" s="190"/>
      <c r="AR3" s="320"/>
      <c r="AS3" s="186"/>
      <c r="AT3" s="321"/>
      <c r="AU3" s="186"/>
      <c r="AV3" s="186" t="s">
        <v>169</v>
      </c>
      <c r="AW3" s="322" t="n">
        <v>12</v>
      </c>
      <c r="AX3" s="323" t="n">
        <f aca="false">+AZ3/AW3</f>
        <v>30.4166666666667</v>
      </c>
      <c r="AZ3" s="3" t="n">
        <f aca="false">31+28+31+30+31+30+31+31+30+31+30+31</f>
        <v>365</v>
      </c>
    </row>
    <row r="6" customFormat="false" ht="12.75" hidden="false" customHeight="false" outlineLevel="0" collapsed="false">
      <c r="D6" s="324" t="str">
        <f aca="false">+A3</f>
        <v>December, 2001</v>
      </c>
      <c r="E6" s="324"/>
      <c r="F6" s="324"/>
      <c r="G6" s="324"/>
      <c r="H6" s="324"/>
      <c r="I6" s="324"/>
      <c r="J6" s="324"/>
      <c r="K6" s="324"/>
      <c r="L6" s="324"/>
      <c r="M6" s="324"/>
      <c r="N6" s="324" t="s">
        <v>170</v>
      </c>
      <c r="O6" s="324"/>
      <c r="P6" s="324"/>
      <c r="Q6" s="324"/>
      <c r="R6" s="324"/>
      <c r="S6" s="324"/>
      <c r="T6" s="324"/>
      <c r="U6" s="324"/>
      <c r="V6" s="324"/>
      <c r="W6" s="324"/>
      <c r="X6" s="324" t="s">
        <v>171</v>
      </c>
      <c r="Y6" s="324"/>
      <c r="Z6" s="324"/>
      <c r="AA6" s="324"/>
      <c r="AB6" s="324"/>
      <c r="AC6" s="324"/>
      <c r="AD6" s="324"/>
      <c r="AE6" s="324"/>
      <c r="AF6" s="324"/>
      <c r="AG6" s="324"/>
      <c r="AH6" s="43" t="s">
        <v>172</v>
      </c>
      <c r="AI6" s="43"/>
      <c r="AJ6" s="43"/>
      <c r="AK6" s="43"/>
      <c r="AL6" s="43"/>
      <c r="AM6" s="43"/>
      <c r="AN6" s="43"/>
      <c r="AO6" s="43"/>
      <c r="AP6" s="43"/>
      <c r="AR6" s="43" t="s">
        <v>173</v>
      </c>
      <c r="AS6" s="43"/>
      <c r="AT6" s="43"/>
      <c r="AU6" s="43"/>
      <c r="AV6" s="43"/>
      <c r="AW6" s="43"/>
      <c r="AX6" s="43"/>
      <c r="AY6" s="43"/>
      <c r="AZ6" s="43"/>
      <c r="BA6" s="325" t="s">
        <v>174</v>
      </c>
      <c r="BB6" s="325"/>
    </row>
    <row r="7" customFormat="false" ht="12.75" hidden="false" customHeight="false" outlineLevel="0" collapsed="false">
      <c r="AN7" s="277"/>
      <c r="AP7" s="310" t="s">
        <v>175</v>
      </c>
      <c r="AR7" s="40"/>
      <c r="AX7" s="5"/>
    </row>
    <row r="8" customFormat="false" ht="12.75" hidden="false" customHeight="false" outlineLevel="0" collapsed="false">
      <c r="A8" s="326"/>
      <c r="B8" s="326"/>
      <c r="C8" s="326"/>
      <c r="D8" s="9"/>
      <c r="E8" s="327"/>
      <c r="F8" s="328" t="s">
        <v>7</v>
      </c>
      <c r="G8" s="326"/>
      <c r="H8" s="329"/>
      <c r="I8" s="326"/>
      <c r="J8" s="330"/>
      <c r="K8" s="11"/>
      <c r="L8" s="331" t="s">
        <v>10</v>
      </c>
      <c r="M8" s="332"/>
      <c r="N8" s="9"/>
      <c r="O8" s="326"/>
      <c r="P8" s="328" t="s">
        <v>7</v>
      </c>
      <c r="Q8" s="326"/>
      <c r="R8" s="333"/>
      <c r="S8" s="326"/>
      <c r="T8" s="330"/>
      <c r="U8" s="326"/>
      <c r="V8" s="331" t="s">
        <v>10</v>
      </c>
      <c r="W8" s="326"/>
      <c r="X8" s="9"/>
      <c r="Y8" s="326"/>
      <c r="Z8" s="328" t="s">
        <v>7</v>
      </c>
      <c r="AA8" s="326"/>
      <c r="AB8" s="329"/>
      <c r="AC8" s="326"/>
      <c r="AD8" s="330"/>
      <c r="AE8" s="326"/>
      <c r="AF8" s="331" t="s">
        <v>10</v>
      </c>
      <c r="AG8" s="334"/>
      <c r="AH8" s="9"/>
      <c r="AI8" s="326"/>
      <c r="AJ8" s="328" t="s">
        <v>7</v>
      </c>
      <c r="AK8" s="326"/>
      <c r="AL8" s="329"/>
      <c r="AM8" s="326"/>
      <c r="AN8" s="330"/>
      <c r="AO8" s="326"/>
      <c r="AP8" s="335" t="s">
        <v>10</v>
      </c>
      <c r="AQ8" s="326"/>
      <c r="AR8" s="9"/>
      <c r="AS8" s="326"/>
      <c r="AT8" s="328" t="s">
        <v>7</v>
      </c>
      <c r="AU8" s="326"/>
      <c r="AV8" s="326"/>
      <c r="AW8" s="326"/>
      <c r="AX8" s="330"/>
      <c r="AY8" s="326"/>
      <c r="AZ8" s="335" t="s">
        <v>10</v>
      </c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6"/>
      <c r="BW8" s="326"/>
      <c r="BX8" s="326"/>
      <c r="BY8" s="326"/>
      <c r="BZ8" s="326"/>
      <c r="CA8" s="326"/>
      <c r="CB8" s="326"/>
      <c r="CC8" s="326"/>
      <c r="CD8" s="326"/>
      <c r="CE8" s="326"/>
      <c r="CF8" s="326"/>
      <c r="CG8" s="326"/>
      <c r="CH8" s="326"/>
      <c r="CI8" s="326"/>
      <c r="CJ8" s="326"/>
      <c r="CK8" s="326"/>
      <c r="CL8" s="326"/>
      <c r="CM8" s="326"/>
      <c r="CN8" s="326"/>
      <c r="CO8" s="326"/>
      <c r="CP8" s="326"/>
      <c r="CQ8" s="326"/>
      <c r="CR8" s="326"/>
      <c r="CS8" s="326"/>
      <c r="CT8" s="326"/>
      <c r="CU8" s="326"/>
      <c r="CV8" s="326"/>
      <c r="CW8" s="326"/>
      <c r="CX8" s="326"/>
      <c r="CY8" s="326"/>
      <c r="CZ8" s="326"/>
      <c r="DA8" s="326"/>
      <c r="DB8" s="326"/>
      <c r="DC8" s="326"/>
      <c r="DD8" s="326"/>
      <c r="DE8" s="326"/>
      <c r="DF8" s="326"/>
      <c r="DG8" s="326"/>
      <c r="DH8" s="326"/>
      <c r="DI8" s="326"/>
      <c r="DJ8" s="326"/>
      <c r="DK8" s="326"/>
      <c r="DL8" s="326"/>
      <c r="DM8" s="326"/>
      <c r="DN8" s="326"/>
      <c r="DO8" s="326"/>
      <c r="DP8" s="326"/>
      <c r="DQ8" s="326"/>
      <c r="DR8" s="326"/>
      <c r="DS8" s="326"/>
      <c r="DT8" s="326"/>
      <c r="DU8" s="326"/>
      <c r="DV8" s="326"/>
      <c r="DW8" s="326"/>
      <c r="DX8" s="326"/>
      <c r="DY8" s="326"/>
      <c r="DZ8" s="326"/>
      <c r="EA8" s="326"/>
      <c r="EB8" s="326"/>
      <c r="EC8" s="326"/>
      <c r="ED8" s="326"/>
      <c r="EE8" s="326"/>
      <c r="EF8" s="326"/>
      <c r="EG8" s="326"/>
      <c r="EH8" s="326"/>
      <c r="EI8" s="326"/>
      <c r="EJ8" s="326"/>
      <c r="EK8" s="326"/>
      <c r="EL8" s="326"/>
      <c r="EM8" s="326"/>
      <c r="EN8" s="326"/>
      <c r="EO8" s="326"/>
      <c r="EP8" s="326"/>
      <c r="EQ8" s="326"/>
      <c r="ER8" s="326"/>
      <c r="ES8" s="326"/>
      <c r="ET8" s="326"/>
      <c r="EU8" s="326"/>
      <c r="EV8" s="326"/>
      <c r="EW8" s="326"/>
      <c r="EX8" s="326"/>
      <c r="EY8" s="326"/>
      <c r="EZ8" s="326"/>
      <c r="FA8" s="326"/>
      <c r="FB8" s="326"/>
      <c r="FC8" s="326"/>
      <c r="FD8" s="326"/>
      <c r="FE8" s="326"/>
      <c r="FF8" s="326"/>
      <c r="FG8" s="326"/>
      <c r="FH8" s="326"/>
      <c r="FI8" s="326"/>
      <c r="FJ8" s="326"/>
      <c r="FK8" s="326"/>
      <c r="FL8" s="326"/>
      <c r="FM8" s="326"/>
      <c r="FN8" s="326"/>
      <c r="FO8" s="326"/>
      <c r="FP8" s="326"/>
      <c r="FQ8" s="326"/>
      <c r="FR8" s="326"/>
      <c r="FS8" s="326"/>
      <c r="FT8" s="326"/>
      <c r="FU8" s="326"/>
      <c r="FV8" s="326"/>
      <c r="FW8" s="326"/>
      <c r="FX8" s="326"/>
      <c r="FY8" s="326"/>
      <c r="FZ8" s="326"/>
      <c r="GA8" s="326"/>
      <c r="GB8" s="326"/>
      <c r="GC8" s="326"/>
      <c r="GD8" s="326"/>
      <c r="GE8" s="326"/>
      <c r="GF8" s="326"/>
      <c r="GG8" s="326"/>
      <c r="GH8" s="326"/>
      <c r="GI8" s="326"/>
      <c r="GJ8" s="326"/>
      <c r="GK8" s="326"/>
      <c r="GL8" s="326"/>
      <c r="GM8" s="326"/>
      <c r="GN8" s="326"/>
      <c r="GO8" s="326"/>
      <c r="GP8" s="326"/>
      <c r="GQ8" s="326"/>
      <c r="GR8" s="326"/>
      <c r="GS8" s="326"/>
      <c r="GT8" s="326"/>
      <c r="GU8" s="326"/>
      <c r="GV8" s="326"/>
      <c r="GW8" s="326"/>
      <c r="GX8" s="326"/>
      <c r="GY8" s="326"/>
      <c r="GZ8" s="326"/>
      <c r="HA8" s="326"/>
      <c r="HB8" s="326"/>
      <c r="HC8" s="326"/>
      <c r="HD8" s="326"/>
      <c r="HE8" s="326"/>
      <c r="HF8" s="326"/>
      <c r="HG8" s="326"/>
      <c r="HH8" s="326"/>
      <c r="HI8" s="326"/>
      <c r="HJ8" s="326"/>
      <c r="HK8" s="326"/>
      <c r="HL8" s="326"/>
      <c r="HM8" s="326"/>
      <c r="HN8" s="326"/>
      <c r="HO8" s="326"/>
      <c r="HP8" s="326"/>
      <c r="HQ8" s="326"/>
      <c r="HR8" s="326"/>
      <c r="HS8" s="326"/>
      <c r="HT8" s="326"/>
      <c r="HU8" s="326"/>
      <c r="HV8" s="326"/>
      <c r="HW8" s="326"/>
      <c r="HX8" s="326"/>
      <c r="HY8" s="326"/>
      <c r="HZ8" s="326"/>
      <c r="IA8" s="326"/>
      <c r="IB8" s="326"/>
      <c r="IC8" s="326"/>
      <c r="ID8" s="326"/>
      <c r="IE8" s="326"/>
      <c r="IF8" s="326"/>
      <c r="IG8" s="326"/>
      <c r="IH8" s="326"/>
      <c r="II8" s="326"/>
      <c r="IJ8" s="326"/>
      <c r="IK8" s="326"/>
      <c r="IL8" s="326"/>
      <c r="IM8" s="326"/>
      <c r="IN8" s="326"/>
      <c r="IO8" s="326"/>
      <c r="IP8" s="326"/>
      <c r="IQ8" s="326"/>
      <c r="IR8" s="326"/>
      <c r="IS8" s="326"/>
      <c r="IT8" s="326"/>
      <c r="IU8" s="326"/>
      <c r="IV8" s="326"/>
      <c r="IW8" s="326"/>
    </row>
    <row r="9" customFormat="false" ht="12.75" hidden="false" customHeight="false" outlineLevel="0" collapsed="false">
      <c r="A9" s="326"/>
      <c r="B9" s="326"/>
      <c r="C9" s="326"/>
      <c r="D9" s="43" t="s">
        <v>11</v>
      </c>
      <c r="E9" s="327"/>
      <c r="F9" s="336" t="s">
        <v>12</v>
      </c>
      <c r="G9" s="326"/>
      <c r="H9" s="337" t="s">
        <v>13</v>
      </c>
      <c r="I9" s="326"/>
      <c r="J9" s="338" t="s">
        <v>17</v>
      </c>
      <c r="K9" s="11"/>
      <c r="L9" s="339" t="s">
        <v>17</v>
      </c>
      <c r="M9" s="332"/>
      <c r="N9" s="43" t="s">
        <v>11</v>
      </c>
      <c r="O9" s="326"/>
      <c r="P9" s="336" t="s">
        <v>12</v>
      </c>
      <c r="Q9" s="326"/>
      <c r="R9" s="340" t="s">
        <v>13</v>
      </c>
      <c r="S9" s="326"/>
      <c r="T9" s="338" t="s">
        <v>17</v>
      </c>
      <c r="U9" s="326"/>
      <c r="V9" s="339" t="s">
        <v>17</v>
      </c>
      <c r="W9" s="326"/>
      <c r="X9" s="43" t="s">
        <v>11</v>
      </c>
      <c r="Y9" s="326"/>
      <c r="Z9" s="336" t="s">
        <v>12</v>
      </c>
      <c r="AA9" s="326"/>
      <c r="AB9" s="337" t="s">
        <v>13</v>
      </c>
      <c r="AC9" s="326"/>
      <c r="AD9" s="338" t="s">
        <v>17</v>
      </c>
      <c r="AE9" s="326"/>
      <c r="AF9" s="339" t="s">
        <v>17</v>
      </c>
      <c r="AG9" s="334"/>
      <c r="AH9" s="43" t="s">
        <v>11</v>
      </c>
      <c r="AI9" s="326"/>
      <c r="AJ9" s="336" t="s">
        <v>12</v>
      </c>
      <c r="AK9" s="326"/>
      <c r="AL9" s="337" t="s">
        <v>13</v>
      </c>
      <c r="AM9" s="326"/>
      <c r="AN9" s="338" t="s">
        <v>17</v>
      </c>
      <c r="AO9" s="326"/>
      <c r="AP9" s="341" t="s">
        <v>17</v>
      </c>
      <c r="AQ9" s="326"/>
      <c r="AR9" s="43" t="s">
        <v>11</v>
      </c>
      <c r="AS9" s="326"/>
      <c r="AT9" s="336" t="s">
        <v>12</v>
      </c>
      <c r="AU9" s="326"/>
      <c r="AV9" s="193" t="s">
        <v>13</v>
      </c>
      <c r="AW9" s="326"/>
      <c r="AX9" s="46" t="s">
        <v>17</v>
      </c>
      <c r="AY9" s="326"/>
      <c r="AZ9" s="341" t="s">
        <v>17</v>
      </c>
      <c r="BA9" s="342" t="s">
        <v>176</v>
      </c>
      <c r="BB9" s="342" t="s">
        <v>177</v>
      </c>
      <c r="BC9" s="326"/>
      <c r="BD9" s="326"/>
      <c r="BE9" s="326"/>
      <c r="BF9" s="326"/>
      <c r="BG9" s="326"/>
      <c r="BH9" s="326"/>
      <c r="BI9" s="326"/>
      <c r="BJ9" s="326"/>
      <c r="BK9" s="326"/>
      <c r="BL9" s="326"/>
      <c r="BM9" s="326"/>
      <c r="BN9" s="326"/>
      <c r="BO9" s="326"/>
      <c r="BP9" s="326"/>
      <c r="BQ9" s="326"/>
      <c r="BR9" s="326"/>
      <c r="BS9" s="326"/>
      <c r="BT9" s="326"/>
      <c r="BU9" s="326"/>
      <c r="BV9" s="326"/>
      <c r="BW9" s="326"/>
      <c r="BX9" s="326"/>
      <c r="BY9" s="326"/>
      <c r="BZ9" s="326"/>
      <c r="CA9" s="326"/>
      <c r="CB9" s="326"/>
      <c r="CC9" s="326"/>
      <c r="CD9" s="326"/>
      <c r="CE9" s="326"/>
      <c r="CF9" s="326"/>
      <c r="CG9" s="326"/>
      <c r="CH9" s="326"/>
      <c r="CI9" s="326"/>
      <c r="CJ9" s="326"/>
      <c r="CK9" s="326"/>
      <c r="CL9" s="326"/>
      <c r="CM9" s="326"/>
      <c r="CN9" s="326"/>
      <c r="CO9" s="326"/>
      <c r="CP9" s="326"/>
      <c r="CQ9" s="326"/>
      <c r="CR9" s="326"/>
      <c r="CS9" s="326"/>
      <c r="CT9" s="326"/>
      <c r="CU9" s="326"/>
      <c r="CV9" s="326"/>
      <c r="CW9" s="326"/>
      <c r="CX9" s="326"/>
      <c r="CY9" s="326"/>
      <c r="CZ9" s="326"/>
      <c r="DA9" s="326"/>
      <c r="DB9" s="326"/>
      <c r="DC9" s="326"/>
      <c r="DD9" s="326"/>
      <c r="DE9" s="326"/>
      <c r="DF9" s="326"/>
      <c r="DG9" s="326"/>
      <c r="DH9" s="326"/>
      <c r="DI9" s="326"/>
      <c r="DJ9" s="326"/>
      <c r="DK9" s="326"/>
      <c r="DL9" s="326"/>
      <c r="DM9" s="326"/>
      <c r="DN9" s="326"/>
      <c r="DO9" s="326"/>
      <c r="DP9" s="326"/>
      <c r="DQ9" s="326"/>
      <c r="DR9" s="326"/>
      <c r="DS9" s="326"/>
      <c r="DT9" s="326"/>
      <c r="DU9" s="326"/>
      <c r="DV9" s="326"/>
      <c r="DW9" s="326"/>
      <c r="DX9" s="326"/>
      <c r="DY9" s="326"/>
      <c r="DZ9" s="326"/>
      <c r="EA9" s="326"/>
      <c r="EB9" s="326"/>
      <c r="EC9" s="326"/>
      <c r="ED9" s="326"/>
      <c r="EE9" s="326"/>
      <c r="EF9" s="326"/>
      <c r="EG9" s="326"/>
      <c r="EH9" s="326"/>
      <c r="EI9" s="326"/>
      <c r="EJ9" s="326"/>
      <c r="EK9" s="326"/>
      <c r="EL9" s="326"/>
      <c r="EM9" s="326"/>
      <c r="EN9" s="326"/>
      <c r="EO9" s="326"/>
      <c r="EP9" s="326"/>
      <c r="EQ9" s="326"/>
      <c r="ER9" s="326"/>
      <c r="ES9" s="326"/>
      <c r="ET9" s="326"/>
      <c r="EU9" s="326"/>
      <c r="EV9" s="326"/>
      <c r="EW9" s="326"/>
      <c r="EX9" s="326"/>
      <c r="EY9" s="326"/>
      <c r="EZ9" s="326"/>
      <c r="FA9" s="326"/>
      <c r="FB9" s="326"/>
      <c r="FC9" s="326"/>
      <c r="FD9" s="326"/>
      <c r="FE9" s="326"/>
      <c r="FF9" s="326"/>
      <c r="FG9" s="326"/>
      <c r="FH9" s="326"/>
      <c r="FI9" s="326"/>
      <c r="FJ9" s="326"/>
      <c r="FK9" s="326"/>
      <c r="FL9" s="326"/>
      <c r="FM9" s="326"/>
      <c r="FN9" s="326"/>
      <c r="FO9" s="326"/>
      <c r="FP9" s="326"/>
      <c r="FQ9" s="326"/>
      <c r="FR9" s="326"/>
      <c r="FS9" s="326"/>
      <c r="FT9" s="326"/>
      <c r="FU9" s="326"/>
      <c r="FV9" s="326"/>
      <c r="FW9" s="326"/>
      <c r="FX9" s="326"/>
      <c r="FY9" s="326"/>
      <c r="FZ9" s="326"/>
      <c r="GA9" s="326"/>
      <c r="GB9" s="326"/>
      <c r="GC9" s="326"/>
      <c r="GD9" s="326"/>
      <c r="GE9" s="326"/>
      <c r="GF9" s="326"/>
      <c r="GG9" s="326"/>
      <c r="GH9" s="326"/>
      <c r="GI9" s="326"/>
      <c r="GJ9" s="326"/>
      <c r="GK9" s="326"/>
      <c r="GL9" s="326"/>
      <c r="GM9" s="326"/>
      <c r="GN9" s="326"/>
      <c r="GO9" s="326"/>
      <c r="GP9" s="326"/>
      <c r="GQ9" s="326"/>
      <c r="GR9" s="326"/>
      <c r="GS9" s="326"/>
      <c r="GT9" s="326"/>
      <c r="GU9" s="326"/>
      <c r="GV9" s="326"/>
      <c r="GW9" s="326"/>
      <c r="GX9" s="326"/>
      <c r="GY9" s="326"/>
      <c r="GZ9" s="326"/>
      <c r="HA9" s="326"/>
      <c r="HB9" s="326"/>
      <c r="HC9" s="326"/>
      <c r="HD9" s="326"/>
      <c r="HE9" s="326"/>
      <c r="HF9" s="326"/>
      <c r="HG9" s="326"/>
      <c r="HH9" s="326"/>
      <c r="HI9" s="326"/>
      <c r="HJ9" s="326"/>
      <c r="HK9" s="326"/>
      <c r="HL9" s="326"/>
      <c r="HM9" s="326"/>
      <c r="HN9" s="326"/>
      <c r="HO9" s="326"/>
      <c r="HP9" s="326"/>
      <c r="HQ9" s="326"/>
      <c r="HR9" s="326"/>
      <c r="HS9" s="326"/>
      <c r="HT9" s="326"/>
      <c r="HU9" s="326"/>
      <c r="HV9" s="326"/>
      <c r="HW9" s="326"/>
      <c r="HX9" s="326"/>
      <c r="HY9" s="326"/>
      <c r="HZ9" s="326"/>
      <c r="IA9" s="326"/>
      <c r="IB9" s="326"/>
      <c r="IC9" s="326"/>
      <c r="ID9" s="326"/>
      <c r="IE9" s="326"/>
      <c r="IF9" s="326"/>
      <c r="IG9" s="326"/>
      <c r="IH9" s="326"/>
      <c r="II9" s="326"/>
      <c r="IJ9" s="326"/>
      <c r="IK9" s="326"/>
      <c r="IL9" s="326"/>
      <c r="IM9" s="326"/>
      <c r="IN9" s="326"/>
      <c r="IO9" s="326"/>
      <c r="IP9" s="326"/>
      <c r="IQ9" s="326"/>
      <c r="IR9" s="326"/>
      <c r="IS9" s="326"/>
      <c r="IT9" s="326"/>
      <c r="IU9" s="326"/>
      <c r="IV9" s="326"/>
      <c r="IW9" s="326"/>
    </row>
    <row r="10" customFormat="false" ht="12.75" hidden="false" customHeight="false" outlineLevel="0" collapsed="false">
      <c r="A10" s="178" t="s">
        <v>178</v>
      </c>
      <c r="AN10" s="277"/>
      <c r="AR10" s="40"/>
      <c r="AX10" s="5"/>
    </row>
    <row r="11" customFormat="false" ht="12.75" hidden="false" customHeight="false" outlineLevel="0" collapsed="false">
      <c r="B11" s="178" t="s">
        <v>179</v>
      </c>
      <c r="D11" s="40" t="n">
        <f aca="false">825000+154733</f>
        <v>979733</v>
      </c>
      <c r="E11" s="178"/>
      <c r="F11" s="40" t="n">
        <f aca="false">ROUND(D11/$AX$1,0)</f>
        <v>31604</v>
      </c>
      <c r="H11" s="343" t="n">
        <f aca="false">+J11/D11</f>
        <v>2.34244556425067</v>
      </c>
      <c r="J11" s="277" t="n">
        <f aca="false">1930575+364396.22</f>
        <v>2294971.22</v>
      </c>
      <c r="L11" s="307" t="n">
        <f aca="false">+J11/1000</f>
        <v>2294.97122</v>
      </c>
      <c r="N11" s="40" t="n">
        <v>794199</v>
      </c>
      <c r="P11" s="40" t="n">
        <f aca="false">ROUND(N11/$AX$2,0)</f>
        <v>26473</v>
      </c>
      <c r="R11" s="309" t="n">
        <v>2.70467946950324</v>
      </c>
      <c r="T11" s="277" t="n">
        <v>2148053.73</v>
      </c>
      <c r="V11" s="307" t="n">
        <f aca="false">ROUND(T11/1000,0)</f>
        <v>2148</v>
      </c>
      <c r="X11" s="40" t="n">
        <v>-794199</v>
      </c>
      <c r="Z11" s="40" t="n">
        <v>-25619</v>
      </c>
      <c r="AB11" s="309" t="n">
        <v>2.70467946950324</v>
      </c>
      <c r="AD11" s="277" t="n">
        <v>-2148053.73</v>
      </c>
      <c r="AF11" s="307" t="n">
        <f aca="false">+AD11/1000</f>
        <v>-2148.05373</v>
      </c>
      <c r="AJ11" s="40" t="n">
        <f aca="false">ROUND(AH11/$AX$3,0)</f>
        <v>0</v>
      </c>
      <c r="AL11" s="343" t="n">
        <v>0</v>
      </c>
      <c r="AN11" s="277"/>
      <c r="AP11" s="307" t="n">
        <f aca="false">ROUND(AN11/1000,0)</f>
        <v>0</v>
      </c>
      <c r="AR11" s="40" t="n">
        <f aca="false">+AH11+X11+N11+D11</f>
        <v>979733</v>
      </c>
      <c r="AT11" s="40" t="n">
        <f aca="false">+AJ11+Z11+P11+F11</f>
        <v>32458</v>
      </c>
      <c r="AV11" s="343" t="n">
        <f aca="false">ROUND(AX1:AX11/AR11,4)</f>
        <v>2.3424</v>
      </c>
      <c r="AX11" s="277" t="n">
        <f aca="false">+AN11+AD11+T11+J11</f>
        <v>2294971.22</v>
      </c>
      <c r="AZ11" s="307" t="n">
        <f aca="false">+AP11+AF11+V11+L11</f>
        <v>2294.91749</v>
      </c>
      <c r="BA11" s="212" t="n">
        <v>40001000</v>
      </c>
      <c r="BB11" s="212" t="n">
        <v>500001779</v>
      </c>
    </row>
    <row r="12" customFormat="false" ht="12.75" hidden="false" customHeight="false" outlineLevel="0" collapsed="false">
      <c r="B12" s="178" t="s">
        <v>180</v>
      </c>
      <c r="F12" s="190" t="n">
        <f aca="false">ROUND(D12/$AX$1,0)</f>
        <v>0</v>
      </c>
      <c r="H12" s="343" t="n">
        <v>0</v>
      </c>
      <c r="J12" s="277" t="n">
        <v>741675</v>
      </c>
      <c r="L12" s="307" t="n">
        <f aca="false">+J12/1000</f>
        <v>741.675</v>
      </c>
      <c r="P12" s="40" t="n">
        <f aca="false">ROUND(N12/$AX$2,0)</f>
        <v>0</v>
      </c>
      <c r="R12" s="309" t="e">
        <f aca="false">ROUND(T12/N12,4)</f>
        <v>#DIV/0!</v>
      </c>
      <c r="V12" s="307" t="n">
        <f aca="false">ROUND(T12/1000,0)</f>
        <v>0</v>
      </c>
      <c r="Y12" s="3"/>
      <c r="Z12" s="40" t="n">
        <v>0</v>
      </c>
      <c r="AB12" s="309" t="n">
        <v>0</v>
      </c>
      <c r="AD12" s="277" t="n">
        <v>0</v>
      </c>
      <c r="AJ12" s="40" t="n">
        <f aca="false">ROUND(AH12/$AX$3,0)</f>
        <v>0</v>
      </c>
      <c r="AL12" s="343" t="e">
        <f aca="false">+AN12/AH12</f>
        <v>#DIV/0!</v>
      </c>
      <c r="AN12" s="277"/>
      <c r="AP12" s="307" t="n">
        <f aca="false">ROUND(AN12/1000,0)</f>
        <v>0</v>
      </c>
      <c r="AR12" s="40" t="n">
        <f aca="false">+AH12+X12+N12+D12</f>
        <v>0</v>
      </c>
      <c r="AT12" s="40" t="n">
        <f aca="false">+AJ12+Z12+P12+F12</f>
        <v>0</v>
      </c>
      <c r="AV12" s="343" t="e">
        <f aca="false">ROUND(AX4:AX12/AR12,4)</f>
        <v>#DIV/0!</v>
      </c>
      <c r="AX12" s="277" t="n">
        <f aca="false">+AN12+AD12+T12+J12</f>
        <v>741675</v>
      </c>
      <c r="AZ12" s="307" t="n">
        <f aca="false">+AP12+AF12+V12+L12</f>
        <v>741.675</v>
      </c>
      <c r="BA12" s="212" t="n">
        <v>40001000</v>
      </c>
      <c r="BB12" s="212" t="n">
        <v>5000006828</v>
      </c>
    </row>
    <row r="13" customFormat="false" ht="12.75" hidden="false" customHeight="false" outlineLevel="0" collapsed="false">
      <c r="B13" s="178" t="s">
        <v>181</v>
      </c>
      <c r="H13" s="343"/>
      <c r="J13" s="277" t="n">
        <v>-741675</v>
      </c>
      <c r="L13" s="307" t="n">
        <f aca="false">+J13/1000</f>
        <v>-741.675</v>
      </c>
      <c r="P13" s="40"/>
      <c r="Y13" s="3"/>
      <c r="Z13" s="40"/>
      <c r="AB13" s="309"/>
      <c r="AJ13" s="40"/>
      <c r="AL13" s="343"/>
      <c r="AN13" s="277"/>
      <c r="AP13" s="307"/>
      <c r="AR13" s="40" t="n">
        <f aca="false">+AH13+X13+N13+D13</f>
        <v>0</v>
      </c>
      <c r="AT13" s="40" t="n">
        <f aca="false">+AJ13+Z13+P13+F13</f>
        <v>0</v>
      </c>
      <c r="AV13" s="343" t="e">
        <f aca="false">ROUND(AX5:AX13/AR13,4)</f>
        <v>#DIV/0!</v>
      </c>
      <c r="AX13" s="277" t="n">
        <f aca="false">+AN13+AD13+T13+J13</f>
        <v>-741675</v>
      </c>
      <c r="AZ13" s="307" t="n">
        <f aca="false">+AP13+AF13+V13+L13</f>
        <v>-741.675</v>
      </c>
      <c r="BA13" s="212" t="n">
        <v>40001000</v>
      </c>
      <c r="BB13" s="212" t="n">
        <v>5000006828</v>
      </c>
    </row>
    <row r="14" customFormat="false" ht="12.75" hidden="false" customHeight="false" outlineLevel="0" collapsed="false">
      <c r="B14" s="178" t="s">
        <v>182</v>
      </c>
      <c r="F14" s="190" t="n">
        <f aca="false">ROUND(D14/$AX$1,0)</f>
        <v>0</v>
      </c>
      <c r="H14" s="343" t="n">
        <v>0</v>
      </c>
      <c r="L14" s="307" t="n">
        <f aca="false">+J14/1000</f>
        <v>0</v>
      </c>
      <c r="N14" s="40" t="n">
        <v>5555</v>
      </c>
      <c r="P14" s="40" t="n">
        <f aca="false">ROUND(N14/$AX$2,0)</f>
        <v>185</v>
      </c>
      <c r="R14" s="309" t="n">
        <f aca="false">ROUND(T14/N14,4)</f>
        <v>2.1533</v>
      </c>
      <c r="T14" s="277" t="n">
        <v>11961.58</v>
      </c>
      <c r="V14" s="307" t="n">
        <f aca="false">ROUND(T14/1000,0)</f>
        <v>12</v>
      </c>
      <c r="Y14" s="3"/>
      <c r="Z14" s="40" t="n">
        <v>0</v>
      </c>
      <c r="AB14" s="309" t="n">
        <v>0</v>
      </c>
      <c r="AJ14" s="40" t="n">
        <f aca="false">ROUND(AH14/$AX$3,0)</f>
        <v>0</v>
      </c>
      <c r="AL14" s="343" t="n">
        <v>0</v>
      </c>
      <c r="AN14" s="277"/>
      <c r="AP14" s="307" t="n">
        <f aca="false">ROUND(AN14/1000,0)</f>
        <v>0</v>
      </c>
      <c r="AR14" s="40" t="n">
        <f aca="false">+AH14+X14+N14+D14</f>
        <v>5555</v>
      </c>
      <c r="AT14" s="40" t="n">
        <f aca="false">+AJ14+Z14+P14+F14</f>
        <v>185</v>
      </c>
      <c r="AV14" s="343" t="n">
        <f aca="false">ROUND(AX4:AX14/AR14,4)</f>
        <v>2.1533</v>
      </c>
      <c r="AX14" s="277" t="n">
        <f aca="false">+AN14+AD14+T14+J14</f>
        <v>11961.58</v>
      </c>
      <c r="AZ14" s="307" t="n">
        <f aca="false">+AP14+AF14+V14+L14</f>
        <v>12</v>
      </c>
      <c r="BA14" s="344" t="s">
        <v>183</v>
      </c>
      <c r="BB14" s="178" t="s">
        <v>184</v>
      </c>
    </row>
    <row r="15" customFormat="false" ht="12.75" hidden="false" customHeight="false" outlineLevel="0" collapsed="false">
      <c r="B15" s="178" t="s">
        <v>185</v>
      </c>
      <c r="H15" s="343"/>
      <c r="L15" s="307" t="n">
        <f aca="false">+J15/1000</f>
        <v>0</v>
      </c>
      <c r="N15" s="40" t="n">
        <v>9509</v>
      </c>
      <c r="P15" s="40" t="n">
        <f aca="false">ROUND(N15/$AX$2,0)</f>
        <v>317</v>
      </c>
      <c r="R15" s="309" t="n">
        <f aca="false">ROUND(T15/N15,4)</f>
        <v>2.775</v>
      </c>
      <c r="T15" s="277" t="n">
        <v>26387.33</v>
      </c>
      <c r="V15" s="307" t="n">
        <f aca="false">ROUND(T15/1000,0)</f>
        <v>26</v>
      </c>
      <c r="Y15" s="3"/>
      <c r="Z15" s="40"/>
      <c r="AB15" s="309"/>
      <c r="AJ15" s="40" t="n">
        <f aca="false">ROUND(AH15/$AX$3,0)</f>
        <v>0</v>
      </c>
      <c r="AL15" s="343" t="e">
        <f aca="false">+AN15/AH15</f>
        <v>#DIV/0!</v>
      </c>
      <c r="AN15" s="277"/>
      <c r="AP15" s="307" t="n">
        <f aca="false">ROUND(AN15/1000,0)</f>
        <v>0</v>
      </c>
      <c r="AR15" s="40" t="n">
        <f aca="false">+AH15+X15+N15+D15</f>
        <v>9509</v>
      </c>
      <c r="AT15" s="40" t="n">
        <f aca="false">+AJ15+Z15+P15+F15</f>
        <v>317</v>
      </c>
      <c r="AV15" s="343" t="n">
        <f aca="false">ROUND(AX5:AX15/AR15,4)</f>
        <v>2.775</v>
      </c>
      <c r="AX15" s="277" t="n">
        <f aca="false">+AN15+AD15+T15+J15</f>
        <v>26387.33</v>
      </c>
      <c r="AZ15" s="307" t="n">
        <f aca="false">+AP15+AF15+V15+L15</f>
        <v>26</v>
      </c>
      <c r="BA15" s="178" t="s">
        <v>186</v>
      </c>
    </row>
    <row r="16" customFormat="false" ht="12.75" hidden="false" customHeight="false" outlineLevel="0" collapsed="false">
      <c r="B16" s="178" t="s">
        <v>187</v>
      </c>
      <c r="D16" s="40" t="n">
        <v>0</v>
      </c>
      <c r="F16" s="190" t="n">
        <f aca="false">ROUND(D16/$AX$1,0)</f>
        <v>0</v>
      </c>
      <c r="H16" s="343" t="e">
        <f aca="false">+J16/D16</f>
        <v>#DIV/0!</v>
      </c>
      <c r="J16" s="277" t="n">
        <v>0</v>
      </c>
      <c r="L16" s="307" t="n">
        <f aca="false">+J16/1000</f>
        <v>0</v>
      </c>
      <c r="N16" s="40" t="n">
        <v>11553</v>
      </c>
      <c r="P16" s="40" t="n">
        <f aca="false">ROUND(N16/$AX$2,0)</f>
        <v>385</v>
      </c>
      <c r="R16" s="309" t="n">
        <f aca="false">ROUND(T16/N16,4)</f>
        <v>0.8958</v>
      </c>
      <c r="T16" s="277" t="n">
        <v>10348.71</v>
      </c>
      <c r="V16" s="307" t="n">
        <f aca="false">ROUND(T16/1000,0)</f>
        <v>10</v>
      </c>
      <c r="X16" s="40" t="n">
        <v>-11553</v>
      </c>
      <c r="Y16" s="3"/>
      <c r="Z16" s="40" t="n">
        <v>-373</v>
      </c>
      <c r="AB16" s="309" t="n">
        <v>0.89575954297585</v>
      </c>
      <c r="AD16" s="277" t="n">
        <v>-10348.71</v>
      </c>
      <c r="AF16" s="307" t="n">
        <f aca="false">+AD16/1000</f>
        <v>-10.34871</v>
      </c>
      <c r="AN16" s="277"/>
      <c r="AR16" s="40" t="n">
        <f aca="false">+AH16+X16+N16+D16</f>
        <v>0</v>
      </c>
      <c r="AT16" s="40" t="n">
        <f aca="false">+AJ16+Z16+P16+F16</f>
        <v>12</v>
      </c>
      <c r="AV16" s="343" t="e">
        <f aca="false">ROUND(AX6:AX16/AR16,4)</f>
        <v>#DIV/0!</v>
      </c>
      <c r="AX16" s="277" t="n">
        <f aca="false">+AN16+AD16+T16+J16</f>
        <v>0</v>
      </c>
      <c r="AY16" s="178" t="s">
        <v>95</v>
      </c>
      <c r="AZ16" s="307" t="n">
        <f aca="false">+AP16+AF16+V16+L16</f>
        <v>-0.348709999999999</v>
      </c>
      <c r="BA16" s="212" t="n">
        <v>40004000</v>
      </c>
      <c r="BB16" s="212" t="n">
        <v>500001790</v>
      </c>
    </row>
    <row r="17" customFormat="false" ht="12.75" hidden="false" customHeight="false" outlineLevel="0" collapsed="false">
      <c r="A17" s="178" t="s">
        <v>188</v>
      </c>
      <c r="D17" s="57" t="n">
        <f aca="false">SUM(D11:D16)</f>
        <v>979733</v>
      </c>
      <c r="E17" s="345"/>
      <c r="F17" s="57" t="n">
        <f aca="false">SUM(F11:F16)</f>
        <v>31604</v>
      </c>
      <c r="G17" s="291"/>
      <c r="H17" s="346" t="n">
        <f aca="false">ROUND(J17/D17,4)</f>
        <v>2.3424</v>
      </c>
      <c r="I17" s="291"/>
      <c r="J17" s="347" t="n">
        <f aca="false">SUM(J11:J16)</f>
        <v>2294971.22</v>
      </c>
      <c r="K17" s="60"/>
      <c r="L17" s="348" t="n">
        <f aca="false">SUM(L11:L16)</f>
        <v>2294.97122</v>
      </c>
      <c r="N17" s="57" t="n">
        <f aca="false">SUM(N11:N16)</f>
        <v>820816</v>
      </c>
      <c r="O17" s="345"/>
      <c r="P17" s="349" t="n">
        <f aca="false">SUM(P11:P16)</f>
        <v>27360</v>
      </c>
      <c r="Q17" s="291"/>
      <c r="R17" s="350" t="n">
        <f aca="false">ROUND(T17/N17,4)</f>
        <v>2.6763</v>
      </c>
      <c r="S17" s="291"/>
      <c r="T17" s="347" t="n">
        <f aca="false">SUM(T11:T16)</f>
        <v>2196751.35</v>
      </c>
      <c r="U17" s="60"/>
      <c r="V17" s="348" t="n">
        <f aca="false">SUM(V11:V16)</f>
        <v>2196</v>
      </c>
      <c r="W17" s="186"/>
      <c r="X17" s="57" t="n">
        <f aca="false">SUM(X11:X16)</f>
        <v>-805752</v>
      </c>
      <c r="Y17" s="345"/>
      <c r="Z17" s="57" t="n">
        <f aca="false">SUM(Z11:Z16)</f>
        <v>-25992</v>
      </c>
      <c r="AA17" s="291"/>
      <c r="AB17" s="346" t="n">
        <f aca="false">+AD17/X17</f>
        <v>2.67874288863074</v>
      </c>
      <c r="AC17" s="291"/>
      <c r="AD17" s="347" t="n">
        <f aca="false">SUM(AD11:AD16)</f>
        <v>-2158402.44</v>
      </c>
      <c r="AE17" s="60"/>
      <c r="AF17" s="348" t="n">
        <f aca="false">SUM(AF11:AF16)</f>
        <v>-2158.40244</v>
      </c>
      <c r="AH17" s="57" t="n">
        <f aca="false">SUM(AH11:AH16)</f>
        <v>0</v>
      </c>
      <c r="AI17" s="345"/>
      <c r="AJ17" s="349" t="n">
        <f aca="false">SUM(AJ11:AJ16)</f>
        <v>0</v>
      </c>
      <c r="AK17" s="291"/>
      <c r="AL17" s="346"/>
      <c r="AM17" s="291"/>
      <c r="AN17" s="347" t="n">
        <f aca="false">SUM(AN11:AN16)</f>
        <v>0</v>
      </c>
      <c r="AO17" s="60"/>
      <c r="AP17" s="348" t="n">
        <f aca="false">SUM(AP11:AP16)</f>
        <v>0</v>
      </c>
      <c r="AR17" s="57" t="n">
        <f aca="false">SUM(AR11:AR16)</f>
        <v>994797</v>
      </c>
      <c r="AS17" s="345"/>
      <c r="AT17" s="349" t="n">
        <f aca="false">SUM(AT11:AT16)</f>
        <v>32972</v>
      </c>
      <c r="AU17" s="291"/>
      <c r="AV17" s="346" t="n">
        <f aca="false">ROUND(AX17/AR17,4)</f>
        <v>2.3455</v>
      </c>
      <c r="AW17" s="291"/>
      <c r="AX17" s="347" t="n">
        <f aca="false">SUM(AX11:AX16)</f>
        <v>2333320.13</v>
      </c>
      <c r="AY17" s="60" t="s">
        <v>95</v>
      </c>
      <c r="AZ17" s="348" t="n">
        <f aca="false">SUM(AZ11:AZ16)</f>
        <v>2332.56878</v>
      </c>
    </row>
    <row r="18" customFormat="false" ht="12.75" hidden="false" customHeight="false" outlineLevel="0" collapsed="false">
      <c r="AN18" s="277"/>
      <c r="AR18" s="40"/>
      <c r="AV18" s="306"/>
      <c r="AX18" s="277"/>
    </row>
    <row r="19" customFormat="false" ht="12.75" hidden="false" customHeight="false" outlineLevel="0" collapsed="false">
      <c r="A19" s="178" t="s">
        <v>189</v>
      </c>
      <c r="X19" s="5"/>
      <c r="AN19" s="129"/>
      <c r="AR19" s="40"/>
      <c r="AX19" s="306"/>
    </row>
    <row r="20" customFormat="false" ht="12.75" hidden="false" customHeight="false" outlineLevel="0" collapsed="false">
      <c r="B20" s="178" t="s">
        <v>190</v>
      </c>
      <c r="F20" s="40" t="n">
        <f aca="false">ROUND(D20/$AX$1,0)</f>
        <v>0</v>
      </c>
      <c r="H20" s="343" t="n">
        <v>0</v>
      </c>
      <c r="K20" s="6"/>
      <c r="L20" s="307" t="n">
        <f aca="false">+J20/1000</f>
        <v>0</v>
      </c>
      <c r="P20" s="40" t="n">
        <f aca="false">ROUND(N20/$AX$2,0)</f>
        <v>0</v>
      </c>
      <c r="R20" s="309" t="e">
        <f aca="false">ROUND(T20/N20,4)</f>
        <v>#DIV/0!</v>
      </c>
      <c r="V20" s="307" t="n">
        <f aca="false">ROUND(T20/1000,0)</f>
        <v>0</v>
      </c>
      <c r="Y20" s="3"/>
      <c r="Z20" s="40" t="n">
        <v>0</v>
      </c>
      <c r="AB20" s="309" t="n">
        <v>0</v>
      </c>
      <c r="AF20" s="307" t="n">
        <v>0</v>
      </c>
      <c r="AJ20" s="40"/>
      <c r="AL20" s="343"/>
      <c r="AN20" s="129"/>
      <c r="AP20" s="307" t="n">
        <f aca="false">+AN20/1000</f>
        <v>0</v>
      </c>
      <c r="AR20" s="40" t="n">
        <f aca="false">+AH20+X20+N20+D20</f>
        <v>0</v>
      </c>
      <c r="AT20" s="40" t="n">
        <f aca="false">+AJ20+Z20+P20+F20</f>
        <v>0</v>
      </c>
      <c r="AV20" s="343" t="e">
        <f aca="false">ROUND(AX8:AX20/AR20,4)</f>
        <v>#DIV/0!</v>
      </c>
      <c r="AX20" s="277" t="n">
        <f aca="false">+AN20+AD20+T20+J20</f>
        <v>0</v>
      </c>
      <c r="AZ20" s="307" t="n">
        <f aca="false">+L20+V20+AF20+AP20</f>
        <v>0</v>
      </c>
    </row>
    <row r="21" customFormat="false" ht="12.75" hidden="false" customHeight="false" outlineLevel="0" collapsed="false">
      <c r="B21" s="178" t="s">
        <v>191</v>
      </c>
      <c r="F21" s="40" t="n">
        <f aca="false">ROUND(D21/$AX$1,0)</f>
        <v>0</v>
      </c>
      <c r="H21" s="343" t="n">
        <v>0</v>
      </c>
      <c r="J21" s="277" t="n">
        <v>90571.97</v>
      </c>
      <c r="L21" s="307" t="n">
        <f aca="false">+J21/1000</f>
        <v>90.57197</v>
      </c>
      <c r="P21" s="40"/>
      <c r="T21" s="277" t="n">
        <v>556146.37</v>
      </c>
      <c r="V21" s="307" t="n">
        <f aca="false">ROUND(T21/1000,0)</f>
        <v>556</v>
      </c>
      <c r="Y21" s="3"/>
      <c r="Z21" s="40" t="n">
        <v>0</v>
      </c>
      <c r="AB21" s="309" t="n">
        <v>0</v>
      </c>
      <c r="AD21" s="277" t="n">
        <v>-556146.37</v>
      </c>
      <c r="AF21" s="307" t="n">
        <f aca="false">+AD21/1000</f>
        <v>-556.14637</v>
      </c>
      <c r="AJ21" s="40"/>
      <c r="AL21" s="343"/>
      <c r="AN21" s="277"/>
      <c r="AP21" s="307" t="n">
        <f aca="false">+AN21/1000</f>
        <v>0</v>
      </c>
      <c r="AR21" s="40" t="n">
        <f aca="false">+AH21+X21+N21+D21</f>
        <v>0</v>
      </c>
      <c r="AT21" s="40"/>
      <c r="AV21" s="343"/>
      <c r="AX21" s="277" t="n">
        <f aca="false">+AN21+AD21+T21+J21</f>
        <v>90571.97</v>
      </c>
      <c r="AY21" s="178" t="s">
        <v>95</v>
      </c>
      <c r="AZ21" s="307" t="n">
        <f aca="false">+L21+V21+AF21+AP21</f>
        <v>90.4255999999999</v>
      </c>
    </row>
    <row r="22" customFormat="false" ht="12.75" hidden="false" customHeight="false" outlineLevel="0" collapsed="false">
      <c r="B22" s="178" t="s">
        <v>192</v>
      </c>
      <c r="D22" s="40" t="n">
        <v>139733</v>
      </c>
      <c r="E22" s="178"/>
      <c r="F22" s="40" t="n">
        <f aca="false">ROUND(D22/$AX$1,0)</f>
        <v>4508</v>
      </c>
      <c r="H22" s="351" t="n">
        <v>2.24</v>
      </c>
      <c r="J22" s="277" t="n">
        <f aca="false">+H22*D22</f>
        <v>313001.92</v>
      </c>
      <c r="K22" s="178"/>
      <c r="L22" s="307" t="n">
        <f aca="false">+J22/1000</f>
        <v>313.00192</v>
      </c>
      <c r="N22" s="40" t="n">
        <f aca="false">-11873+15</f>
        <v>-11858</v>
      </c>
      <c r="P22" s="40" t="n">
        <f aca="false">ROUND(N22/$AX$2,0)</f>
        <v>-395</v>
      </c>
      <c r="R22" s="309" t="n">
        <f aca="false">+T22/N22</f>
        <v>2.71390959689661</v>
      </c>
      <c r="T22" s="277" t="n">
        <v>-32181.54</v>
      </c>
      <c r="V22" s="307" t="n">
        <f aca="false">ROUND(T22/1000,0)</f>
        <v>-32</v>
      </c>
      <c r="X22" s="40" t="n">
        <v>-69199</v>
      </c>
      <c r="Z22" s="40" t="n">
        <v>-2232</v>
      </c>
      <c r="AB22" s="309" t="n">
        <v>2.04</v>
      </c>
      <c r="AD22" s="277" t="n">
        <v>-141165.96</v>
      </c>
      <c r="AF22" s="307" t="n">
        <f aca="false">+AD22/1000</f>
        <v>-141.16596</v>
      </c>
      <c r="AH22" s="40" t="n">
        <f aca="false">43721+404309-24141-15</f>
        <v>423874</v>
      </c>
      <c r="AJ22" s="40" t="n">
        <v>0</v>
      </c>
      <c r="AL22" s="343" t="n">
        <v>0</v>
      </c>
      <c r="AN22" s="129" t="n">
        <f aca="false">94591.64+1916820.19-193746.64+72100.99-1.64+4157.8</f>
        <v>1893922.34</v>
      </c>
      <c r="AP22" s="307" t="n">
        <f aca="false">+AN22/1000</f>
        <v>1893.92234</v>
      </c>
      <c r="AR22" s="40" t="n">
        <f aca="false">+AH22+X22+N22+D22</f>
        <v>482550</v>
      </c>
      <c r="AT22" s="40" t="n">
        <f aca="false">+AJ22+Z22+P22+F22</f>
        <v>1881</v>
      </c>
      <c r="AV22" s="343" t="n">
        <f aca="false">ROUND(AX9:AX22/AR22,4)</f>
        <v>4.2142</v>
      </c>
      <c r="AX22" s="277" t="n">
        <f aca="false">+AN22+AD22+T22+J22</f>
        <v>2033576.76</v>
      </c>
      <c r="AZ22" s="307" t="n">
        <f aca="false">+L22+V22+AF22+AP22</f>
        <v>2033.7583</v>
      </c>
      <c r="BA22" s="352" t="n">
        <v>50001040</v>
      </c>
      <c r="BB22" s="212" t="n">
        <v>500001873</v>
      </c>
      <c r="BC22" s="178" t="n">
        <f aca="false">190-265</f>
        <v>-75</v>
      </c>
    </row>
    <row r="23" customFormat="false" ht="12.75" hidden="false" customHeight="false" outlineLevel="0" collapsed="false">
      <c r="B23" s="178" t="s">
        <v>193</v>
      </c>
      <c r="E23" s="178"/>
      <c r="F23" s="40" t="n">
        <f aca="false">ROUND(D23/$AX$1,0)</f>
        <v>0</v>
      </c>
      <c r="H23" s="343" t="e">
        <f aca="false">ROUND(L2:L23/D23,4)</f>
        <v>#DIV/0!</v>
      </c>
      <c r="K23" s="178"/>
      <c r="L23" s="307" t="n">
        <f aca="false">+J23/1000</f>
        <v>0</v>
      </c>
      <c r="P23" s="40" t="n">
        <f aca="false">ROUND(N23/$AX$2,0)</f>
        <v>0</v>
      </c>
      <c r="R23" s="309" t="e">
        <f aca="false">+T23/N23</f>
        <v>#DIV/0!</v>
      </c>
      <c r="V23" s="307" t="n">
        <f aca="false">ROUND(T23/1000,0)</f>
        <v>0</v>
      </c>
      <c r="Z23" s="40" t="n">
        <v>0</v>
      </c>
      <c r="AB23" s="309" t="e">
        <f aca="false"/>
        <v>#DIV/0!</v>
      </c>
      <c r="AF23" s="307" t="n">
        <f aca="false">+AD23/1000</f>
        <v>0</v>
      </c>
      <c r="AH23" s="353" t="n">
        <v>-380153</v>
      </c>
      <c r="AJ23" s="40"/>
      <c r="AL23" s="343"/>
      <c r="AN23" s="129" t="n">
        <f aca="false">-23447.17-1583266.44+82425.97+356204.41-721933.89+78863.59</f>
        <v>-1811153.53</v>
      </c>
      <c r="AP23" s="307" t="n">
        <f aca="false">+AN23/1000</f>
        <v>-1811.15353</v>
      </c>
      <c r="AR23" s="40" t="n">
        <f aca="false">+AH23+X23+N23+D23</f>
        <v>-380153</v>
      </c>
      <c r="AT23" s="40" t="n">
        <f aca="false">+AJ23+Z23+P23+F23</f>
        <v>0</v>
      </c>
      <c r="AV23" s="343" t="n">
        <f aca="false">ROUND(AX10:AX23/AR23,4)</f>
        <v>4.7643</v>
      </c>
      <c r="AX23" s="277" t="n">
        <f aca="false">+AN23+AD23+T23+J23</f>
        <v>-1811153.53</v>
      </c>
      <c r="AZ23" s="307" t="n">
        <f aca="false">+L23+V23+AF23+AP23</f>
        <v>-1811.15353</v>
      </c>
      <c r="BA23" s="352" t="n">
        <v>50001040</v>
      </c>
      <c r="BB23" s="212" t="n">
        <v>500001873</v>
      </c>
    </row>
    <row r="24" customFormat="false" ht="12.75" hidden="false" customHeight="false" outlineLevel="0" collapsed="false">
      <c r="B24" s="178" t="s">
        <v>194</v>
      </c>
      <c r="E24" s="178"/>
      <c r="F24" s="40" t="n">
        <f aca="false">ROUND(D24/$AX$1,0)</f>
        <v>0</v>
      </c>
      <c r="H24" s="343" t="e">
        <f aca="false">ROUND(L3:L24/D24,4)</f>
        <v>#DIV/0!</v>
      </c>
      <c r="K24" s="178"/>
      <c r="L24" s="307" t="n">
        <f aca="false">+J24/1000</f>
        <v>0</v>
      </c>
      <c r="P24" s="40" t="n">
        <f aca="false">ROUND(N24/$AX$2,0)</f>
        <v>0</v>
      </c>
      <c r="R24" s="309" t="e">
        <f aca="false">+T24/N24</f>
        <v>#DIV/0!</v>
      </c>
      <c r="V24" s="307" t="n">
        <f aca="false">ROUND(T24/1000,0)</f>
        <v>0</v>
      </c>
      <c r="Z24" s="40" t="n">
        <v>0</v>
      </c>
      <c r="AB24" s="309" t="e">
        <f aca="false"/>
        <v>#DIV/0!</v>
      </c>
      <c r="AF24" s="307" t="n">
        <f aca="false">+AD24/1000</f>
        <v>0</v>
      </c>
      <c r="AH24" s="353"/>
      <c r="AJ24" s="40"/>
      <c r="AL24" s="343"/>
      <c r="AN24" s="277" t="n">
        <v>38624.26</v>
      </c>
      <c r="AP24" s="307" t="n">
        <f aca="false">+AN24/1000</f>
        <v>38.62426</v>
      </c>
      <c r="AR24" s="40" t="n">
        <f aca="false">+AH24+X24+N24+D24</f>
        <v>0</v>
      </c>
      <c r="AT24" s="40" t="n">
        <f aca="false">+AJ24+Z24+P24+D24</f>
        <v>0</v>
      </c>
      <c r="AV24" s="343" t="e">
        <f aca="false">ROUND(AX11:AX24/AR24,4)</f>
        <v>#DIV/0!</v>
      </c>
      <c r="AX24" s="277" t="n">
        <f aca="false">+AN24+AD24+T24+J24</f>
        <v>38624.26</v>
      </c>
      <c r="AZ24" s="307" t="n">
        <f aca="false">+L24+V24+AF24+AP24</f>
        <v>38.62426</v>
      </c>
    </row>
    <row r="25" customFormat="false" ht="12.75" hidden="false" customHeight="false" outlineLevel="0" collapsed="false">
      <c r="B25" s="178" t="s">
        <v>149</v>
      </c>
      <c r="D25" s="40" t="n">
        <v>1849000</v>
      </c>
      <c r="E25" s="178"/>
      <c r="F25" s="40" t="n">
        <f aca="false">ROUND(D25/$AX$1,0)</f>
        <v>59645</v>
      </c>
      <c r="H25" s="343" t="n">
        <f aca="false">+J25/D25</f>
        <v>2.24</v>
      </c>
      <c r="J25" s="277" t="n">
        <v>4141760</v>
      </c>
      <c r="K25" s="178"/>
      <c r="L25" s="307" t="n">
        <f aca="false">+J25/1000</f>
        <v>4141.76</v>
      </c>
      <c r="N25" s="40" t="n">
        <v>1654375</v>
      </c>
      <c r="P25" s="40" t="n">
        <f aca="false">ROUND(N25/$AX$2,0)</f>
        <v>55146</v>
      </c>
      <c r="R25" s="309" t="n">
        <v>2.04</v>
      </c>
      <c r="T25" s="277" t="n">
        <f aca="false">+R25*N25</f>
        <v>3374925</v>
      </c>
      <c r="V25" s="307" t="n">
        <f aca="false">ROUND(T25/1000,0)</f>
        <v>3375</v>
      </c>
      <c r="X25" s="40" t="n">
        <v>-1653000</v>
      </c>
      <c r="Z25" s="40" t="n">
        <v>-53323</v>
      </c>
      <c r="AB25" s="309" t="n">
        <v>2.04</v>
      </c>
      <c r="AD25" s="277" t="n">
        <v>-3372120</v>
      </c>
      <c r="AF25" s="307" t="n">
        <f aca="false">+AD25/1000</f>
        <v>-3372.12</v>
      </c>
      <c r="AH25" s="353"/>
      <c r="AJ25" s="40"/>
      <c r="AL25" s="343"/>
      <c r="AN25" s="277"/>
      <c r="AP25" s="307" t="n">
        <f aca="false">+AN25/1000</f>
        <v>0</v>
      </c>
      <c r="AR25" s="40" t="n">
        <f aca="false">+AH25+X25+N25+D25</f>
        <v>1850375</v>
      </c>
      <c r="AT25" s="40" t="n">
        <f aca="false">+AJ25+Z25+P25+F25</f>
        <v>61468</v>
      </c>
      <c r="AV25" s="343" t="n">
        <f aca="false">ROUND(AX12:AX25/AR25,4)</f>
        <v>2.2399</v>
      </c>
      <c r="AX25" s="277" t="n">
        <f aca="false">+AN25+AD25+T25+J25</f>
        <v>4144565</v>
      </c>
      <c r="AY25" s="178" t="s">
        <v>95</v>
      </c>
      <c r="AZ25" s="307" t="n">
        <f aca="false">+L25+V25+AF25+AP25</f>
        <v>4144.64</v>
      </c>
      <c r="BA25" s="212" t="n">
        <v>50001030</v>
      </c>
      <c r="BB25" s="212" t="n">
        <v>500001870</v>
      </c>
    </row>
    <row r="26" customFormat="false" ht="12.75" hidden="false" customHeight="false" outlineLevel="0" collapsed="false">
      <c r="B26" s="178" t="s">
        <v>195</v>
      </c>
      <c r="D26" s="40" t="n">
        <v>-1009000</v>
      </c>
      <c r="E26" s="178"/>
      <c r="F26" s="40" t="n">
        <f aca="false">ROUND(D26/$AX$1,0)</f>
        <v>-32548</v>
      </c>
      <c r="H26" s="343" t="n">
        <f aca="false">+J26/D26</f>
        <v>2.24</v>
      </c>
      <c r="J26" s="277" t="n">
        <v>-2260160</v>
      </c>
      <c r="K26" s="178"/>
      <c r="L26" s="307" t="n">
        <f aca="false">+J26/1000</f>
        <v>-2260.16</v>
      </c>
      <c r="N26" s="40" t="n">
        <v>-958132</v>
      </c>
      <c r="P26" s="40" t="n">
        <f aca="false">ROUND(N26/$AX$2,0)</f>
        <v>-31938</v>
      </c>
      <c r="R26" s="309" t="n">
        <v>2.04</v>
      </c>
      <c r="T26" s="277" t="n">
        <f aca="false">+R26*N26</f>
        <v>-1954589.28</v>
      </c>
      <c r="V26" s="307" t="n">
        <f aca="false">ROUND(T26/1000,0)</f>
        <v>-1955</v>
      </c>
      <c r="X26" s="40" t="n">
        <v>928000</v>
      </c>
      <c r="Z26" s="40" t="n">
        <v>29935</v>
      </c>
      <c r="AB26" s="309" t="n">
        <v>2.04</v>
      </c>
      <c r="AD26" s="277" t="n">
        <v>1893120</v>
      </c>
      <c r="AF26" s="307" t="n">
        <f aca="false">+AD26/1000</f>
        <v>1893.12</v>
      </c>
      <c r="AJ26" s="40"/>
      <c r="AL26" s="343"/>
      <c r="AN26" s="277" t="n">
        <v>0.8</v>
      </c>
      <c r="AP26" s="307" t="n">
        <f aca="false">+AN26/1000</f>
        <v>0.0008</v>
      </c>
      <c r="AR26" s="40" t="n">
        <f aca="false">+AH26+X26+N26+D26</f>
        <v>-1039132</v>
      </c>
      <c r="AT26" s="40" t="n">
        <f aca="false">+AJ26+Z26+P26+F26</f>
        <v>-34551</v>
      </c>
      <c r="AV26" s="343" t="n">
        <f aca="false">ROUND(AX14:AX26/AR26,4)</f>
        <v>2.2342</v>
      </c>
      <c r="AX26" s="277" t="n">
        <f aca="false">+AN26+AD26+T26+J26</f>
        <v>-2321628.48</v>
      </c>
      <c r="AZ26" s="307" t="n">
        <f aca="false">+L26+V26+AF26+AP26</f>
        <v>-2322.0392</v>
      </c>
      <c r="BA26" s="178" t="s">
        <v>196</v>
      </c>
      <c r="BB26" s="178" t="s">
        <v>197</v>
      </c>
    </row>
    <row r="27" customFormat="false" ht="12.75" hidden="false" customHeight="false" outlineLevel="0" collapsed="false">
      <c r="B27" s="178" t="s">
        <v>198</v>
      </c>
      <c r="F27" s="40" t="n">
        <f aca="false">ROUND(D27/$AX$1,0)</f>
        <v>0</v>
      </c>
      <c r="H27" s="351"/>
      <c r="L27" s="307" t="n">
        <f aca="false">+J27/1000</f>
        <v>0</v>
      </c>
      <c r="P27" s="40"/>
      <c r="V27" s="307" t="n">
        <f aca="false">ROUND(T27/1000,0)</f>
        <v>0</v>
      </c>
      <c r="X27" s="40" t="s">
        <v>6</v>
      </c>
      <c r="Y27" s="3"/>
      <c r="Z27" s="40" t="n">
        <v>0</v>
      </c>
      <c r="AB27" s="309" t="n">
        <v>3.82</v>
      </c>
      <c r="AF27" s="307" t="n">
        <f aca="false">+AD27/1000</f>
        <v>0</v>
      </c>
      <c r="AJ27" s="40"/>
      <c r="AL27" s="343"/>
      <c r="AN27" s="277"/>
      <c r="AP27" s="307" t="n">
        <f aca="false">+AN27/1000</f>
        <v>0</v>
      </c>
      <c r="AR27" s="40"/>
      <c r="AT27" s="40"/>
      <c r="AV27" s="343"/>
      <c r="AX27" s="277" t="n">
        <f aca="false">+AN27+AD27+T27+J27</f>
        <v>0</v>
      </c>
      <c r="AZ27" s="307" t="n">
        <f aca="false">+L27+V27+AF27+AP27</f>
        <v>0</v>
      </c>
    </row>
    <row r="28" customFormat="false" ht="12.75" hidden="false" customHeight="false" outlineLevel="0" collapsed="false">
      <c r="B28" s="178" t="s">
        <v>199</v>
      </c>
      <c r="D28" s="40" t="n">
        <v>0</v>
      </c>
      <c r="F28" s="40" t="n">
        <f aca="false">ROUND(D28/$AX$1,0)</f>
        <v>0</v>
      </c>
      <c r="H28" s="343" t="e">
        <f aca="false">+J28/D28</f>
        <v>#DIV/0!</v>
      </c>
      <c r="J28" s="277" t="n">
        <v>0</v>
      </c>
      <c r="L28" s="307" t="n">
        <f aca="false">+J28/1000</f>
        <v>0</v>
      </c>
      <c r="N28" s="40" t="n">
        <v>11553</v>
      </c>
      <c r="P28" s="40" t="n">
        <f aca="false">ROUND(N28/$AX$2,0)</f>
        <v>385</v>
      </c>
      <c r="R28" s="309" t="n">
        <f aca="false">+T28/N28</f>
        <v>2.03641564961482</v>
      </c>
      <c r="T28" s="277" t="n">
        <v>23526.71</v>
      </c>
      <c r="V28" s="307" t="n">
        <f aca="false">ROUND(T28/1000,0)</f>
        <v>24</v>
      </c>
      <c r="X28" s="40" t="n">
        <v>-11553</v>
      </c>
      <c r="Y28" s="3"/>
      <c r="Z28" s="40" t="n">
        <v>-373</v>
      </c>
      <c r="AB28" s="309" t="n">
        <v>2.03641564961482</v>
      </c>
      <c r="AD28" s="277" t="n">
        <v>-23526.71</v>
      </c>
      <c r="AF28" s="307" t="n">
        <f aca="false">+AD28/1000</f>
        <v>-23.52671</v>
      </c>
      <c r="AJ28" s="40"/>
      <c r="AL28" s="343"/>
      <c r="AN28" s="277"/>
      <c r="AP28" s="307" t="n">
        <f aca="false">+AN28/1000</f>
        <v>0</v>
      </c>
      <c r="AR28" s="40" t="n">
        <f aca="false">+AH28+X28+N28+D28</f>
        <v>0</v>
      </c>
      <c r="AT28" s="40" t="n">
        <f aca="false">+AJ28+Z28+P28+F28</f>
        <v>12</v>
      </c>
      <c r="AV28" s="343" t="e">
        <f aca="false">ROUND(AX16:AX28/AR28,4)</f>
        <v>#DIV/0!</v>
      </c>
      <c r="AX28" s="277" t="n">
        <f aca="false">+AN28+AD28+T28+J28</f>
        <v>0</v>
      </c>
      <c r="AZ28" s="307" t="n">
        <f aca="false">+L28+V28+AF28+AP28</f>
        <v>0.473290000000002</v>
      </c>
      <c r="BA28" s="212" t="n">
        <v>50001070</v>
      </c>
      <c r="BB28" s="212" t="n">
        <v>500001883</v>
      </c>
    </row>
    <row r="29" customFormat="false" ht="12.75" hidden="false" customHeight="false" outlineLevel="0" collapsed="false">
      <c r="B29" s="178" t="s">
        <v>143</v>
      </c>
      <c r="F29" s="40" t="n">
        <f aca="false">ROUND(D29/$AX$1,0)</f>
        <v>0</v>
      </c>
      <c r="H29" s="343" t="n">
        <v>0</v>
      </c>
      <c r="L29" s="307" t="n">
        <f aca="false">+J29/1000</f>
        <v>0</v>
      </c>
      <c r="N29" s="40" t="n">
        <v>-13395</v>
      </c>
      <c r="P29" s="40" t="n">
        <f aca="false">ROUND(N29/$AX$2,0)</f>
        <v>-447</v>
      </c>
      <c r="R29" s="309" t="n">
        <v>2.04</v>
      </c>
      <c r="T29" s="277" t="n">
        <f aca="false">+R29*N29</f>
        <v>-27325.8</v>
      </c>
      <c r="V29" s="307" t="n">
        <f aca="false">ROUND(T29/1000,0)</f>
        <v>-27</v>
      </c>
      <c r="Y29" s="3"/>
      <c r="Z29" s="40" t="n">
        <v>0</v>
      </c>
      <c r="AB29" s="309" t="n">
        <v>0</v>
      </c>
      <c r="AF29" s="307" t="n">
        <f aca="false">+AD29/1000</f>
        <v>0</v>
      </c>
      <c r="AH29" s="40" t="n">
        <v>-43721</v>
      </c>
      <c r="AJ29" s="40" t="n">
        <f aca="false">ROUND(AH29/$AX$3,0)</f>
        <v>-1437</v>
      </c>
      <c r="AL29" s="343" t="n">
        <f aca="false">+AN29/AH29</f>
        <v>2.14170856110336</v>
      </c>
      <c r="AN29" s="277" t="n">
        <v>-93637.64</v>
      </c>
      <c r="AP29" s="307" t="n">
        <f aca="false">+AN29/1000</f>
        <v>-93.63764</v>
      </c>
      <c r="AR29" s="40" t="n">
        <f aca="false">+AH29+X29+N29+D29</f>
        <v>-57116</v>
      </c>
      <c r="AT29" s="40" t="n">
        <f aca="false">+AJ29+Z29+P29+F29</f>
        <v>-1884</v>
      </c>
      <c r="AV29" s="343" t="n">
        <f aca="false">ROUND(AX16:AX29/AR29,4)</f>
        <v>2.1179</v>
      </c>
      <c r="AX29" s="277" t="n">
        <f aca="false">+AN29+AD29+T29+J29</f>
        <v>-120963.44</v>
      </c>
      <c r="AZ29" s="307" t="n">
        <f aca="false">+L29+V29+AF29+AP29</f>
        <v>-120.63764</v>
      </c>
      <c r="BA29" s="212" t="n">
        <v>50001090</v>
      </c>
      <c r="BB29" s="212" t="n">
        <v>500001893</v>
      </c>
    </row>
    <row r="30" customFormat="false" ht="12.75" hidden="false" customHeight="false" outlineLevel="0" collapsed="false">
      <c r="B30" s="178" t="s">
        <v>200</v>
      </c>
      <c r="F30" s="40" t="n">
        <f aca="false">ROUND(D30/$AX$1,0)</f>
        <v>0</v>
      </c>
      <c r="H30" s="343" t="n">
        <v>0</v>
      </c>
      <c r="L30" s="307" t="n">
        <f aca="false">+J30/1000</f>
        <v>0</v>
      </c>
      <c r="N30" s="40" t="n">
        <v>128764</v>
      </c>
      <c r="P30" s="40" t="n">
        <f aca="false">ROUND(N30/$AX$2,0)</f>
        <v>4292</v>
      </c>
      <c r="R30" s="309" t="n">
        <v>2.04</v>
      </c>
      <c r="T30" s="277" t="n">
        <f aca="false">+R30*N30</f>
        <v>262678.56</v>
      </c>
      <c r="V30" s="307" t="n">
        <f aca="false">ROUND(T30/1000,0)</f>
        <v>263</v>
      </c>
      <c r="Y30" s="3"/>
      <c r="Z30" s="40" t="n">
        <v>0</v>
      </c>
      <c r="AB30" s="309" t="n">
        <v>0</v>
      </c>
      <c r="AF30" s="307" t="n">
        <f aca="false">+AD30/1000</f>
        <v>0</v>
      </c>
      <c r="AJ30" s="40"/>
      <c r="AL30" s="343"/>
      <c r="AN30" s="277"/>
      <c r="AP30" s="307" t="n">
        <f aca="false">+AN30/1000</f>
        <v>0</v>
      </c>
      <c r="AR30" s="40" t="n">
        <f aca="false">+AH30+X30+N30+D30</f>
        <v>128764</v>
      </c>
      <c r="AT30" s="40" t="n">
        <f aca="false">+AJ30+Z30+P30+F30</f>
        <v>4292</v>
      </c>
      <c r="AV30" s="343" t="n">
        <f aca="false">ROUND(AX17:AX30/AR30,4)</f>
        <v>2.04</v>
      </c>
      <c r="AX30" s="277" t="n">
        <f aca="false">+AN30+AD30+T30+J30</f>
        <v>262678.56</v>
      </c>
      <c r="AZ30" s="307" t="n">
        <f aca="false">+L30+V30+AF30+AP30</f>
        <v>263</v>
      </c>
      <c r="BA30" s="212" t="n">
        <v>50001060</v>
      </c>
      <c r="BB30" s="212" t="n">
        <v>500001882</v>
      </c>
    </row>
    <row r="31" customFormat="false" ht="12.75" hidden="false" customHeight="false" outlineLevel="0" collapsed="false">
      <c r="B31" s="178" t="s">
        <v>201</v>
      </c>
      <c r="F31" s="40" t="n">
        <f aca="false">ROUND(D31/$AX$1,0)</f>
        <v>0</v>
      </c>
      <c r="H31" s="343" t="n">
        <v>0</v>
      </c>
      <c r="L31" s="307" t="n">
        <f aca="false">+J31/1000</f>
        <v>0</v>
      </c>
      <c r="P31" s="40" t="n">
        <f aca="false">ROUND(N31/$AX$2,0)</f>
        <v>0</v>
      </c>
      <c r="V31" s="307" t="n">
        <f aca="false">ROUND(T31/1000,0)</f>
        <v>0</v>
      </c>
      <c r="Y31" s="3"/>
      <c r="Z31" s="40" t="n">
        <v>0</v>
      </c>
      <c r="AB31" s="309" t="n">
        <v>0</v>
      </c>
      <c r="AF31" s="307" t="n">
        <f aca="false">+AD31/1000</f>
        <v>0</v>
      </c>
      <c r="AJ31" s="40"/>
      <c r="AL31" s="343"/>
      <c r="AN31" s="277"/>
      <c r="AP31" s="307" t="n">
        <f aca="false">+AN31/1000</f>
        <v>0</v>
      </c>
      <c r="AR31" s="40" t="n">
        <f aca="false">+AH31+X31+N31+D31</f>
        <v>0</v>
      </c>
      <c r="AT31" s="40" t="n">
        <f aca="false">+AJ31+Z31+P31+F31</f>
        <v>0</v>
      </c>
      <c r="AV31" s="343" t="n">
        <v>0</v>
      </c>
      <c r="AX31" s="277" t="n">
        <f aca="false">+AN31+AD31+T31+J31</f>
        <v>0</v>
      </c>
      <c r="AZ31" s="307" t="n">
        <f aca="false">+L31+V31+AF31+AP31</f>
        <v>0</v>
      </c>
      <c r="BA31" s="212" t="n">
        <v>50001050</v>
      </c>
      <c r="BB31" s="212" t="n">
        <v>500001881</v>
      </c>
    </row>
    <row r="32" customFormat="false" ht="12.75" hidden="false" customHeight="false" outlineLevel="0" collapsed="false">
      <c r="B32" s="212" t="s">
        <v>202</v>
      </c>
      <c r="F32" s="40" t="n">
        <f aca="false">ROUND(D32/$AX$1,0)</f>
        <v>0</v>
      </c>
      <c r="H32" s="343" t="n">
        <v>0</v>
      </c>
      <c r="L32" s="307" t="n">
        <f aca="false">+J32/1000</f>
        <v>0</v>
      </c>
      <c r="P32" s="40" t="n">
        <f aca="false">ROUND(N32/$AX$2,0)</f>
        <v>0</v>
      </c>
      <c r="R32" s="309" t="n">
        <v>0</v>
      </c>
      <c r="V32" s="307" t="n">
        <f aca="false">ROUND(T32/1000,0)</f>
        <v>0</v>
      </c>
      <c r="Y32" s="3"/>
      <c r="Z32" s="40" t="n">
        <v>0</v>
      </c>
      <c r="AB32" s="309" t="n">
        <v>0</v>
      </c>
      <c r="AD32" s="277" t="n">
        <v>0</v>
      </c>
      <c r="AF32" s="307" t="n">
        <f aca="false">+AD32/1000</f>
        <v>0</v>
      </c>
      <c r="AJ32" s="40"/>
      <c r="AL32" s="343"/>
      <c r="AN32" s="277"/>
      <c r="AP32" s="307" t="n">
        <f aca="false">+AN32/1000</f>
        <v>0</v>
      </c>
      <c r="AR32" s="40" t="n">
        <f aca="false">+AH32+X32+N32+D32</f>
        <v>0</v>
      </c>
      <c r="AT32" s="40" t="n">
        <f aca="false">+AJ32+Z32+P32+F32</f>
        <v>0</v>
      </c>
      <c r="AV32" s="343" t="n">
        <v>0</v>
      </c>
      <c r="AX32" s="277" t="n">
        <f aca="false">+AN32+AD32+T32+J32</f>
        <v>0</v>
      </c>
      <c r="AZ32" s="307" t="n">
        <f aca="false">+L32+V32+AF32+AP32</f>
        <v>0</v>
      </c>
    </row>
    <row r="33" customFormat="false" ht="12.75" hidden="false" customHeight="false" outlineLevel="0" collapsed="false">
      <c r="B33" s="178" t="s">
        <v>203</v>
      </c>
      <c r="F33" s="40" t="n">
        <f aca="false">ROUND(D33/$AX$1,0)</f>
        <v>0</v>
      </c>
      <c r="H33" s="343" t="n">
        <v>0</v>
      </c>
      <c r="L33" s="307" t="n">
        <f aca="false">+J33/1000</f>
        <v>0</v>
      </c>
      <c r="N33" s="40" t="n">
        <v>9509</v>
      </c>
      <c r="P33" s="40" t="n">
        <f aca="false">ROUND(N33/$AX$2,0)</f>
        <v>317</v>
      </c>
      <c r="R33" s="309" t="n">
        <v>2.04</v>
      </c>
      <c r="T33" s="277" t="n">
        <f aca="false">+R33*N33</f>
        <v>19398.36</v>
      </c>
      <c r="V33" s="307" t="n">
        <f aca="false">ROUND(T33/1000,0)</f>
        <v>19</v>
      </c>
      <c r="Y33" s="3"/>
      <c r="Z33" s="40" t="n">
        <v>0</v>
      </c>
      <c r="AB33" s="309" t="n">
        <v>0</v>
      </c>
      <c r="AF33" s="307" t="n">
        <f aca="false">+AD33/1000</f>
        <v>0</v>
      </c>
      <c r="AJ33" s="40"/>
      <c r="AL33" s="343" t="n">
        <v>0</v>
      </c>
      <c r="AN33" s="129"/>
      <c r="AP33" s="307" t="n">
        <f aca="false">+AN33/1000</f>
        <v>0</v>
      </c>
      <c r="AR33" s="40" t="n">
        <f aca="false">+AH33+X33+N33+D33</f>
        <v>9509</v>
      </c>
      <c r="AT33" s="40" t="n">
        <f aca="false">+AJ33+Z33+P33+F33</f>
        <v>317</v>
      </c>
      <c r="AV33" s="343" t="n">
        <v>0</v>
      </c>
      <c r="AX33" s="277" t="n">
        <f aca="false">+AN33+AD33+T33+J33</f>
        <v>19398.36</v>
      </c>
      <c r="AZ33" s="307" t="n">
        <f aca="false">+L33+V33+AF33+AP33</f>
        <v>19</v>
      </c>
    </row>
    <row r="34" customFormat="false" ht="12.75" hidden="false" customHeight="false" outlineLevel="0" collapsed="false">
      <c r="B34" s="178" t="s">
        <v>141</v>
      </c>
      <c r="Y34" s="3"/>
      <c r="AE34" s="5"/>
      <c r="AN34" s="129"/>
      <c r="AR34" s="40"/>
      <c r="AV34" s="306"/>
      <c r="AX34" s="277" t="n">
        <f aca="false">-2335669.46</f>
        <v>-2335669.46</v>
      </c>
      <c r="AZ34" s="307" t="n">
        <f aca="false">+AX34/1000+1</f>
        <v>-2334.66946</v>
      </c>
    </row>
    <row r="35" customFormat="false" ht="12.75" hidden="false" customHeight="false" outlineLevel="0" collapsed="false">
      <c r="A35" s="178" t="s">
        <v>204</v>
      </c>
      <c r="D35" s="57" t="n">
        <f aca="false">SUM(D20:D34)</f>
        <v>979733</v>
      </c>
      <c r="E35" s="345"/>
      <c r="F35" s="349" t="n">
        <f aca="false">SUM(F20:F34)</f>
        <v>31605</v>
      </c>
      <c r="G35" s="291"/>
      <c r="H35" s="346" t="n">
        <f aca="false">ROUND(J35/D35,4)</f>
        <v>2.3324</v>
      </c>
      <c r="I35" s="291"/>
      <c r="J35" s="347" t="n">
        <f aca="false">SUM(J20:J34)</f>
        <v>2285173.89</v>
      </c>
      <c r="K35" s="60"/>
      <c r="L35" s="354" t="n">
        <f aca="false">SUM(L20:L34)</f>
        <v>2285.17389</v>
      </c>
      <c r="N35" s="57" t="n">
        <f aca="false">SUM(N20:N34)</f>
        <v>820816</v>
      </c>
      <c r="O35" s="345"/>
      <c r="P35" s="349" t="n">
        <f aca="false">SUM(P20:P34)</f>
        <v>27360</v>
      </c>
      <c r="Q35" s="291"/>
      <c r="R35" s="350" t="n">
        <f aca="false">ROUND(T35/N35,4)</f>
        <v>2.7078</v>
      </c>
      <c r="S35" s="291"/>
      <c r="T35" s="347" t="n">
        <f aca="false">SUM(T20:T34)</f>
        <v>2222578.38</v>
      </c>
      <c r="U35" s="60"/>
      <c r="V35" s="348" t="n">
        <f aca="false">SUM(V20:V34)</f>
        <v>2223</v>
      </c>
      <c r="W35" s="183"/>
      <c r="X35" s="57" t="n">
        <f aca="false">SUM(X22:X34)</f>
        <v>-805752</v>
      </c>
      <c r="Y35" s="57"/>
      <c r="Z35" s="57" t="n">
        <f aca="false">SUM(Z22:Z34)</f>
        <v>-25993</v>
      </c>
      <c r="AA35" s="291"/>
      <c r="AB35" s="346" t="n">
        <v>2.3404</v>
      </c>
      <c r="AC35" s="291"/>
      <c r="AD35" s="347" t="n">
        <f aca="false">SUM(AD21:AD34)</f>
        <v>-2199839.04</v>
      </c>
      <c r="AE35" s="60"/>
      <c r="AF35" s="348" t="n">
        <f aca="false">SUM(AF20:AF34)</f>
        <v>-2199.83904</v>
      </c>
      <c r="AH35" s="57" t="n">
        <f aca="false">SUM(AH20:AH34)</f>
        <v>0</v>
      </c>
      <c r="AI35" s="345"/>
      <c r="AJ35" s="349" t="n">
        <f aca="false">SUM(AJ20:AJ34)</f>
        <v>-1437</v>
      </c>
      <c r="AK35" s="291"/>
      <c r="AL35" s="346" t="n">
        <v>0</v>
      </c>
      <c r="AM35" s="291"/>
      <c r="AN35" s="347" t="n">
        <f aca="false">SUM(AN20:AN34)</f>
        <v>27756.2300000001</v>
      </c>
      <c r="AO35" s="60"/>
      <c r="AP35" s="348" t="n">
        <f aca="false">SUM(AP20:AP34)</f>
        <v>27.75623</v>
      </c>
      <c r="AR35" s="57" t="n">
        <f aca="false">SUM(AR20:AR34)</f>
        <v>994797</v>
      </c>
      <c r="AS35" s="345"/>
      <c r="AT35" s="349" t="n">
        <f aca="false">SUM(AT20:AT34)</f>
        <v>31535</v>
      </c>
      <c r="AU35" s="291"/>
      <c r="AV35" s="346" t="n">
        <f aca="false">ROUND(AX35/AR35,4)</f>
        <v>0</v>
      </c>
      <c r="AW35" s="291"/>
      <c r="AX35" s="347" t="n">
        <f aca="false">SUM(AX20:AX34)</f>
        <v>0</v>
      </c>
      <c r="AY35" s="60"/>
      <c r="AZ35" s="348" t="n">
        <f aca="false">SUM(AZ20:AZ34)</f>
        <v>1.42162000000008</v>
      </c>
    </row>
    <row r="36" customFormat="false" ht="12.75" hidden="false" customHeight="false" outlineLevel="0" collapsed="false">
      <c r="AN36" s="277"/>
      <c r="AR36" s="40"/>
      <c r="AV36" s="306"/>
      <c r="AX36" s="277"/>
    </row>
    <row r="37" customFormat="false" ht="13.5" hidden="false" customHeight="false" outlineLevel="0" collapsed="false">
      <c r="A37" s="178" t="s">
        <v>205</v>
      </c>
      <c r="D37" s="298" t="n">
        <f aca="false">+D17-D35</f>
        <v>0</v>
      </c>
      <c r="E37" s="355"/>
      <c r="F37" s="298" t="n">
        <f aca="false">+F17-F35</f>
        <v>-1</v>
      </c>
      <c r="G37" s="300"/>
      <c r="H37" s="356" t="n">
        <v>0</v>
      </c>
      <c r="I37" s="300"/>
      <c r="J37" s="357" t="n">
        <f aca="false">+J17-J35</f>
        <v>9797.32999999961</v>
      </c>
      <c r="K37" s="165"/>
      <c r="L37" s="358" t="n">
        <f aca="false">+L17-L35</f>
        <v>9.79732999999942</v>
      </c>
      <c r="N37" s="298" t="n">
        <f aca="false">+N17-N35</f>
        <v>0</v>
      </c>
      <c r="O37" s="355"/>
      <c r="P37" s="298" t="n">
        <f aca="false">+P17-P35</f>
        <v>0</v>
      </c>
      <c r="Q37" s="300"/>
      <c r="R37" s="359" t="n">
        <v>0</v>
      </c>
      <c r="S37" s="300"/>
      <c r="T37" s="357" t="n">
        <f aca="false">+T17-T35</f>
        <v>-25827.0299999998</v>
      </c>
      <c r="U37" s="300"/>
      <c r="V37" s="358" t="n">
        <f aca="false">+V17-V35</f>
        <v>-27</v>
      </c>
      <c r="X37" s="298" t="n">
        <v>0</v>
      </c>
      <c r="Y37" s="355"/>
      <c r="Z37" s="298" t="n">
        <v>-1</v>
      </c>
      <c r="AA37" s="300"/>
      <c r="AB37" s="356" t="n">
        <v>0</v>
      </c>
      <c r="AC37" s="300"/>
      <c r="AD37" s="357" t="n">
        <f aca="false">+AD17-AD35</f>
        <v>41436.6000000001</v>
      </c>
      <c r="AE37" s="300"/>
      <c r="AF37" s="358" t="n">
        <f aca="false">+AF17-AF35</f>
        <v>41.4366</v>
      </c>
      <c r="AH37" s="298" t="n">
        <f aca="false">+AH17-AH35</f>
        <v>0</v>
      </c>
      <c r="AI37" s="355"/>
      <c r="AJ37" s="298" t="n">
        <f aca="false">+AJ17-AJ35</f>
        <v>1437</v>
      </c>
      <c r="AK37" s="300"/>
      <c r="AL37" s="356" t="n">
        <v>0</v>
      </c>
      <c r="AM37" s="300"/>
      <c r="AN37" s="357" t="n">
        <f aca="false">+AN17-AN35</f>
        <v>-27756.2300000001</v>
      </c>
      <c r="AO37" s="300"/>
      <c r="AP37" s="358" t="n">
        <f aca="false">+AP17-AP35</f>
        <v>-27.75623</v>
      </c>
      <c r="AR37" s="298" t="n">
        <f aca="false">+AR17-AR35</f>
        <v>0</v>
      </c>
      <c r="AS37" s="355"/>
      <c r="AT37" s="298" t="n">
        <f aca="false">+AT17-AT35</f>
        <v>1437</v>
      </c>
      <c r="AU37" s="300"/>
      <c r="AV37" s="356" t="n">
        <v>0</v>
      </c>
      <c r="AW37" s="300"/>
      <c r="AX37" s="357" t="n">
        <f aca="false">+AX17-AX35</f>
        <v>2333320.13</v>
      </c>
      <c r="AY37" s="300"/>
      <c r="AZ37" s="358" t="n">
        <f aca="false">+AZ17-AZ35</f>
        <v>2331.14716</v>
      </c>
    </row>
    <row r="38" customFormat="false" ht="13.5" hidden="false" customHeight="false" outlineLevel="0" collapsed="false">
      <c r="AH38" s="40" t="s">
        <v>6</v>
      </c>
      <c r="AN38" s="277"/>
      <c r="AV38" s="306"/>
      <c r="AX38" s="192"/>
    </row>
    <row r="39" customFormat="false" ht="12.75" hidden="false" customHeight="false" outlineLevel="0" collapsed="false">
      <c r="F39" s="316"/>
      <c r="G39" s="183"/>
      <c r="H39" s="360"/>
      <c r="I39" s="183"/>
      <c r="AI39" s="183"/>
      <c r="AJ39" s="316"/>
      <c r="AK39" s="183"/>
      <c r="AL39" s="360"/>
      <c r="AM39" s="183"/>
      <c r="AN39" s="277"/>
      <c r="AR39" s="316"/>
      <c r="AS39" s="183"/>
      <c r="AT39" s="361"/>
      <c r="AU39" s="183"/>
      <c r="AV39" s="360"/>
      <c r="AW39" s="183"/>
      <c r="AX39" s="362"/>
    </row>
    <row r="40" customFormat="false" ht="12.75" hidden="false" customHeight="false" outlineLevel="0" collapsed="false">
      <c r="B40" s="183"/>
      <c r="C40" s="363"/>
      <c r="F40" s="145" t="s">
        <v>206</v>
      </c>
      <c r="G40" s="183"/>
      <c r="H40" s="360"/>
      <c r="I40" s="183"/>
      <c r="J40" s="277" t="n">
        <v>729750</v>
      </c>
      <c r="O40" s="183"/>
      <c r="P40" s="361"/>
      <c r="Q40" s="183"/>
      <c r="S40" s="183"/>
      <c r="AN40" s="277"/>
      <c r="AV40" s="306"/>
      <c r="AX40" s="192"/>
    </row>
    <row r="41" customFormat="false" ht="12.75" hidden="false" customHeight="false" outlineLevel="0" collapsed="false">
      <c r="B41" s="183"/>
      <c r="C41" s="363"/>
      <c r="F41" s="316" t="s">
        <v>199</v>
      </c>
      <c r="G41" s="183"/>
      <c r="H41" s="360"/>
      <c r="I41" s="183"/>
      <c r="J41" s="277" t="n">
        <v>-5197.53</v>
      </c>
      <c r="O41" s="183"/>
      <c r="P41" s="361"/>
      <c r="Q41" s="183"/>
      <c r="S41" s="183"/>
      <c r="AN41" s="277"/>
      <c r="AV41" s="306"/>
      <c r="AX41" s="192"/>
    </row>
    <row r="42" customFormat="false" ht="12.75" hidden="false" customHeight="false" outlineLevel="0" collapsed="false">
      <c r="B42" s="183"/>
      <c r="C42" s="363"/>
      <c r="F42" s="316" t="s">
        <v>187</v>
      </c>
      <c r="G42" s="183"/>
      <c r="H42" s="360"/>
      <c r="I42" s="183"/>
      <c r="J42" s="364" t="n">
        <v>2842.6</v>
      </c>
      <c r="O42" s="183"/>
      <c r="P42" s="316"/>
      <c r="Q42" s="183"/>
      <c r="S42" s="183"/>
      <c r="AN42" s="277"/>
      <c r="AV42" s="306"/>
      <c r="AX42" s="192"/>
    </row>
    <row r="43" customFormat="false" ht="13.5" hidden="false" customHeight="false" outlineLevel="0" collapsed="false">
      <c r="B43" s="183"/>
      <c r="C43" s="183"/>
      <c r="F43" s="316"/>
      <c r="G43" s="183"/>
      <c r="H43" s="360"/>
      <c r="I43" s="183"/>
      <c r="J43" s="277" t="n">
        <f aca="false">SUM(J40:J42)</f>
        <v>727395.07</v>
      </c>
      <c r="O43" s="183"/>
      <c r="P43" s="316"/>
      <c r="Q43" s="183"/>
      <c r="S43" s="183"/>
      <c r="X43" s="40" t="s">
        <v>207</v>
      </c>
      <c r="AD43" s="357" t="n">
        <f aca="false">+AD37+T37</f>
        <v>15609.5700000003</v>
      </c>
      <c r="AH43" s="40" t="s">
        <v>208</v>
      </c>
      <c r="AN43" s="357" t="n">
        <f aca="false">-AN31</f>
        <v>-0</v>
      </c>
      <c r="AR43" s="190" t="s">
        <v>209</v>
      </c>
      <c r="AV43" s="306"/>
      <c r="AX43" s="365" t="e">
        <f aca="false">+AN43+AD43+#REF!</f>
        <v>#REF!</v>
      </c>
      <c r="BA43" s="192"/>
    </row>
    <row r="44" customFormat="false" ht="13.5" hidden="false" customHeight="false" outlineLevel="0" collapsed="false">
      <c r="B44" s="183"/>
      <c r="C44" s="183"/>
      <c r="F44" s="316"/>
      <c r="G44" s="183"/>
      <c r="H44" s="360"/>
      <c r="I44" s="183"/>
      <c r="J44" s="277" t="n">
        <f aca="false">529413.94-727395.07</f>
        <v>-197981.13</v>
      </c>
      <c r="O44" s="183"/>
      <c r="P44" s="316"/>
      <c r="Q44" s="183"/>
      <c r="S44" s="183"/>
      <c r="AN44" s="277"/>
      <c r="AV44" s="306"/>
      <c r="AX44" s="192"/>
    </row>
    <row r="45" customFormat="false" ht="12.75" hidden="false" customHeight="false" outlineLevel="0" collapsed="false">
      <c r="B45" s="183"/>
      <c r="C45" s="5"/>
      <c r="F45" s="316"/>
      <c r="G45" s="183"/>
      <c r="H45" s="343"/>
      <c r="I45" s="183"/>
      <c r="O45" s="183"/>
      <c r="P45" s="316"/>
      <c r="Q45" s="183"/>
      <c r="S45" s="183"/>
      <c r="AN45" s="277"/>
      <c r="AV45" s="306"/>
      <c r="AX45" s="192"/>
    </row>
    <row r="46" customFormat="false" ht="12.75" hidden="false" customHeight="false" outlineLevel="0" collapsed="false">
      <c r="B46" s="183"/>
      <c r="C46" s="5"/>
      <c r="F46" s="316"/>
      <c r="G46" s="183"/>
      <c r="H46" s="343"/>
      <c r="I46" s="183"/>
      <c r="O46" s="183"/>
      <c r="P46" s="316"/>
      <c r="Q46" s="183"/>
      <c r="S46" s="183"/>
      <c r="AN46" s="277"/>
      <c r="AV46" s="306"/>
      <c r="AX46" s="192"/>
    </row>
    <row r="47" customFormat="false" ht="12.75" hidden="false" customHeight="false" outlineLevel="0" collapsed="false">
      <c r="B47" s="183"/>
      <c r="C47" s="183"/>
      <c r="F47" s="316"/>
      <c r="G47" s="183"/>
      <c r="H47" s="145"/>
      <c r="I47" s="183"/>
      <c r="AN47" s="277"/>
      <c r="AV47" s="306"/>
      <c r="AX47" s="192"/>
    </row>
    <row r="48" customFormat="false" ht="12.75" hidden="false" customHeight="false" outlineLevel="0" collapsed="false">
      <c r="B48" s="183"/>
      <c r="C48" s="183"/>
      <c r="F48" s="316"/>
      <c r="G48" s="183"/>
      <c r="H48" s="145"/>
      <c r="I48" s="183"/>
      <c r="AD48" s="277" t="n">
        <f aca="false">+AD46-AD47</f>
        <v>0</v>
      </c>
      <c r="AN48" s="277"/>
      <c r="AV48" s="306"/>
      <c r="AX48" s="192"/>
    </row>
    <row r="49" customFormat="false" ht="12.75" hidden="false" customHeight="false" outlineLevel="0" collapsed="false">
      <c r="B49" s="183"/>
      <c r="C49" s="363"/>
      <c r="F49" s="145"/>
      <c r="G49" s="183"/>
      <c r="H49" s="360"/>
      <c r="I49" s="183"/>
      <c r="AN49" s="277"/>
      <c r="AV49" s="306"/>
      <c r="AX49" s="192"/>
    </row>
    <row r="50" customFormat="false" ht="12.75" hidden="false" customHeight="false" outlineLevel="0" collapsed="false">
      <c r="B50" s="183"/>
      <c r="C50" s="363"/>
      <c r="F50" s="145"/>
      <c r="G50" s="183"/>
      <c r="H50" s="360"/>
      <c r="I50" s="183"/>
      <c r="AN50" s="277"/>
      <c r="AV50" s="306"/>
      <c r="AX50" s="192"/>
    </row>
    <row r="51" customFormat="false" ht="12.75" hidden="false" customHeight="false" outlineLevel="0" collapsed="false">
      <c r="B51" s="183"/>
      <c r="C51" s="183"/>
      <c r="F51" s="316"/>
      <c r="G51" s="183"/>
      <c r="H51" s="360"/>
      <c r="I51" s="183"/>
      <c r="AN51" s="277"/>
      <c r="AV51" s="306"/>
      <c r="AX51" s="192"/>
    </row>
    <row r="52" customFormat="false" ht="12.75" hidden="false" customHeight="false" outlineLevel="0" collapsed="false">
      <c r="B52" s="183"/>
      <c r="C52" s="183"/>
      <c r="F52" s="316"/>
      <c r="G52" s="183"/>
      <c r="H52" s="360"/>
      <c r="I52" s="183"/>
      <c r="AN52" s="277"/>
      <c r="AV52" s="306"/>
      <c r="AX52" s="192"/>
    </row>
    <row r="53" customFormat="false" ht="12.75" hidden="false" customHeight="false" outlineLevel="0" collapsed="false">
      <c r="B53" s="183"/>
      <c r="C53" s="183"/>
      <c r="F53" s="316"/>
      <c r="G53" s="183"/>
      <c r="H53" s="360"/>
      <c r="I53" s="183"/>
      <c r="AN53" s="277"/>
      <c r="AV53" s="306"/>
      <c r="AX53" s="192"/>
    </row>
    <row r="54" customFormat="false" ht="12.75" hidden="false" customHeight="false" outlineLevel="0" collapsed="false">
      <c r="AN54" s="277"/>
      <c r="AV54" s="306"/>
      <c r="AX54" s="192"/>
    </row>
    <row r="55" customFormat="false" ht="12.75" hidden="false" customHeight="false" outlineLevel="0" collapsed="false">
      <c r="AN55" s="277"/>
      <c r="AV55" s="306"/>
      <c r="AX55" s="192"/>
    </row>
    <row r="56" customFormat="false" ht="12.75" hidden="false" customHeight="false" outlineLevel="0" collapsed="false">
      <c r="J56" s="277" t="n">
        <f aca="false">+J12</f>
        <v>741675</v>
      </c>
      <c r="AN56" s="277"/>
      <c r="AV56" s="306"/>
      <c r="AX56" s="192"/>
    </row>
    <row r="57" customFormat="false" ht="12.75" hidden="false" customHeight="false" outlineLevel="0" collapsed="false">
      <c r="J57" s="277" t="n">
        <f aca="false">+J16</f>
        <v>0</v>
      </c>
      <c r="AN57" s="277"/>
      <c r="AV57" s="306"/>
      <c r="AX57" s="192"/>
    </row>
    <row r="58" customFormat="false" ht="12.75" hidden="false" customHeight="false" outlineLevel="0" collapsed="false">
      <c r="J58" s="277" t="n">
        <f aca="false">+J28</f>
        <v>0</v>
      </c>
      <c r="AN58" s="277"/>
      <c r="AV58" s="306"/>
      <c r="AX58" s="192"/>
    </row>
    <row r="59" customFormat="false" ht="12.75" hidden="false" customHeight="false" outlineLevel="0" collapsed="false">
      <c r="J59" s="277" t="n">
        <f aca="false">+J56+J57-J58</f>
        <v>741675</v>
      </c>
      <c r="AN59" s="277"/>
      <c r="AV59" s="306"/>
      <c r="AX59" s="192"/>
    </row>
    <row r="60" customFormat="false" ht="12.75" hidden="false" customHeight="false" outlineLevel="0" collapsed="false">
      <c r="AN60" s="277"/>
      <c r="AV60" s="306"/>
      <c r="AX60" s="192"/>
    </row>
    <row r="61" customFormat="false" ht="12.75" hidden="false" customHeight="false" outlineLevel="0" collapsed="false">
      <c r="AN61" s="277"/>
      <c r="AV61" s="306"/>
      <c r="AX61" s="192"/>
    </row>
    <row r="62" customFormat="false" ht="12.75" hidden="false" customHeight="false" outlineLevel="0" collapsed="false">
      <c r="AN62" s="277"/>
      <c r="AV62" s="306"/>
      <c r="AX62" s="192"/>
    </row>
    <row r="63" customFormat="false" ht="12.75" hidden="false" customHeight="false" outlineLevel="0" collapsed="false">
      <c r="AN63" s="277"/>
      <c r="AV63" s="306"/>
      <c r="AX63" s="192"/>
    </row>
    <row r="64" customFormat="false" ht="12.75" hidden="false" customHeight="false" outlineLevel="0" collapsed="false">
      <c r="J64" s="277" t="n">
        <f aca="false">+J62-J63</f>
        <v>0</v>
      </c>
      <c r="AN64" s="277"/>
      <c r="AV64" s="306"/>
      <c r="AX64" s="192"/>
    </row>
    <row r="65" customFormat="false" ht="12.75" hidden="false" customHeight="false" outlineLevel="0" collapsed="false">
      <c r="AN65" s="277"/>
      <c r="AV65" s="306"/>
      <c r="AX65" s="192"/>
    </row>
    <row r="66" customFormat="false" ht="12.75" hidden="false" customHeight="false" outlineLevel="0" collapsed="false">
      <c r="AN66" s="277"/>
      <c r="AV66" s="306"/>
      <c r="AX66" s="192"/>
    </row>
    <row r="67" customFormat="false" ht="12.75" hidden="false" customHeight="false" outlineLevel="0" collapsed="false">
      <c r="AN67" s="277"/>
      <c r="AV67" s="306"/>
      <c r="AX67" s="192"/>
    </row>
    <row r="68" customFormat="false" ht="12.75" hidden="false" customHeight="false" outlineLevel="0" collapsed="false">
      <c r="AN68" s="277"/>
      <c r="AV68" s="306"/>
      <c r="AX68" s="192"/>
    </row>
    <row r="69" customFormat="false" ht="12.75" hidden="false" customHeight="false" outlineLevel="0" collapsed="false">
      <c r="AN69" s="277"/>
      <c r="AV69" s="306"/>
      <c r="AX69" s="192"/>
    </row>
    <row r="70" customFormat="false" ht="12.75" hidden="false" customHeight="false" outlineLevel="0" collapsed="false">
      <c r="AN70" s="277"/>
      <c r="AV70" s="306"/>
      <c r="AX70" s="192"/>
    </row>
    <row r="71" customFormat="false" ht="12.75" hidden="false" customHeight="false" outlineLevel="0" collapsed="false">
      <c r="AN71" s="277"/>
      <c r="AV71" s="306"/>
      <c r="AX71" s="192"/>
    </row>
    <row r="72" customFormat="false" ht="12.75" hidden="false" customHeight="false" outlineLevel="0" collapsed="false">
      <c r="AN72" s="277"/>
      <c r="AV72" s="306"/>
      <c r="AX72" s="192"/>
    </row>
    <row r="73" customFormat="false" ht="12.75" hidden="false" customHeight="false" outlineLevel="0" collapsed="false">
      <c r="AN73" s="277"/>
      <c r="AV73" s="306"/>
      <c r="AX73" s="192"/>
    </row>
    <row r="74" customFormat="false" ht="12.75" hidden="false" customHeight="false" outlineLevel="0" collapsed="false">
      <c r="AN74" s="277"/>
      <c r="AV74" s="306"/>
      <c r="AX74" s="192"/>
    </row>
    <row r="75" customFormat="false" ht="12.75" hidden="false" customHeight="false" outlineLevel="0" collapsed="false">
      <c r="AN75" s="277"/>
      <c r="AV75" s="306"/>
      <c r="AX75" s="192"/>
    </row>
    <row r="76" customFormat="false" ht="12.75" hidden="false" customHeight="false" outlineLevel="0" collapsed="false">
      <c r="AN76" s="277"/>
      <c r="AV76" s="306"/>
      <c r="AX76" s="192"/>
    </row>
    <row r="77" customFormat="false" ht="12.75" hidden="false" customHeight="false" outlineLevel="0" collapsed="false">
      <c r="AN77" s="277"/>
      <c r="AV77" s="306"/>
      <c r="AX77" s="192"/>
    </row>
    <row r="78" customFormat="false" ht="12.75" hidden="false" customHeight="false" outlineLevel="0" collapsed="false">
      <c r="AN78" s="277"/>
      <c r="AV78" s="306"/>
      <c r="AX78" s="192"/>
    </row>
    <row r="79" customFormat="false" ht="12.75" hidden="false" customHeight="false" outlineLevel="0" collapsed="false">
      <c r="AN79" s="277"/>
      <c r="AV79" s="306"/>
      <c r="AX79" s="192"/>
    </row>
    <row r="80" customFormat="false" ht="12.75" hidden="false" customHeight="false" outlineLevel="0" collapsed="false">
      <c r="AN80" s="277"/>
      <c r="AV80" s="306"/>
      <c r="AX80" s="192"/>
    </row>
    <row r="81" customFormat="false" ht="12.75" hidden="false" customHeight="false" outlineLevel="0" collapsed="false">
      <c r="AN81" s="277"/>
      <c r="AV81" s="306"/>
      <c r="AX81" s="192"/>
    </row>
    <row r="82" customFormat="false" ht="12.75" hidden="false" customHeight="false" outlineLevel="0" collapsed="false">
      <c r="AN82" s="277"/>
      <c r="AV82" s="306"/>
      <c r="AX82" s="192"/>
    </row>
    <row r="83" customFormat="false" ht="12.75" hidden="false" customHeight="false" outlineLevel="0" collapsed="false">
      <c r="AN83" s="277"/>
      <c r="AV83" s="306"/>
      <c r="AX83" s="192"/>
    </row>
    <row r="84" customFormat="false" ht="12.75" hidden="false" customHeight="false" outlineLevel="0" collapsed="false">
      <c r="AN84" s="277"/>
      <c r="AV84" s="306"/>
      <c r="AX84" s="192"/>
    </row>
    <row r="85" customFormat="false" ht="12.75" hidden="false" customHeight="false" outlineLevel="0" collapsed="false">
      <c r="AN85" s="277"/>
      <c r="AV85" s="306"/>
      <c r="AX85" s="192"/>
    </row>
    <row r="86" customFormat="false" ht="12.75" hidden="false" customHeight="false" outlineLevel="0" collapsed="false">
      <c r="AN86" s="277"/>
      <c r="AV86" s="306"/>
      <c r="AX86" s="192"/>
    </row>
    <row r="87" customFormat="false" ht="12.75" hidden="false" customHeight="false" outlineLevel="0" collapsed="false">
      <c r="AN87" s="277"/>
      <c r="AV87" s="306"/>
      <c r="AX87" s="192"/>
    </row>
    <row r="88" customFormat="false" ht="12.75" hidden="false" customHeight="false" outlineLevel="0" collapsed="false">
      <c r="AN88" s="277"/>
      <c r="AV88" s="306"/>
      <c r="AX88" s="192"/>
    </row>
    <row r="89" customFormat="false" ht="12.75" hidden="false" customHeight="false" outlineLevel="0" collapsed="false">
      <c r="AN89" s="277"/>
      <c r="AV89" s="306"/>
      <c r="AX89" s="192"/>
    </row>
    <row r="90" customFormat="false" ht="12.75" hidden="false" customHeight="false" outlineLevel="0" collapsed="false">
      <c r="AN90" s="277"/>
      <c r="AV90" s="306"/>
      <c r="AX90" s="192"/>
    </row>
    <row r="91" customFormat="false" ht="12.75" hidden="false" customHeight="false" outlineLevel="0" collapsed="false">
      <c r="AN91" s="277"/>
      <c r="AV91" s="306"/>
      <c r="AX91" s="192"/>
    </row>
    <row r="92" customFormat="false" ht="12.75" hidden="false" customHeight="false" outlineLevel="0" collapsed="false">
      <c r="AN92" s="277"/>
      <c r="AV92" s="306"/>
      <c r="AX92" s="192"/>
    </row>
    <row r="93" customFormat="false" ht="12.75" hidden="false" customHeight="false" outlineLevel="0" collapsed="false">
      <c r="AN93" s="277"/>
      <c r="AV93" s="306"/>
      <c r="AX93" s="192"/>
    </row>
    <row r="94" customFormat="false" ht="12.75" hidden="false" customHeight="false" outlineLevel="0" collapsed="false">
      <c r="AN94" s="277"/>
      <c r="AV94" s="306"/>
      <c r="AX94" s="192"/>
    </row>
    <row r="95" customFormat="false" ht="12.75" hidden="false" customHeight="false" outlineLevel="0" collapsed="false">
      <c r="AN95" s="277"/>
      <c r="AV95" s="306"/>
      <c r="AX95" s="192"/>
    </row>
    <row r="96" customFormat="false" ht="12.75" hidden="false" customHeight="false" outlineLevel="0" collapsed="false">
      <c r="AN96" s="277"/>
      <c r="AV96" s="306"/>
      <c r="AX96" s="192"/>
    </row>
    <row r="97" customFormat="false" ht="12.75" hidden="false" customHeight="false" outlineLevel="0" collapsed="false">
      <c r="AN97" s="277"/>
      <c r="AV97" s="306"/>
      <c r="AX97" s="192"/>
    </row>
    <row r="98" customFormat="false" ht="12.75" hidden="false" customHeight="false" outlineLevel="0" collapsed="false">
      <c r="AN98" s="277"/>
      <c r="AV98" s="306"/>
      <c r="AX98" s="192"/>
    </row>
    <row r="99" customFormat="false" ht="12.75" hidden="false" customHeight="false" outlineLevel="0" collapsed="false">
      <c r="AN99" s="277"/>
      <c r="AV99" s="306"/>
      <c r="AX99" s="192"/>
    </row>
    <row r="100" customFormat="false" ht="12.75" hidden="false" customHeight="false" outlineLevel="0" collapsed="false">
      <c r="AN100" s="277"/>
      <c r="AV100" s="306"/>
      <c r="AX100" s="192"/>
    </row>
    <row r="101" customFormat="false" ht="12.75" hidden="false" customHeight="false" outlineLevel="0" collapsed="false">
      <c r="AN101" s="277"/>
      <c r="AV101" s="306"/>
      <c r="AX101" s="192"/>
    </row>
    <row r="102" customFormat="false" ht="12.75" hidden="false" customHeight="false" outlineLevel="0" collapsed="false">
      <c r="AN102" s="277"/>
      <c r="AV102" s="306"/>
      <c r="AX102" s="192"/>
    </row>
    <row r="103" customFormat="false" ht="12.75" hidden="false" customHeight="false" outlineLevel="0" collapsed="false">
      <c r="AV103" s="306"/>
      <c r="AX103" s="192"/>
    </row>
    <row r="104" customFormat="false" ht="12.75" hidden="false" customHeight="false" outlineLevel="0" collapsed="false">
      <c r="AV104" s="306"/>
      <c r="AX104" s="192"/>
    </row>
    <row r="105" customFormat="false" ht="12.75" hidden="false" customHeight="false" outlineLevel="0" collapsed="false">
      <c r="AV105" s="306"/>
      <c r="AX105" s="192"/>
    </row>
    <row r="106" customFormat="false" ht="12.75" hidden="false" customHeight="false" outlineLevel="0" collapsed="false">
      <c r="AV106" s="306"/>
      <c r="AX106" s="192"/>
    </row>
    <row r="107" customFormat="false" ht="12.75" hidden="false" customHeight="false" outlineLevel="0" collapsed="false">
      <c r="AV107" s="306"/>
      <c r="AX107" s="192"/>
    </row>
    <row r="108" customFormat="false" ht="12.75" hidden="false" customHeight="false" outlineLevel="0" collapsed="false">
      <c r="AV108" s="306"/>
      <c r="AX108" s="192"/>
    </row>
    <row r="109" customFormat="false" ht="12.75" hidden="false" customHeight="false" outlineLevel="0" collapsed="false">
      <c r="AV109" s="306"/>
      <c r="AX109" s="192"/>
    </row>
    <row r="110" customFormat="false" ht="12.75" hidden="false" customHeight="false" outlineLevel="0" collapsed="false">
      <c r="AV110" s="306"/>
      <c r="AX110" s="192"/>
    </row>
    <row r="111" customFormat="false" ht="12.75" hidden="false" customHeight="false" outlineLevel="0" collapsed="false">
      <c r="AV111" s="306"/>
      <c r="AX111" s="192"/>
    </row>
    <row r="112" customFormat="false" ht="12.75" hidden="false" customHeight="false" outlineLevel="0" collapsed="false">
      <c r="AV112" s="306"/>
      <c r="AX112" s="192"/>
    </row>
    <row r="113" customFormat="false" ht="12.75" hidden="false" customHeight="false" outlineLevel="0" collapsed="false">
      <c r="AV113" s="306"/>
      <c r="AX113" s="192"/>
    </row>
    <row r="114" customFormat="false" ht="12.75" hidden="false" customHeight="false" outlineLevel="0" collapsed="false">
      <c r="AV114" s="306"/>
      <c r="AX114" s="192"/>
    </row>
    <row r="115" customFormat="false" ht="12.75" hidden="false" customHeight="false" outlineLevel="0" collapsed="false">
      <c r="AV115" s="306"/>
      <c r="AX115" s="192"/>
    </row>
    <row r="116" customFormat="false" ht="12.75" hidden="false" customHeight="false" outlineLevel="0" collapsed="false">
      <c r="AV116" s="306"/>
      <c r="AX116" s="192"/>
    </row>
    <row r="117" customFormat="false" ht="12.75" hidden="false" customHeight="false" outlineLevel="0" collapsed="false">
      <c r="AV117" s="306"/>
      <c r="AX117" s="192"/>
    </row>
    <row r="118" customFormat="false" ht="12.75" hidden="false" customHeight="false" outlineLevel="0" collapsed="false">
      <c r="AV118" s="306"/>
      <c r="AX118" s="192"/>
    </row>
    <row r="119" customFormat="false" ht="12.75" hidden="false" customHeight="false" outlineLevel="0" collapsed="false">
      <c r="AV119" s="306"/>
      <c r="AX119" s="192"/>
    </row>
    <row r="120" customFormat="false" ht="12.75" hidden="false" customHeight="false" outlineLevel="0" collapsed="false">
      <c r="AV120" s="306"/>
      <c r="AX120" s="192"/>
    </row>
    <row r="121" customFormat="false" ht="12.75" hidden="false" customHeight="false" outlineLevel="0" collapsed="false">
      <c r="AV121" s="306"/>
      <c r="AX121" s="192"/>
    </row>
    <row r="122" customFormat="false" ht="12.75" hidden="false" customHeight="false" outlineLevel="0" collapsed="false">
      <c r="AV122" s="306"/>
      <c r="AX122" s="192"/>
    </row>
    <row r="123" customFormat="false" ht="12.75" hidden="false" customHeight="false" outlineLevel="0" collapsed="false">
      <c r="AV123" s="306"/>
      <c r="AX123" s="192"/>
    </row>
    <row r="124" customFormat="false" ht="12.75" hidden="false" customHeight="false" outlineLevel="0" collapsed="false">
      <c r="AV124" s="306"/>
      <c r="AX124" s="192"/>
    </row>
    <row r="125" customFormat="false" ht="12.75" hidden="false" customHeight="false" outlineLevel="0" collapsed="false">
      <c r="AV125" s="306"/>
      <c r="AX125" s="192"/>
    </row>
    <row r="126" customFormat="false" ht="12.75" hidden="false" customHeight="false" outlineLevel="0" collapsed="false">
      <c r="AV126" s="306"/>
      <c r="AX126" s="192"/>
    </row>
    <row r="127" customFormat="false" ht="12.75" hidden="false" customHeight="false" outlineLevel="0" collapsed="false">
      <c r="AV127" s="306"/>
      <c r="AX127" s="192"/>
    </row>
    <row r="128" customFormat="false" ht="12.75" hidden="false" customHeight="false" outlineLevel="0" collapsed="false">
      <c r="AV128" s="306"/>
      <c r="AX128" s="192"/>
    </row>
    <row r="129" customFormat="false" ht="12.75" hidden="false" customHeight="false" outlineLevel="0" collapsed="false">
      <c r="AV129" s="306"/>
      <c r="AX129" s="192"/>
    </row>
    <row r="130" customFormat="false" ht="12.75" hidden="false" customHeight="false" outlineLevel="0" collapsed="false">
      <c r="AV130" s="306"/>
      <c r="AX130" s="192"/>
    </row>
    <row r="131" customFormat="false" ht="12.75" hidden="false" customHeight="false" outlineLevel="0" collapsed="false">
      <c r="AV131" s="306"/>
      <c r="AX131" s="192"/>
    </row>
    <row r="132" customFormat="false" ht="12.75" hidden="false" customHeight="false" outlineLevel="0" collapsed="false">
      <c r="AV132" s="306"/>
      <c r="AX132" s="192"/>
    </row>
    <row r="133" customFormat="false" ht="12.75" hidden="false" customHeight="false" outlineLevel="0" collapsed="false">
      <c r="AV133" s="306"/>
      <c r="AX133" s="192"/>
    </row>
    <row r="134" customFormat="false" ht="12.75" hidden="false" customHeight="false" outlineLevel="0" collapsed="false">
      <c r="AV134" s="306"/>
      <c r="AX134" s="192"/>
    </row>
    <row r="135" customFormat="false" ht="12.75" hidden="false" customHeight="false" outlineLevel="0" collapsed="false">
      <c r="AV135" s="306"/>
      <c r="AX135" s="192"/>
    </row>
    <row r="136" customFormat="false" ht="12.75" hidden="false" customHeight="false" outlineLevel="0" collapsed="false">
      <c r="AV136" s="306"/>
      <c r="AX136" s="192"/>
    </row>
    <row r="137" customFormat="false" ht="12.75" hidden="false" customHeight="false" outlineLevel="0" collapsed="false">
      <c r="AV137" s="306"/>
      <c r="AX137" s="192"/>
    </row>
    <row r="138" customFormat="false" ht="12.75" hidden="false" customHeight="false" outlineLevel="0" collapsed="false">
      <c r="AV138" s="306"/>
      <c r="AX138" s="192"/>
    </row>
    <row r="139" customFormat="false" ht="12.75" hidden="false" customHeight="false" outlineLevel="0" collapsed="false">
      <c r="AV139" s="306"/>
      <c r="AX139" s="192"/>
    </row>
    <row r="140" customFormat="false" ht="12.75" hidden="false" customHeight="false" outlineLevel="0" collapsed="false">
      <c r="AV140" s="306"/>
      <c r="AX140" s="192"/>
    </row>
    <row r="141" customFormat="false" ht="12.75" hidden="false" customHeight="false" outlineLevel="0" collapsed="false">
      <c r="AV141" s="306"/>
      <c r="AX141" s="192"/>
    </row>
    <row r="142" customFormat="false" ht="12.75" hidden="false" customHeight="false" outlineLevel="0" collapsed="false">
      <c r="AV142" s="306"/>
      <c r="AX142" s="192"/>
    </row>
    <row r="143" customFormat="false" ht="12.75" hidden="false" customHeight="false" outlineLevel="0" collapsed="false">
      <c r="AV143" s="306"/>
      <c r="AX143" s="192"/>
    </row>
    <row r="144" customFormat="false" ht="12.75" hidden="false" customHeight="false" outlineLevel="0" collapsed="false">
      <c r="AV144" s="306"/>
      <c r="AX144" s="192"/>
    </row>
    <row r="145" customFormat="false" ht="12.75" hidden="false" customHeight="false" outlineLevel="0" collapsed="false">
      <c r="AV145" s="306"/>
      <c r="AX145" s="192"/>
    </row>
    <row r="146" customFormat="false" ht="12.75" hidden="false" customHeight="false" outlineLevel="0" collapsed="false">
      <c r="AV146" s="306"/>
      <c r="AX146" s="192"/>
    </row>
    <row r="147" customFormat="false" ht="12.75" hidden="false" customHeight="false" outlineLevel="0" collapsed="false">
      <c r="AV147" s="306"/>
      <c r="AX147" s="192"/>
    </row>
    <row r="148" customFormat="false" ht="12.75" hidden="false" customHeight="false" outlineLevel="0" collapsed="false">
      <c r="AV148" s="306"/>
      <c r="AX148" s="192"/>
    </row>
    <row r="149" customFormat="false" ht="12.75" hidden="false" customHeight="false" outlineLevel="0" collapsed="false">
      <c r="AV149" s="306"/>
      <c r="AX149" s="192"/>
    </row>
    <row r="150" customFormat="false" ht="12.75" hidden="false" customHeight="false" outlineLevel="0" collapsed="false">
      <c r="AV150" s="306"/>
      <c r="AX150" s="192"/>
    </row>
    <row r="151" customFormat="false" ht="12.75" hidden="false" customHeight="false" outlineLevel="0" collapsed="false">
      <c r="AV151" s="306"/>
      <c r="AX151" s="192"/>
    </row>
    <row r="152" customFormat="false" ht="12.75" hidden="false" customHeight="false" outlineLevel="0" collapsed="false">
      <c r="AV152" s="306"/>
      <c r="AX152" s="192"/>
    </row>
    <row r="153" customFormat="false" ht="12.75" hidden="false" customHeight="false" outlineLevel="0" collapsed="false">
      <c r="AV153" s="306"/>
      <c r="AX153" s="192"/>
    </row>
    <row r="154" customFormat="false" ht="12.75" hidden="false" customHeight="false" outlineLevel="0" collapsed="false">
      <c r="AV154" s="306"/>
      <c r="AX154" s="192"/>
    </row>
    <row r="155" customFormat="false" ht="12.75" hidden="false" customHeight="false" outlineLevel="0" collapsed="false">
      <c r="AV155" s="306"/>
      <c r="AX155" s="192"/>
    </row>
    <row r="156" customFormat="false" ht="12.75" hidden="false" customHeight="false" outlineLevel="0" collapsed="false">
      <c r="AV156" s="306"/>
      <c r="AX156" s="192"/>
    </row>
    <row r="157" customFormat="false" ht="12.75" hidden="false" customHeight="false" outlineLevel="0" collapsed="false">
      <c r="AV157" s="306"/>
      <c r="AX157" s="192"/>
    </row>
    <row r="158" customFormat="false" ht="12.75" hidden="false" customHeight="false" outlineLevel="0" collapsed="false">
      <c r="AV158" s="306"/>
      <c r="AX158" s="192"/>
    </row>
    <row r="159" customFormat="false" ht="12.75" hidden="false" customHeight="false" outlineLevel="0" collapsed="false">
      <c r="AV159" s="306"/>
      <c r="AX159" s="192"/>
    </row>
    <row r="160" customFormat="false" ht="12.75" hidden="false" customHeight="false" outlineLevel="0" collapsed="false">
      <c r="AV160" s="306"/>
      <c r="AX160" s="192"/>
    </row>
    <row r="161" customFormat="false" ht="12.75" hidden="false" customHeight="false" outlineLevel="0" collapsed="false">
      <c r="AV161" s="306"/>
      <c r="AX161" s="192"/>
    </row>
    <row r="162" customFormat="false" ht="12.75" hidden="false" customHeight="false" outlineLevel="0" collapsed="false">
      <c r="AV162" s="306"/>
      <c r="AX162" s="192"/>
    </row>
    <row r="163" customFormat="false" ht="12.75" hidden="false" customHeight="false" outlineLevel="0" collapsed="false">
      <c r="AV163" s="306"/>
      <c r="AX163" s="192"/>
    </row>
    <row r="164" customFormat="false" ht="12.75" hidden="false" customHeight="false" outlineLevel="0" collapsed="false">
      <c r="AV164" s="306"/>
      <c r="AX164" s="192"/>
    </row>
    <row r="165" customFormat="false" ht="12.75" hidden="false" customHeight="false" outlineLevel="0" collapsed="false">
      <c r="AV165" s="306"/>
      <c r="AX165" s="192"/>
    </row>
    <row r="166" customFormat="false" ht="12.75" hidden="false" customHeight="false" outlineLevel="0" collapsed="false">
      <c r="AV166" s="306"/>
      <c r="AX166" s="192"/>
    </row>
    <row r="167" customFormat="false" ht="12.75" hidden="false" customHeight="false" outlineLevel="0" collapsed="false">
      <c r="AV167" s="306"/>
      <c r="AX167" s="192"/>
    </row>
    <row r="168" customFormat="false" ht="12.75" hidden="false" customHeight="false" outlineLevel="0" collapsed="false">
      <c r="AV168" s="306"/>
      <c r="AX168" s="192"/>
    </row>
    <row r="169" customFormat="false" ht="12.75" hidden="false" customHeight="false" outlineLevel="0" collapsed="false">
      <c r="AV169" s="306"/>
      <c r="AX169" s="192"/>
    </row>
    <row r="170" customFormat="false" ht="12.75" hidden="false" customHeight="false" outlineLevel="0" collapsed="false">
      <c r="AV170" s="306"/>
      <c r="AX170" s="192"/>
    </row>
    <row r="171" customFormat="false" ht="12.75" hidden="false" customHeight="false" outlineLevel="0" collapsed="false">
      <c r="AV171" s="306"/>
      <c r="AX171" s="192"/>
    </row>
    <row r="172" customFormat="false" ht="12.75" hidden="false" customHeight="false" outlineLevel="0" collapsed="false">
      <c r="AV172" s="306"/>
      <c r="AX172" s="192"/>
    </row>
    <row r="173" customFormat="false" ht="12.75" hidden="false" customHeight="false" outlineLevel="0" collapsed="false">
      <c r="AV173" s="306"/>
      <c r="AX173" s="192"/>
    </row>
    <row r="174" customFormat="false" ht="12.75" hidden="false" customHeight="false" outlineLevel="0" collapsed="false">
      <c r="AV174" s="306"/>
      <c r="AX174" s="192"/>
    </row>
    <row r="175" customFormat="false" ht="12.75" hidden="false" customHeight="false" outlineLevel="0" collapsed="false">
      <c r="AV175" s="306"/>
      <c r="AX175" s="192"/>
    </row>
    <row r="176" customFormat="false" ht="12.75" hidden="false" customHeight="false" outlineLevel="0" collapsed="false">
      <c r="AV176" s="306"/>
      <c r="AX176" s="192"/>
    </row>
    <row r="177" customFormat="false" ht="12.75" hidden="false" customHeight="false" outlineLevel="0" collapsed="false">
      <c r="AV177" s="306"/>
      <c r="AX177" s="192"/>
    </row>
    <row r="178" customFormat="false" ht="12.75" hidden="false" customHeight="false" outlineLevel="0" collapsed="false">
      <c r="AV178" s="306"/>
      <c r="AX178" s="192"/>
    </row>
    <row r="179" customFormat="false" ht="12.75" hidden="false" customHeight="false" outlineLevel="0" collapsed="false">
      <c r="AV179" s="306"/>
      <c r="AX179" s="192"/>
    </row>
    <row r="180" customFormat="false" ht="12.75" hidden="false" customHeight="false" outlineLevel="0" collapsed="false">
      <c r="AV180" s="306"/>
      <c r="AX180" s="192"/>
    </row>
    <row r="181" customFormat="false" ht="12.75" hidden="false" customHeight="false" outlineLevel="0" collapsed="false">
      <c r="AV181" s="306"/>
      <c r="AX181" s="192"/>
    </row>
    <row r="182" customFormat="false" ht="12.75" hidden="false" customHeight="false" outlineLevel="0" collapsed="false">
      <c r="AV182" s="306"/>
      <c r="AX182" s="192"/>
    </row>
    <row r="183" customFormat="false" ht="12.75" hidden="false" customHeight="false" outlineLevel="0" collapsed="false">
      <c r="AV183" s="306"/>
      <c r="AX183" s="192"/>
    </row>
    <row r="184" customFormat="false" ht="12.75" hidden="false" customHeight="false" outlineLevel="0" collapsed="false">
      <c r="AV184" s="306"/>
      <c r="AX184" s="192"/>
    </row>
    <row r="185" customFormat="false" ht="12.75" hidden="false" customHeight="false" outlineLevel="0" collapsed="false">
      <c r="AV185" s="306"/>
      <c r="AX185" s="192"/>
    </row>
    <row r="186" customFormat="false" ht="12.75" hidden="false" customHeight="false" outlineLevel="0" collapsed="false">
      <c r="AV186" s="306"/>
      <c r="AX186" s="192"/>
    </row>
    <row r="187" customFormat="false" ht="12.75" hidden="false" customHeight="false" outlineLevel="0" collapsed="false">
      <c r="AX187" s="192"/>
    </row>
    <row r="188" customFormat="false" ht="12.75" hidden="false" customHeight="false" outlineLevel="0" collapsed="false">
      <c r="AX188" s="192"/>
    </row>
    <row r="189" customFormat="false" ht="12.75" hidden="false" customHeight="false" outlineLevel="0" collapsed="false">
      <c r="AX189" s="192"/>
    </row>
    <row r="190" customFormat="false" ht="12.75" hidden="false" customHeight="false" outlineLevel="0" collapsed="false">
      <c r="AX190" s="192"/>
    </row>
    <row r="191" customFormat="false" ht="12.75" hidden="false" customHeight="false" outlineLevel="0" collapsed="false">
      <c r="AX191" s="192"/>
    </row>
    <row r="192" customFormat="false" ht="12.75" hidden="false" customHeight="false" outlineLevel="0" collapsed="false">
      <c r="AX192" s="192"/>
    </row>
    <row r="193" customFormat="false" ht="12.75" hidden="false" customHeight="false" outlineLevel="0" collapsed="false">
      <c r="AX193" s="192"/>
    </row>
    <row r="194" customFormat="false" ht="12.75" hidden="false" customHeight="false" outlineLevel="0" collapsed="false">
      <c r="AX194" s="192"/>
    </row>
    <row r="195" customFormat="false" ht="12.75" hidden="false" customHeight="false" outlineLevel="0" collapsed="false">
      <c r="AX195" s="192"/>
    </row>
    <row r="196" customFormat="false" ht="12.75" hidden="false" customHeight="false" outlineLevel="0" collapsed="false">
      <c r="AX196" s="192"/>
    </row>
    <row r="197" customFormat="false" ht="12.75" hidden="false" customHeight="false" outlineLevel="0" collapsed="false">
      <c r="AX197" s="192"/>
    </row>
    <row r="198" customFormat="false" ht="12.75" hidden="false" customHeight="false" outlineLevel="0" collapsed="false">
      <c r="AX198" s="192"/>
    </row>
    <row r="199" customFormat="false" ht="12.75" hidden="false" customHeight="false" outlineLevel="0" collapsed="false">
      <c r="AX199" s="192"/>
    </row>
    <row r="200" customFormat="false" ht="12.75" hidden="false" customHeight="false" outlineLevel="0" collapsed="false">
      <c r="AX200" s="192"/>
    </row>
    <row r="201" customFormat="false" ht="12.75" hidden="false" customHeight="false" outlineLevel="0" collapsed="false">
      <c r="AX201" s="192"/>
    </row>
    <row r="202" customFormat="false" ht="12.75" hidden="false" customHeight="false" outlineLevel="0" collapsed="false">
      <c r="AX202" s="192"/>
    </row>
    <row r="203" customFormat="false" ht="12.75" hidden="false" customHeight="false" outlineLevel="0" collapsed="false">
      <c r="AX203" s="192"/>
    </row>
    <row r="204" customFormat="false" ht="12.75" hidden="false" customHeight="false" outlineLevel="0" collapsed="false">
      <c r="AX204" s="192"/>
    </row>
    <row r="205" customFormat="false" ht="12.75" hidden="false" customHeight="false" outlineLevel="0" collapsed="false">
      <c r="AX205" s="192"/>
    </row>
    <row r="206" customFormat="false" ht="12.75" hidden="false" customHeight="false" outlineLevel="0" collapsed="false">
      <c r="AX206" s="192"/>
    </row>
    <row r="207" customFormat="false" ht="12.75" hidden="false" customHeight="false" outlineLevel="0" collapsed="false">
      <c r="AX207" s="192"/>
    </row>
    <row r="208" customFormat="false" ht="12.75" hidden="false" customHeight="false" outlineLevel="0" collapsed="false">
      <c r="AX208" s="192"/>
    </row>
    <row r="209" customFormat="false" ht="12.75" hidden="false" customHeight="false" outlineLevel="0" collapsed="false">
      <c r="AX209" s="192"/>
    </row>
    <row r="210" customFormat="false" ht="12.75" hidden="false" customHeight="false" outlineLevel="0" collapsed="false">
      <c r="AX210" s="192"/>
    </row>
    <row r="211" customFormat="false" ht="12.75" hidden="false" customHeight="false" outlineLevel="0" collapsed="false">
      <c r="AX211" s="192"/>
    </row>
    <row r="212" customFormat="false" ht="12.75" hidden="false" customHeight="false" outlineLevel="0" collapsed="false">
      <c r="AX212" s="192"/>
    </row>
    <row r="213" customFormat="false" ht="12.75" hidden="false" customHeight="false" outlineLevel="0" collapsed="false">
      <c r="AX213" s="192"/>
    </row>
    <row r="214" customFormat="false" ht="12.75" hidden="false" customHeight="false" outlineLevel="0" collapsed="false">
      <c r="AX214" s="192"/>
    </row>
    <row r="215" customFormat="false" ht="12.75" hidden="false" customHeight="false" outlineLevel="0" collapsed="false">
      <c r="AX215" s="192"/>
    </row>
    <row r="216" customFormat="false" ht="12.75" hidden="false" customHeight="false" outlineLevel="0" collapsed="false">
      <c r="AX216" s="192"/>
    </row>
    <row r="217" customFormat="false" ht="12.75" hidden="false" customHeight="false" outlineLevel="0" collapsed="false">
      <c r="AX217" s="192"/>
    </row>
    <row r="218" customFormat="false" ht="12.75" hidden="false" customHeight="false" outlineLevel="0" collapsed="false">
      <c r="AX218" s="192"/>
    </row>
    <row r="219" customFormat="false" ht="12.75" hidden="false" customHeight="false" outlineLevel="0" collapsed="false">
      <c r="AX219" s="192"/>
    </row>
    <row r="220" customFormat="false" ht="12.75" hidden="false" customHeight="false" outlineLevel="0" collapsed="false">
      <c r="AX220" s="192"/>
    </row>
    <row r="221" customFormat="false" ht="12.75" hidden="false" customHeight="false" outlineLevel="0" collapsed="false">
      <c r="AX221" s="192"/>
    </row>
    <row r="222" customFormat="false" ht="12.75" hidden="false" customHeight="false" outlineLevel="0" collapsed="false">
      <c r="AX222" s="192"/>
    </row>
    <row r="223" customFormat="false" ht="12.75" hidden="false" customHeight="false" outlineLevel="0" collapsed="false">
      <c r="AX223" s="192"/>
    </row>
    <row r="224" customFormat="false" ht="12.75" hidden="false" customHeight="false" outlineLevel="0" collapsed="false">
      <c r="AX224" s="192"/>
    </row>
    <row r="225" customFormat="false" ht="12.75" hidden="false" customHeight="false" outlineLevel="0" collapsed="false">
      <c r="AX225" s="192"/>
    </row>
    <row r="226" customFormat="false" ht="12.75" hidden="false" customHeight="false" outlineLevel="0" collapsed="false">
      <c r="AX226" s="192"/>
    </row>
    <row r="227" customFormat="false" ht="12.75" hidden="false" customHeight="false" outlineLevel="0" collapsed="false">
      <c r="AX227" s="192"/>
    </row>
    <row r="228" customFormat="false" ht="12.75" hidden="false" customHeight="false" outlineLevel="0" collapsed="false">
      <c r="AX228" s="192"/>
    </row>
    <row r="229" customFormat="false" ht="12.75" hidden="false" customHeight="false" outlineLevel="0" collapsed="false">
      <c r="AX229" s="192"/>
    </row>
    <row r="230" customFormat="false" ht="12.75" hidden="false" customHeight="false" outlineLevel="0" collapsed="false">
      <c r="AX230" s="192"/>
    </row>
    <row r="231" customFormat="false" ht="12.75" hidden="false" customHeight="false" outlineLevel="0" collapsed="false">
      <c r="AX231" s="192"/>
    </row>
    <row r="232" customFormat="false" ht="12.75" hidden="false" customHeight="false" outlineLevel="0" collapsed="false">
      <c r="AX232" s="192"/>
    </row>
    <row r="233" customFormat="false" ht="12.75" hidden="false" customHeight="false" outlineLevel="0" collapsed="false">
      <c r="AX233" s="192"/>
    </row>
    <row r="234" customFormat="false" ht="12.75" hidden="false" customHeight="false" outlineLevel="0" collapsed="false">
      <c r="AX234" s="192"/>
    </row>
    <row r="235" customFormat="false" ht="12.75" hidden="false" customHeight="false" outlineLevel="0" collapsed="false">
      <c r="AX235" s="192"/>
    </row>
    <row r="236" customFormat="false" ht="12.75" hidden="false" customHeight="false" outlineLevel="0" collapsed="false">
      <c r="AX236" s="192"/>
    </row>
    <row r="237" customFormat="false" ht="12.75" hidden="false" customHeight="false" outlineLevel="0" collapsed="false">
      <c r="AX237" s="192"/>
    </row>
    <row r="238" customFormat="false" ht="12.75" hidden="false" customHeight="false" outlineLevel="0" collapsed="false">
      <c r="AX238" s="192"/>
    </row>
    <row r="239" customFormat="false" ht="12.75" hidden="false" customHeight="false" outlineLevel="0" collapsed="false">
      <c r="AX239" s="192"/>
    </row>
    <row r="240" customFormat="false" ht="12.75" hidden="false" customHeight="false" outlineLevel="0" collapsed="false">
      <c r="AX240" s="192"/>
    </row>
    <row r="241" customFormat="false" ht="12.75" hidden="false" customHeight="false" outlineLevel="0" collapsed="false">
      <c r="AX241" s="192"/>
    </row>
    <row r="242" customFormat="false" ht="12.75" hidden="false" customHeight="false" outlineLevel="0" collapsed="false">
      <c r="AX242" s="192"/>
    </row>
    <row r="243" customFormat="false" ht="12.75" hidden="false" customHeight="false" outlineLevel="0" collapsed="false">
      <c r="AX243" s="192"/>
    </row>
    <row r="244" customFormat="false" ht="12.75" hidden="false" customHeight="false" outlineLevel="0" collapsed="false">
      <c r="AX244" s="192"/>
    </row>
    <row r="245" customFormat="false" ht="12.75" hidden="false" customHeight="false" outlineLevel="0" collapsed="false">
      <c r="AX245" s="192"/>
    </row>
    <row r="246" customFormat="false" ht="12.75" hidden="false" customHeight="false" outlineLevel="0" collapsed="false">
      <c r="AX246" s="192"/>
    </row>
    <row r="247" customFormat="false" ht="12.75" hidden="false" customHeight="false" outlineLevel="0" collapsed="false">
      <c r="AX247" s="192"/>
    </row>
    <row r="248" customFormat="false" ht="12.75" hidden="false" customHeight="false" outlineLevel="0" collapsed="false">
      <c r="AX248" s="192"/>
    </row>
    <row r="249" customFormat="false" ht="12.75" hidden="false" customHeight="false" outlineLevel="0" collapsed="false">
      <c r="AX249" s="192"/>
    </row>
    <row r="250" customFormat="false" ht="12.75" hidden="false" customHeight="false" outlineLevel="0" collapsed="false">
      <c r="AX250" s="192"/>
    </row>
    <row r="251" customFormat="false" ht="12.75" hidden="false" customHeight="false" outlineLevel="0" collapsed="false">
      <c r="AX251" s="192"/>
    </row>
    <row r="252" customFormat="false" ht="12.75" hidden="false" customHeight="false" outlineLevel="0" collapsed="false">
      <c r="AX252" s="192"/>
    </row>
    <row r="253" customFormat="false" ht="12.75" hidden="false" customHeight="false" outlineLevel="0" collapsed="false">
      <c r="AX253" s="192"/>
    </row>
    <row r="254" customFormat="false" ht="12.75" hidden="false" customHeight="false" outlineLevel="0" collapsed="false">
      <c r="AX254" s="192"/>
    </row>
    <row r="255" customFormat="false" ht="12.75" hidden="false" customHeight="false" outlineLevel="0" collapsed="false">
      <c r="AX255" s="192"/>
    </row>
    <row r="256" customFormat="false" ht="12.75" hidden="false" customHeight="false" outlineLevel="0" collapsed="false">
      <c r="AX256" s="192"/>
    </row>
    <row r="257" customFormat="false" ht="12.75" hidden="false" customHeight="false" outlineLevel="0" collapsed="false">
      <c r="AX257" s="192"/>
    </row>
    <row r="258" customFormat="false" ht="12.75" hidden="false" customHeight="false" outlineLevel="0" collapsed="false">
      <c r="AX258" s="192"/>
    </row>
    <row r="259" customFormat="false" ht="12.75" hidden="false" customHeight="false" outlineLevel="0" collapsed="false">
      <c r="AX259" s="192"/>
    </row>
    <row r="260" customFormat="false" ht="12.75" hidden="false" customHeight="false" outlineLevel="0" collapsed="false">
      <c r="AX260" s="192"/>
    </row>
    <row r="261" customFormat="false" ht="12.75" hidden="false" customHeight="false" outlineLevel="0" collapsed="false">
      <c r="AX261" s="192"/>
    </row>
    <row r="262" customFormat="false" ht="12.75" hidden="false" customHeight="false" outlineLevel="0" collapsed="false">
      <c r="AX262" s="192"/>
    </row>
    <row r="263" customFormat="false" ht="12.75" hidden="false" customHeight="false" outlineLevel="0" collapsed="false">
      <c r="AX263" s="192"/>
    </row>
    <row r="264" customFormat="false" ht="12.75" hidden="false" customHeight="false" outlineLevel="0" collapsed="false">
      <c r="AX264" s="192"/>
    </row>
    <row r="265" customFormat="false" ht="12.75" hidden="false" customHeight="false" outlineLevel="0" collapsed="false">
      <c r="AX265" s="192"/>
    </row>
    <row r="266" customFormat="false" ht="12.75" hidden="false" customHeight="false" outlineLevel="0" collapsed="false">
      <c r="AX266" s="192"/>
    </row>
    <row r="267" customFormat="false" ht="12.75" hidden="false" customHeight="false" outlineLevel="0" collapsed="false">
      <c r="AX267" s="192"/>
    </row>
    <row r="268" customFormat="false" ht="12.75" hidden="false" customHeight="false" outlineLevel="0" collapsed="false">
      <c r="AX268" s="192"/>
    </row>
    <row r="269" customFormat="false" ht="12.75" hidden="false" customHeight="false" outlineLevel="0" collapsed="false">
      <c r="AX269" s="192"/>
    </row>
    <row r="270" customFormat="false" ht="12.75" hidden="false" customHeight="false" outlineLevel="0" collapsed="false">
      <c r="AX270" s="192"/>
    </row>
    <row r="271" customFormat="false" ht="12.75" hidden="false" customHeight="false" outlineLevel="0" collapsed="false">
      <c r="AX271" s="192"/>
    </row>
    <row r="272" customFormat="false" ht="12.75" hidden="false" customHeight="false" outlineLevel="0" collapsed="false">
      <c r="AX272" s="192"/>
    </row>
    <row r="273" customFormat="false" ht="12.75" hidden="false" customHeight="false" outlineLevel="0" collapsed="false">
      <c r="AX273" s="192"/>
    </row>
    <row r="274" customFormat="false" ht="12.75" hidden="false" customHeight="false" outlineLevel="0" collapsed="false">
      <c r="AX274" s="192"/>
    </row>
    <row r="275" customFormat="false" ht="12.75" hidden="false" customHeight="false" outlineLevel="0" collapsed="false">
      <c r="AX275" s="192"/>
    </row>
    <row r="276" customFormat="false" ht="12.75" hidden="false" customHeight="false" outlineLevel="0" collapsed="false">
      <c r="AX276" s="192"/>
    </row>
    <row r="277" customFormat="false" ht="12.75" hidden="false" customHeight="false" outlineLevel="0" collapsed="false">
      <c r="AX277" s="192"/>
    </row>
    <row r="278" customFormat="false" ht="12.75" hidden="false" customHeight="false" outlineLevel="0" collapsed="false">
      <c r="AX278" s="192"/>
    </row>
    <row r="279" customFormat="false" ht="12.75" hidden="false" customHeight="false" outlineLevel="0" collapsed="false">
      <c r="AX279" s="192"/>
    </row>
    <row r="280" customFormat="false" ht="12.75" hidden="false" customHeight="false" outlineLevel="0" collapsed="false">
      <c r="AX280" s="192"/>
    </row>
    <row r="281" customFormat="false" ht="12.75" hidden="false" customHeight="false" outlineLevel="0" collapsed="false">
      <c r="AX281" s="192"/>
    </row>
    <row r="282" customFormat="false" ht="12.75" hidden="false" customHeight="false" outlineLevel="0" collapsed="false">
      <c r="AX282" s="192"/>
    </row>
    <row r="283" customFormat="false" ht="12.75" hidden="false" customHeight="false" outlineLevel="0" collapsed="false">
      <c r="AX283" s="192"/>
    </row>
    <row r="284" customFormat="false" ht="12.75" hidden="false" customHeight="false" outlineLevel="0" collapsed="false">
      <c r="AX284" s="192"/>
    </row>
    <row r="285" customFormat="false" ht="12.75" hidden="false" customHeight="false" outlineLevel="0" collapsed="false">
      <c r="AX285" s="192"/>
    </row>
    <row r="286" customFormat="false" ht="12.75" hidden="false" customHeight="false" outlineLevel="0" collapsed="false">
      <c r="AX286" s="192"/>
    </row>
    <row r="287" customFormat="false" ht="12.75" hidden="false" customHeight="false" outlineLevel="0" collapsed="false">
      <c r="AX287" s="192"/>
    </row>
    <row r="288" customFormat="false" ht="12.75" hidden="false" customHeight="false" outlineLevel="0" collapsed="false">
      <c r="AX288" s="192"/>
    </row>
    <row r="289" customFormat="false" ht="12.75" hidden="false" customHeight="false" outlineLevel="0" collapsed="false">
      <c r="AX289" s="192"/>
    </row>
    <row r="290" customFormat="false" ht="12.75" hidden="false" customHeight="false" outlineLevel="0" collapsed="false">
      <c r="AX290" s="192"/>
    </row>
    <row r="291" customFormat="false" ht="12.75" hidden="false" customHeight="false" outlineLevel="0" collapsed="false">
      <c r="AX291" s="192"/>
    </row>
    <row r="292" customFormat="false" ht="12.75" hidden="false" customHeight="false" outlineLevel="0" collapsed="false">
      <c r="AX292" s="192"/>
    </row>
    <row r="293" customFormat="false" ht="12.75" hidden="false" customHeight="false" outlineLevel="0" collapsed="false">
      <c r="AX293" s="192"/>
    </row>
  </sheetData>
  <mergeCells count="6">
    <mergeCell ref="D6:M6"/>
    <mergeCell ref="N6:W6"/>
    <mergeCell ref="X6:AG6"/>
    <mergeCell ref="AH6:AP6"/>
    <mergeCell ref="AR6:AZ6"/>
    <mergeCell ref="BA6:BB6"/>
  </mergeCells>
  <printOptions headings="false" gridLines="false" gridLinesSet="true" horizontalCentered="false" verticalCentered="false"/>
  <pageMargins left="0" right="0" top="0.75" bottom="0.75" header="0.5" footer="0.5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1997-05-05T17:29:43Z</dcterms:created>
  <dc:creator>Northern Natural Gas</dc:creator>
  <dc:description/>
  <dc:language>en-US</dc:language>
  <cp:lastModifiedBy>dmoseley</cp:lastModifiedBy>
  <cp:lastPrinted>2002-02-15T13:49:47Z</cp:lastPrinted>
  <dcterms:modified xsi:type="dcterms:W3CDTF">2002-02-15T13:49:54Z</dcterms:modified>
  <cp:revision>0</cp:revision>
  <dc:subject/>
  <dc:title/>
</cp:coreProperties>
</file>